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drawings/drawing6.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7.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drawings/drawing10.xml" ContentType="application/vnd.openxmlformats-officedocument.drawing+xml"/>
  <Override PartName="/xl/comments46.xml" ContentType="application/vnd.openxmlformats-officedocument.spreadsheetml.comments+xml"/>
  <Override PartName="/xl/drawings/drawing11.xml" ContentType="application/vnd.openxmlformats-officedocument.drawing+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drawings/drawing12.xml" ContentType="application/vnd.openxmlformats-officedocument.drawing+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drawings/drawing13.xml" ContentType="application/vnd.openxmlformats-officedocument.drawing+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drawings/drawing14.xml" ContentType="application/vnd.openxmlformats-officedocument.drawing+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omments47.xml" ContentType="application/vnd.openxmlformats-officedocument.spreadsheetml.comments+xml"/>
  <Override PartName="/xl/drawings/drawing15.xml" ContentType="application/vnd.openxmlformats-officedocument.drawing+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drawings/drawing16.xml" ContentType="application/vnd.openxmlformats-officedocument.drawing+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drawings/drawing17.xml" ContentType="application/vnd.openxmlformats-officedocument.drawing+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showInkAnnotation="0" codeName="ThisWorkbook" defaultThemeVersion="124226"/>
  <mc:AlternateContent xmlns:mc="http://schemas.openxmlformats.org/markup-compatibility/2006">
    <mc:Choice Requires="x15">
      <x15ac:absPath xmlns:x15ac="http://schemas.microsoft.com/office/spreadsheetml/2010/11/ac" url="\\Fs\脱炭素・ＧＲＥＥＮ×ＥＸＰＯ推進局\03脱炭素計画推進課\200_事業者温暖化対策促進事業\01_温暖化対策計画書制度\03_提出様式（ダウンロード用）\2024（R6）年度\"/>
    </mc:Choice>
  </mc:AlternateContent>
  <xr:revisionPtr revIDLastSave="0" documentId="13_ncr:1_{2A9B08D5-F6B7-435E-AAFF-07EFE5589D17}" xr6:coauthVersionLast="47" xr6:coauthVersionMax="47" xr10:uidLastSave="{00000000-0000-0000-0000-000000000000}"/>
  <workbookProtection workbookAlgorithmName="SHA-512" workbookHashValue="6UXoGnlzQqxClYqX11G1XZoSU5vwfTEI1pEGU8xQ04/gAWbDSHfATTySE6eaoBvlJ+aPTBz3fDXzQbnw8kS8Jg==" workbookSaltValue="616iM11u/EBY12oCcR2suQ==" workbookSpinCount="100000" lockStructure="1"/>
  <bookViews>
    <workbookView xWindow="20370" yWindow="-120" windowWidth="29040" windowHeight="15720" tabRatio="891" firstSheet="6" activeTab="6" xr2:uid="{00000000-000D-0000-FFFF-FFFF00000000}"/>
  </bookViews>
  <sheets>
    <sheet name="R6年版変更点" sheetId="42" state="hidden" r:id="rId1"/>
    <sheet name="集計_報告" sheetId="122" state="hidden" r:id="rId2"/>
    <sheet name="集計_報告自主的対策" sheetId="126" state="hidden" r:id="rId3"/>
    <sheet name="集計_報告個別" sheetId="123" state="hidden" r:id="rId4"/>
    <sheet name="集計_計画" sheetId="124" state="hidden" r:id="rId5"/>
    <sheet name="集計_計画個別" sheetId="125" state="hidden" r:id="rId6"/>
    <sheet name="はじめに" sheetId="51" r:id="rId7"/>
    <sheet name="使用量_1,2" sheetId="60" r:id="rId8"/>
    <sheet name="使用量_3" sheetId="63" r:id="rId9"/>
    <sheet name="電力会社" sheetId="62" r:id="rId10"/>
    <sheet name="外部供給" sheetId="61" r:id="rId11"/>
    <sheet name="o1" sheetId="65" state="hidden" r:id="rId12"/>
    <sheet name="o2" sheetId="71" state="hidden" r:id="rId13"/>
    <sheet name="o3" sheetId="72" state="hidden" r:id="rId14"/>
    <sheet name="o4" sheetId="73" state="hidden" r:id="rId15"/>
    <sheet name="o5" sheetId="74" state="hidden" r:id="rId16"/>
    <sheet name="o6" sheetId="75" state="hidden" r:id="rId17"/>
    <sheet name="o7" sheetId="76" state="hidden" r:id="rId18"/>
    <sheet name="o8" sheetId="77" state="hidden" r:id="rId19"/>
    <sheet name="o9" sheetId="78" state="hidden" r:id="rId20"/>
    <sheet name="o10" sheetId="79" state="hidden" r:id="rId21"/>
    <sheet name="o11" sheetId="80" state="hidden" r:id="rId22"/>
    <sheet name="o12" sheetId="81" state="hidden" r:id="rId23"/>
    <sheet name="o13" sheetId="82" state="hidden" r:id="rId24"/>
    <sheet name="o14" sheetId="83" state="hidden" r:id="rId25"/>
    <sheet name="o15" sheetId="84" state="hidden" r:id="rId26"/>
    <sheet name="o16" sheetId="85" state="hidden" r:id="rId27"/>
    <sheet name="o17" sheetId="86" state="hidden" r:id="rId28"/>
    <sheet name="o18" sheetId="87" state="hidden" r:id="rId29"/>
    <sheet name="o19" sheetId="88" state="hidden" r:id="rId30"/>
    <sheet name="o20" sheetId="89" state="hidden" r:id="rId31"/>
    <sheet name="o21" sheetId="90" state="hidden" r:id="rId32"/>
    <sheet name="o22" sheetId="91" state="hidden" r:id="rId33"/>
    <sheet name="o23" sheetId="92" state="hidden" r:id="rId34"/>
    <sheet name="o24" sheetId="97" state="hidden" r:id="rId35"/>
    <sheet name="o25" sheetId="98" state="hidden" r:id="rId36"/>
    <sheet name="o26" sheetId="99" state="hidden" r:id="rId37"/>
    <sheet name="o27" sheetId="100" state="hidden" r:id="rId38"/>
    <sheet name="o28" sheetId="101" state="hidden" r:id="rId39"/>
    <sheet name="o29" sheetId="102" state="hidden" r:id="rId40"/>
    <sheet name="o30" sheetId="103" state="hidden" r:id="rId41"/>
    <sheet name="o31" sheetId="104" state="hidden" r:id="rId42"/>
    <sheet name="o32" sheetId="105" state="hidden" r:id="rId43"/>
    <sheet name="o33" sheetId="106" state="hidden" r:id="rId44"/>
    <sheet name="o34" sheetId="107" state="hidden" r:id="rId45"/>
    <sheet name="o35" sheetId="108" state="hidden" r:id="rId46"/>
    <sheet name="o36" sheetId="109" state="hidden" r:id="rId47"/>
    <sheet name="o37" sheetId="110" state="hidden" r:id="rId48"/>
    <sheet name="o38" sheetId="111" state="hidden" r:id="rId49"/>
    <sheet name="o39" sheetId="113" state="hidden" r:id="rId50"/>
    <sheet name="o40" sheetId="114" state="hidden" r:id="rId51"/>
    <sheet name="o41" sheetId="115" state="hidden" r:id="rId52"/>
    <sheet name="o42" sheetId="116" state="hidden" r:id="rId53"/>
    <sheet name="o43" sheetId="117" state="hidden" r:id="rId54"/>
    <sheet name="昨年度計画書" sheetId="53" state="hidden" r:id="rId55"/>
    <sheet name="昨年度報告書" sheetId="52" state="hidden" r:id="rId56"/>
    <sheet name="参照元個別" sheetId="119" state="hidden" r:id="rId57"/>
    <sheet name="自動車計算" sheetId="64" state="hidden" r:id="rId58"/>
    <sheet name="参照元" sheetId="54" state="hidden" r:id="rId59"/>
    <sheet name="報1" sheetId="32" r:id="rId60"/>
    <sheet name="報2" sheetId="49" r:id="rId61"/>
    <sheet name="報3" sheetId="34" r:id="rId62"/>
    <sheet name="報4" sheetId="50" r:id="rId63"/>
    <sheet name="報5" sheetId="120" r:id="rId64"/>
    <sheet name="報6" sheetId="37" r:id="rId65"/>
    <sheet name="報7" sheetId="93" r:id="rId66"/>
    <sheet name="計1" sheetId="45" r:id="rId67"/>
    <sheet name="計2" sheetId="127" r:id="rId68"/>
    <sheet name="計3" sheetId="46" r:id="rId69"/>
    <sheet name="計4" sheetId="47" r:id="rId70"/>
    <sheet name="計5" sheetId="48" r:id="rId71"/>
    <sheet name="以降入力不要→" sheetId="118" r:id="rId72"/>
    <sheet name="提" sheetId="121" r:id="rId73"/>
    <sheet name="係数" sheetId="59" r:id="rId74"/>
  </sheets>
  <externalReferences>
    <externalReference r:id="rId75"/>
    <externalReference r:id="rId76"/>
    <externalReference r:id="rId77"/>
  </externalReferences>
  <definedNames>
    <definedName name="_Fill" hidden="1">[1]昨年!$B$2:$J$2</definedName>
    <definedName name="_xlnm._FilterDatabase" localSheetId="69" hidden="1">計4!$A$6:$L$87</definedName>
    <definedName name="_xlnm._FilterDatabase" localSheetId="70" hidden="1">計5!#REF!</definedName>
    <definedName name="_xlnm._FilterDatabase" localSheetId="54" hidden="1">昨年度計画書!$A$1:$BK$252</definedName>
    <definedName name="_xlnm._FilterDatabase" localSheetId="55" hidden="1">昨年度報告書!$A$1:$DM$301</definedName>
    <definedName name="_xlnm._FilterDatabase" localSheetId="72" hidden="1">提!#REF!</definedName>
    <definedName name="_xlnm._FilterDatabase" localSheetId="9" hidden="1">電力会社!$I$3:$L$965</definedName>
    <definedName name="AA" localSheetId="66">計1!$T$11:$U$11</definedName>
    <definedName name="AA" localSheetId="2">#REF!</definedName>
    <definedName name="AA" localSheetId="59">報1!$T$11:$U$11</definedName>
    <definedName name="AA">#REF!</definedName>
    <definedName name="BB" localSheetId="66">計1!$T$12:$U$12</definedName>
    <definedName name="BB" localSheetId="2">#REF!</definedName>
    <definedName name="BB" localSheetId="59">報1!$T$12:$U$12</definedName>
    <definedName name="BB">#REF!</definedName>
    <definedName name="CC" localSheetId="66">計1!$T$13</definedName>
    <definedName name="CC" localSheetId="2">#REF!</definedName>
    <definedName name="CC" localSheetId="59">報1!$T$13</definedName>
    <definedName name="CC">#REF!</definedName>
    <definedName name="DD" localSheetId="66">計1!$T$14:$V$14</definedName>
    <definedName name="DD" localSheetId="2">#REF!</definedName>
    <definedName name="DD" localSheetId="59">報1!$T$14:$V$14</definedName>
    <definedName name="DD">#REF!</definedName>
    <definedName name="EE" localSheetId="66">計1!$T$15:$AQ$15</definedName>
    <definedName name="EE" localSheetId="2">#REF!</definedName>
    <definedName name="EE" localSheetId="59">報1!$T$15:$AQ$15</definedName>
    <definedName name="EE">#REF!</definedName>
    <definedName name="FF" localSheetId="66">計1!$T$16:$W$16</definedName>
    <definedName name="FF" localSheetId="2">#REF!</definedName>
    <definedName name="FF" localSheetId="59">報1!$T$16:$W$16</definedName>
    <definedName name="FF">#REF!</definedName>
    <definedName name="GG" localSheetId="66">計1!$T$17:$X$17</definedName>
    <definedName name="GG" localSheetId="2">#REF!</definedName>
    <definedName name="GG" localSheetId="59">報1!$T$17:$X$17</definedName>
    <definedName name="GG">#REF!</definedName>
    <definedName name="haishutukeisuu" localSheetId="56" hidden="1">{"'第２表'!$W$27:$AA$68"}</definedName>
    <definedName name="haishutukeisuu" hidden="1">{"'第２表'!$W$27:$AA$68"}</definedName>
    <definedName name="HH" localSheetId="66">計1!$T$18:$AA$18</definedName>
    <definedName name="HH" localSheetId="2">#REF!</definedName>
    <definedName name="HH" localSheetId="59">報1!$T$18:$AA$18</definedName>
    <definedName name="HH">#REF!</definedName>
    <definedName name="HTML_CodePage" hidden="1">932</definedName>
    <definedName name="HTML_Control" localSheetId="56" hidden="1">{"'第２表'!$W$27:$AA$68"}</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II" localSheetId="66">計1!$T$19:$AE$19</definedName>
    <definedName name="II" localSheetId="2">#REF!</definedName>
    <definedName name="II" localSheetId="59">報1!$T$19:$AE$19</definedName>
    <definedName name="II">#REF!</definedName>
    <definedName name="JJ" localSheetId="66">計1!$T$20:$Y$20</definedName>
    <definedName name="JJ" localSheetId="2">#REF!</definedName>
    <definedName name="JJ" localSheetId="59">報1!$T$20:$Y$20</definedName>
    <definedName name="JJ">#REF!</definedName>
    <definedName name="KK" localSheetId="66">計1!$T$21:$V$21</definedName>
    <definedName name="KK" localSheetId="2">#REF!</definedName>
    <definedName name="KK" localSheetId="59">報1!$T$21:$V$21</definedName>
    <definedName name="KK">#REF!</definedName>
    <definedName name="LL" localSheetId="66">計1!$T$22:$W$22</definedName>
    <definedName name="LL" localSheetId="2">#REF!</definedName>
    <definedName name="LL" localSheetId="59">報1!$T$22:$W$22</definedName>
    <definedName name="LL">#REF!</definedName>
    <definedName name="lpu" localSheetId="56" hidden="1">{"'第２表'!$W$27:$AA$68"}</definedName>
    <definedName name="lpu" hidden="1">{"'第２表'!$W$27:$AA$68"}</definedName>
    <definedName name="MM" localSheetId="66">計1!$T$23:$V$23</definedName>
    <definedName name="MM" localSheetId="2">#REF!</definedName>
    <definedName name="MM" localSheetId="59">報1!$T$23:$V$23</definedName>
    <definedName name="MM">#REF!</definedName>
    <definedName name="NN" localSheetId="66">計1!$T$24:$V$24</definedName>
    <definedName name="NN" localSheetId="2">#REF!</definedName>
    <definedName name="NN" localSheetId="59">報1!$T$24:$V$24</definedName>
    <definedName name="NN">#REF!</definedName>
    <definedName name="OO" localSheetId="66">計1!$T$25:$U$25</definedName>
    <definedName name="OO" localSheetId="2">#REF!</definedName>
    <definedName name="OO" localSheetId="59">報1!$T$25:$U$25</definedName>
    <definedName name="OO">#REF!</definedName>
    <definedName name="PP" localSheetId="66">計1!$T$26:$V$26</definedName>
    <definedName name="PP" localSheetId="2">#REF!</definedName>
    <definedName name="PP" localSheetId="59">報1!$T$26:$V$26</definedName>
    <definedName name="PP">#REF!</definedName>
    <definedName name="pps推移" localSheetId="56" hidden="1">{"'第２表'!$W$27:$AA$68"}</definedName>
    <definedName name="pps推移" hidden="1">{"'第２表'!$W$27:$AA$68"}</definedName>
    <definedName name="_xlnm.Print_Area" localSheetId="66">計1!$A$1:$N$34</definedName>
    <definedName name="_xlnm.Print_Area" localSheetId="68">計3!$A$1:$S$29</definedName>
    <definedName name="_xlnm.Print_Area" localSheetId="69">計4!$A$1:$L$87</definedName>
    <definedName name="_xlnm.Print_Area" localSheetId="70">計5!$A$1:$O$24</definedName>
    <definedName name="_xlnm.Print_Area" localSheetId="72">提!$A$1:$O$19</definedName>
    <definedName name="_xlnm.Print_Area" localSheetId="59">報1!$A$1:$N$35</definedName>
    <definedName name="_xlnm.Print_Area" localSheetId="60">報2!$A$1:$K$37</definedName>
    <definedName name="_xlnm.Print_Area" localSheetId="61">報3!$A$1:$O$24</definedName>
    <definedName name="_xlnm.Print_Area" localSheetId="62">報4!$A$1:$L$87</definedName>
    <definedName name="_xlnm.Print_Area" localSheetId="64">報6!$A$1:$P$19</definedName>
    <definedName name="_xlnm.Print_Area" localSheetId="65">報7!$A$1:$O$22</definedName>
    <definedName name="QQ" localSheetId="66">計1!$T$27:$U$27</definedName>
    <definedName name="QQ" localSheetId="2">#REF!</definedName>
    <definedName name="QQ" localSheetId="59">報1!$T$27:$U$27</definedName>
    <definedName name="QQ">#REF!</definedName>
    <definedName name="RR" localSheetId="66">計1!$T$28:$AB$28</definedName>
    <definedName name="RR" localSheetId="2">#REF!</definedName>
    <definedName name="RR" localSheetId="59">報1!$T$28:$AB$28</definedName>
    <definedName name="RR">#REF!</definedName>
    <definedName name="SS" localSheetId="66">計1!$T$29:$U$29</definedName>
    <definedName name="SS" localSheetId="2">#REF!</definedName>
    <definedName name="SS" localSheetId="59">報1!$T$29:$U$29</definedName>
    <definedName name="SS">#REF!</definedName>
    <definedName name="TT" localSheetId="66">計1!$T$30</definedName>
    <definedName name="TT" localSheetId="2">#REF!</definedName>
    <definedName name="TT" localSheetId="59">報1!$T$30</definedName>
    <definedName name="TT">#REF!</definedName>
    <definedName name="温室効果ガス排出抑制に寄与する機械器具" localSheetId="64">報6!$U$4:$U$16</definedName>
    <definedName name="個別票_2" localSheetId="34">#REF!</definedName>
    <definedName name="個別票_2" localSheetId="35">#REF!</definedName>
    <definedName name="個別票_2" localSheetId="36">#REF!</definedName>
    <definedName name="個別票_2" localSheetId="37">#REF!</definedName>
    <definedName name="個別票_2" localSheetId="38">#REF!</definedName>
    <definedName name="個別票_2" localSheetId="39">#REF!</definedName>
    <definedName name="個別票_2" localSheetId="40">#REF!</definedName>
    <definedName name="個別票_2" localSheetId="41">#REF!</definedName>
    <definedName name="個別票_2" localSheetId="42">#REF!</definedName>
    <definedName name="個別票_2" localSheetId="43">#REF!</definedName>
    <definedName name="個別票_2" localSheetId="44">#REF!</definedName>
    <definedName name="個別票_2" localSheetId="45">#REF!</definedName>
    <definedName name="個別票_2" localSheetId="46">#REF!</definedName>
    <definedName name="個別票_2" localSheetId="47">#REF!</definedName>
    <definedName name="個別票_2" localSheetId="48">#REF!</definedName>
    <definedName name="個別票_2" localSheetId="49">#REF!</definedName>
    <definedName name="個別票_2" localSheetId="50">#REF!</definedName>
    <definedName name="個別票_2" localSheetId="51">#REF!</definedName>
    <definedName name="個別票_2" localSheetId="52">#REF!</definedName>
    <definedName name="個別票_2" localSheetId="53">#REF!</definedName>
    <definedName name="個別票_2" localSheetId="56">#REF!</definedName>
    <definedName name="個別票_2" localSheetId="65">報7!$Q$17</definedName>
    <definedName name="事業者ID下3桁">報1!$O$4</definedName>
    <definedName name="自動転記">報1!$P$4</definedName>
    <definedName name="種別リスト" localSheetId="11">[2]報告【５】自主的対策【入力シート】!$BH$10:$BH$42</definedName>
    <definedName name="種別リスト" localSheetId="20">[2]報告【５】自主的対策【入力シート】!$BH$10:$BH$42</definedName>
    <definedName name="種別リスト" localSheetId="21">[2]報告【５】自主的対策【入力シート】!$BH$10:$BH$42</definedName>
    <definedName name="種別リスト" localSheetId="22">[2]報告【５】自主的対策【入力シート】!$BH$10:$BH$42</definedName>
    <definedName name="種別リスト" localSheetId="23">[2]報告【５】自主的対策【入力シート】!$BH$10:$BH$42</definedName>
    <definedName name="種別リスト" localSheetId="24">[2]報告【５】自主的対策【入力シート】!$BH$10:$BH$42</definedName>
    <definedName name="種別リスト" localSheetId="25">[2]報告【５】自主的対策【入力シート】!$BH$10:$BH$42</definedName>
    <definedName name="種別リスト" localSheetId="26">[2]報告【５】自主的対策【入力シート】!$BH$10:$BH$42</definedName>
    <definedName name="種別リスト" localSheetId="27">[2]報告【５】自主的対策【入力シート】!$BH$10:$BH$42</definedName>
    <definedName name="種別リスト" localSheetId="28">[2]報告【５】自主的対策【入力シート】!$BH$10:$BH$42</definedName>
    <definedName name="種別リスト" localSheetId="29">[2]報告【５】自主的対策【入力シート】!$BH$10:$BH$42</definedName>
    <definedName name="種別リスト" localSheetId="12">[2]報告【５】自主的対策【入力シート】!$BH$10:$BH$42</definedName>
    <definedName name="種別リスト" localSheetId="30">[2]報告【５】自主的対策【入力シート】!$BH$10:$BH$42</definedName>
    <definedName name="種別リスト" localSheetId="31">[2]報告【５】自主的対策【入力シート】!$BH$10:$BH$42</definedName>
    <definedName name="種別リスト" localSheetId="32">[2]報告【５】自主的対策【入力シート】!$BH$10:$BH$42</definedName>
    <definedName name="種別リスト" localSheetId="33">[2]報告【５】自主的対策【入力シート】!$BH$10:$BH$42</definedName>
    <definedName name="種別リスト" localSheetId="34">[2]報告【５】自主的対策【入力シート】!$BH$10:$BH$42</definedName>
    <definedName name="種別リスト" localSheetId="35">[2]報告【５】自主的対策【入力シート】!$BH$10:$BH$42</definedName>
    <definedName name="種別リスト" localSheetId="36">[2]報告【５】自主的対策【入力シート】!$BH$10:$BH$42</definedName>
    <definedName name="種別リスト" localSheetId="37">[2]報告【５】自主的対策【入力シート】!$BH$10:$BH$42</definedName>
    <definedName name="種別リスト" localSheetId="38">[2]報告【５】自主的対策【入力シート】!$BH$10:$BH$42</definedName>
    <definedName name="種別リスト" localSheetId="39">[2]報告【５】自主的対策【入力シート】!$BH$10:$BH$42</definedName>
    <definedName name="種別リスト" localSheetId="13">[2]報告【５】自主的対策【入力シート】!$BH$10:$BH$42</definedName>
    <definedName name="種別リスト" localSheetId="40">[2]報告【５】自主的対策【入力シート】!$BH$10:$BH$42</definedName>
    <definedName name="種別リスト" localSheetId="41">[2]報告【５】自主的対策【入力シート】!$BH$10:$BH$42</definedName>
    <definedName name="種別リスト" localSheetId="42">[2]報告【５】自主的対策【入力シート】!$BH$10:$BH$42</definedName>
    <definedName name="種別リスト" localSheetId="43">[2]報告【５】自主的対策【入力シート】!$BH$10:$BH$42</definedName>
    <definedName name="種別リスト" localSheetId="44">[2]報告【５】自主的対策【入力シート】!$BH$10:$BH$42</definedName>
    <definedName name="種別リスト" localSheetId="45">[2]報告【５】自主的対策【入力シート】!$BH$10:$BH$42</definedName>
    <definedName name="種別リスト" localSheetId="46">[2]報告【５】自主的対策【入力シート】!$BH$10:$BH$42</definedName>
    <definedName name="種別リスト" localSheetId="47">[2]報告【５】自主的対策【入力シート】!$BH$10:$BH$42</definedName>
    <definedName name="種別リスト" localSheetId="48">[2]報告【５】自主的対策【入力シート】!$BH$10:$BH$42</definedName>
    <definedName name="種別リスト" localSheetId="49">[2]報告【５】自主的対策【入力シート】!$BH$10:$BH$42</definedName>
    <definedName name="種別リスト" localSheetId="14">[2]報告【５】自主的対策【入力シート】!$BH$10:$BH$42</definedName>
    <definedName name="種別リスト" localSheetId="50">[2]報告【５】自主的対策【入力シート】!$BH$10:$BH$42</definedName>
    <definedName name="種別リスト" localSheetId="51">[2]報告【５】自主的対策【入力シート】!$BH$10:$BH$42</definedName>
    <definedName name="種別リスト" localSheetId="52">[2]報告【５】自主的対策【入力シート】!$BH$10:$BH$42</definedName>
    <definedName name="種別リスト" localSheetId="53">[2]報告【５】自主的対策【入力シート】!$BH$10:$BH$42</definedName>
    <definedName name="種別リスト" localSheetId="15">[2]報告【５】自主的対策【入力シート】!$BH$10:$BH$42</definedName>
    <definedName name="種別リスト" localSheetId="16">[2]報告【５】自主的対策【入力シート】!$BH$10:$BH$42</definedName>
    <definedName name="種別リスト" localSheetId="17">[2]報告【５】自主的対策【入力シート】!$BH$10:$BH$42</definedName>
    <definedName name="種別リスト" localSheetId="18">[2]報告【５】自主的対策【入力シート】!$BH$10:$BH$42</definedName>
    <definedName name="種別リスト" localSheetId="19">[2]報告【５】自主的対策【入力シート】!$BH$10:$BH$42</definedName>
    <definedName name="種別リスト" localSheetId="72">[3]【９】!$BH$10:$BH$42</definedName>
    <definedName name="種別リスト">報5!$BH$10:$BH$42</definedName>
    <definedName name="重点対策_1号2号" localSheetId="20">#REF!</definedName>
    <definedName name="重点対策_1号2号" localSheetId="21">#REF!</definedName>
    <definedName name="重点対策_1号2号" localSheetId="22">#REF!</definedName>
    <definedName name="重点対策_1号2号" localSheetId="23">#REF!</definedName>
    <definedName name="重点対策_1号2号" localSheetId="24">#REF!</definedName>
    <definedName name="重点対策_1号2号" localSheetId="25">#REF!</definedName>
    <definedName name="重点対策_1号2号" localSheetId="26">#REF!</definedName>
    <definedName name="重点対策_1号2号" localSheetId="27">#REF!</definedName>
    <definedName name="重点対策_1号2号" localSheetId="28">#REF!</definedName>
    <definedName name="重点対策_1号2号" localSheetId="29">#REF!</definedName>
    <definedName name="重点対策_1号2号" localSheetId="12">#REF!</definedName>
    <definedName name="重点対策_1号2号" localSheetId="30">#REF!</definedName>
    <definedName name="重点対策_1号2号" localSheetId="31">#REF!</definedName>
    <definedName name="重点対策_1号2号" localSheetId="32">#REF!</definedName>
    <definedName name="重点対策_1号2号" localSheetId="33">#REF!</definedName>
    <definedName name="重点対策_1号2号" localSheetId="34">#REF!</definedName>
    <definedName name="重点対策_1号2号" localSheetId="35">#REF!</definedName>
    <definedName name="重点対策_1号2号" localSheetId="36">#REF!</definedName>
    <definedName name="重点対策_1号2号" localSheetId="37">#REF!</definedName>
    <definedName name="重点対策_1号2号" localSheetId="38">#REF!</definedName>
    <definedName name="重点対策_1号2号" localSheetId="39">#REF!</definedName>
    <definedName name="重点対策_1号2号" localSheetId="13">#REF!</definedName>
    <definedName name="重点対策_1号2号" localSheetId="40">#REF!</definedName>
    <definedName name="重点対策_1号2号" localSheetId="41">#REF!</definedName>
    <definedName name="重点対策_1号2号" localSheetId="42">#REF!</definedName>
    <definedName name="重点対策_1号2号" localSheetId="43">#REF!</definedName>
    <definedName name="重点対策_1号2号" localSheetId="44">#REF!</definedName>
    <definedName name="重点対策_1号2号" localSheetId="45">#REF!</definedName>
    <definedName name="重点対策_1号2号" localSheetId="46">#REF!</definedName>
    <definedName name="重点対策_1号2号" localSheetId="47">#REF!</definedName>
    <definedName name="重点対策_1号2号" localSheetId="48">#REF!</definedName>
    <definedName name="重点対策_1号2号" localSheetId="49">#REF!</definedName>
    <definedName name="重点対策_1号2号" localSheetId="14">#REF!</definedName>
    <definedName name="重点対策_1号2号" localSheetId="50">#REF!</definedName>
    <definedName name="重点対策_1号2号" localSheetId="51">#REF!</definedName>
    <definedName name="重点対策_1号2号" localSheetId="52">#REF!</definedName>
    <definedName name="重点対策_1号2号" localSheetId="53">#REF!</definedName>
    <definedName name="重点対策_1号2号" localSheetId="15">#REF!</definedName>
    <definedName name="重点対策_1号2号" localSheetId="16">#REF!</definedName>
    <definedName name="重点対策_1号2号" localSheetId="17">#REF!</definedName>
    <definedName name="重点対策_1号2号" localSheetId="18">#REF!</definedName>
    <definedName name="重点対策_1号2号" localSheetId="19">#REF!</definedName>
    <definedName name="重点対策_1号2号" localSheetId="56">#REF!</definedName>
    <definedName name="重点対策_1号2号" localSheetId="2">#REF!</definedName>
    <definedName name="重点対策_1号2号" localSheetId="62">報4!$Q$9:$R$62</definedName>
    <definedName name="重点対策_1号2号">#REF!</definedName>
    <definedName name="重点対策_3号" localSheetId="20">#REF!</definedName>
    <definedName name="重点対策_3号" localSheetId="21">#REF!</definedName>
    <definedName name="重点対策_3号" localSheetId="22">#REF!</definedName>
    <definedName name="重点対策_3号" localSheetId="23">#REF!</definedName>
    <definedName name="重点対策_3号" localSheetId="24">#REF!</definedName>
    <definedName name="重点対策_3号" localSheetId="25">#REF!</definedName>
    <definedName name="重点対策_3号" localSheetId="26">#REF!</definedName>
    <definedName name="重点対策_3号" localSheetId="27">#REF!</definedName>
    <definedName name="重点対策_3号" localSheetId="28">#REF!</definedName>
    <definedName name="重点対策_3号" localSheetId="29">#REF!</definedName>
    <definedName name="重点対策_3号" localSheetId="12">#REF!</definedName>
    <definedName name="重点対策_3号" localSheetId="30">#REF!</definedName>
    <definedName name="重点対策_3号" localSheetId="31">#REF!</definedName>
    <definedName name="重点対策_3号" localSheetId="32">#REF!</definedName>
    <definedName name="重点対策_3号" localSheetId="33">#REF!</definedName>
    <definedName name="重点対策_3号" localSheetId="34">#REF!</definedName>
    <definedName name="重点対策_3号" localSheetId="35">#REF!</definedName>
    <definedName name="重点対策_3号" localSheetId="36">#REF!</definedName>
    <definedName name="重点対策_3号" localSheetId="37">#REF!</definedName>
    <definedName name="重点対策_3号" localSheetId="38">#REF!</definedName>
    <definedName name="重点対策_3号" localSheetId="39">#REF!</definedName>
    <definedName name="重点対策_3号" localSheetId="13">#REF!</definedName>
    <definedName name="重点対策_3号" localSheetId="40">#REF!</definedName>
    <definedName name="重点対策_3号" localSheetId="41">#REF!</definedName>
    <definedName name="重点対策_3号" localSheetId="42">#REF!</definedName>
    <definedName name="重点対策_3号" localSheetId="43">#REF!</definedName>
    <definedName name="重点対策_3号" localSheetId="44">#REF!</definedName>
    <definedName name="重点対策_3号" localSheetId="45">#REF!</definedName>
    <definedName name="重点対策_3号" localSheetId="46">#REF!</definedName>
    <definedName name="重点対策_3号" localSheetId="47">#REF!</definedName>
    <definedName name="重点対策_3号" localSheetId="48">#REF!</definedName>
    <definedName name="重点対策_3号" localSheetId="49">#REF!</definedName>
    <definedName name="重点対策_3号" localSheetId="14">#REF!</definedName>
    <definedName name="重点対策_3号" localSheetId="50">#REF!</definedName>
    <definedName name="重点対策_3号" localSheetId="51">#REF!</definedName>
    <definedName name="重点対策_3号" localSheetId="52">#REF!</definedName>
    <definedName name="重点対策_3号" localSheetId="53">#REF!</definedName>
    <definedName name="重点対策_3号" localSheetId="15">#REF!</definedName>
    <definedName name="重点対策_3号" localSheetId="16">#REF!</definedName>
    <definedName name="重点対策_3号" localSheetId="17">#REF!</definedName>
    <definedName name="重点対策_3号" localSheetId="18">#REF!</definedName>
    <definedName name="重点対策_3号" localSheetId="19">#REF!</definedName>
    <definedName name="重点対策_3号" localSheetId="56">#REF!</definedName>
    <definedName name="重点対策_3号" localSheetId="2">#REF!</definedName>
    <definedName name="重点対策_3号" localSheetId="62">報4!$Q$71:$R$87</definedName>
    <definedName name="重点対策_3号">#REF!</definedName>
    <definedName name="単位01" localSheetId="63">報5!$BK$10:$BL$10</definedName>
    <definedName name="単位02" localSheetId="63">報5!$BK$11:$BL$11</definedName>
    <definedName name="単位03" localSheetId="63">報5!$BK$12:$BL$12</definedName>
    <definedName name="単位04" localSheetId="63">報5!$BK$13:$BL$13</definedName>
    <definedName name="単位05" localSheetId="63">報5!$BK$14:$BL$14</definedName>
    <definedName name="単位06" localSheetId="63">報5!$BK$15:$BL$15</definedName>
    <definedName name="単位07" localSheetId="63">報5!$BK$16:$BL$16</definedName>
    <definedName name="単位08" localSheetId="63">報5!$BK$17:$BL$17</definedName>
    <definedName name="単位09" localSheetId="63">報5!$BK$18:$BL$18</definedName>
    <definedName name="単位10" localSheetId="63">報5!$BK$19:$BL$19</definedName>
    <definedName name="単位11" localSheetId="63">報5!$BK$20:$BL$20</definedName>
    <definedName name="単位12" localSheetId="63">報5!$BK$21:$BL$21</definedName>
    <definedName name="単位13" localSheetId="63">報5!$BK$22:$BL$22</definedName>
    <definedName name="単位14" localSheetId="63">報5!$BK$23:$BL$23</definedName>
    <definedName name="単位15" localSheetId="63">報5!$BK$24:$BL$24</definedName>
    <definedName name="単位16" localSheetId="63">報5!$BK$25:$BL$25</definedName>
    <definedName name="単位17" localSheetId="63">報5!$BK$26:$BL$26</definedName>
    <definedName name="単位18" localSheetId="63">報5!$BK$27:$BL$27</definedName>
    <definedName name="単位19" localSheetId="63">報5!$BK$28:$BL$28</definedName>
    <definedName name="単位20" localSheetId="63">報5!$BK$29:$BL$29</definedName>
    <definedName name="単位21" localSheetId="63">報5!$BK$30:$BL$30</definedName>
    <definedName name="単位22" localSheetId="63">報5!$BK$31:$BL$31</definedName>
    <definedName name="単位23" localSheetId="63">報5!$BK$32:$BL$32</definedName>
    <definedName name="単位24" localSheetId="63">報5!$BK$33:$BL$33</definedName>
    <definedName name="単位25" localSheetId="63">報5!$BK$34:$BL$34</definedName>
    <definedName name="単位26" localSheetId="63">報5!$BK$35:$BL$35</definedName>
    <definedName name="単位27" localSheetId="63">報5!$BK$36:$BL$36</definedName>
    <definedName name="単位28" localSheetId="63">報5!$BK$37:$BL$37</definedName>
    <definedName name="単位29" localSheetId="63">報5!$BK$38:$BL$38</definedName>
    <definedName name="単位30" localSheetId="63">報5!$BK$39:$BL$39</definedName>
    <definedName name="単位31" localSheetId="63">報5!$BK$40:$BL$40</definedName>
    <definedName name="単位32" localSheetId="63">報5!$BK$41:$BL$41</definedName>
    <definedName name="単位33" localSheetId="63">報5!$BK$42:$BL$42</definedName>
    <definedName name="提出前確認日時">報1!$O$1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5" i="51" l="1"/>
  <c r="A14" i="51" l="1"/>
  <c r="C17" i="51"/>
  <c r="C16" i="51"/>
  <c r="C14" i="51"/>
  <c r="B14" i="51"/>
  <c r="B15" i="51"/>
  <c r="M33" i="48"/>
  <c r="M8" i="48"/>
  <c r="M58" i="48"/>
  <c r="Z19" i="125"/>
  <c r="Z45" i="125"/>
  <c r="Z44" i="125"/>
  <c r="Z43" i="125"/>
  <c r="Z42" i="125"/>
  <c r="Z41" i="125"/>
  <c r="Z40" i="125"/>
  <c r="Z39" i="125"/>
  <c r="Z38" i="125"/>
  <c r="Z37" i="125"/>
  <c r="Z36" i="125"/>
  <c r="Z35" i="125"/>
  <c r="Z34" i="125"/>
  <c r="Z33" i="125"/>
  <c r="Z32" i="125"/>
  <c r="Z31" i="125"/>
  <c r="Z30" i="125"/>
  <c r="Z29" i="125"/>
  <c r="Z28" i="125"/>
  <c r="Z27" i="125"/>
  <c r="Z26" i="125"/>
  <c r="Z25" i="125"/>
  <c r="Z24" i="125"/>
  <c r="Z23" i="125"/>
  <c r="Z22" i="125"/>
  <c r="Z21" i="125"/>
  <c r="Z20" i="125"/>
  <c r="Z18" i="125"/>
  <c r="Z17" i="125"/>
  <c r="Z16" i="125"/>
  <c r="Z15" i="125"/>
  <c r="Z14" i="125"/>
  <c r="Z13" i="125"/>
  <c r="Z12" i="125"/>
  <c r="Z11" i="125"/>
  <c r="Z10" i="125"/>
  <c r="Z9" i="125"/>
  <c r="T6" i="123"/>
  <c r="T45" i="123"/>
  <c r="T44" i="123"/>
  <c r="T43" i="123"/>
  <c r="T42" i="123"/>
  <c r="T41" i="123"/>
  <c r="T39" i="123"/>
  <c r="T40" i="123"/>
  <c r="T38" i="123"/>
  <c r="T37" i="123"/>
  <c r="T36" i="123"/>
  <c r="T35" i="123"/>
  <c r="T34" i="123"/>
  <c r="T33" i="123"/>
  <c r="T32" i="123"/>
  <c r="T31" i="123"/>
  <c r="T30" i="123"/>
  <c r="T29" i="123"/>
  <c r="T28" i="123"/>
  <c r="T27" i="123"/>
  <c r="T26" i="123"/>
  <c r="T25" i="123"/>
  <c r="T24" i="123"/>
  <c r="T23" i="123"/>
  <c r="T22" i="123"/>
  <c r="T21" i="123"/>
  <c r="T20" i="123"/>
  <c r="T19" i="123"/>
  <c r="T18" i="123"/>
  <c r="T17" i="123"/>
  <c r="T16" i="123"/>
  <c r="T15" i="123"/>
  <c r="T14" i="123"/>
  <c r="T13" i="123"/>
  <c r="T12" i="123"/>
  <c r="T11" i="123"/>
  <c r="T10" i="123"/>
  <c r="T9" i="123"/>
  <c r="T8" i="123"/>
  <c r="T7" i="123"/>
  <c r="J63" i="60" l="1"/>
  <c r="C8" i="48" l="1"/>
  <c r="Y10" i="48"/>
  <c r="M983" i="48"/>
  <c r="C983" i="48"/>
  <c r="D981" i="48"/>
  <c r="D982" i="48"/>
  <c r="H984" i="48"/>
  <c r="B16" i="51" l="1"/>
  <c r="H8" i="46" l="1"/>
  <c r="N10" i="46"/>
  <c r="H10" i="46"/>
  <c r="N9" i="46"/>
  <c r="H9" i="46"/>
  <c r="N8" i="46"/>
  <c r="N7" i="46"/>
  <c r="H7" i="46"/>
  <c r="N6" i="46"/>
  <c r="H6" i="46"/>
  <c r="B10" i="46"/>
  <c r="B9" i="46"/>
  <c r="B8" i="46"/>
  <c r="B7" i="46"/>
  <c r="B6" i="46"/>
  <c r="AS2" i="32" l="1"/>
  <c r="S37" i="45" l="1"/>
  <c r="S36" i="45"/>
  <c r="W36" i="32"/>
  <c r="W35" i="32"/>
  <c r="T10" i="54" l="1"/>
  <c r="H34" i="126" l="1"/>
  <c r="H33" i="126"/>
  <c r="H32" i="126"/>
  <c r="H31" i="126"/>
  <c r="H30" i="126"/>
  <c r="H29" i="126"/>
  <c r="H28" i="126"/>
  <c r="H27" i="126"/>
  <c r="H26" i="126"/>
  <c r="H25" i="126"/>
  <c r="H24" i="126"/>
  <c r="H23" i="126"/>
  <c r="H22" i="126"/>
  <c r="H21" i="126"/>
  <c r="H20" i="126"/>
  <c r="H19" i="126"/>
  <c r="H18" i="126"/>
  <c r="H17" i="126"/>
  <c r="H16" i="126"/>
  <c r="H15" i="126"/>
  <c r="H14" i="126"/>
  <c r="H13" i="126"/>
  <c r="H12" i="126"/>
  <c r="H11" i="126"/>
  <c r="H10" i="126"/>
  <c r="H9" i="126"/>
  <c r="H8" i="126"/>
  <c r="H7" i="126"/>
  <c r="H6" i="126"/>
  <c r="H5" i="126"/>
  <c r="B45" i="125"/>
  <c r="B44" i="125"/>
  <c r="B43" i="125"/>
  <c r="B42" i="125"/>
  <c r="B41" i="125"/>
  <c r="B40" i="125"/>
  <c r="B39" i="125"/>
  <c r="B38" i="125"/>
  <c r="B37" i="125"/>
  <c r="B36" i="125"/>
  <c r="B35" i="125"/>
  <c r="B34" i="125"/>
  <c r="B33" i="125"/>
  <c r="B32" i="125"/>
  <c r="B31" i="125"/>
  <c r="B30" i="125"/>
  <c r="B29" i="125"/>
  <c r="B28" i="125"/>
  <c r="B27" i="125"/>
  <c r="B26" i="125"/>
  <c r="B25" i="125"/>
  <c r="B24" i="125"/>
  <c r="B23" i="125"/>
  <c r="B22" i="125"/>
  <c r="B21" i="125"/>
  <c r="B20" i="125"/>
  <c r="B19" i="125"/>
  <c r="B18" i="125"/>
  <c r="B17" i="125"/>
  <c r="B16" i="125"/>
  <c r="B15" i="125"/>
  <c r="B14" i="125"/>
  <c r="B13" i="125"/>
  <c r="B12" i="125"/>
  <c r="B11" i="125"/>
  <c r="B10" i="125"/>
  <c r="B9" i="125"/>
  <c r="B8" i="125"/>
  <c r="B7" i="125"/>
  <c r="B6" i="125"/>
  <c r="B6" i="124"/>
  <c r="B45" i="123"/>
  <c r="B44" i="123"/>
  <c r="B43" i="123"/>
  <c r="B42" i="123"/>
  <c r="B41" i="123"/>
  <c r="B40" i="123"/>
  <c r="B39" i="123"/>
  <c r="B38" i="123"/>
  <c r="B37" i="123"/>
  <c r="B36" i="123"/>
  <c r="B35" i="123"/>
  <c r="B34" i="123"/>
  <c r="B33" i="123"/>
  <c r="B32" i="123"/>
  <c r="B31" i="123"/>
  <c r="B30" i="123"/>
  <c r="B29" i="123"/>
  <c r="B28" i="123"/>
  <c r="B27" i="123"/>
  <c r="B26" i="123"/>
  <c r="B25" i="123"/>
  <c r="B24" i="123"/>
  <c r="B23" i="123"/>
  <c r="B22" i="123"/>
  <c r="B21" i="123"/>
  <c r="B20" i="123"/>
  <c r="B19" i="123"/>
  <c r="B18" i="123"/>
  <c r="B17" i="123"/>
  <c r="B16" i="123"/>
  <c r="B15" i="123"/>
  <c r="B14" i="123"/>
  <c r="B13" i="123"/>
  <c r="B12" i="123"/>
  <c r="B11" i="123"/>
  <c r="B10" i="123"/>
  <c r="B9" i="123"/>
  <c r="B8" i="123"/>
  <c r="B7" i="123"/>
  <c r="B6" i="123"/>
  <c r="B34" i="126"/>
  <c r="B33" i="126"/>
  <c r="B32" i="126"/>
  <c r="B31" i="126"/>
  <c r="B30" i="126"/>
  <c r="B29" i="126"/>
  <c r="B28" i="126"/>
  <c r="B27" i="126"/>
  <c r="B26" i="126"/>
  <c r="B25" i="126"/>
  <c r="B24" i="126"/>
  <c r="B23" i="126"/>
  <c r="B22" i="126"/>
  <c r="B21" i="126"/>
  <c r="B20" i="126"/>
  <c r="B19" i="126"/>
  <c r="B18" i="126"/>
  <c r="B17" i="126"/>
  <c r="B16" i="126"/>
  <c r="B15" i="126"/>
  <c r="B14" i="126"/>
  <c r="B13" i="126"/>
  <c r="B12" i="126"/>
  <c r="B11" i="126"/>
  <c r="B10" i="126"/>
  <c r="B9" i="126"/>
  <c r="B8" i="126"/>
  <c r="B7" i="126"/>
  <c r="B6" i="126"/>
  <c r="B5" i="126"/>
  <c r="B5" i="122"/>
  <c r="P8" i="48" l="1"/>
  <c r="Z6" i="125" s="1"/>
  <c r="P983" i="93"/>
  <c r="P958" i="93"/>
  <c r="P933" i="93"/>
  <c r="P908" i="93"/>
  <c r="P883" i="93"/>
  <c r="P858" i="93"/>
  <c r="P833" i="93"/>
  <c r="P808" i="93"/>
  <c r="P783" i="93"/>
  <c r="P758" i="93"/>
  <c r="P733" i="93"/>
  <c r="P708" i="93"/>
  <c r="P683" i="93"/>
  <c r="P658" i="93"/>
  <c r="P633" i="93"/>
  <c r="P608" i="93"/>
  <c r="P583" i="93"/>
  <c r="P558" i="93"/>
  <c r="P533" i="93"/>
  <c r="P508" i="93"/>
  <c r="P483" i="93"/>
  <c r="P458" i="93"/>
  <c r="P433" i="93"/>
  <c r="P408" i="93"/>
  <c r="P383" i="93"/>
  <c r="P358" i="93"/>
  <c r="P333" i="93"/>
  <c r="P308" i="93"/>
  <c r="P283" i="93"/>
  <c r="P258" i="93"/>
  <c r="P233" i="93"/>
  <c r="P208" i="93"/>
  <c r="P183" i="93"/>
  <c r="P158" i="93"/>
  <c r="P133" i="93"/>
  <c r="P108" i="93"/>
  <c r="P83" i="93"/>
  <c r="P58" i="93"/>
  <c r="P33" i="93"/>
  <c r="P8" i="93"/>
  <c r="DC10" i="54" l="1"/>
  <c r="G88" i="63" l="1"/>
  <c r="F88" i="63"/>
  <c r="E87" i="63"/>
  <c r="G86" i="63"/>
  <c r="F86" i="63"/>
  <c r="E85" i="63"/>
  <c r="G84" i="63"/>
  <c r="F84" i="63"/>
  <c r="E83" i="63"/>
  <c r="G82" i="63"/>
  <c r="F82" i="63"/>
  <c r="E81" i="63"/>
  <c r="G80" i="63"/>
  <c r="F80" i="63"/>
  <c r="E79" i="63"/>
  <c r="G104" i="60"/>
  <c r="F104" i="60"/>
  <c r="E103" i="60"/>
  <c r="G102" i="60"/>
  <c r="F102" i="60"/>
  <c r="E101" i="60"/>
  <c r="G100" i="60"/>
  <c r="F100" i="60"/>
  <c r="E99" i="60"/>
  <c r="G98" i="60"/>
  <c r="F98" i="60"/>
  <c r="E97" i="60"/>
  <c r="G96" i="60"/>
  <c r="F96" i="60"/>
  <c r="E95" i="60"/>
  <c r="G94" i="60"/>
  <c r="F94" i="60"/>
  <c r="E93" i="60"/>
  <c r="G92" i="60"/>
  <c r="F92" i="60"/>
  <c r="E91" i="60"/>
  <c r="G90" i="60"/>
  <c r="F90" i="60"/>
  <c r="E89" i="60"/>
  <c r="G88" i="60"/>
  <c r="F88" i="60"/>
  <c r="E87" i="60"/>
  <c r="G86" i="60"/>
  <c r="F86" i="60"/>
  <c r="E85" i="60"/>
  <c r="G84" i="60"/>
  <c r="F84" i="60"/>
  <c r="E83" i="60"/>
  <c r="G82" i="60"/>
  <c r="F82" i="60"/>
  <c r="E81" i="60"/>
  <c r="G80" i="60"/>
  <c r="F80" i="60"/>
  <c r="E79" i="60"/>
  <c r="G78" i="60"/>
  <c r="F78" i="60"/>
  <c r="E77" i="60"/>
  <c r="G76" i="60"/>
  <c r="F76" i="60"/>
  <c r="E75" i="60"/>
  <c r="G74" i="60"/>
  <c r="F74" i="60"/>
  <c r="E73" i="60"/>
  <c r="G72" i="60"/>
  <c r="F72" i="60"/>
  <c r="E71" i="60"/>
  <c r="G70" i="60"/>
  <c r="F70" i="60"/>
  <c r="E69" i="60"/>
  <c r="G68" i="60"/>
  <c r="F68" i="60"/>
  <c r="E67" i="60"/>
  <c r="G66" i="60"/>
  <c r="F66" i="60"/>
  <c r="E65" i="60"/>
  <c r="BA111" i="60" l="1"/>
  <c r="AZ111" i="60"/>
  <c r="AY111" i="60"/>
  <c r="AX111" i="60"/>
  <c r="AW111" i="60"/>
  <c r="AV111" i="60"/>
  <c r="AU111" i="60"/>
  <c r="AT111" i="60"/>
  <c r="AS111" i="60"/>
  <c r="AR111" i="60"/>
  <c r="AQ111" i="60"/>
  <c r="AP111" i="60"/>
  <c r="AO111" i="60"/>
  <c r="AN111" i="60"/>
  <c r="AM111" i="60"/>
  <c r="AL111" i="60"/>
  <c r="AK111" i="60"/>
  <c r="AJ111" i="60"/>
  <c r="AI111" i="60"/>
  <c r="AH111" i="60"/>
  <c r="AG111" i="60"/>
  <c r="AF111" i="60"/>
  <c r="AE111" i="60"/>
  <c r="AD111" i="60"/>
  <c r="AC111" i="60"/>
  <c r="AB111" i="60"/>
  <c r="AA111" i="60"/>
  <c r="Z111" i="60"/>
  <c r="Y111" i="60"/>
  <c r="X111" i="60"/>
  <c r="W111" i="60"/>
  <c r="V111" i="60"/>
  <c r="U111" i="60"/>
  <c r="T111" i="60"/>
  <c r="S111" i="60"/>
  <c r="R111" i="60"/>
  <c r="Q111" i="60"/>
  <c r="P111" i="60"/>
  <c r="O111" i="60"/>
  <c r="N111" i="60"/>
  <c r="M111" i="60"/>
  <c r="L111" i="60"/>
  <c r="K111" i="60"/>
  <c r="W87" i="63"/>
  <c r="W85" i="63"/>
  <c r="W83" i="63"/>
  <c r="W81" i="63"/>
  <c r="W79" i="63"/>
  <c r="W77" i="63"/>
  <c r="W76" i="63"/>
  <c r="W75" i="63"/>
  <c r="W74" i="63"/>
  <c r="AA12" i="93" l="1"/>
  <c r="Z87" i="63" l="1"/>
  <c r="Z85" i="63"/>
  <c r="Z83" i="63"/>
  <c r="Z81" i="63"/>
  <c r="Z79" i="63"/>
  <c r="Z77" i="63"/>
  <c r="Z76" i="63"/>
  <c r="Z75" i="63"/>
  <c r="Z74" i="63"/>
  <c r="BL26" i="61" l="1"/>
  <c r="AI6" i="124"/>
  <c r="AE6" i="124"/>
  <c r="AC6" i="124"/>
  <c r="M23" i="127" l="1"/>
  <c r="M25" i="127" l="1"/>
  <c r="U98" i="63" l="1"/>
  <c r="R7" i="123" l="1"/>
  <c r="D7" i="125" l="1"/>
  <c r="D8" i="125" s="1"/>
  <c r="D9" i="125" s="1"/>
  <c r="D10" i="125" s="1"/>
  <c r="D11" i="125" s="1"/>
  <c r="D12" i="125" s="1"/>
  <c r="D13" i="125" s="1"/>
  <c r="D14" i="125" s="1"/>
  <c r="D15" i="125" s="1"/>
  <c r="D16" i="125" s="1"/>
  <c r="D17" i="125" s="1"/>
  <c r="D18" i="125" s="1"/>
  <c r="D19" i="125" s="1"/>
  <c r="D20" i="125" s="1"/>
  <c r="D21" i="125" s="1"/>
  <c r="D22" i="125" s="1"/>
  <c r="D23" i="125" s="1"/>
  <c r="D24" i="125" s="1"/>
  <c r="D25" i="125" s="1"/>
  <c r="D26" i="125" s="1"/>
  <c r="D27" i="125" s="1"/>
  <c r="D28" i="125" s="1"/>
  <c r="D29" i="125" s="1"/>
  <c r="D30" i="125" s="1"/>
  <c r="D31" i="125" s="1"/>
  <c r="D32" i="125" s="1"/>
  <c r="D33" i="125" s="1"/>
  <c r="D34" i="125" s="1"/>
  <c r="D35" i="125" s="1"/>
  <c r="D36" i="125" s="1"/>
  <c r="D37" i="125" s="1"/>
  <c r="D38" i="125" s="1"/>
  <c r="D39" i="125" s="1"/>
  <c r="D40" i="125" s="1"/>
  <c r="D41" i="125" s="1"/>
  <c r="D42" i="125" s="1"/>
  <c r="D43" i="125" s="1"/>
  <c r="D44" i="125" s="1"/>
  <c r="D45" i="125" s="1"/>
  <c r="G11" i="126"/>
  <c r="HQ5" i="122" l="1"/>
  <c r="HR5" i="122"/>
  <c r="HS5" i="122"/>
  <c r="HT5" i="122"/>
  <c r="K34" i="126"/>
  <c r="J34" i="126"/>
  <c r="I34" i="126"/>
  <c r="G34" i="126"/>
  <c r="K33" i="126"/>
  <c r="J33" i="126"/>
  <c r="I33" i="126"/>
  <c r="G33" i="126"/>
  <c r="K32" i="126"/>
  <c r="J32" i="126"/>
  <c r="I32" i="126"/>
  <c r="G32" i="126"/>
  <c r="K31" i="126"/>
  <c r="J31" i="126"/>
  <c r="I31" i="126"/>
  <c r="G31" i="126"/>
  <c r="K30" i="126"/>
  <c r="J30" i="126"/>
  <c r="I30" i="126"/>
  <c r="G30" i="126"/>
  <c r="K29" i="126"/>
  <c r="J29" i="126"/>
  <c r="I29" i="126"/>
  <c r="G29" i="126"/>
  <c r="K28" i="126"/>
  <c r="J28" i="126"/>
  <c r="I28" i="126"/>
  <c r="G28" i="126"/>
  <c r="K27" i="126"/>
  <c r="J27" i="126"/>
  <c r="I27" i="126"/>
  <c r="G27" i="126"/>
  <c r="K26" i="126"/>
  <c r="J26" i="126"/>
  <c r="I26" i="126"/>
  <c r="G26" i="126"/>
  <c r="K25" i="126"/>
  <c r="J25" i="126"/>
  <c r="I25" i="126"/>
  <c r="G25" i="126"/>
  <c r="K24" i="126"/>
  <c r="J24" i="126"/>
  <c r="I24" i="126"/>
  <c r="G24" i="126"/>
  <c r="K23" i="126"/>
  <c r="J23" i="126"/>
  <c r="I23" i="126"/>
  <c r="G23" i="126"/>
  <c r="K22" i="126"/>
  <c r="J22" i="126"/>
  <c r="I22" i="126"/>
  <c r="G22" i="126"/>
  <c r="K21" i="126"/>
  <c r="J21" i="126"/>
  <c r="I21" i="126"/>
  <c r="G21" i="126"/>
  <c r="K20" i="126"/>
  <c r="J20" i="126"/>
  <c r="I20" i="126"/>
  <c r="G20" i="126"/>
  <c r="K19" i="126"/>
  <c r="J19" i="126"/>
  <c r="I19" i="126"/>
  <c r="G19" i="126"/>
  <c r="K18" i="126"/>
  <c r="J18" i="126"/>
  <c r="I18" i="126"/>
  <c r="G18" i="126"/>
  <c r="K17" i="126"/>
  <c r="J17" i="126"/>
  <c r="I17" i="126"/>
  <c r="G17" i="126"/>
  <c r="K16" i="126"/>
  <c r="J16" i="126"/>
  <c r="I16" i="126"/>
  <c r="G16" i="126"/>
  <c r="K15" i="126"/>
  <c r="J15" i="126"/>
  <c r="I15" i="126"/>
  <c r="G15" i="126"/>
  <c r="K14" i="126"/>
  <c r="J14" i="126"/>
  <c r="I14" i="126"/>
  <c r="G14" i="126"/>
  <c r="K13" i="126"/>
  <c r="J13" i="126"/>
  <c r="I13" i="126"/>
  <c r="G13" i="126"/>
  <c r="K12" i="126"/>
  <c r="J12" i="126"/>
  <c r="I12" i="126"/>
  <c r="G12" i="126"/>
  <c r="K11" i="126"/>
  <c r="J11" i="126"/>
  <c r="I11" i="126"/>
  <c r="K10" i="126"/>
  <c r="J10" i="126"/>
  <c r="I10" i="126"/>
  <c r="G10" i="126"/>
  <c r="K9" i="126"/>
  <c r="J9" i="126"/>
  <c r="I9" i="126"/>
  <c r="G9" i="126"/>
  <c r="K8" i="126"/>
  <c r="J8" i="126"/>
  <c r="I8" i="126"/>
  <c r="G8" i="126"/>
  <c r="K7" i="126"/>
  <c r="J7" i="126"/>
  <c r="I7" i="126"/>
  <c r="G7" i="126"/>
  <c r="K6" i="126"/>
  <c r="J6" i="126"/>
  <c r="I6" i="126"/>
  <c r="G6" i="126"/>
  <c r="K5" i="126"/>
  <c r="J5" i="126"/>
  <c r="I5" i="126"/>
  <c r="G5" i="126"/>
  <c r="B2" i="51" l="1"/>
  <c r="P1" i="51" l="1"/>
  <c r="Y45" i="125" l="1"/>
  <c r="X45" i="125"/>
  <c r="U45" i="125"/>
  <c r="S45" i="125"/>
  <c r="Y44" i="125"/>
  <c r="X44" i="125"/>
  <c r="U44" i="125"/>
  <c r="S44" i="125"/>
  <c r="Y43" i="125"/>
  <c r="X43" i="125"/>
  <c r="U43" i="125"/>
  <c r="S43" i="125"/>
  <c r="Y42" i="125"/>
  <c r="X42" i="125"/>
  <c r="U42" i="125"/>
  <c r="S42" i="125"/>
  <c r="Y41" i="125"/>
  <c r="X41" i="125"/>
  <c r="U41" i="125"/>
  <c r="S41" i="125"/>
  <c r="Y40" i="125"/>
  <c r="X40" i="125"/>
  <c r="U40" i="125"/>
  <c r="S40" i="125"/>
  <c r="Y39" i="125"/>
  <c r="X39" i="125"/>
  <c r="U39" i="125"/>
  <c r="S39" i="125"/>
  <c r="Y38" i="125"/>
  <c r="X38" i="125"/>
  <c r="U38" i="125"/>
  <c r="S38" i="125"/>
  <c r="Y37" i="125"/>
  <c r="X37" i="125"/>
  <c r="U37" i="125"/>
  <c r="S37" i="125"/>
  <c r="Y36" i="125"/>
  <c r="X36" i="125"/>
  <c r="U36" i="125"/>
  <c r="S36" i="125"/>
  <c r="Y35" i="125"/>
  <c r="X35" i="125"/>
  <c r="U35" i="125"/>
  <c r="S35" i="125"/>
  <c r="Y34" i="125"/>
  <c r="X34" i="125"/>
  <c r="U34" i="125"/>
  <c r="S34" i="125"/>
  <c r="Y33" i="125"/>
  <c r="X33" i="125"/>
  <c r="U33" i="125"/>
  <c r="S33" i="125"/>
  <c r="Y32" i="125"/>
  <c r="X32" i="125"/>
  <c r="U32" i="125"/>
  <c r="S32" i="125"/>
  <c r="Y31" i="125"/>
  <c r="X31" i="125"/>
  <c r="U31" i="125"/>
  <c r="S31" i="125"/>
  <c r="Y30" i="125"/>
  <c r="X30" i="125"/>
  <c r="U30" i="125"/>
  <c r="S30" i="125"/>
  <c r="Y29" i="125"/>
  <c r="X29" i="125"/>
  <c r="U29" i="125"/>
  <c r="S29" i="125"/>
  <c r="Y28" i="125"/>
  <c r="X28" i="125"/>
  <c r="U28" i="125"/>
  <c r="S28" i="125"/>
  <c r="Y27" i="125"/>
  <c r="X27" i="125"/>
  <c r="U27" i="125"/>
  <c r="S27" i="125"/>
  <c r="Y26" i="125"/>
  <c r="X26" i="125"/>
  <c r="U26" i="125"/>
  <c r="S26" i="125"/>
  <c r="Y25" i="125"/>
  <c r="X25" i="125"/>
  <c r="U25" i="125"/>
  <c r="S25" i="125"/>
  <c r="Y24" i="125"/>
  <c r="X24" i="125"/>
  <c r="U24" i="125"/>
  <c r="S24" i="125"/>
  <c r="Y23" i="125"/>
  <c r="X23" i="125"/>
  <c r="U23" i="125"/>
  <c r="S23" i="125"/>
  <c r="Y22" i="125"/>
  <c r="X22" i="125"/>
  <c r="U22" i="125"/>
  <c r="S22" i="125"/>
  <c r="Y21" i="125"/>
  <c r="X21" i="125"/>
  <c r="U21" i="125"/>
  <c r="S21" i="125"/>
  <c r="Y20" i="125"/>
  <c r="X20" i="125"/>
  <c r="U20" i="125"/>
  <c r="S20" i="125"/>
  <c r="Y19" i="125"/>
  <c r="X19" i="125"/>
  <c r="U19" i="125"/>
  <c r="S19" i="125"/>
  <c r="Y18" i="125"/>
  <c r="X18" i="125"/>
  <c r="V18" i="125"/>
  <c r="U18" i="125"/>
  <c r="S18" i="125"/>
  <c r="Y17" i="125"/>
  <c r="X17" i="125"/>
  <c r="U17" i="125"/>
  <c r="S17" i="125"/>
  <c r="Y16" i="125"/>
  <c r="X16" i="125"/>
  <c r="U16" i="125"/>
  <c r="S16" i="125"/>
  <c r="Y15" i="125"/>
  <c r="X15" i="125"/>
  <c r="U15" i="125"/>
  <c r="S15" i="125"/>
  <c r="Y14" i="125"/>
  <c r="X14" i="125"/>
  <c r="U14" i="125"/>
  <c r="S14" i="125"/>
  <c r="Y13" i="125"/>
  <c r="X13" i="125"/>
  <c r="U13" i="125"/>
  <c r="S13" i="125"/>
  <c r="Y12" i="125"/>
  <c r="X12" i="125"/>
  <c r="U12" i="125"/>
  <c r="S12" i="125"/>
  <c r="Y11" i="125"/>
  <c r="X11" i="125"/>
  <c r="U11" i="125"/>
  <c r="S11" i="125"/>
  <c r="Y10" i="125"/>
  <c r="X10" i="125"/>
  <c r="U10" i="125"/>
  <c r="S10" i="125"/>
  <c r="Y9" i="125"/>
  <c r="X9" i="125"/>
  <c r="U9" i="125"/>
  <c r="S9" i="125"/>
  <c r="Y8" i="125"/>
  <c r="X8" i="125"/>
  <c r="U8" i="125"/>
  <c r="S8" i="125"/>
  <c r="Y7" i="125"/>
  <c r="X7" i="125"/>
  <c r="U7" i="125"/>
  <c r="S7" i="125"/>
  <c r="X6" i="125" l="1"/>
  <c r="Y6" i="125"/>
  <c r="U6" i="125"/>
  <c r="S6" i="125"/>
  <c r="K7" i="119" l="1"/>
  <c r="EX6" i="124" l="1"/>
  <c r="EU6" i="124"/>
  <c r="ER6" i="124"/>
  <c r="EO6" i="124"/>
  <c r="EL6" i="124"/>
  <c r="EI6" i="124"/>
  <c r="EF6" i="124"/>
  <c r="EC6" i="124"/>
  <c r="DZ6" i="124"/>
  <c r="DW6" i="124"/>
  <c r="DT6" i="124"/>
  <c r="DQ6" i="124"/>
  <c r="DN6" i="124"/>
  <c r="DK6" i="124"/>
  <c r="DH6" i="124"/>
  <c r="DE6" i="124"/>
  <c r="DB6" i="124"/>
  <c r="CY6" i="124"/>
  <c r="CS6" i="124"/>
  <c r="CQ6" i="124"/>
  <c r="CO6" i="124"/>
  <c r="CM6" i="124"/>
  <c r="CK6" i="124"/>
  <c r="CJ6" i="124"/>
  <c r="CI6" i="124"/>
  <c r="CH6" i="124"/>
  <c r="CG6" i="124"/>
  <c r="CF6" i="124"/>
  <c r="CD6" i="124"/>
  <c r="CA6" i="124"/>
  <c r="BZ6" i="124"/>
  <c r="BY6" i="124"/>
  <c r="BX6" i="124"/>
  <c r="BW6" i="124"/>
  <c r="BV6" i="124"/>
  <c r="BU6" i="124"/>
  <c r="BT6" i="124"/>
  <c r="BS6" i="124"/>
  <c r="BR6" i="124"/>
  <c r="BQ6" i="124"/>
  <c r="BP6" i="124"/>
  <c r="BO6" i="124"/>
  <c r="BN6" i="124"/>
  <c r="BM6" i="124"/>
  <c r="AB6" i="124"/>
  <c r="S45" i="123"/>
  <c r="R45" i="123"/>
  <c r="M45" i="123"/>
  <c r="L45" i="123"/>
  <c r="K45" i="123"/>
  <c r="I45" i="123"/>
  <c r="H45" i="123"/>
  <c r="S44" i="123"/>
  <c r="R44" i="123"/>
  <c r="M44" i="123"/>
  <c r="L44" i="123"/>
  <c r="K44" i="123"/>
  <c r="I44" i="123"/>
  <c r="H44" i="123"/>
  <c r="S43" i="123"/>
  <c r="R43" i="123"/>
  <c r="M43" i="123"/>
  <c r="L43" i="123"/>
  <c r="K43" i="123"/>
  <c r="I43" i="123"/>
  <c r="H43" i="123"/>
  <c r="S42" i="123"/>
  <c r="R42" i="123"/>
  <c r="M42" i="123"/>
  <c r="L42" i="123"/>
  <c r="K42" i="123"/>
  <c r="I42" i="123"/>
  <c r="H42" i="123"/>
  <c r="S41" i="123"/>
  <c r="R41" i="123"/>
  <c r="M41" i="123"/>
  <c r="L41" i="123"/>
  <c r="K41" i="123"/>
  <c r="I41" i="123"/>
  <c r="H41" i="123"/>
  <c r="S40" i="123"/>
  <c r="R40" i="123"/>
  <c r="M40" i="123"/>
  <c r="L40" i="123"/>
  <c r="K40" i="123"/>
  <c r="I40" i="123"/>
  <c r="H40" i="123"/>
  <c r="S39" i="123"/>
  <c r="R39" i="123"/>
  <c r="M39" i="123"/>
  <c r="L39" i="123"/>
  <c r="K39" i="123"/>
  <c r="I39" i="123"/>
  <c r="H39" i="123"/>
  <c r="S38" i="123"/>
  <c r="R38" i="123"/>
  <c r="M38" i="123"/>
  <c r="L38" i="123"/>
  <c r="K38" i="123"/>
  <c r="I38" i="123"/>
  <c r="H38" i="123"/>
  <c r="S37" i="123"/>
  <c r="R37" i="123"/>
  <c r="M37" i="123"/>
  <c r="L37" i="123"/>
  <c r="K37" i="123"/>
  <c r="I37" i="123"/>
  <c r="H37" i="123"/>
  <c r="S36" i="123"/>
  <c r="R36" i="123"/>
  <c r="M36" i="123"/>
  <c r="L36" i="123"/>
  <c r="K36" i="123"/>
  <c r="I36" i="123"/>
  <c r="H36" i="123"/>
  <c r="S35" i="123"/>
  <c r="R35" i="123"/>
  <c r="M35" i="123"/>
  <c r="L35" i="123"/>
  <c r="K35" i="123"/>
  <c r="I35" i="123"/>
  <c r="H35" i="123"/>
  <c r="S34" i="123"/>
  <c r="R34" i="123"/>
  <c r="M34" i="123"/>
  <c r="L34" i="123"/>
  <c r="K34" i="123"/>
  <c r="I34" i="123"/>
  <c r="H34" i="123"/>
  <c r="S33" i="123"/>
  <c r="R33" i="123"/>
  <c r="M33" i="123"/>
  <c r="L33" i="123"/>
  <c r="K33" i="123"/>
  <c r="I33" i="123"/>
  <c r="H33" i="123"/>
  <c r="S32" i="123"/>
  <c r="R32" i="123"/>
  <c r="M32" i="123"/>
  <c r="L32" i="123"/>
  <c r="K32" i="123"/>
  <c r="I32" i="123"/>
  <c r="H32" i="123"/>
  <c r="S31" i="123"/>
  <c r="R31" i="123"/>
  <c r="M31" i="123"/>
  <c r="L31" i="123"/>
  <c r="K31" i="123"/>
  <c r="I31" i="123"/>
  <c r="H31" i="123"/>
  <c r="S30" i="123"/>
  <c r="R30" i="123"/>
  <c r="M30" i="123"/>
  <c r="L30" i="123"/>
  <c r="K30" i="123"/>
  <c r="I30" i="123"/>
  <c r="H30" i="123"/>
  <c r="S29" i="123"/>
  <c r="R29" i="123"/>
  <c r="M29" i="123"/>
  <c r="L29" i="123"/>
  <c r="K29" i="123"/>
  <c r="I29" i="123"/>
  <c r="H29" i="123"/>
  <c r="S28" i="123"/>
  <c r="R28" i="123"/>
  <c r="M28" i="123"/>
  <c r="L28" i="123"/>
  <c r="K28" i="123"/>
  <c r="I28" i="123"/>
  <c r="H28" i="123"/>
  <c r="S27" i="123"/>
  <c r="R27" i="123"/>
  <c r="M27" i="123"/>
  <c r="L27" i="123"/>
  <c r="K27" i="123"/>
  <c r="I27" i="123"/>
  <c r="H27" i="123"/>
  <c r="S26" i="123"/>
  <c r="R26" i="123"/>
  <c r="M26" i="123"/>
  <c r="L26" i="123"/>
  <c r="K26" i="123"/>
  <c r="I26" i="123"/>
  <c r="H26" i="123"/>
  <c r="S25" i="123"/>
  <c r="R25" i="123"/>
  <c r="M25" i="123"/>
  <c r="L25" i="123"/>
  <c r="K25" i="123"/>
  <c r="I25" i="123"/>
  <c r="H25" i="123"/>
  <c r="S24" i="123"/>
  <c r="R24" i="123"/>
  <c r="M24" i="123"/>
  <c r="L24" i="123"/>
  <c r="K24" i="123"/>
  <c r="I24" i="123"/>
  <c r="H24" i="123"/>
  <c r="S23" i="123"/>
  <c r="R23" i="123"/>
  <c r="M23" i="123"/>
  <c r="L23" i="123"/>
  <c r="K23" i="123"/>
  <c r="I23" i="123"/>
  <c r="H23" i="123"/>
  <c r="S22" i="123"/>
  <c r="R22" i="123"/>
  <c r="M22" i="123"/>
  <c r="L22" i="123"/>
  <c r="K22" i="123"/>
  <c r="I22" i="123"/>
  <c r="H22" i="123"/>
  <c r="S21" i="123"/>
  <c r="R21" i="123"/>
  <c r="M21" i="123"/>
  <c r="L21" i="123"/>
  <c r="K21" i="123"/>
  <c r="I21" i="123"/>
  <c r="H21" i="123"/>
  <c r="S20" i="123"/>
  <c r="R20" i="123"/>
  <c r="M20" i="123"/>
  <c r="L20" i="123"/>
  <c r="K20" i="123"/>
  <c r="H18" i="123"/>
  <c r="I20" i="123"/>
  <c r="H20" i="123"/>
  <c r="S19" i="123"/>
  <c r="R19" i="123"/>
  <c r="M19" i="123"/>
  <c r="L19" i="123"/>
  <c r="K19" i="123"/>
  <c r="I19" i="123"/>
  <c r="H19" i="123"/>
  <c r="S18" i="123"/>
  <c r="R18" i="123"/>
  <c r="M18" i="123"/>
  <c r="L18" i="123"/>
  <c r="K18" i="123"/>
  <c r="I18" i="123"/>
  <c r="S17" i="123"/>
  <c r="R17" i="123"/>
  <c r="M17" i="123"/>
  <c r="L17" i="123"/>
  <c r="K17" i="123"/>
  <c r="I17" i="123"/>
  <c r="H17" i="123"/>
  <c r="S16" i="123"/>
  <c r="R16" i="123"/>
  <c r="M16" i="123"/>
  <c r="L16" i="123"/>
  <c r="K16" i="123"/>
  <c r="I16" i="123"/>
  <c r="H16" i="123"/>
  <c r="S15" i="123"/>
  <c r="R15" i="123"/>
  <c r="M15" i="123"/>
  <c r="L15" i="123"/>
  <c r="K15" i="123"/>
  <c r="I15" i="123"/>
  <c r="H15" i="123"/>
  <c r="S14" i="123"/>
  <c r="R14" i="123"/>
  <c r="M14" i="123"/>
  <c r="L14" i="123"/>
  <c r="K14" i="123"/>
  <c r="I14" i="123"/>
  <c r="H14" i="123"/>
  <c r="S13" i="123"/>
  <c r="R13" i="123"/>
  <c r="M13" i="123"/>
  <c r="L13" i="123"/>
  <c r="K13" i="123"/>
  <c r="I13" i="123"/>
  <c r="H13" i="123"/>
  <c r="S12" i="123"/>
  <c r="R12" i="123"/>
  <c r="M12" i="123"/>
  <c r="L12" i="123"/>
  <c r="K12" i="123"/>
  <c r="I12" i="123"/>
  <c r="H12" i="123"/>
  <c r="S11" i="123"/>
  <c r="R11" i="123"/>
  <c r="M11" i="123"/>
  <c r="L11" i="123"/>
  <c r="K11" i="123"/>
  <c r="I11" i="123"/>
  <c r="H11" i="123"/>
  <c r="S10" i="123"/>
  <c r="R10" i="123"/>
  <c r="M10" i="123"/>
  <c r="L10" i="123"/>
  <c r="K10" i="123"/>
  <c r="I10" i="123"/>
  <c r="H10" i="123"/>
  <c r="S9" i="123"/>
  <c r="R9" i="123"/>
  <c r="M9" i="123"/>
  <c r="L9" i="123"/>
  <c r="K9" i="123"/>
  <c r="I9" i="123"/>
  <c r="H9" i="123"/>
  <c r="S8" i="123"/>
  <c r="R8" i="123"/>
  <c r="M8" i="123"/>
  <c r="L8" i="123"/>
  <c r="K8" i="123"/>
  <c r="I8" i="123"/>
  <c r="H8" i="123"/>
  <c r="M7" i="123"/>
  <c r="L7" i="123"/>
  <c r="K7" i="123"/>
  <c r="I7" i="123"/>
  <c r="H7" i="123"/>
  <c r="S7" i="123"/>
  <c r="S6" i="123"/>
  <c r="R6" i="123"/>
  <c r="M6" i="123" l="1"/>
  <c r="L6" i="123"/>
  <c r="K6" i="123"/>
  <c r="I6" i="123"/>
  <c r="H6" i="123"/>
  <c r="IE5" i="122" l="1"/>
  <c r="ID5" i="122"/>
  <c r="IC5" i="122"/>
  <c r="IB5" i="122"/>
  <c r="IA5" i="122"/>
  <c r="HZ5" i="122"/>
  <c r="HY5" i="122"/>
  <c r="HX5" i="122"/>
  <c r="HW5" i="122"/>
  <c r="HV5" i="122"/>
  <c r="HM5" i="122" l="1"/>
  <c r="HJ5" i="122"/>
  <c r="HG5" i="122"/>
  <c r="HD5" i="122"/>
  <c r="HA5" i="122"/>
  <c r="GX5" i="122"/>
  <c r="GU5" i="122"/>
  <c r="GR5" i="122"/>
  <c r="GO5" i="122"/>
  <c r="GL5" i="122"/>
  <c r="GI5" i="122"/>
  <c r="GF5" i="122"/>
  <c r="GC5" i="122"/>
  <c r="FZ5" i="122"/>
  <c r="FW5" i="122"/>
  <c r="FT5" i="122"/>
  <c r="FQ5" i="122"/>
  <c r="FN5" i="122"/>
  <c r="FH5" i="122" l="1"/>
  <c r="FF5" i="122"/>
  <c r="FD5" i="122"/>
  <c r="FC5" i="122"/>
  <c r="FB5" i="122"/>
  <c r="FA5" i="122"/>
  <c r="EX5" i="122"/>
  <c r="EW5" i="122"/>
  <c r="EZ5" i="122"/>
  <c r="EY5" i="122"/>
  <c r="EV5" i="122"/>
  <c r="EU5" i="122"/>
  <c r="ET5" i="122"/>
  <c r="ES5" i="122" l="1"/>
  <c r="ER5" i="122"/>
  <c r="EQ5" i="122"/>
  <c r="EP5" i="122"/>
  <c r="EO5" i="122"/>
  <c r="EN5" i="122"/>
  <c r="EM5" i="122"/>
  <c r="EL5" i="122"/>
  <c r="EK5" i="122"/>
  <c r="EJ5" i="122"/>
  <c r="EI5" i="122"/>
  <c r="EH5" i="122"/>
  <c r="EG5" i="122"/>
  <c r="EF5" i="122"/>
  <c r="EE5" i="122"/>
  <c r="EC5" i="122"/>
  <c r="EB5" i="122"/>
  <c r="EA5" i="122"/>
  <c r="DZ5" i="122"/>
  <c r="DY5" i="122"/>
  <c r="DX5" i="122"/>
  <c r="DW5" i="122"/>
  <c r="DV5" i="122"/>
  <c r="DU5" i="122"/>
  <c r="DT5" i="122"/>
  <c r="DS5" i="122"/>
  <c r="DR5" i="122"/>
  <c r="DQ5" i="122"/>
  <c r="DP5" i="122"/>
  <c r="DO5" i="122"/>
  <c r="D7" i="48" l="1"/>
  <c r="H6" i="125" s="1"/>
  <c r="G21" i="61" l="1"/>
  <c r="O5" i="45" l="1"/>
  <c r="S5" i="45"/>
  <c r="H6" i="124" s="1"/>
  <c r="F16" i="54"/>
  <c r="F18" i="54" l="1"/>
  <c r="F19" i="54"/>
  <c r="M49" i="63"/>
  <c r="S19" i="65" l="1"/>
  <c r="V22" i="65"/>
  <c r="O7" i="121" l="1"/>
  <c r="N7" i="121"/>
  <c r="L7" i="121"/>
  <c r="Y1" i="64" l="1"/>
  <c r="T49" i="63" l="1"/>
  <c r="T52" i="63"/>
  <c r="T46" i="63"/>
  <c r="X50" i="63"/>
  <c r="L129" i="60"/>
  <c r="M129" i="60"/>
  <c r="N129" i="60"/>
  <c r="O129" i="60"/>
  <c r="P129" i="60"/>
  <c r="Q129" i="60"/>
  <c r="R129" i="60"/>
  <c r="S129" i="60"/>
  <c r="T129" i="60"/>
  <c r="U129" i="60"/>
  <c r="V129" i="60"/>
  <c r="W129" i="60"/>
  <c r="X129" i="60"/>
  <c r="Y129" i="60"/>
  <c r="Z129" i="60"/>
  <c r="AA129" i="60"/>
  <c r="AB129" i="60"/>
  <c r="AC129" i="60"/>
  <c r="AD129" i="60"/>
  <c r="AE129" i="60"/>
  <c r="AF129" i="60"/>
  <c r="AG129" i="60"/>
  <c r="AH129" i="60"/>
  <c r="AI129" i="60"/>
  <c r="AJ129" i="60"/>
  <c r="AK129" i="60"/>
  <c r="AL129" i="60"/>
  <c r="AM129" i="60"/>
  <c r="AN129" i="60"/>
  <c r="AO129" i="60"/>
  <c r="AP129" i="60"/>
  <c r="AQ129" i="60"/>
  <c r="AR129" i="60"/>
  <c r="AS129" i="60"/>
  <c r="AT129" i="60"/>
  <c r="AU129" i="60"/>
  <c r="AV129" i="60"/>
  <c r="AW129" i="60"/>
  <c r="AX129" i="60"/>
  <c r="AY129" i="60"/>
  <c r="AZ129" i="60"/>
  <c r="BA129" i="60"/>
  <c r="K129" i="60"/>
  <c r="L119" i="60" l="1"/>
  <c r="L124" i="60" s="1"/>
  <c r="L130" i="60" s="1"/>
  <c r="L125" i="60" l="1"/>
  <c r="J116" i="60"/>
  <c r="J117" i="60"/>
  <c r="M45" i="125" l="1"/>
  <c r="C984" i="48"/>
  <c r="L45" i="125" s="1"/>
  <c r="I45" i="125"/>
  <c r="H45" i="125"/>
  <c r="H959" i="48"/>
  <c r="M44" i="125" s="1"/>
  <c r="C959" i="48"/>
  <c r="L44" i="125" s="1"/>
  <c r="M958" i="48"/>
  <c r="C958" i="48"/>
  <c r="I44" i="125" s="1"/>
  <c r="D957" i="48"/>
  <c r="H44" i="125" s="1"/>
  <c r="H934" i="48"/>
  <c r="M43" i="125" s="1"/>
  <c r="C934" i="48"/>
  <c r="L43" i="125" s="1"/>
  <c r="M933" i="48"/>
  <c r="C933" i="48"/>
  <c r="I43" i="125" s="1"/>
  <c r="D932" i="48"/>
  <c r="H43" i="125" s="1"/>
  <c r="H909" i="48"/>
  <c r="M42" i="125" s="1"/>
  <c r="C909" i="48"/>
  <c r="L42" i="125" s="1"/>
  <c r="M908" i="48"/>
  <c r="C908" i="48"/>
  <c r="I42" i="125" s="1"/>
  <c r="D907" i="48"/>
  <c r="H42" i="125" s="1"/>
  <c r="H884" i="48"/>
  <c r="M41" i="125" s="1"/>
  <c r="C884" i="48"/>
  <c r="L41" i="125" s="1"/>
  <c r="M883" i="48"/>
  <c r="C883" i="48"/>
  <c r="I41" i="125" s="1"/>
  <c r="D882" i="48"/>
  <c r="H41" i="125" s="1"/>
  <c r="H859" i="48"/>
  <c r="M40" i="125" s="1"/>
  <c r="C859" i="48"/>
  <c r="L40" i="125" s="1"/>
  <c r="M858" i="48"/>
  <c r="C858" i="48"/>
  <c r="I40" i="125" s="1"/>
  <c r="D857" i="48"/>
  <c r="H40" i="125" s="1"/>
  <c r="H834" i="48"/>
  <c r="M39" i="125" s="1"/>
  <c r="C834" i="48"/>
  <c r="L39" i="125" s="1"/>
  <c r="M833" i="48"/>
  <c r="C833" i="48"/>
  <c r="I39" i="125" s="1"/>
  <c r="D832" i="48"/>
  <c r="H39" i="125" s="1"/>
  <c r="H809" i="48"/>
  <c r="M38" i="125" s="1"/>
  <c r="C809" i="48"/>
  <c r="L38" i="125" s="1"/>
  <c r="M808" i="48"/>
  <c r="C808" i="48"/>
  <c r="I38" i="125" s="1"/>
  <c r="D807" i="48"/>
  <c r="H38" i="125" s="1"/>
  <c r="H784" i="48"/>
  <c r="M37" i="125" s="1"/>
  <c r="C784" i="48"/>
  <c r="L37" i="125" s="1"/>
  <c r="M783" i="48"/>
  <c r="C783" i="48"/>
  <c r="I37" i="125" s="1"/>
  <c r="D782" i="48"/>
  <c r="H37" i="125" s="1"/>
  <c r="H759" i="48"/>
  <c r="M36" i="125" s="1"/>
  <c r="C759" i="48"/>
  <c r="L36" i="125" s="1"/>
  <c r="M758" i="48"/>
  <c r="C758" i="48"/>
  <c r="I36" i="125" s="1"/>
  <c r="D757" i="48"/>
  <c r="H36" i="125" s="1"/>
  <c r="H734" i="48"/>
  <c r="M35" i="125" s="1"/>
  <c r="C734" i="48"/>
  <c r="L35" i="125" s="1"/>
  <c r="M733" i="48"/>
  <c r="C733" i="48"/>
  <c r="I35" i="125" s="1"/>
  <c r="D732" i="48"/>
  <c r="H35" i="125" s="1"/>
  <c r="H709" i="48"/>
  <c r="M34" i="125" s="1"/>
  <c r="C709" i="48"/>
  <c r="L34" i="125" s="1"/>
  <c r="M708" i="48"/>
  <c r="C708" i="48"/>
  <c r="I34" i="125" s="1"/>
  <c r="D707" i="48"/>
  <c r="H34" i="125" s="1"/>
  <c r="H684" i="48"/>
  <c r="M33" i="125" s="1"/>
  <c r="C684" i="48"/>
  <c r="L33" i="125" s="1"/>
  <c r="M683" i="48"/>
  <c r="C683" i="48"/>
  <c r="I33" i="125" s="1"/>
  <c r="D682" i="48"/>
  <c r="H33" i="125" s="1"/>
  <c r="H659" i="48"/>
  <c r="M32" i="125" s="1"/>
  <c r="C659" i="48"/>
  <c r="L32" i="125" s="1"/>
  <c r="M658" i="48"/>
  <c r="C658" i="48"/>
  <c r="I32" i="125" s="1"/>
  <c r="D657" i="48"/>
  <c r="H32" i="125" s="1"/>
  <c r="H634" i="48"/>
  <c r="M31" i="125" s="1"/>
  <c r="C634" i="48"/>
  <c r="L31" i="125" s="1"/>
  <c r="M633" i="48"/>
  <c r="C633" i="48"/>
  <c r="I31" i="125" s="1"/>
  <c r="D632" i="48"/>
  <c r="H31" i="125" s="1"/>
  <c r="H609" i="48"/>
  <c r="M30" i="125" s="1"/>
  <c r="C609" i="48"/>
  <c r="L30" i="125" s="1"/>
  <c r="M608" i="48"/>
  <c r="C608" i="48"/>
  <c r="I30" i="125" s="1"/>
  <c r="D607" i="48"/>
  <c r="H30" i="125" s="1"/>
  <c r="H584" i="48"/>
  <c r="M29" i="125" s="1"/>
  <c r="C584" i="48"/>
  <c r="L29" i="125" s="1"/>
  <c r="M583" i="48"/>
  <c r="C583" i="48"/>
  <c r="I29" i="125" s="1"/>
  <c r="D582" i="48"/>
  <c r="H29" i="125" s="1"/>
  <c r="H559" i="48"/>
  <c r="M28" i="125" s="1"/>
  <c r="C559" i="48"/>
  <c r="L28" i="125" s="1"/>
  <c r="M558" i="48"/>
  <c r="C558" i="48"/>
  <c r="I28" i="125" s="1"/>
  <c r="D557" i="48"/>
  <c r="H28" i="125" s="1"/>
  <c r="H534" i="48"/>
  <c r="M27" i="125" s="1"/>
  <c r="C534" i="48"/>
  <c r="L27" i="125" s="1"/>
  <c r="M533" i="48"/>
  <c r="C533" i="48"/>
  <c r="I27" i="125" s="1"/>
  <c r="D532" i="48"/>
  <c r="H27" i="125" s="1"/>
  <c r="H509" i="48"/>
  <c r="M26" i="125" s="1"/>
  <c r="C509" i="48"/>
  <c r="L26" i="125" s="1"/>
  <c r="M508" i="48"/>
  <c r="C508" i="48"/>
  <c r="I26" i="125" s="1"/>
  <c r="D507" i="48"/>
  <c r="H26" i="125" s="1"/>
  <c r="H484" i="48"/>
  <c r="M25" i="125" s="1"/>
  <c r="C484" i="48"/>
  <c r="L25" i="125" s="1"/>
  <c r="M483" i="48"/>
  <c r="C483" i="48"/>
  <c r="I25" i="125" s="1"/>
  <c r="D482" i="48"/>
  <c r="H25" i="125" s="1"/>
  <c r="H459" i="48"/>
  <c r="M24" i="125" s="1"/>
  <c r="C459" i="48"/>
  <c r="L24" i="125" s="1"/>
  <c r="M458" i="48"/>
  <c r="C458" i="48"/>
  <c r="I24" i="125" s="1"/>
  <c r="D457" i="48"/>
  <c r="H24" i="125" s="1"/>
  <c r="H434" i="48"/>
  <c r="M23" i="125" s="1"/>
  <c r="C434" i="48"/>
  <c r="L23" i="125" s="1"/>
  <c r="M433" i="48"/>
  <c r="C433" i="48"/>
  <c r="I23" i="125" s="1"/>
  <c r="D432" i="48"/>
  <c r="H23" i="125" s="1"/>
  <c r="H409" i="48"/>
  <c r="M22" i="125" s="1"/>
  <c r="C409" i="48"/>
  <c r="L22" i="125" s="1"/>
  <c r="M408" i="48"/>
  <c r="C408" i="48"/>
  <c r="I22" i="125" s="1"/>
  <c r="D407" i="48"/>
  <c r="H22" i="125" s="1"/>
  <c r="H384" i="48"/>
  <c r="M21" i="125" s="1"/>
  <c r="C384" i="48"/>
  <c r="L21" i="125" s="1"/>
  <c r="M383" i="48"/>
  <c r="C383" i="48"/>
  <c r="I21" i="125" s="1"/>
  <c r="D382" i="48"/>
  <c r="H21" i="125" s="1"/>
  <c r="H359" i="48"/>
  <c r="M20" i="125" s="1"/>
  <c r="C359" i="48"/>
  <c r="L20" i="125" s="1"/>
  <c r="M358" i="48"/>
  <c r="C358" i="48"/>
  <c r="I20" i="125" s="1"/>
  <c r="D357" i="48"/>
  <c r="H20" i="125" s="1"/>
  <c r="H334" i="48"/>
  <c r="M19" i="125" s="1"/>
  <c r="C334" i="48"/>
  <c r="L19" i="125" s="1"/>
  <c r="M333" i="48"/>
  <c r="C333" i="48"/>
  <c r="I19" i="125" s="1"/>
  <c r="D332" i="48"/>
  <c r="H19" i="125" s="1"/>
  <c r="K44" i="125" l="1"/>
  <c r="P958" i="48"/>
  <c r="K25" i="125"/>
  <c r="P483" i="48"/>
  <c r="K33" i="125"/>
  <c r="P683" i="48"/>
  <c r="K22" i="125"/>
  <c r="P408" i="48"/>
  <c r="K27" i="125"/>
  <c r="P533" i="48"/>
  <c r="K43" i="125"/>
  <c r="P933" i="48"/>
  <c r="K40" i="125"/>
  <c r="P858" i="48"/>
  <c r="K21" i="125"/>
  <c r="P383" i="48"/>
  <c r="K29" i="125"/>
  <c r="P583" i="48"/>
  <c r="K37" i="125"/>
  <c r="P783" i="48"/>
  <c r="K45" i="125"/>
  <c r="P983" i="48"/>
  <c r="K28" i="125"/>
  <c r="P558" i="48"/>
  <c r="K36" i="125"/>
  <c r="P758" i="48"/>
  <c r="K30" i="125"/>
  <c r="P608" i="48"/>
  <c r="K38" i="125"/>
  <c r="P808" i="48"/>
  <c r="K19" i="125"/>
  <c r="P333" i="48"/>
  <c r="K35" i="125"/>
  <c r="P733" i="48"/>
  <c r="K24" i="125"/>
  <c r="P458" i="48"/>
  <c r="K26" i="125"/>
  <c r="P508" i="48"/>
  <c r="K34" i="125"/>
  <c r="P708" i="48"/>
  <c r="K42" i="125"/>
  <c r="P908" i="48"/>
  <c r="K20" i="125"/>
  <c r="P358" i="48"/>
  <c r="K41" i="125"/>
  <c r="P883" i="48"/>
  <c r="K32" i="125"/>
  <c r="P658" i="48"/>
  <c r="K23" i="125"/>
  <c r="P433" i="48"/>
  <c r="K31" i="125"/>
  <c r="P633" i="48"/>
  <c r="K39" i="125"/>
  <c r="P833" i="48"/>
  <c r="H309" i="48"/>
  <c r="M18" i="125" s="1"/>
  <c r="C309" i="48"/>
  <c r="L18" i="125" s="1"/>
  <c r="M308" i="48"/>
  <c r="C308" i="48"/>
  <c r="I18" i="125" s="1"/>
  <c r="D307" i="48"/>
  <c r="H18" i="125" s="1"/>
  <c r="H284" i="48"/>
  <c r="M17" i="125" s="1"/>
  <c r="C284" i="48"/>
  <c r="L17" i="125" s="1"/>
  <c r="M283" i="48"/>
  <c r="C283" i="48"/>
  <c r="I17" i="125" s="1"/>
  <c r="D282" i="48"/>
  <c r="H17" i="125" s="1"/>
  <c r="H259" i="48"/>
  <c r="M16" i="125" s="1"/>
  <c r="C259" i="48"/>
  <c r="L16" i="125" s="1"/>
  <c r="M258" i="48"/>
  <c r="C258" i="48"/>
  <c r="I16" i="125" s="1"/>
  <c r="D257" i="48"/>
  <c r="H16" i="125" s="1"/>
  <c r="K16" i="125" l="1"/>
  <c r="P258" i="48"/>
  <c r="K17" i="125"/>
  <c r="P283" i="48"/>
  <c r="K18" i="125"/>
  <c r="P308" i="48"/>
  <c r="H234" i="48"/>
  <c r="M15" i="125" s="1"/>
  <c r="C234" i="48"/>
  <c r="L15" i="125" s="1"/>
  <c r="M233" i="48"/>
  <c r="C233" i="48"/>
  <c r="I15" i="125" s="1"/>
  <c r="D232" i="48"/>
  <c r="H15" i="125" s="1"/>
  <c r="H209" i="48"/>
  <c r="M14" i="125" s="1"/>
  <c r="C209" i="48"/>
  <c r="L14" i="125" s="1"/>
  <c r="M208" i="48"/>
  <c r="C208" i="48"/>
  <c r="I14" i="125" s="1"/>
  <c r="D207" i="48"/>
  <c r="H14" i="125" s="1"/>
  <c r="H184" i="48"/>
  <c r="M13" i="125" s="1"/>
  <c r="C184" i="48"/>
  <c r="L13" i="125" s="1"/>
  <c r="M183" i="48"/>
  <c r="C183" i="48"/>
  <c r="I13" i="125" s="1"/>
  <c r="D182" i="48"/>
  <c r="H13" i="125" s="1"/>
  <c r="H159" i="48"/>
  <c r="M12" i="125" s="1"/>
  <c r="C159" i="48"/>
  <c r="L12" i="125" s="1"/>
  <c r="M158" i="48"/>
  <c r="C158" i="48"/>
  <c r="I12" i="125" s="1"/>
  <c r="D157" i="48"/>
  <c r="H12" i="125" s="1"/>
  <c r="H134" i="48"/>
  <c r="M11" i="125" s="1"/>
  <c r="C134" i="48"/>
  <c r="L11" i="125" s="1"/>
  <c r="M133" i="48"/>
  <c r="C133" i="48"/>
  <c r="I11" i="125" s="1"/>
  <c r="D132" i="48"/>
  <c r="H11" i="125" s="1"/>
  <c r="H109" i="48"/>
  <c r="M10" i="125" s="1"/>
  <c r="C109" i="48"/>
  <c r="L10" i="125" s="1"/>
  <c r="M108" i="48"/>
  <c r="C108" i="48"/>
  <c r="I10" i="125" s="1"/>
  <c r="D107" i="48"/>
  <c r="H10" i="125" s="1"/>
  <c r="K14" i="125" l="1"/>
  <c r="P208" i="48"/>
  <c r="K13" i="125"/>
  <c r="P183" i="48"/>
  <c r="K12" i="125"/>
  <c r="P158" i="48"/>
  <c r="K11" i="125"/>
  <c r="P133" i="48"/>
  <c r="K10" i="125"/>
  <c r="P108" i="48"/>
  <c r="K15" i="125"/>
  <c r="P233" i="48"/>
  <c r="AD99" i="120"/>
  <c r="AC99" i="120"/>
  <c r="AD98" i="120"/>
  <c r="AC98" i="120"/>
  <c r="AD97" i="120"/>
  <c r="AC97" i="120"/>
  <c r="AD96" i="120"/>
  <c r="AC96" i="120"/>
  <c r="AD95" i="120"/>
  <c r="AC95" i="120"/>
  <c r="AD94" i="120"/>
  <c r="AC94" i="120"/>
  <c r="AD93" i="120"/>
  <c r="AC93" i="120"/>
  <c r="AD92" i="120"/>
  <c r="AC92" i="120"/>
  <c r="AD91" i="120"/>
  <c r="AC91" i="120"/>
  <c r="AD90" i="120"/>
  <c r="AC90" i="120"/>
  <c r="AD89" i="120"/>
  <c r="AC89" i="120"/>
  <c r="AD88" i="120"/>
  <c r="AC88" i="120"/>
  <c r="AD87" i="120"/>
  <c r="AC87" i="120"/>
  <c r="AD86" i="120"/>
  <c r="AC86" i="120"/>
  <c r="AD85" i="120"/>
  <c r="AC85" i="120"/>
  <c r="AD84" i="120"/>
  <c r="AC84" i="120"/>
  <c r="AD83" i="120"/>
  <c r="AC83" i="120"/>
  <c r="AD82" i="120"/>
  <c r="AC82" i="120"/>
  <c r="AD81" i="120"/>
  <c r="AC81" i="120"/>
  <c r="AD80" i="120"/>
  <c r="AC80" i="120"/>
  <c r="AD79" i="120"/>
  <c r="AC79" i="120"/>
  <c r="AD78" i="120"/>
  <c r="AC78" i="120"/>
  <c r="AD77" i="120"/>
  <c r="AC77" i="120"/>
  <c r="AD76" i="120"/>
  <c r="AC76" i="120"/>
  <c r="AD75" i="120"/>
  <c r="AC75" i="120"/>
  <c r="AD74" i="120"/>
  <c r="AC74" i="120"/>
  <c r="AD73" i="120"/>
  <c r="AC73" i="120"/>
  <c r="AD72" i="120"/>
  <c r="AC72" i="120"/>
  <c r="AD71" i="120"/>
  <c r="AC71" i="120"/>
  <c r="AD70" i="120"/>
  <c r="AC70" i="120"/>
  <c r="AD69" i="120"/>
  <c r="AC69" i="120"/>
  <c r="AD68" i="120"/>
  <c r="AC68" i="120"/>
  <c r="AD67" i="120"/>
  <c r="AC67" i="120"/>
  <c r="AD66" i="120"/>
  <c r="AC66" i="120"/>
  <c r="AD65" i="120"/>
  <c r="AC65" i="120"/>
  <c r="AD64" i="120"/>
  <c r="AC64" i="120"/>
  <c r="AD63" i="120"/>
  <c r="AC63" i="120"/>
  <c r="AD62" i="120"/>
  <c r="AC62" i="120"/>
  <c r="AD61" i="120"/>
  <c r="AC61" i="120"/>
  <c r="AD60" i="120"/>
  <c r="AC60" i="120"/>
  <c r="AD59" i="120"/>
  <c r="AC59" i="120"/>
  <c r="AD58" i="120"/>
  <c r="AC58" i="120"/>
  <c r="AD57" i="120"/>
  <c r="AC57" i="120"/>
  <c r="AD56" i="120"/>
  <c r="AC56" i="120"/>
  <c r="AD55" i="120"/>
  <c r="AC55" i="120"/>
  <c r="AD54" i="120"/>
  <c r="AC54" i="120"/>
  <c r="AD53" i="120"/>
  <c r="AC53" i="120"/>
  <c r="AD52" i="120"/>
  <c r="AC52" i="120"/>
  <c r="AD51" i="120"/>
  <c r="AC51" i="120"/>
  <c r="AD50" i="120"/>
  <c r="AC50" i="120"/>
  <c r="AD49" i="120"/>
  <c r="AC49" i="120"/>
  <c r="AD48" i="120"/>
  <c r="AC48" i="120"/>
  <c r="AD47" i="120"/>
  <c r="AC47" i="120"/>
  <c r="AD46" i="120"/>
  <c r="AC46" i="120"/>
  <c r="AD45" i="120"/>
  <c r="AC45" i="120"/>
  <c r="AD44" i="120"/>
  <c r="AC44" i="120"/>
  <c r="AD43" i="120"/>
  <c r="AC43" i="120"/>
  <c r="AD42" i="120"/>
  <c r="AC42" i="120"/>
  <c r="AD41" i="120"/>
  <c r="AC41" i="120"/>
  <c r="AD40" i="120"/>
  <c r="AC40" i="120"/>
  <c r="AD39" i="120"/>
  <c r="AC39" i="120"/>
  <c r="AD38" i="120"/>
  <c r="AC38" i="120"/>
  <c r="AD37" i="120"/>
  <c r="AC37" i="120"/>
  <c r="AD36" i="120"/>
  <c r="AC36" i="120"/>
  <c r="AR35" i="120"/>
  <c r="AD35" i="120"/>
  <c r="AC35" i="120"/>
  <c r="BA34" i="120"/>
  <c r="AR34" i="120"/>
  <c r="AD34" i="120"/>
  <c r="AC34" i="120"/>
  <c r="AR33" i="120"/>
  <c r="AD33" i="120"/>
  <c r="AC33" i="120"/>
  <c r="AR32" i="120"/>
  <c r="AD32" i="120"/>
  <c r="AC32" i="120"/>
  <c r="AR31" i="120"/>
  <c r="AD31" i="120"/>
  <c r="AC31" i="120"/>
  <c r="AR30" i="120"/>
  <c r="AD30" i="120"/>
  <c r="AC30" i="120"/>
  <c r="AR29" i="120"/>
  <c r="AD29" i="120"/>
  <c r="AC29" i="120"/>
  <c r="AR28" i="120"/>
  <c r="AD28" i="120"/>
  <c r="AC28" i="120"/>
  <c r="AR27" i="120"/>
  <c r="AD27" i="120"/>
  <c r="AC27" i="120"/>
  <c r="AR26" i="120"/>
  <c r="AD26" i="120"/>
  <c r="AC26" i="120"/>
  <c r="AR25" i="120"/>
  <c r="AD25" i="120"/>
  <c r="AC25" i="120"/>
  <c r="AR24" i="120"/>
  <c r="AD24" i="120"/>
  <c r="AC24" i="120"/>
  <c r="AR23" i="120"/>
  <c r="AD23" i="120"/>
  <c r="AC23" i="120"/>
  <c r="AR22" i="120"/>
  <c r="AD22" i="120"/>
  <c r="AC22" i="120"/>
  <c r="AR21" i="120"/>
  <c r="AD21" i="120"/>
  <c r="AC21" i="120"/>
  <c r="AR20" i="120"/>
  <c r="AD20" i="120"/>
  <c r="AC20" i="120"/>
  <c r="AR19" i="120"/>
  <c r="AD19" i="120"/>
  <c r="AC19" i="120"/>
  <c r="AR18" i="120"/>
  <c r="AD18" i="120"/>
  <c r="AC18" i="120"/>
  <c r="AR17" i="120"/>
  <c r="AD17" i="120"/>
  <c r="AC17" i="120"/>
  <c r="AR16" i="120"/>
  <c r="AD16" i="120"/>
  <c r="AC16" i="120"/>
  <c r="AR15" i="120"/>
  <c r="AD15" i="120"/>
  <c r="AC15" i="120"/>
  <c r="AR14" i="120"/>
  <c r="AD14" i="120"/>
  <c r="AC14" i="120"/>
  <c r="AR13" i="120"/>
  <c r="AD13" i="120"/>
  <c r="AC13" i="120"/>
  <c r="AR12" i="120"/>
  <c r="AD12" i="120"/>
  <c r="AC12" i="120"/>
  <c r="BE11" i="120"/>
  <c r="AR11" i="120"/>
  <c r="AD11" i="120"/>
  <c r="AC11" i="120"/>
  <c r="BJ10" i="120"/>
  <c r="BK10" i="120" s="1"/>
  <c r="BL10" i="120" s="1"/>
  <c r="BG10" i="120"/>
  <c r="BF10" i="120"/>
  <c r="AR10" i="120"/>
  <c r="BI10" i="120" s="1"/>
  <c r="AD10" i="120"/>
  <c r="AC10" i="120"/>
  <c r="BI11" i="120" l="1"/>
  <c r="BH10" i="120"/>
  <c r="BJ11" i="120"/>
  <c r="BK11" i="120" s="1"/>
  <c r="BL11" i="120" s="1"/>
  <c r="BF11" i="120"/>
  <c r="BE12" i="120"/>
  <c r="BG11" i="120"/>
  <c r="L1" i="62"/>
  <c r="Q1" i="61"/>
  <c r="Q1" i="60"/>
  <c r="Z28" i="63" s="1"/>
  <c r="S19" i="71"/>
  <c r="S19" i="72"/>
  <c r="S19" i="73"/>
  <c r="S19" i="74"/>
  <c r="S19" i="75"/>
  <c r="S19" i="76"/>
  <c r="S19" i="77"/>
  <c r="S19" i="78"/>
  <c r="S19" i="79"/>
  <c r="S19" i="80"/>
  <c r="S19" i="81"/>
  <c r="S19" i="82"/>
  <c r="S19" i="83"/>
  <c r="S19" i="84"/>
  <c r="S19" i="85"/>
  <c r="S19" i="86"/>
  <c r="S19" i="87"/>
  <c r="S19" i="88"/>
  <c r="S19" i="89"/>
  <c r="S19" i="90"/>
  <c r="S19" i="91"/>
  <c r="S19" i="92"/>
  <c r="S19" i="97"/>
  <c r="S19" i="98"/>
  <c r="S19" i="99"/>
  <c r="S19" i="100"/>
  <c r="S19" i="101"/>
  <c r="S19" i="102"/>
  <c r="S19" i="103"/>
  <c r="S19" i="104"/>
  <c r="S19" i="105"/>
  <c r="S19" i="106"/>
  <c r="S19" i="107"/>
  <c r="S19" i="108"/>
  <c r="S19" i="109"/>
  <c r="S19" i="110"/>
  <c r="S19" i="111"/>
  <c r="S19" i="113"/>
  <c r="S19" i="114"/>
  <c r="S19" i="115"/>
  <c r="S19" i="116"/>
  <c r="S19" i="117"/>
  <c r="R19" i="71"/>
  <c r="R19" i="72"/>
  <c r="R19" i="73"/>
  <c r="R19" i="74"/>
  <c r="R19" i="75"/>
  <c r="R19" i="76"/>
  <c r="R19" i="77"/>
  <c r="R19" i="78"/>
  <c r="R19" i="79"/>
  <c r="R19" i="80"/>
  <c r="R19" i="81"/>
  <c r="R19" i="82"/>
  <c r="R19" i="83"/>
  <c r="R19" i="84"/>
  <c r="R19" i="85"/>
  <c r="R19" i="86"/>
  <c r="R19" i="87"/>
  <c r="R19" i="88"/>
  <c r="R19" i="89"/>
  <c r="R19" i="90"/>
  <c r="R19" i="91"/>
  <c r="R19" i="92"/>
  <c r="R19" i="97"/>
  <c r="R19" i="98"/>
  <c r="R19" i="99"/>
  <c r="R19" i="100"/>
  <c r="R19" i="101"/>
  <c r="R19" i="102"/>
  <c r="R19" i="103"/>
  <c r="R19" i="104"/>
  <c r="R19" i="105"/>
  <c r="R19" i="106"/>
  <c r="R19" i="107"/>
  <c r="R19" i="108"/>
  <c r="R19" i="109"/>
  <c r="R19" i="110"/>
  <c r="R19" i="111"/>
  <c r="R19" i="113"/>
  <c r="R19" i="114"/>
  <c r="R19" i="115"/>
  <c r="R19" i="116"/>
  <c r="R19" i="117"/>
  <c r="R19" i="65"/>
  <c r="L19" i="64"/>
  <c r="BH11" i="120" l="1"/>
  <c r="BE13" i="120"/>
  <c r="BG12" i="120"/>
  <c r="BF12" i="120"/>
  <c r="BJ12" i="120"/>
  <c r="BK12" i="120" s="1"/>
  <c r="BL12" i="120" s="1"/>
  <c r="BI12" i="120"/>
  <c r="G54" i="59"/>
  <c r="BG13" i="120" l="1"/>
  <c r="BJ13" i="120"/>
  <c r="BK13" i="120" s="1"/>
  <c r="BL13" i="120" s="1"/>
  <c r="BI13" i="120"/>
  <c r="BE14" i="120"/>
  <c r="BF13" i="120"/>
  <c r="BH12" i="120"/>
  <c r="DC14" i="54"/>
  <c r="K27" i="127" s="1"/>
  <c r="BE15" i="120" l="1"/>
  <c r="BJ14" i="120"/>
  <c r="BK14" i="120" s="1"/>
  <c r="BL14" i="120" s="1"/>
  <c r="BI14" i="120"/>
  <c r="BF14" i="120"/>
  <c r="BG14" i="120"/>
  <c r="BH13" i="120"/>
  <c r="J103" i="63"/>
  <c r="J107" i="63"/>
  <c r="R107" i="63" s="1"/>
  <c r="BH14" i="120" l="1"/>
  <c r="BJ15" i="120"/>
  <c r="BK15" i="120" s="1"/>
  <c r="BL15" i="120" s="1"/>
  <c r="BI15" i="120"/>
  <c r="BE16" i="120"/>
  <c r="BG15" i="120"/>
  <c r="BF15" i="120"/>
  <c r="AA107" i="63"/>
  <c r="BH15" i="120" l="1"/>
  <c r="BJ16" i="120"/>
  <c r="BK16" i="120" s="1"/>
  <c r="BL16" i="120" s="1"/>
  <c r="BG16" i="120"/>
  <c r="BE17" i="120"/>
  <c r="BF16" i="120"/>
  <c r="BI16" i="120"/>
  <c r="A1" i="54"/>
  <c r="B92" i="63" l="1"/>
  <c r="B69" i="63"/>
  <c r="B37" i="63"/>
  <c r="C39" i="63"/>
  <c r="C71" i="63"/>
  <c r="H39" i="63"/>
  <c r="BG17" i="120"/>
  <c r="BE18" i="120"/>
  <c r="BF17" i="120"/>
  <c r="BJ17" i="120"/>
  <c r="BK17" i="120" s="1"/>
  <c r="BL17" i="120" s="1"/>
  <c r="BI17" i="120"/>
  <c r="BH16" i="120"/>
  <c r="V16" i="54"/>
  <c r="W16" i="54"/>
  <c r="BF18" i="120" l="1"/>
  <c r="BJ18" i="120"/>
  <c r="BK18" i="120" s="1"/>
  <c r="BL18" i="120" s="1"/>
  <c r="BE19" i="120"/>
  <c r="BI18" i="120"/>
  <c r="BG18" i="120"/>
  <c r="BH17" i="120"/>
  <c r="W19" i="54"/>
  <c r="V19" i="54"/>
  <c r="V18" i="54"/>
  <c r="W18" i="54"/>
  <c r="BH18" i="120" l="1"/>
  <c r="BJ19" i="120"/>
  <c r="BK19" i="120" s="1"/>
  <c r="BL19" i="120" s="1"/>
  <c r="BI19" i="120"/>
  <c r="BG19" i="120"/>
  <c r="BE20" i="120"/>
  <c r="BF19" i="120"/>
  <c r="H84" i="48"/>
  <c r="M9" i="125" s="1"/>
  <c r="C84" i="48"/>
  <c r="L9" i="125" s="1"/>
  <c r="M83" i="48"/>
  <c r="C83" i="48"/>
  <c r="I9" i="125" s="1"/>
  <c r="D82" i="48"/>
  <c r="H9" i="125" s="1"/>
  <c r="H59" i="48"/>
  <c r="M8" i="125" s="1"/>
  <c r="C59" i="48"/>
  <c r="L8" i="125" s="1"/>
  <c r="C58" i="48"/>
  <c r="I8" i="125" s="1"/>
  <c r="D57" i="48"/>
  <c r="H8" i="125" s="1"/>
  <c r="K8" i="125" l="1"/>
  <c r="P58" i="48"/>
  <c r="Z8" i="125" s="1"/>
  <c r="K9" i="125"/>
  <c r="P83" i="48"/>
  <c r="BH19" i="120"/>
  <c r="BJ20" i="120"/>
  <c r="BK20" i="120" s="1"/>
  <c r="BL20" i="120" s="1"/>
  <c r="BI20" i="120"/>
  <c r="BG20" i="120"/>
  <c r="BH20" i="120" s="1"/>
  <c r="BE21" i="120"/>
  <c r="BF20" i="120"/>
  <c r="Q26" i="48"/>
  <c r="Q51" i="48" s="1"/>
  <c r="P1" i="48"/>
  <c r="C44" i="119"/>
  <c r="C43" i="119"/>
  <c r="C42" i="119"/>
  <c r="C41" i="119"/>
  <c r="C40" i="119"/>
  <c r="C39" i="119"/>
  <c r="C38" i="119"/>
  <c r="C37" i="119"/>
  <c r="C36" i="119"/>
  <c r="C35" i="119"/>
  <c r="C34" i="119"/>
  <c r="C33" i="119"/>
  <c r="C32" i="119"/>
  <c r="C31" i="119"/>
  <c r="C30" i="119"/>
  <c r="C29" i="119"/>
  <c r="C28" i="119"/>
  <c r="C27" i="119"/>
  <c r="C26" i="119"/>
  <c r="C25" i="119"/>
  <c r="C24" i="119"/>
  <c r="C23" i="119"/>
  <c r="C22" i="119"/>
  <c r="C21" i="119"/>
  <c r="C20" i="119"/>
  <c r="C19" i="119"/>
  <c r="C18" i="119"/>
  <c r="C17" i="119"/>
  <c r="C16" i="119"/>
  <c r="C15" i="119"/>
  <c r="C14" i="119"/>
  <c r="C13" i="119"/>
  <c r="C12" i="119"/>
  <c r="C11" i="119"/>
  <c r="C10" i="119"/>
  <c r="C9" i="119"/>
  <c r="C8" i="119"/>
  <c r="C7" i="119"/>
  <c r="C6" i="119"/>
  <c r="C5" i="119"/>
  <c r="P26" i="48" l="1"/>
  <c r="P51" i="48"/>
  <c r="Q76" i="48"/>
  <c r="BI21" i="120"/>
  <c r="BE22" i="120"/>
  <c r="BG21" i="120"/>
  <c r="BH21" i="120" s="1"/>
  <c r="BF21" i="120"/>
  <c r="BJ21" i="120"/>
  <c r="BK21" i="120" s="1"/>
  <c r="BL21" i="120" s="1"/>
  <c r="G74" i="61"/>
  <c r="F74" i="61"/>
  <c r="AB10" i="54"/>
  <c r="D57" i="60"/>
  <c r="D56" i="60"/>
  <c r="R44" i="119"/>
  <c r="R43" i="119"/>
  <c r="R42" i="119"/>
  <c r="R41" i="119"/>
  <c r="R40" i="119"/>
  <c r="R39" i="119"/>
  <c r="R38" i="119"/>
  <c r="R37" i="119"/>
  <c r="R36" i="119"/>
  <c r="R35" i="119"/>
  <c r="R34" i="119"/>
  <c r="R33" i="119"/>
  <c r="R32" i="119"/>
  <c r="R31" i="119"/>
  <c r="R30" i="119"/>
  <c r="R29" i="119"/>
  <c r="R28" i="119"/>
  <c r="R27" i="119"/>
  <c r="R26" i="119"/>
  <c r="R25" i="119"/>
  <c r="R24" i="119"/>
  <c r="R23" i="119"/>
  <c r="R22" i="119"/>
  <c r="R21" i="119"/>
  <c r="R20" i="119"/>
  <c r="R19" i="119"/>
  <c r="R18" i="119"/>
  <c r="R17" i="119"/>
  <c r="R16" i="119"/>
  <c r="R15" i="119"/>
  <c r="R14" i="119"/>
  <c r="R13" i="119"/>
  <c r="R12" i="119"/>
  <c r="R11" i="119"/>
  <c r="R10" i="119"/>
  <c r="R9" i="119"/>
  <c r="R8" i="119"/>
  <c r="R7" i="119"/>
  <c r="R6" i="119"/>
  <c r="R5" i="119"/>
  <c r="K5" i="119"/>
  <c r="K44" i="119"/>
  <c r="K43" i="119"/>
  <c r="K42" i="119"/>
  <c r="K41" i="119"/>
  <c r="K40" i="119"/>
  <c r="K39" i="119"/>
  <c r="K38" i="119"/>
  <c r="K37" i="119"/>
  <c r="K36" i="119"/>
  <c r="K35" i="119"/>
  <c r="K34" i="119"/>
  <c r="K33" i="119"/>
  <c r="K32" i="119"/>
  <c r="K31" i="119"/>
  <c r="K30" i="119"/>
  <c r="K29" i="119"/>
  <c r="K28" i="119"/>
  <c r="K27" i="119"/>
  <c r="K26" i="119"/>
  <c r="K25" i="119"/>
  <c r="K24" i="119"/>
  <c r="K23" i="119"/>
  <c r="K22" i="119"/>
  <c r="K21" i="119"/>
  <c r="K20" i="119"/>
  <c r="K19" i="119"/>
  <c r="K18" i="119"/>
  <c r="K17" i="119"/>
  <c r="K16" i="119"/>
  <c r="K15" i="119"/>
  <c r="K14" i="119"/>
  <c r="K13" i="119"/>
  <c r="K12" i="119"/>
  <c r="K11" i="119"/>
  <c r="K10" i="119"/>
  <c r="K9" i="119"/>
  <c r="K8" i="119"/>
  <c r="K6" i="119"/>
  <c r="BA10" i="54"/>
  <c r="B1" i="54"/>
  <c r="I35" i="119"/>
  <c r="D756" i="93" s="1"/>
  <c r="G36" i="123" s="1"/>
  <c r="B1" i="119"/>
  <c r="D46" i="119"/>
  <c r="C46" i="119"/>
  <c r="I44" i="119"/>
  <c r="D981" i="93" s="1"/>
  <c r="G45" i="123" s="1"/>
  <c r="I43" i="119"/>
  <c r="D956" i="93" s="1"/>
  <c r="G44" i="123" s="1"/>
  <c r="I42" i="119"/>
  <c r="D931" i="93" s="1"/>
  <c r="G43" i="123" s="1"/>
  <c r="I41" i="119"/>
  <c r="D906" i="93" s="1"/>
  <c r="G42" i="123" s="1"/>
  <c r="I40" i="119"/>
  <c r="D881" i="93" s="1"/>
  <c r="G41" i="123" s="1"/>
  <c r="I39" i="119"/>
  <c r="D856" i="93" s="1"/>
  <c r="G40" i="123" s="1"/>
  <c r="I38" i="119"/>
  <c r="D831" i="93" s="1"/>
  <c r="G39" i="123" s="1"/>
  <c r="I37" i="119"/>
  <c r="D806" i="93" s="1"/>
  <c r="G38" i="123" s="1"/>
  <c r="I36" i="119"/>
  <c r="D781" i="93" s="1"/>
  <c r="G37" i="123" s="1"/>
  <c r="I34" i="119"/>
  <c r="D731" i="93" s="1"/>
  <c r="G35" i="123" s="1"/>
  <c r="I33" i="119"/>
  <c r="D706" i="93" s="1"/>
  <c r="G34" i="123" s="1"/>
  <c r="I32" i="119"/>
  <c r="D681" i="93" s="1"/>
  <c r="I31" i="119"/>
  <c r="D656" i="93" s="1"/>
  <c r="G32" i="123" s="1"/>
  <c r="I30" i="119"/>
  <c r="D631" i="93" s="1"/>
  <c r="G31" i="123" s="1"/>
  <c r="I29" i="119"/>
  <c r="D606" i="93" s="1"/>
  <c r="G30" i="123" s="1"/>
  <c r="I28" i="119"/>
  <c r="D581" i="93" s="1"/>
  <c r="G29" i="123" s="1"/>
  <c r="I27" i="119"/>
  <c r="D556" i="93" s="1"/>
  <c r="G28" i="123" s="1"/>
  <c r="I26" i="119"/>
  <c r="D531" i="93" s="1"/>
  <c r="G27" i="123" s="1"/>
  <c r="I25" i="119"/>
  <c r="D506" i="93" s="1"/>
  <c r="G26" i="123" s="1"/>
  <c r="I24" i="119"/>
  <c r="D481" i="93" s="1"/>
  <c r="G25" i="123" s="1"/>
  <c r="I23" i="119"/>
  <c r="D456" i="93" s="1"/>
  <c r="G24" i="123" s="1"/>
  <c r="I22" i="119"/>
  <c r="D431" i="93" s="1"/>
  <c r="G23" i="123" s="1"/>
  <c r="I21" i="119"/>
  <c r="D406" i="93" s="1"/>
  <c r="G22" i="123" s="1"/>
  <c r="I20" i="119"/>
  <c r="D381" i="93" s="1"/>
  <c r="G21" i="123" s="1"/>
  <c r="I19" i="119"/>
  <c r="D356" i="93" s="1"/>
  <c r="G20" i="123" s="1"/>
  <c r="I18" i="119"/>
  <c r="D331" i="93" s="1"/>
  <c r="G19" i="123" s="1"/>
  <c r="I17" i="119"/>
  <c r="D306" i="93" s="1"/>
  <c r="G18" i="123" s="1"/>
  <c r="I16" i="119"/>
  <c r="D281" i="93" s="1"/>
  <c r="G17" i="123" s="1"/>
  <c r="I15" i="119"/>
  <c r="D256" i="93" s="1"/>
  <c r="G16" i="123" s="1"/>
  <c r="I14" i="119"/>
  <c r="D231" i="93" s="1"/>
  <c r="G15" i="123" s="1"/>
  <c r="I13" i="119"/>
  <c r="D206" i="93" s="1"/>
  <c r="G14" i="123" s="1"/>
  <c r="I12" i="119"/>
  <c r="D181" i="93" s="1"/>
  <c r="G13" i="123" s="1"/>
  <c r="I11" i="119"/>
  <c r="D156" i="93" s="1"/>
  <c r="G12" i="123" s="1"/>
  <c r="I10" i="119"/>
  <c r="D131" i="93" s="1"/>
  <c r="G11" i="123" s="1"/>
  <c r="I9" i="119"/>
  <c r="D106" i="93" s="1"/>
  <c r="G10" i="123" s="1"/>
  <c r="I8" i="119"/>
  <c r="D81" i="93" s="1"/>
  <c r="I7" i="119"/>
  <c r="D56" i="93" s="1"/>
  <c r="I6" i="119"/>
  <c r="D31" i="93" s="1"/>
  <c r="I5" i="119"/>
  <c r="D6" i="93" s="1"/>
  <c r="B6" i="119"/>
  <c r="AB16" i="54"/>
  <c r="J5" i="119" l="1"/>
  <c r="G6" i="123"/>
  <c r="D56" i="48"/>
  <c r="G8" i="125" s="1"/>
  <c r="G8" i="123"/>
  <c r="J6" i="119"/>
  <c r="G7" i="123"/>
  <c r="D81" i="48"/>
  <c r="G9" i="125" s="1"/>
  <c r="G9" i="123"/>
  <c r="D681" i="48"/>
  <c r="G33" i="125" s="1"/>
  <c r="G33" i="123"/>
  <c r="S15" i="119"/>
  <c r="S19" i="119"/>
  <c r="S23" i="119"/>
  <c r="S27" i="119"/>
  <c r="S31" i="119"/>
  <c r="S35" i="119"/>
  <c r="S39" i="119"/>
  <c r="S43" i="119"/>
  <c r="S16" i="119"/>
  <c r="S20" i="119"/>
  <c r="S24" i="119"/>
  <c r="S28" i="119"/>
  <c r="S32" i="119"/>
  <c r="S36" i="119"/>
  <c r="S40" i="119"/>
  <c r="S44" i="119"/>
  <c r="S13" i="119"/>
  <c r="S17" i="119"/>
  <c r="S21" i="119"/>
  <c r="S25" i="119"/>
  <c r="S29" i="119"/>
  <c r="S33" i="119"/>
  <c r="S37" i="119"/>
  <c r="S41" i="119"/>
  <c r="S14" i="119"/>
  <c r="S18" i="119"/>
  <c r="S22" i="119"/>
  <c r="S26" i="119"/>
  <c r="S30" i="119"/>
  <c r="S34" i="119"/>
  <c r="S38" i="119"/>
  <c r="S42" i="119"/>
  <c r="L5" i="119"/>
  <c r="S6" i="119"/>
  <c r="S10" i="119"/>
  <c r="S11" i="119"/>
  <c r="S8" i="119"/>
  <c r="S12" i="119"/>
  <c r="S9" i="119"/>
  <c r="S7" i="119"/>
  <c r="J22" i="119"/>
  <c r="D431" i="48"/>
  <c r="G23" i="125" s="1"/>
  <c r="J15" i="119"/>
  <c r="D256" i="48"/>
  <c r="G16" i="125" s="1"/>
  <c r="J23" i="119"/>
  <c r="D456" i="48"/>
  <c r="G24" i="125" s="1"/>
  <c r="J31" i="119"/>
  <c r="D656" i="48"/>
  <c r="G32" i="125" s="1"/>
  <c r="J40" i="119"/>
  <c r="D881" i="48"/>
  <c r="G41" i="125" s="1"/>
  <c r="J35" i="119"/>
  <c r="D756" i="48"/>
  <c r="G36" i="125" s="1"/>
  <c r="J14" i="119"/>
  <c r="D231" i="48"/>
  <c r="G15" i="125" s="1"/>
  <c r="J39" i="119"/>
  <c r="D856" i="48"/>
  <c r="G40" i="125" s="1"/>
  <c r="J16" i="119"/>
  <c r="D281" i="48"/>
  <c r="G17" i="125" s="1"/>
  <c r="J24" i="119"/>
  <c r="D481" i="48"/>
  <c r="G25" i="125" s="1"/>
  <c r="J41" i="119"/>
  <c r="D906" i="48"/>
  <c r="G42" i="125" s="1"/>
  <c r="J30" i="119"/>
  <c r="D631" i="48"/>
  <c r="G31" i="125" s="1"/>
  <c r="J9" i="119"/>
  <c r="D106" i="48"/>
  <c r="G10" i="125" s="1"/>
  <c r="J17" i="119"/>
  <c r="D306" i="48"/>
  <c r="G18" i="125" s="1"/>
  <c r="J25" i="119"/>
  <c r="D506" i="48"/>
  <c r="G26" i="125" s="1"/>
  <c r="J33" i="119"/>
  <c r="D706" i="48"/>
  <c r="G34" i="125" s="1"/>
  <c r="J42" i="119"/>
  <c r="D931" i="48"/>
  <c r="G43" i="125" s="1"/>
  <c r="J32" i="119"/>
  <c r="J34" i="119"/>
  <c r="D731" i="48"/>
  <c r="G35" i="125" s="1"/>
  <c r="J18" i="119"/>
  <c r="D331" i="48"/>
  <c r="G19" i="125" s="1"/>
  <c r="J11" i="119"/>
  <c r="D156" i="48"/>
  <c r="G12" i="125" s="1"/>
  <c r="J19" i="119"/>
  <c r="D356" i="48"/>
  <c r="G20" i="125" s="1"/>
  <c r="J27" i="119"/>
  <c r="D556" i="48"/>
  <c r="G28" i="125" s="1"/>
  <c r="J36" i="119"/>
  <c r="D781" i="48"/>
  <c r="G37" i="125" s="1"/>
  <c r="J44" i="119"/>
  <c r="G45" i="125"/>
  <c r="J43" i="119"/>
  <c r="D956" i="48"/>
  <c r="G44" i="125" s="1"/>
  <c r="J12" i="119"/>
  <c r="D181" i="48"/>
  <c r="G13" i="125" s="1"/>
  <c r="J20" i="119"/>
  <c r="D381" i="48"/>
  <c r="G21" i="125" s="1"/>
  <c r="J28" i="119"/>
  <c r="D581" i="48"/>
  <c r="G29" i="125" s="1"/>
  <c r="J37" i="119"/>
  <c r="D806" i="48"/>
  <c r="G38" i="125" s="1"/>
  <c r="P76" i="48"/>
  <c r="Q101" i="48"/>
  <c r="J10" i="119"/>
  <c r="D131" i="48"/>
  <c r="G11" i="125" s="1"/>
  <c r="J26" i="119"/>
  <c r="D531" i="48"/>
  <c r="G27" i="125" s="1"/>
  <c r="J13" i="119"/>
  <c r="D206" i="48"/>
  <c r="G14" i="125" s="1"/>
  <c r="J21" i="119"/>
  <c r="D406" i="48"/>
  <c r="G22" i="125" s="1"/>
  <c r="J29" i="119"/>
  <c r="D606" i="48"/>
  <c r="G30" i="125" s="1"/>
  <c r="J38" i="119"/>
  <c r="D831" i="48"/>
  <c r="G39" i="125" s="1"/>
  <c r="BE23" i="120"/>
  <c r="BF22" i="120"/>
  <c r="BJ22" i="120"/>
  <c r="BK22" i="120" s="1"/>
  <c r="BL22" i="120" s="1"/>
  <c r="BI22" i="120"/>
  <c r="BG22" i="120"/>
  <c r="BH22" i="120" s="1"/>
  <c r="J7" i="119"/>
  <c r="J8" i="119"/>
  <c r="AB19" i="54"/>
  <c r="S5" i="119"/>
  <c r="L6" i="119"/>
  <c r="L10" i="119"/>
  <c r="L14" i="119"/>
  <c r="L18" i="119"/>
  <c r="L22" i="119"/>
  <c r="L26" i="119"/>
  <c r="L30" i="119"/>
  <c r="L34" i="119"/>
  <c r="L38" i="119"/>
  <c r="L42" i="119"/>
  <c r="L8" i="119"/>
  <c r="L12" i="119"/>
  <c r="L16" i="119"/>
  <c r="L20" i="119"/>
  <c r="L24" i="119"/>
  <c r="L28" i="119"/>
  <c r="L32" i="119"/>
  <c r="L36" i="119"/>
  <c r="L40" i="119"/>
  <c r="L44" i="119"/>
  <c r="L17" i="119"/>
  <c r="L21" i="119"/>
  <c r="L25" i="119"/>
  <c r="L9" i="119"/>
  <c r="L13" i="119"/>
  <c r="L29" i="119"/>
  <c r="L33" i="119"/>
  <c r="L37" i="119"/>
  <c r="L41" i="119"/>
  <c r="L7" i="119"/>
  <c r="L11" i="119"/>
  <c r="L15" i="119"/>
  <c r="L19" i="119"/>
  <c r="L23" i="119"/>
  <c r="L27" i="119"/>
  <c r="L31" i="119"/>
  <c r="L35" i="119"/>
  <c r="L39" i="119"/>
  <c r="L43" i="119"/>
  <c r="U8" i="119"/>
  <c r="T8" i="119"/>
  <c r="T18" i="119"/>
  <c r="U18" i="119"/>
  <c r="T7" i="119"/>
  <c r="U7" i="119"/>
  <c r="T5" i="119"/>
  <c r="U5" i="119"/>
  <c r="T11" i="119"/>
  <c r="U11" i="119"/>
  <c r="T21" i="119"/>
  <c r="U21" i="119"/>
  <c r="U9" i="119"/>
  <c r="T9" i="119"/>
  <c r="U6" i="119"/>
  <c r="T6" i="119"/>
  <c r="T15" i="119"/>
  <c r="U15" i="119"/>
  <c r="U10" i="119"/>
  <c r="T10" i="119"/>
  <c r="U24" i="119"/>
  <c r="T24" i="119"/>
  <c r="T13" i="119"/>
  <c r="U13" i="119"/>
  <c r="T35" i="119"/>
  <c r="U35" i="119"/>
  <c r="U12" i="119"/>
  <c r="T12" i="119"/>
  <c r="U14" i="119"/>
  <c r="T14" i="119"/>
  <c r="T31" i="119"/>
  <c r="U31" i="119"/>
  <c r="T17" i="119"/>
  <c r="U17" i="119"/>
  <c r="T22" i="119"/>
  <c r="U22" i="119"/>
  <c r="U28" i="119"/>
  <c r="T28" i="119"/>
  <c r="U16" i="119"/>
  <c r="T16" i="119"/>
  <c r="U20" i="119"/>
  <c r="T20" i="119"/>
  <c r="U36" i="119"/>
  <c r="T36" i="119"/>
  <c r="U19" i="119"/>
  <c r="T19" i="119"/>
  <c r="T23" i="119"/>
  <c r="U23" i="119"/>
  <c r="U27" i="119"/>
  <c r="T27" i="119"/>
  <c r="T26" i="119"/>
  <c r="U26" i="119"/>
  <c r="U29" i="119"/>
  <c r="T29" i="119"/>
  <c r="U30" i="119"/>
  <c r="T30" i="119"/>
  <c r="U25" i="119"/>
  <c r="T25" i="119"/>
  <c r="T32" i="119"/>
  <c r="U32" i="119"/>
  <c r="T37" i="119"/>
  <c r="U37" i="119"/>
  <c r="U34" i="119"/>
  <c r="T34" i="119"/>
  <c r="T33" i="119"/>
  <c r="U33" i="119"/>
  <c r="U40" i="119"/>
  <c r="T40" i="119"/>
  <c r="U44" i="119"/>
  <c r="T44" i="119"/>
  <c r="T39" i="119"/>
  <c r="U39" i="119"/>
  <c r="U43" i="119"/>
  <c r="T43" i="119"/>
  <c r="U38" i="119"/>
  <c r="T38" i="119"/>
  <c r="U42" i="119"/>
  <c r="T42" i="119"/>
  <c r="T41" i="119"/>
  <c r="U41" i="119"/>
  <c r="B43" i="119"/>
  <c r="B44" i="119"/>
  <c r="B41" i="119"/>
  <c r="B38" i="119"/>
  <c r="B35" i="119"/>
  <c r="B39" i="119"/>
  <c r="B40" i="119"/>
  <c r="B34" i="119"/>
  <c r="B33" i="119"/>
  <c r="B31" i="119"/>
  <c r="B36" i="119"/>
  <c r="B32" i="119"/>
  <c r="B28" i="119"/>
  <c r="B25" i="119"/>
  <c r="B30" i="119"/>
  <c r="B37" i="119"/>
  <c r="B29" i="119"/>
  <c r="B21" i="119"/>
  <c r="B17" i="119"/>
  <c r="B42" i="119"/>
  <c r="B24" i="119"/>
  <c r="B15" i="119"/>
  <c r="B23" i="119"/>
  <c r="B18" i="119"/>
  <c r="B22" i="119"/>
  <c r="B14" i="119"/>
  <c r="B27" i="119"/>
  <c r="B16" i="119"/>
  <c r="B26" i="119"/>
  <c r="B20" i="119"/>
  <c r="B13" i="119"/>
  <c r="B9" i="119"/>
  <c r="B19" i="119"/>
  <c r="B10" i="119"/>
  <c r="B7" i="119"/>
  <c r="B11" i="119"/>
  <c r="B5" i="119"/>
  <c r="B8" i="119"/>
  <c r="B12" i="119"/>
  <c r="AB18" i="54"/>
  <c r="P101" i="48" l="1"/>
  <c r="Q126" i="48"/>
  <c r="BG23" i="120"/>
  <c r="BH23" i="120" s="1"/>
  <c r="BE24" i="120"/>
  <c r="BJ23" i="120"/>
  <c r="BK23" i="120" s="1"/>
  <c r="BL23" i="120" s="1"/>
  <c r="BI23" i="120"/>
  <c r="BF23" i="120"/>
  <c r="W30" i="61"/>
  <c r="X30" i="61"/>
  <c r="Y30" i="61"/>
  <c r="Z30" i="61"/>
  <c r="AA30" i="61"/>
  <c r="AB30" i="61"/>
  <c r="AC30" i="61"/>
  <c r="AD30" i="61"/>
  <c r="AE30" i="61"/>
  <c r="AF30" i="61"/>
  <c r="AG30" i="61"/>
  <c r="AH30" i="61"/>
  <c r="AI30" i="61"/>
  <c r="AJ30" i="61"/>
  <c r="AK30" i="61"/>
  <c r="AL30" i="61"/>
  <c r="AM30" i="61"/>
  <c r="AN30" i="61"/>
  <c r="AO30" i="61"/>
  <c r="AP30" i="61"/>
  <c r="AQ30" i="61"/>
  <c r="AR30" i="61"/>
  <c r="AS30" i="61"/>
  <c r="AT30" i="61"/>
  <c r="AU30" i="61"/>
  <c r="AV30" i="61"/>
  <c r="AW30" i="61"/>
  <c r="AX30" i="61"/>
  <c r="AY30" i="61"/>
  <c r="AZ30" i="61"/>
  <c r="BA30" i="61"/>
  <c r="W63" i="61"/>
  <c r="X63" i="61"/>
  <c r="Y63" i="61"/>
  <c r="Z63" i="61"/>
  <c r="AA63" i="61"/>
  <c r="AB63" i="61"/>
  <c r="AC63" i="61"/>
  <c r="AD63" i="61"/>
  <c r="AE63" i="61"/>
  <c r="AF63" i="61"/>
  <c r="AG63" i="61"/>
  <c r="AH63" i="61"/>
  <c r="AI63" i="61"/>
  <c r="AJ63" i="61"/>
  <c r="AK63" i="61"/>
  <c r="AL63" i="61"/>
  <c r="AM63" i="61"/>
  <c r="AN63" i="61"/>
  <c r="AO63" i="61"/>
  <c r="AP63" i="61"/>
  <c r="AQ63" i="61"/>
  <c r="AR63" i="61"/>
  <c r="AS63" i="61"/>
  <c r="AT63" i="61"/>
  <c r="AU63" i="61"/>
  <c r="AV63" i="61"/>
  <c r="AW63" i="61"/>
  <c r="AX63" i="61"/>
  <c r="AY63" i="61"/>
  <c r="AZ63" i="61"/>
  <c r="BA63" i="61"/>
  <c r="W111" i="61"/>
  <c r="X111" i="61"/>
  <c r="Y111" i="61"/>
  <c r="Z111" i="61"/>
  <c r="AA111" i="61"/>
  <c r="AB111" i="61"/>
  <c r="AC111" i="61"/>
  <c r="AD111" i="61"/>
  <c r="AE111" i="61"/>
  <c r="AF111" i="61"/>
  <c r="AG111" i="61"/>
  <c r="AH111" i="61"/>
  <c r="AI111" i="61"/>
  <c r="AJ111" i="61"/>
  <c r="AK111" i="61"/>
  <c r="AL111" i="61"/>
  <c r="AM111" i="61"/>
  <c r="AN111" i="61"/>
  <c r="AO111" i="61"/>
  <c r="AP111" i="61"/>
  <c r="AQ111" i="61"/>
  <c r="AR111" i="61"/>
  <c r="AS111" i="61"/>
  <c r="AT111" i="61"/>
  <c r="AU111" i="61"/>
  <c r="AV111" i="61"/>
  <c r="AW111" i="61"/>
  <c r="AX111" i="61"/>
  <c r="AY111" i="61"/>
  <c r="AZ111" i="61"/>
  <c r="BA111" i="61"/>
  <c r="P126" i="48" l="1"/>
  <c r="Q151" i="48"/>
  <c r="BJ24" i="120"/>
  <c r="BK24" i="120" s="1"/>
  <c r="BL24" i="120" s="1"/>
  <c r="BI24" i="120"/>
  <c r="BG24" i="120"/>
  <c r="BH24" i="120" s="1"/>
  <c r="BE25" i="120"/>
  <c r="BF24" i="120"/>
  <c r="E8" i="60"/>
  <c r="P151" i="48" l="1"/>
  <c r="Q176" i="48"/>
  <c r="BI25" i="120"/>
  <c r="BG25" i="120"/>
  <c r="BH25" i="120" s="1"/>
  <c r="BE26" i="120"/>
  <c r="BF25" i="120"/>
  <c r="BJ25" i="120"/>
  <c r="BK25" i="120" s="1"/>
  <c r="BL25" i="120" s="1"/>
  <c r="BA120" i="60"/>
  <c r="AZ120" i="60"/>
  <c r="AY120" i="60"/>
  <c r="AX120" i="60"/>
  <c r="AW120" i="60"/>
  <c r="AV120" i="60"/>
  <c r="AU120" i="60"/>
  <c r="AT120" i="60"/>
  <c r="AS120" i="60"/>
  <c r="AR120" i="60"/>
  <c r="AQ120" i="60"/>
  <c r="AP120" i="60"/>
  <c r="AO120" i="60"/>
  <c r="AN120" i="60"/>
  <c r="AM120" i="60"/>
  <c r="AL120" i="60"/>
  <c r="AK120" i="60"/>
  <c r="AJ120" i="60"/>
  <c r="AI120" i="60"/>
  <c r="AH120" i="60"/>
  <c r="AG120" i="60"/>
  <c r="AF120" i="60"/>
  <c r="AE120" i="60"/>
  <c r="AD120" i="60"/>
  <c r="AC120" i="60"/>
  <c r="AB120" i="60"/>
  <c r="AA120" i="60"/>
  <c r="Z120" i="60"/>
  <c r="Y120" i="60"/>
  <c r="X120" i="60"/>
  <c r="W120" i="60"/>
  <c r="V120" i="60"/>
  <c r="U120" i="60"/>
  <c r="T120" i="60"/>
  <c r="S120" i="60"/>
  <c r="R120" i="60"/>
  <c r="Q120" i="60"/>
  <c r="M120" i="60"/>
  <c r="BA119" i="60"/>
  <c r="BA124" i="60" s="1"/>
  <c r="BA130" i="60" s="1"/>
  <c r="AZ119" i="60"/>
  <c r="AZ124" i="60" s="1"/>
  <c r="AZ130" i="60" s="1"/>
  <c r="AY119" i="60"/>
  <c r="AY124" i="60" s="1"/>
  <c r="AY130" i="60" s="1"/>
  <c r="AX119" i="60"/>
  <c r="AX124" i="60" s="1"/>
  <c r="AX130" i="60" s="1"/>
  <c r="AW119" i="60"/>
  <c r="AW124" i="60" s="1"/>
  <c r="AW130" i="60" s="1"/>
  <c r="AV119" i="60"/>
  <c r="AV124" i="60" s="1"/>
  <c r="AV130" i="60" s="1"/>
  <c r="AU119" i="60"/>
  <c r="AU124" i="60" s="1"/>
  <c r="AU130" i="60" s="1"/>
  <c r="AT119" i="60"/>
  <c r="AT124" i="60" s="1"/>
  <c r="AT130" i="60" s="1"/>
  <c r="AS119" i="60"/>
  <c r="AS124" i="60" s="1"/>
  <c r="AS130" i="60" s="1"/>
  <c r="AR119" i="60"/>
  <c r="AR124" i="60" s="1"/>
  <c r="AR130" i="60" s="1"/>
  <c r="AQ119" i="60"/>
  <c r="AQ124" i="60" s="1"/>
  <c r="AQ130" i="60" s="1"/>
  <c r="AP119" i="60"/>
  <c r="AP124" i="60" s="1"/>
  <c r="AP130" i="60" s="1"/>
  <c r="AO119" i="60"/>
  <c r="AO124" i="60" s="1"/>
  <c r="AO130" i="60" s="1"/>
  <c r="AN119" i="60"/>
  <c r="AN124" i="60" s="1"/>
  <c r="AN130" i="60" s="1"/>
  <c r="AM119" i="60"/>
  <c r="AM124" i="60" s="1"/>
  <c r="AM130" i="60" s="1"/>
  <c r="AL119" i="60"/>
  <c r="AL124" i="60" s="1"/>
  <c r="AL130" i="60" s="1"/>
  <c r="AK119" i="60"/>
  <c r="AK124" i="60" s="1"/>
  <c r="AK130" i="60" s="1"/>
  <c r="AJ119" i="60"/>
  <c r="AJ124" i="60" s="1"/>
  <c r="AJ130" i="60" s="1"/>
  <c r="AI119" i="60"/>
  <c r="AI124" i="60" s="1"/>
  <c r="AI130" i="60" s="1"/>
  <c r="AH119" i="60"/>
  <c r="AH124" i="60" s="1"/>
  <c r="AH130" i="60" s="1"/>
  <c r="AG119" i="60"/>
  <c r="AG124" i="60" s="1"/>
  <c r="AG130" i="60" s="1"/>
  <c r="AF119" i="60"/>
  <c r="AF124" i="60" s="1"/>
  <c r="AF130" i="60" s="1"/>
  <c r="AE119" i="60"/>
  <c r="AE124" i="60" s="1"/>
  <c r="AE130" i="60" s="1"/>
  <c r="AD119" i="60"/>
  <c r="AD124" i="60" s="1"/>
  <c r="AD130" i="60" s="1"/>
  <c r="AC119" i="60"/>
  <c r="AC124" i="60" s="1"/>
  <c r="AC130" i="60" s="1"/>
  <c r="AB119" i="60"/>
  <c r="AB124" i="60" s="1"/>
  <c r="AB130" i="60" s="1"/>
  <c r="AA119" i="60"/>
  <c r="AA124" i="60" s="1"/>
  <c r="AA130" i="60" s="1"/>
  <c r="Z119" i="60"/>
  <c r="Z124" i="60" s="1"/>
  <c r="Z130" i="60" s="1"/>
  <c r="Y119" i="60"/>
  <c r="Y124" i="60" s="1"/>
  <c r="Y130" i="60" s="1"/>
  <c r="X119" i="60"/>
  <c r="X124" i="60" s="1"/>
  <c r="X130" i="60" s="1"/>
  <c r="W119" i="60"/>
  <c r="W124" i="60" s="1"/>
  <c r="W130" i="60" s="1"/>
  <c r="V119" i="60"/>
  <c r="V124" i="60" s="1"/>
  <c r="V130" i="60" s="1"/>
  <c r="U119" i="60"/>
  <c r="U124" i="60" s="1"/>
  <c r="U130" i="60" s="1"/>
  <c r="T119" i="60"/>
  <c r="T124" i="60" s="1"/>
  <c r="T130" i="60" s="1"/>
  <c r="S119" i="60"/>
  <c r="S124" i="60" s="1"/>
  <c r="S130" i="60" s="1"/>
  <c r="R119" i="60"/>
  <c r="R124" i="60" s="1"/>
  <c r="R130" i="60" s="1"/>
  <c r="Q119" i="60"/>
  <c r="Q124" i="60" s="1"/>
  <c r="Q130" i="60" s="1"/>
  <c r="M119" i="60"/>
  <c r="M124" i="60" s="1"/>
  <c r="M130" i="60" l="1"/>
  <c r="M125" i="60"/>
  <c r="P176" i="48"/>
  <c r="Q201" i="48"/>
  <c r="BG26" i="120"/>
  <c r="BH26" i="120" s="1"/>
  <c r="BE27" i="120"/>
  <c r="BF26" i="120"/>
  <c r="BI26" i="120"/>
  <c r="BJ26" i="120"/>
  <c r="BK26" i="120" s="1"/>
  <c r="BL26" i="120" s="1"/>
  <c r="F35" i="119"/>
  <c r="I765" i="93" s="1"/>
  <c r="F19" i="119"/>
  <c r="I365" i="93" s="1"/>
  <c r="F36" i="119"/>
  <c r="I790" i="93" s="1"/>
  <c r="F21" i="119"/>
  <c r="I415" i="93" s="1"/>
  <c r="F20" i="119"/>
  <c r="I390" i="93" s="1"/>
  <c r="F37" i="119"/>
  <c r="I815" i="93" s="1"/>
  <c r="F30" i="119"/>
  <c r="I640" i="93" s="1"/>
  <c r="F43" i="119"/>
  <c r="I965" i="93" s="1"/>
  <c r="F44" i="119"/>
  <c r="I990" i="93" s="1"/>
  <c r="F22" i="119"/>
  <c r="I440" i="93" s="1"/>
  <c r="F15" i="119"/>
  <c r="I265" i="93" s="1"/>
  <c r="F27" i="119"/>
  <c r="I565" i="93" s="1"/>
  <c r="F28" i="119"/>
  <c r="I590" i="93" s="1"/>
  <c r="F29" i="119"/>
  <c r="I615" i="93" s="1"/>
  <c r="F14" i="119"/>
  <c r="I240" i="93" s="1"/>
  <c r="F38" i="119"/>
  <c r="I840" i="93" s="1"/>
  <c r="F31" i="119"/>
  <c r="I665" i="93" s="1"/>
  <c r="F16" i="119"/>
  <c r="I290" i="93" s="1"/>
  <c r="F40" i="119"/>
  <c r="I890" i="93" s="1"/>
  <c r="F12" i="119"/>
  <c r="I190" i="93" s="1"/>
  <c r="F39" i="119"/>
  <c r="I865" i="93" s="1"/>
  <c r="F24" i="119"/>
  <c r="I490" i="93" s="1"/>
  <c r="F9" i="119"/>
  <c r="I115" i="93" s="1"/>
  <c r="F17" i="119"/>
  <c r="I315" i="93" s="1"/>
  <c r="F25" i="119"/>
  <c r="I515" i="93" s="1"/>
  <c r="F33" i="119"/>
  <c r="I715" i="93" s="1"/>
  <c r="F41" i="119"/>
  <c r="I915" i="93" s="1"/>
  <c r="F11" i="119"/>
  <c r="I165" i="93" s="1"/>
  <c r="F13" i="119"/>
  <c r="I215" i="93" s="1"/>
  <c r="F23" i="119"/>
  <c r="I465" i="93" s="1"/>
  <c r="F8" i="119"/>
  <c r="I90" i="93" s="1"/>
  <c r="F32" i="119"/>
  <c r="I690" i="93" s="1"/>
  <c r="F10" i="119"/>
  <c r="I140" i="93" s="1"/>
  <c r="F18" i="119"/>
  <c r="I340" i="93" s="1"/>
  <c r="F26" i="119"/>
  <c r="I540" i="93" s="1"/>
  <c r="F34" i="119"/>
  <c r="I740" i="93" s="1"/>
  <c r="F42" i="119"/>
  <c r="I940" i="93" s="1"/>
  <c r="I640" i="48" l="1"/>
  <c r="P31" i="123"/>
  <c r="I465" i="48"/>
  <c r="P24" i="123"/>
  <c r="I490" i="48"/>
  <c r="P25" i="123"/>
  <c r="I615" i="48"/>
  <c r="P30" i="123"/>
  <c r="I815" i="48"/>
  <c r="P38" i="123"/>
  <c r="I390" i="48"/>
  <c r="P21" i="123"/>
  <c r="I90" i="48"/>
  <c r="P9" i="123"/>
  <c r="I940" i="48"/>
  <c r="P43" i="123"/>
  <c r="I740" i="48"/>
  <c r="P35" i="123"/>
  <c r="I415" i="48"/>
  <c r="P22" i="123"/>
  <c r="I590" i="48"/>
  <c r="P29" i="123"/>
  <c r="I165" i="48"/>
  <c r="P12" i="123"/>
  <c r="I540" i="48"/>
  <c r="P27" i="123"/>
  <c r="I915" i="48"/>
  <c r="P42" i="123"/>
  <c r="I890" i="48"/>
  <c r="P41" i="123"/>
  <c r="I265" i="48"/>
  <c r="P16" i="123"/>
  <c r="I790" i="48"/>
  <c r="P37" i="123"/>
  <c r="I240" i="48"/>
  <c r="P15" i="123"/>
  <c r="I865" i="48"/>
  <c r="P40" i="123"/>
  <c r="I565" i="48"/>
  <c r="P28" i="123"/>
  <c r="I715" i="48"/>
  <c r="P34" i="123"/>
  <c r="I290" i="48"/>
  <c r="P17" i="123"/>
  <c r="I440" i="48"/>
  <c r="P23" i="123"/>
  <c r="I365" i="48"/>
  <c r="P20" i="123"/>
  <c r="I115" i="48"/>
  <c r="P10" i="123"/>
  <c r="I215" i="48"/>
  <c r="P14" i="123"/>
  <c r="I190" i="48"/>
  <c r="P13" i="123"/>
  <c r="I340" i="48"/>
  <c r="P19" i="123"/>
  <c r="I140" i="48"/>
  <c r="P11" i="123"/>
  <c r="I515" i="48"/>
  <c r="P26" i="123"/>
  <c r="I665" i="48"/>
  <c r="P32" i="123"/>
  <c r="I990" i="48"/>
  <c r="P45" i="123"/>
  <c r="I765" i="48"/>
  <c r="P36" i="123"/>
  <c r="P33" i="123"/>
  <c r="I690" i="48"/>
  <c r="I315" i="48"/>
  <c r="P18" i="123"/>
  <c r="I840" i="48"/>
  <c r="P39" i="123"/>
  <c r="I965" i="48"/>
  <c r="P44" i="123"/>
  <c r="P201" i="48"/>
  <c r="Q226" i="48"/>
  <c r="BG27" i="120"/>
  <c r="BF27" i="120"/>
  <c r="BJ27" i="120"/>
  <c r="BK27" i="120" s="1"/>
  <c r="BL27" i="120" s="1"/>
  <c r="BI27" i="120"/>
  <c r="BE28" i="120"/>
  <c r="I110" i="117"/>
  <c r="C110" i="117"/>
  <c r="I109" i="117"/>
  <c r="C109" i="117"/>
  <c r="I108" i="117"/>
  <c r="C108" i="117"/>
  <c r="I107" i="117"/>
  <c r="C107" i="117"/>
  <c r="I106" i="117"/>
  <c r="C106" i="117"/>
  <c r="I104" i="117"/>
  <c r="I103" i="117"/>
  <c r="C103" i="117"/>
  <c r="I102" i="117"/>
  <c r="I101" i="117"/>
  <c r="C101" i="117"/>
  <c r="I100" i="117"/>
  <c r="I99" i="117"/>
  <c r="C99" i="117"/>
  <c r="I98" i="117"/>
  <c r="I97" i="117"/>
  <c r="C97" i="117"/>
  <c r="I96" i="117"/>
  <c r="I95" i="117"/>
  <c r="C95" i="117"/>
  <c r="I94" i="117"/>
  <c r="I93" i="117"/>
  <c r="C93" i="117"/>
  <c r="I92" i="117"/>
  <c r="I91" i="117"/>
  <c r="C91" i="117"/>
  <c r="I90" i="117"/>
  <c r="I89" i="117"/>
  <c r="C89" i="117"/>
  <c r="I88" i="117"/>
  <c r="I87" i="117"/>
  <c r="C87" i="117"/>
  <c r="I86" i="117"/>
  <c r="I85" i="117"/>
  <c r="C85" i="117"/>
  <c r="I84" i="117"/>
  <c r="I83" i="117"/>
  <c r="C83" i="117"/>
  <c r="I82" i="117"/>
  <c r="I81" i="117"/>
  <c r="C81" i="117"/>
  <c r="I80" i="117"/>
  <c r="I79" i="117"/>
  <c r="C79" i="117"/>
  <c r="I78" i="117"/>
  <c r="I77" i="117"/>
  <c r="C77" i="117"/>
  <c r="I76" i="117"/>
  <c r="I75" i="117"/>
  <c r="C75" i="117"/>
  <c r="I74" i="117"/>
  <c r="I73" i="117"/>
  <c r="C73" i="117"/>
  <c r="I72" i="117"/>
  <c r="I71" i="117"/>
  <c r="C71" i="117"/>
  <c r="I70" i="117"/>
  <c r="I69" i="117"/>
  <c r="C69" i="117"/>
  <c r="I68" i="117"/>
  <c r="I67" i="117"/>
  <c r="C67" i="117"/>
  <c r="I66" i="117"/>
  <c r="I65" i="117"/>
  <c r="C65" i="117"/>
  <c r="O62" i="117"/>
  <c r="I62" i="117"/>
  <c r="H62" i="117"/>
  <c r="O61" i="117"/>
  <c r="I61" i="117"/>
  <c r="H61" i="117"/>
  <c r="O60" i="117"/>
  <c r="I60" i="117"/>
  <c r="H60" i="117"/>
  <c r="O59" i="117"/>
  <c r="I59" i="117"/>
  <c r="H59" i="117"/>
  <c r="P57" i="117"/>
  <c r="O57" i="117"/>
  <c r="I57" i="117"/>
  <c r="H57" i="117"/>
  <c r="D57" i="117"/>
  <c r="P56" i="117"/>
  <c r="O56" i="117"/>
  <c r="I56" i="117"/>
  <c r="H56" i="117"/>
  <c r="D56" i="117"/>
  <c r="P55" i="117"/>
  <c r="O55" i="117"/>
  <c r="I55" i="117"/>
  <c r="H55" i="117"/>
  <c r="D55" i="117"/>
  <c r="O54" i="117"/>
  <c r="I54" i="117"/>
  <c r="H54" i="117"/>
  <c r="O53" i="117"/>
  <c r="I53" i="117"/>
  <c r="H53" i="117"/>
  <c r="O52" i="117"/>
  <c r="I52" i="117"/>
  <c r="H52" i="117"/>
  <c r="O51" i="117"/>
  <c r="I51" i="117"/>
  <c r="H51" i="117"/>
  <c r="O50" i="117"/>
  <c r="I50" i="117"/>
  <c r="H50" i="117"/>
  <c r="O49" i="117"/>
  <c r="I49" i="117"/>
  <c r="H49" i="117"/>
  <c r="O48" i="117"/>
  <c r="I48" i="117"/>
  <c r="H48" i="117"/>
  <c r="O47" i="117"/>
  <c r="I47" i="117"/>
  <c r="H47" i="117"/>
  <c r="O46" i="117"/>
  <c r="I46" i="117"/>
  <c r="H46" i="117"/>
  <c r="O45" i="117"/>
  <c r="I45" i="117"/>
  <c r="H45" i="117"/>
  <c r="O44" i="117"/>
  <c r="I44" i="117"/>
  <c r="H44" i="117"/>
  <c r="O43" i="117"/>
  <c r="I43" i="117"/>
  <c r="H43" i="117"/>
  <c r="O42" i="117"/>
  <c r="I42" i="117"/>
  <c r="H42" i="117"/>
  <c r="O41" i="117"/>
  <c r="I41" i="117"/>
  <c r="H41" i="117"/>
  <c r="O40" i="117"/>
  <c r="I40" i="117"/>
  <c r="H40" i="117"/>
  <c r="O39" i="117"/>
  <c r="I39" i="117"/>
  <c r="H39" i="117"/>
  <c r="O38" i="117"/>
  <c r="I38" i="117"/>
  <c r="H38" i="117"/>
  <c r="O37" i="117"/>
  <c r="I37" i="117"/>
  <c r="H37" i="117"/>
  <c r="O36" i="117"/>
  <c r="I36" i="117"/>
  <c r="H36" i="117"/>
  <c r="O35" i="117"/>
  <c r="I35" i="117"/>
  <c r="H35" i="117"/>
  <c r="O34" i="117"/>
  <c r="I34" i="117"/>
  <c r="H34" i="117"/>
  <c r="O33" i="117"/>
  <c r="I33" i="117"/>
  <c r="H33" i="117"/>
  <c r="O32" i="117"/>
  <c r="I32" i="117"/>
  <c r="H32" i="117"/>
  <c r="N1" i="117"/>
  <c r="P19" i="117" s="1"/>
  <c r="I110" i="116"/>
  <c r="C110" i="116"/>
  <c r="I109" i="116"/>
  <c r="C109" i="116"/>
  <c r="I108" i="116"/>
  <c r="C108" i="116"/>
  <c r="I107" i="116"/>
  <c r="C107" i="116"/>
  <c r="I106" i="116"/>
  <c r="C106" i="116"/>
  <c r="I104" i="116"/>
  <c r="I103" i="116"/>
  <c r="C103" i="116"/>
  <c r="I102" i="116"/>
  <c r="I101" i="116"/>
  <c r="C101" i="116"/>
  <c r="I100" i="116"/>
  <c r="I99" i="116"/>
  <c r="C99" i="116"/>
  <c r="I98" i="116"/>
  <c r="I97" i="116"/>
  <c r="C97" i="116"/>
  <c r="I96" i="116"/>
  <c r="I95" i="116"/>
  <c r="C95" i="116"/>
  <c r="I94" i="116"/>
  <c r="I93" i="116"/>
  <c r="C93" i="116"/>
  <c r="I92" i="116"/>
  <c r="I91" i="116"/>
  <c r="C91" i="116"/>
  <c r="I90" i="116"/>
  <c r="I89" i="116"/>
  <c r="C89" i="116"/>
  <c r="I88" i="116"/>
  <c r="I87" i="116"/>
  <c r="C87" i="116"/>
  <c r="I86" i="116"/>
  <c r="I85" i="116"/>
  <c r="C85" i="116"/>
  <c r="I84" i="116"/>
  <c r="I83" i="116"/>
  <c r="C83" i="116"/>
  <c r="I82" i="116"/>
  <c r="I81" i="116"/>
  <c r="C81" i="116"/>
  <c r="I80" i="116"/>
  <c r="I79" i="116"/>
  <c r="C79" i="116"/>
  <c r="I78" i="116"/>
  <c r="I77" i="116"/>
  <c r="C77" i="116"/>
  <c r="I76" i="116"/>
  <c r="I75" i="116"/>
  <c r="C75" i="116"/>
  <c r="I74" i="116"/>
  <c r="I73" i="116"/>
  <c r="C73" i="116"/>
  <c r="I72" i="116"/>
  <c r="I71" i="116"/>
  <c r="C71" i="116"/>
  <c r="I70" i="116"/>
  <c r="I69" i="116"/>
  <c r="C69" i="116"/>
  <c r="I68" i="116"/>
  <c r="I67" i="116"/>
  <c r="C67" i="116"/>
  <c r="I66" i="116"/>
  <c r="I65" i="116"/>
  <c r="C65" i="116"/>
  <c r="O62" i="116"/>
  <c r="I62" i="116"/>
  <c r="H62" i="116"/>
  <c r="O61" i="116"/>
  <c r="I61" i="116"/>
  <c r="H61" i="116"/>
  <c r="O60" i="116"/>
  <c r="I60" i="116"/>
  <c r="H60" i="116"/>
  <c r="O59" i="116"/>
  <c r="I59" i="116"/>
  <c r="H59" i="116"/>
  <c r="P57" i="116"/>
  <c r="O57" i="116"/>
  <c r="I57" i="116"/>
  <c r="H57" i="116"/>
  <c r="D57" i="116"/>
  <c r="P56" i="116"/>
  <c r="O56" i="116"/>
  <c r="I56" i="116"/>
  <c r="H56" i="116"/>
  <c r="D56" i="116"/>
  <c r="P55" i="116"/>
  <c r="O55" i="116"/>
  <c r="I55" i="116"/>
  <c r="H55" i="116"/>
  <c r="D55" i="116"/>
  <c r="O54" i="116"/>
  <c r="I54" i="116"/>
  <c r="H54" i="116"/>
  <c r="O53" i="116"/>
  <c r="I53" i="116"/>
  <c r="H53" i="116"/>
  <c r="O52" i="116"/>
  <c r="I52" i="116"/>
  <c r="H52" i="116"/>
  <c r="O51" i="116"/>
  <c r="I51" i="116"/>
  <c r="H51" i="116"/>
  <c r="O50" i="116"/>
  <c r="I50" i="116"/>
  <c r="H50" i="116"/>
  <c r="O49" i="116"/>
  <c r="I49" i="116"/>
  <c r="H49" i="116"/>
  <c r="O48" i="116"/>
  <c r="I48" i="116"/>
  <c r="H48" i="116"/>
  <c r="O47" i="116"/>
  <c r="I47" i="116"/>
  <c r="H47" i="116"/>
  <c r="O46" i="116"/>
  <c r="I46" i="116"/>
  <c r="H46" i="116"/>
  <c r="O45" i="116"/>
  <c r="I45" i="116"/>
  <c r="H45" i="116"/>
  <c r="O44" i="116"/>
  <c r="I44" i="116"/>
  <c r="H44" i="116"/>
  <c r="O43" i="116"/>
  <c r="I43" i="116"/>
  <c r="H43" i="116"/>
  <c r="O42" i="116"/>
  <c r="I42" i="116"/>
  <c r="H42" i="116"/>
  <c r="O41" i="116"/>
  <c r="I41" i="116"/>
  <c r="H41" i="116"/>
  <c r="O40" i="116"/>
  <c r="I40" i="116"/>
  <c r="H40" i="116"/>
  <c r="O39" i="116"/>
  <c r="I39" i="116"/>
  <c r="H39" i="116"/>
  <c r="O38" i="116"/>
  <c r="I38" i="116"/>
  <c r="H38" i="116"/>
  <c r="O37" i="116"/>
  <c r="I37" i="116"/>
  <c r="H37" i="116"/>
  <c r="O36" i="116"/>
  <c r="I36" i="116"/>
  <c r="H36" i="116"/>
  <c r="O35" i="116"/>
  <c r="I35" i="116"/>
  <c r="H35" i="116"/>
  <c r="O34" i="116"/>
  <c r="I34" i="116"/>
  <c r="H34" i="116"/>
  <c r="O33" i="116"/>
  <c r="I33" i="116"/>
  <c r="H33" i="116"/>
  <c r="O32" i="116"/>
  <c r="I32" i="116"/>
  <c r="H32" i="116"/>
  <c r="N1" i="116"/>
  <c r="P19" i="116" s="1"/>
  <c r="I110" i="115"/>
  <c r="C110" i="115"/>
  <c r="I109" i="115"/>
  <c r="C109" i="115"/>
  <c r="I108" i="115"/>
  <c r="C108" i="115"/>
  <c r="I107" i="115"/>
  <c r="C107" i="115"/>
  <c r="I106" i="115"/>
  <c r="C106" i="115"/>
  <c r="I104" i="115"/>
  <c r="I103" i="115"/>
  <c r="C103" i="115"/>
  <c r="I102" i="115"/>
  <c r="I101" i="115"/>
  <c r="C101" i="115"/>
  <c r="I100" i="115"/>
  <c r="I99" i="115"/>
  <c r="C99" i="115"/>
  <c r="I98" i="115"/>
  <c r="I97" i="115"/>
  <c r="C97" i="115"/>
  <c r="I96" i="115"/>
  <c r="I95" i="115"/>
  <c r="C95" i="115"/>
  <c r="I94" i="115"/>
  <c r="I93" i="115"/>
  <c r="C93" i="115"/>
  <c r="I92" i="115"/>
  <c r="I91" i="115"/>
  <c r="C91" i="115"/>
  <c r="I90" i="115"/>
  <c r="I89" i="115"/>
  <c r="C89" i="115"/>
  <c r="I88" i="115"/>
  <c r="I87" i="115"/>
  <c r="C87" i="115"/>
  <c r="I86" i="115"/>
  <c r="I85" i="115"/>
  <c r="C85" i="115"/>
  <c r="I84" i="115"/>
  <c r="I83" i="115"/>
  <c r="C83" i="115"/>
  <c r="I82" i="115"/>
  <c r="I81" i="115"/>
  <c r="C81" i="115"/>
  <c r="I80" i="115"/>
  <c r="I79" i="115"/>
  <c r="C79" i="115"/>
  <c r="I78" i="115"/>
  <c r="I77" i="115"/>
  <c r="C77" i="115"/>
  <c r="I76" i="115"/>
  <c r="I75" i="115"/>
  <c r="C75" i="115"/>
  <c r="I74" i="115"/>
  <c r="I73" i="115"/>
  <c r="C73" i="115"/>
  <c r="I72" i="115"/>
  <c r="I71" i="115"/>
  <c r="C71" i="115"/>
  <c r="I70" i="115"/>
  <c r="I69" i="115"/>
  <c r="C69" i="115"/>
  <c r="I68" i="115"/>
  <c r="I67" i="115"/>
  <c r="C67" i="115"/>
  <c r="I66" i="115"/>
  <c r="I65" i="115"/>
  <c r="C65" i="115"/>
  <c r="O62" i="115"/>
  <c r="I62" i="115"/>
  <c r="H62" i="115"/>
  <c r="O61" i="115"/>
  <c r="I61" i="115"/>
  <c r="H61" i="115"/>
  <c r="O60" i="115"/>
  <c r="I60" i="115"/>
  <c r="H60" i="115"/>
  <c r="O59" i="115"/>
  <c r="I59" i="115"/>
  <c r="H59" i="115"/>
  <c r="P57" i="115"/>
  <c r="O57" i="115"/>
  <c r="I57" i="115"/>
  <c r="H57" i="115"/>
  <c r="D57" i="115"/>
  <c r="P56" i="115"/>
  <c r="O56" i="115"/>
  <c r="I56" i="115"/>
  <c r="H56" i="115"/>
  <c r="D56" i="115"/>
  <c r="P55" i="115"/>
  <c r="O55" i="115"/>
  <c r="I55" i="115"/>
  <c r="H55" i="115"/>
  <c r="D55" i="115"/>
  <c r="O54" i="115"/>
  <c r="I54" i="115"/>
  <c r="H54" i="115"/>
  <c r="O53" i="115"/>
  <c r="I53" i="115"/>
  <c r="H53" i="115"/>
  <c r="O52" i="115"/>
  <c r="I52" i="115"/>
  <c r="H52" i="115"/>
  <c r="O51" i="115"/>
  <c r="I51" i="115"/>
  <c r="H51" i="115"/>
  <c r="O50" i="115"/>
  <c r="I50" i="115"/>
  <c r="H50" i="115"/>
  <c r="O49" i="115"/>
  <c r="I49" i="115"/>
  <c r="H49" i="115"/>
  <c r="O48" i="115"/>
  <c r="I48" i="115"/>
  <c r="H48" i="115"/>
  <c r="O47" i="115"/>
  <c r="I47" i="115"/>
  <c r="H47" i="115"/>
  <c r="O46" i="115"/>
  <c r="I46" i="115"/>
  <c r="H46" i="115"/>
  <c r="O45" i="115"/>
  <c r="I45" i="115"/>
  <c r="H45" i="115"/>
  <c r="O44" i="115"/>
  <c r="I44" i="115"/>
  <c r="H44" i="115"/>
  <c r="O43" i="115"/>
  <c r="I43" i="115"/>
  <c r="H43" i="115"/>
  <c r="O42" i="115"/>
  <c r="I42" i="115"/>
  <c r="H42" i="115"/>
  <c r="O41" i="115"/>
  <c r="I41" i="115"/>
  <c r="H41" i="115"/>
  <c r="O40" i="115"/>
  <c r="I40" i="115"/>
  <c r="H40" i="115"/>
  <c r="O39" i="115"/>
  <c r="I39" i="115"/>
  <c r="H39" i="115"/>
  <c r="O38" i="115"/>
  <c r="I38" i="115"/>
  <c r="H38" i="115"/>
  <c r="O37" i="115"/>
  <c r="I37" i="115"/>
  <c r="H37" i="115"/>
  <c r="O36" i="115"/>
  <c r="I36" i="115"/>
  <c r="H36" i="115"/>
  <c r="O35" i="115"/>
  <c r="I35" i="115"/>
  <c r="H35" i="115"/>
  <c r="O34" i="115"/>
  <c r="I34" i="115"/>
  <c r="H34" i="115"/>
  <c r="O33" i="115"/>
  <c r="I33" i="115"/>
  <c r="H33" i="115"/>
  <c r="O32" i="115"/>
  <c r="I32" i="115"/>
  <c r="H32" i="115"/>
  <c r="N1" i="115"/>
  <c r="P19" i="115" s="1"/>
  <c r="I110" i="114"/>
  <c r="C110" i="114"/>
  <c r="I109" i="114"/>
  <c r="C109" i="114"/>
  <c r="I108" i="114"/>
  <c r="C108" i="114"/>
  <c r="I107" i="114"/>
  <c r="C107" i="114"/>
  <c r="I106" i="114"/>
  <c r="C106" i="114"/>
  <c r="I104" i="114"/>
  <c r="I103" i="114"/>
  <c r="C103" i="114"/>
  <c r="I102" i="114"/>
  <c r="I101" i="114"/>
  <c r="C101" i="114"/>
  <c r="I100" i="114"/>
  <c r="I99" i="114"/>
  <c r="C99" i="114"/>
  <c r="I98" i="114"/>
  <c r="I97" i="114"/>
  <c r="C97" i="114"/>
  <c r="I96" i="114"/>
  <c r="I95" i="114"/>
  <c r="C95" i="114"/>
  <c r="I94" i="114"/>
  <c r="I93" i="114"/>
  <c r="C93" i="114"/>
  <c r="I92" i="114"/>
  <c r="I91" i="114"/>
  <c r="C91" i="114"/>
  <c r="I90" i="114"/>
  <c r="I89" i="114"/>
  <c r="C89" i="114"/>
  <c r="I88" i="114"/>
  <c r="I87" i="114"/>
  <c r="C87" i="114"/>
  <c r="I86" i="114"/>
  <c r="I85" i="114"/>
  <c r="C85" i="114"/>
  <c r="I84" i="114"/>
  <c r="I83" i="114"/>
  <c r="C83" i="114"/>
  <c r="I82" i="114"/>
  <c r="I81" i="114"/>
  <c r="C81" i="114"/>
  <c r="I80" i="114"/>
  <c r="I79" i="114"/>
  <c r="C79" i="114"/>
  <c r="I78" i="114"/>
  <c r="I77" i="114"/>
  <c r="C77" i="114"/>
  <c r="I76" i="114"/>
  <c r="I75" i="114"/>
  <c r="C75" i="114"/>
  <c r="I74" i="114"/>
  <c r="I73" i="114"/>
  <c r="C73" i="114"/>
  <c r="I72" i="114"/>
  <c r="I71" i="114"/>
  <c r="C71" i="114"/>
  <c r="I70" i="114"/>
  <c r="I69" i="114"/>
  <c r="C69" i="114"/>
  <c r="I68" i="114"/>
  <c r="I67" i="114"/>
  <c r="C67" i="114"/>
  <c r="I66" i="114"/>
  <c r="I65" i="114"/>
  <c r="C65" i="114"/>
  <c r="O62" i="114"/>
  <c r="I62" i="114"/>
  <c r="H62" i="114"/>
  <c r="O61" i="114"/>
  <c r="I61" i="114"/>
  <c r="H61" i="114"/>
  <c r="O60" i="114"/>
  <c r="I60" i="114"/>
  <c r="H60" i="114"/>
  <c r="O59" i="114"/>
  <c r="I59" i="114"/>
  <c r="H59" i="114"/>
  <c r="P57" i="114"/>
  <c r="O57" i="114"/>
  <c r="I57" i="114"/>
  <c r="H57" i="114"/>
  <c r="D57" i="114"/>
  <c r="P56" i="114"/>
  <c r="O56" i="114"/>
  <c r="I56" i="114"/>
  <c r="H56" i="114"/>
  <c r="D56" i="114"/>
  <c r="P55" i="114"/>
  <c r="O55" i="114"/>
  <c r="I55" i="114"/>
  <c r="H55" i="114"/>
  <c r="D55" i="114"/>
  <c r="O54" i="114"/>
  <c r="I54" i="114"/>
  <c r="H54" i="114"/>
  <c r="O53" i="114"/>
  <c r="I53" i="114"/>
  <c r="H53" i="114"/>
  <c r="O52" i="114"/>
  <c r="I52" i="114"/>
  <c r="H52" i="114"/>
  <c r="O51" i="114"/>
  <c r="I51" i="114"/>
  <c r="H51" i="114"/>
  <c r="O50" i="114"/>
  <c r="I50" i="114"/>
  <c r="H50" i="114"/>
  <c r="O49" i="114"/>
  <c r="I49" i="114"/>
  <c r="H49" i="114"/>
  <c r="O48" i="114"/>
  <c r="I48" i="114"/>
  <c r="H48" i="114"/>
  <c r="O47" i="114"/>
  <c r="I47" i="114"/>
  <c r="H47" i="114"/>
  <c r="O46" i="114"/>
  <c r="I46" i="114"/>
  <c r="H46" i="114"/>
  <c r="O45" i="114"/>
  <c r="I45" i="114"/>
  <c r="H45" i="114"/>
  <c r="O44" i="114"/>
  <c r="I44" i="114"/>
  <c r="H44" i="114"/>
  <c r="O43" i="114"/>
  <c r="I43" i="114"/>
  <c r="H43" i="114"/>
  <c r="O42" i="114"/>
  <c r="I42" i="114"/>
  <c r="H42" i="114"/>
  <c r="O41" i="114"/>
  <c r="I41" i="114"/>
  <c r="H41" i="114"/>
  <c r="O40" i="114"/>
  <c r="I40" i="114"/>
  <c r="H40" i="114"/>
  <c r="O39" i="114"/>
  <c r="I39" i="114"/>
  <c r="H39" i="114"/>
  <c r="O38" i="114"/>
  <c r="I38" i="114"/>
  <c r="H38" i="114"/>
  <c r="O37" i="114"/>
  <c r="I37" i="114"/>
  <c r="H37" i="114"/>
  <c r="O36" i="114"/>
  <c r="I36" i="114"/>
  <c r="H36" i="114"/>
  <c r="O35" i="114"/>
  <c r="I35" i="114"/>
  <c r="H35" i="114"/>
  <c r="O34" i="114"/>
  <c r="I34" i="114"/>
  <c r="H34" i="114"/>
  <c r="O33" i="114"/>
  <c r="I33" i="114"/>
  <c r="H33" i="114"/>
  <c r="O32" i="114"/>
  <c r="I32" i="114"/>
  <c r="H32" i="114"/>
  <c r="N1" i="114"/>
  <c r="P19" i="114" s="1"/>
  <c r="I110" i="113"/>
  <c r="C110" i="113"/>
  <c r="I109" i="113"/>
  <c r="C109" i="113"/>
  <c r="I108" i="113"/>
  <c r="C108" i="113"/>
  <c r="I107" i="113"/>
  <c r="C107" i="113"/>
  <c r="I106" i="113"/>
  <c r="C106" i="113"/>
  <c r="I104" i="113"/>
  <c r="I103" i="113"/>
  <c r="C103" i="113"/>
  <c r="I102" i="113"/>
  <c r="I101" i="113"/>
  <c r="C101" i="113"/>
  <c r="I100" i="113"/>
  <c r="I99" i="113"/>
  <c r="C99" i="113"/>
  <c r="I98" i="113"/>
  <c r="I97" i="113"/>
  <c r="C97" i="113"/>
  <c r="I96" i="113"/>
  <c r="I95" i="113"/>
  <c r="C95" i="113"/>
  <c r="I94" i="113"/>
  <c r="I93" i="113"/>
  <c r="C93" i="113"/>
  <c r="I92" i="113"/>
  <c r="I91" i="113"/>
  <c r="C91" i="113"/>
  <c r="I90" i="113"/>
  <c r="I89" i="113"/>
  <c r="C89" i="113"/>
  <c r="I88" i="113"/>
  <c r="I87" i="113"/>
  <c r="C87" i="113"/>
  <c r="I86" i="113"/>
  <c r="I85" i="113"/>
  <c r="C85" i="113"/>
  <c r="I84" i="113"/>
  <c r="I83" i="113"/>
  <c r="C83" i="113"/>
  <c r="I82" i="113"/>
  <c r="I81" i="113"/>
  <c r="C81" i="113"/>
  <c r="I80" i="113"/>
  <c r="I79" i="113"/>
  <c r="C79" i="113"/>
  <c r="I78" i="113"/>
  <c r="I77" i="113"/>
  <c r="C77" i="113"/>
  <c r="I76" i="113"/>
  <c r="I75" i="113"/>
  <c r="C75" i="113"/>
  <c r="I74" i="113"/>
  <c r="I73" i="113"/>
  <c r="C73" i="113"/>
  <c r="I72" i="113"/>
  <c r="I71" i="113"/>
  <c r="C71" i="113"/>
  <c r="I70" i="113"/>
  <c r="I69" i="113"/>
  <c r="C69" i="113"/>
  <c r="I68" i="113"/>
  <c r="I67" i="113"/>
  <c r="C67" i="113"/>
  <c r="I66" i="113"/>
  <c r="I65" i="113"/>
  <c r="C65" i="113"/>
  <c r="O62" i="113"/>
  <c r="I62" i="113"/>
  <c r="H62" i="113"/>
  <c r="O61" i="113"/>
  <c r="I61" i="113"/>
  <c r="H61" i="113"/>
  <c r="O60" i="113"/>
  <c r="I60" i="113"/>
  <c r="H60" i="113"/>
  <c r="O59" i="113"/>
  <c r="I59" i="113"/>
  <c r="H59" i="113"/>
  <c r="P57" i="113"/>
  <c r="O57" i="113"/>
  <c r="I57" i="113"/>
  <c r="H57" i="113"/>
  <c r="D57" i="113"/>
  <c r="P56" i="113"/>
  <c r="O56" i="113"/>
  <c r="I56" i="113"/>
  <c r="H56" i="113"/>
  <c r="D56" i="113"/>
  <c r="P55" i="113"/>
  <c r="O55" i="113"/>
  <c r="I55" i="113"/>
  <c r="H55" i="113"/>
  <c r="D55" i="113"/>
  <c r="O54" i="113"/>
  <c r="I54" i="113"/>
  <c r="H54" i="113"/>
  <c r="O53" i="113"/>
  <c r="I53" i="113"/>
  <c r="H53" i="113"/>
  <c r="O52" i="113"/>
  <c r="I52" i="113"/>
  <c r="H52" i="113"/>
  <c r="O51" i="113"/>
  <c r="I51" i="113"/>
  <c r="H51" i="113"/>
  <c r="O50" i="113"/>
  <c r="I50" i="113"/>
  <c r="H50" i="113"/>
  <c r="O49" i="113"/>
  <c r="I49" i="113"/>
  <c r="H49" i="113"/>
  <c r="O48" i="113"/>
  <c r="I48" i="113"/>
  <c r="H48" i="113"/>
  <c r="O47" i="113"/>
  <c r="I47" i="113"/>
  <c r="H47" i="113"/>
  <c r="O46" i="113"/>
  <c r="I46" i="113"/>
  <c r="H46" i="113"/>
  <c r="O45" i="113"/>
  <c r="I45" i="113"/>
  <c r="H45" i="113"/>
  <c r="O44" i="113"/>
  <c r="I44" i="113"/>
  <c r="H44" i="113"/>
  <c r="O43" i="113"/>
  <c r="I43" i="113"/>
  <c r="H43" i="113"/>
  <c r="O42" i="113"/>
  <c r="I42" i="113"/>
  <c r="H42" i="113"/>
  <c r="O41" i="113"/>
  <c r="I41" i="113"/>
  <c r="H41" i="113"/>
  <c r="O40" i="113"/>
  <c r="I40" i="113"/>
  <c r="H40" i="113"/>
  <c r="O39" i="113"/>
  <c r="I39" i="113"/>
  <c r="H39" i="113"/>
  <c r="O38" i="113"/>
  <c r="I38" i="113"/>
  <c r="H38" i="113"/>
  <c r="O37" i="113"/>
  <c r="I37" i="113"/>
  <c r="H37" i="113"/>
  <c r="O36" i="113"/>
  <c r="I36" i="113"/>
  <c r="H36" i="113"/>
  <c r="O35" i="113"/>
  <c r="I35" i="113"/>
  <c r="H35" i="113"/>
  <c r="O34" i="113"/>
  <c r="I34" i="113"/>
  <c r="H34" i="113"/>
  <c r="O33" i="113"/>
  <c r="I33" i="113"/>
  <c r="H33" i="113"/>
  <c r="O32" i="113"/>
  <c r="I32" i="113"/>
  <c r="H32" i="113"/>
  <c r="N1" i="113"/>
  <c r="P19" i="113" s="1"/>
  <c r="I110" i="111"/>
  <c r="C110" i="111"/>
  <c r="I109" i="111"/>
  <c r="C109" i="111"/>
  <c r="I108" i="111"/>
  <c r="C108" i="111"/>
  <c r="I107" i="111"/>
  <c r="C107" i="111"/>
  <c r="I106" i="111"/>
  <c r="C106" i="111"/>
  <c r="I104" i="111"/>
  <c r="I103" i="111"/>
  <c r="C103" i="111"/>
  <c r="I102" i="111"/>
  <c r="I101" i="111"/>
  <c r="C101" i="111"/>
  <c r="I100" i="111"/>
  <c r="I99" i="111"/>
  <c r="C99" i="111"/>
  <c r="I98" i="111"/>
  <c r="I97" i="111"/>
  <c r="C97" i="111"/>
  <c r="I96" i="111"/>
  <c r="I95" i="111"/>
  <c r="C95" i="111"/>
  <c r="I94" i="111"/>
  <c r="I93" i="111"/>
  <c r="C93" i="111"/>
  <c r="I92" i="111"/>
  <c r="I91" i="111"/>
  <c r="C91" i="111"/>
  <c r="I90" i="111"/>
  <c r="I89" i="111"/>
  <c r="C89" i="111"/>
  <c r="I88" i="111"/>
  <c r="I87" i="111"/>
  <c r="C87" i="111"/>
  <c r="I86" i="111"/>
  <c r="I85" i="111"/>
  <c r="C85" i="111"/>
  <c r="I84" i="111"/>
  <c r="I83" i="111"/>
  <c r="C83" i="111"/>
  <c r="I82" i="111"/>
  <c r="I81" i="111"/>
  <c r="C81" i="111"/>
  <c r="I80" i="111"/>
  <c r="I79" i="111"/>
  <c r="C79" i="111"/>
  <c r="I78" i="111"/>
  <c r="I77" i="111"/>
  <c r="C77" i="111"/>
  <c r="I76" i="111"/>
  <c r="I75" i="111"/>
  <c r="C75" i="111"/>
  <c r="I74" i="111"/>
  <c r="I73" i="111"/>
  <c r="C73" i="111"/>
  <c r="I72" i="111"/>
  <c r="I71" i="111"/>
  <c r="C71" i="111"/>
  <c r="I70" i="111"/>
  <c r="I69" i="111"/>
  <c r="C69" i="111"/>
  <c r="I68" i="111"/>
  <c r="I67" i="111"/>
  <c r="C67" i="111"/>
  <c r="I66" i="111"/>
  <c r="I65" i="111"/>
  <c r="C65" i="111"/>
  <c r="O62" i="111"/>
  <c r="I62" i="111"/>
  <c r="H62" i="111"/>
  <c r="O61" i="111"/>
  <c r="I61" i="111"/>
  <c r="H61" i="111"/>
  <c r="O60" i="111"/>
  <c r="I60" i="111"/>
  <c r="H60" i="111"/>
  <c r="O59" i="111"/>
  <c r="I59" i="111"/>
  <c r="H59" i="111"/>
  <c r="P57" i="111"/>
  <c r="O57" i="111"/>
  <c r="I57" i="111"/>
  <c r="H57" i="111"/>
  <c r="D57" i="111"/>
  <c r="P56" i="111"/>
  <c r="O56" i="111"/>
  <c r="I56" i="111"/>
  <c r="H56" i="111"/>
  <c r="D56" i="111"/>
  <c r="P55" i="111"/>
  <c r="O55" i="111"/>
  <c r="I55" i="111"/>
  <c r="H55" i="111"/>
  <c r="D55" i="111"/>
  <c r="O54" i="111"/>
  <c r="I54" i="111"/>
  <c r="H54" i="111"/>
  <c r="O53" i="111"/>
  <c r="I53" i="111"/>
  <c r="H53" i="111"/>
  <c r="O52" i="111"/>
  <c r="I52" i="111"/>
  <c r="H52" i="111"/>
  <c r="O51" i="111"/>
  <c r="I51" i="111"/>
  <c r="H51" i="111"/>
  <c r="O50" i="111"/>
  <c r="I50" i="111"/>
  <c r="H50" i="111"/>
  <c r="O49" i="111"/>
  <c r="I49" i="111"/>
  <c r="H49" i="111"/>
  <c r="O48" i="111"/>
  <c r="I48" i="111"/>
  <c r="H48" i="111"/>
  <c r="O47" i="111"/>
  <c r="I47" i="111"/>
  <c r="H47" i="111"/>
  <c r="O46" i="111"/>
  <c r="I46" i="111"/>
  <c r="H46" i="111"/>
  <c r="O45" i="111"/>
  <c r="I45" i="111"/>
  <c r="H45" i="111"/>
  <c r="O44" i="111"/>
  <c r="I44" i="111"/>
  <c r="H44" i="111"/>
  <c r="O43" i="111"/>
  <c r="I43" i="111"/>
  <c r="H43" i="111"/>
  <c r="O42" i="111"/>
  <c r="I42" i="111"/>
  <c r="H42" i="111"/>
  <c r="O41" i="111"/>
  <c r="I41" i="111"/>
  <c r="H41" i="111"/>
  <c r="O40" i="111"/>
  <c r="I40" i="111"/>
  <c r="H40" i="111"/>
  <c r="O39" i="111"/>
  <c r="I39" i="111"/>
  <c r="H39" i="111"/>
  <c r="O38" i="111"/>
  <c r="I38" i="111"/>
  <c r="H38" i="111"/>
  <c r="O37" i="111"/>
  <c r="I37" i="111"/>
  <c r="H37" i="111"/>
  <c r="O36" i="111"/>
  <c r="I36" i="111"/>
  <c r="H36" i="111"/>
  <c r="O35" i="111"/>
  <c r="I35" i="111"/>
  <c r="H35" i="111"/>
  <c r="O34" i="111"/>
  <c r="I34" i="111"/>
  <c r="H34" i="111"/>
  <c r="O33" i="111"/>
  <c r="I33" i="111"/>
  <c r="H33" i="111"/>
  <c r="O32" i="111"/>
  <c r="I32" i="111"/>
  <c r="H32" i="111"/>
  <c r="N1" i="111"/>
  <c r="P19" i="111" s="1"/>
  <c r="I110" i="110"/>
  <c r="C110" i="110"/>
  <c r="I109" i="110"/>
  <c r="C109" i="110"/>
  <c r="I108" i="110"/>
  <c r="C108" i="110"/>
  <c r="I107" i="110"/>
  <c r="C107" i="110"/>
  <c r="I106" i="110"/>
  <c r="C106" i="110"/>
  <c r="I104" i="110"/>
  <c r="I103" i="110"/>
  <c r="C103" i="110"/>
  <c r="I102" i="110"/>
  <c r="I101" i="110"/>
  <c r="C101" i="110"/>
  <c r="I100" i="110"/>
  <c r="I99" i="110"/>
  <c r="C99" i="110"/>
  <c r="I98" i="110"/>
  <c r="I97" i="110"/>
  <c r="C97" i="110"/>
  <c r="I96" i="110"/>
  <c r="I95" i="110"/>
  <c r="C95" i="110"/>
  <c r="I94" i="110"/>
  <c r="I93" i="110"/>
  <c r="C93" i="110"/>
  <c r="I92" i="110"/>
  <c r="I91" i="110"/>
  <c r="C91" i="110"/>
  <c r="I90" i="110"/>
  <c r="I89" i="110"/>
  <c r="C89" i="110"/>
  <c r="I88" i="110"/>
  <c r="I87" i="110"/>
  <c r="C87" i="110"/>
  <c r="I86" i="110"/>
  <c r="I85" i="110"/>
  <c r="C85" i="110"/>
  <c r="I84" i="110"/>
  <c r="I83" i="110"/>
  <c r="C83" i="110"/>
  <c r="I82" i="110"/>
  <c r="I81" i="110"/>
  <c r="C81" i="110"/>
  <c r="I80" i="110"/>
  <c r="I79" i="110"/>
  <c r="C79" i="110"/>
  <c r="I78" i="110"/>
  <c r="I77" i="110"/>
  <c r="C77" i="110"/>
  <c r="I76" i="110"/>
  <c r="I75" i="110"/>
  <c r="C75" i="110"/>
  <c r="I74" i="110"/>
  <c r="I73" i="110"/>
  <c r="C73" i="110"/>
  <c r="I72" i="110"/>
  <c r="I71" i="110"/>
  <c r="C71" i="110"/>
  <c r="I70" i="110"/>
  <c r="I69" i="110"/>
  <c r="C69" i="110"/>
  <c r="I68" i="110"/>
  <c r="I67" i="110"/>
  <c r="C67" i="110"/>
  <c r="I66" i="110"/>
  <c r="I65" i="110"/>
  <c r="C65" i="110"/>
  <c r="O62" i="110"/>
  <c r="I62" i="110"/>
  <c r="H62" i="110"/>
  <c r="O61" i="110"/>
  <c r="I61" i="110"/>
  <c r="H61" i="110"/>
  <c r="O60" i="110"/>
  <c r="I60" i="110"/>
  <c r="H60" i="110"/>
  <c r="O59" i="110"/>
  <c r="I59" i="110"/>
  <c r="H59" i="110"/>
  <c r="P57" i="110"/>
  <c r="O57" i="110"/>
  <c r="I57" i="110"/>
  <c r="H57" i="110"/>
  <c r="D57" i="110"/>
  <c r="P56" i="110"/>
  <c r="O56" i="110"/>
  <c r="I56" i="110"/>
  <c r="H56" i="110"/>
  <c r="D56" i="110"/>
  <c r="P55" i="110"/>
  <c r="O55" i="110"/>
  <c r="I55" i="110"/>
  <c r="H55" i="110"/>
  <c r="D55" i="110"/>
  <c r="O54" i="110"/>
  <c r="I54" i="110"/>
  <c r="H54" i="110"/>
  <c r="O53" i="110"/>
  <c r="I53" i="110"/>
  <c r="H53" i="110"/>
  <c r="O52" i="110"/>
  <c r="I52" i="110"/>
  <c r="H52" i="110"/>
  <c r="O51" i="110"/>
  <c r="I51" i="110"/>
  <c r="H51" i="110"/>
  <c r="O50" i="110"/>
  <c r="I50" i="110"/>
  <c r="H50" i="110"/>
  <c r="O49" i="110"/>
  <c r="I49" i="110"/>
  <c r="H49" i="110"/>
  <c r="O48" i="110"/>
  <c r="I48" i="110"/>
  <c r="H48" i="110"/>
  <c r="O47" i="110"/>
  <c r="I47" i="110"/>
  <c r="H47" i="110"/>
  <c r="O46" i="110"/>
  <c r="I46" i="110"/>
  <c r="H46" i="110"/>
  <c r="O45" i="110"/>
  <c r="I45" i="110"/>
  <c r="H45" i="110"/>
  <c r="O44" i="110"/>
  <c r="I44" i="110"/>
  <c r="H44" i="110"/>
  <c r="O43" i="110"/>
  <c r="I43" i="110"/>
  <c r="H43" i="110"/>
  <c r="O42" i="110"/>
  <c r="I42" i="110"/>
  <c r="H42" i="110"/>
  <c r="O41" i="110"/>
  <c r="I41" i="110"/>
  <c r="H41" i="110"/>
  <c r="O40" i="110"/>
  <c r="I40" i="110"/>
  <c r="H40" i="110"/>
  <c r="O39" i="110"/>
  <c r="I39" i="110"/>
  <c r="H39" i="110"/>
  <c r="O38" i="110"/>
  <c r="I38" i="110"/>
  <c r="H38" i="110"/>
  <c r="O37" i="110"/>
  <c r="I37" i="110"/>
  <c r="H37" i="110"/>
  <c r="O36" i="110"/>
  <c r="I36" i="110"/>
  <c r="H36" i="110"/>
  <c r="O35" i="110"/>
  <c r="I35" i="110"/>
  <c r="H35" i="110"/>
  <c r="O34" i="110"/>
  <c r="I34" i="110"/>
  <c r="H34" i="110"/>
  <c r="O33" i="110"/>
  <c r="I33" i="110"/>
  <c r="H33" i="110"/>
  <c r="O32" i="110"/>
  <c r="I32" i="110"/>
  <c r="H32" i="110"/>
  <c r="N1" i="110"/>
  <c r="P19" i="110" s="1"/>
  <c r="I110" i="109"/>
  <c r="C110" i="109"/>
  <c r="I109" i="109"/>
  <c r="C109" i="109"/>
  <c r="I108" i="109"/>
  <c r="C108" i="109"/>
  <c r="I107" i="109"/>
  <c r="C107" i="109"/>
  <c r="I106" i="109"/>
  <c r="C106" i="109"/>
  <c r="I104" i="109"/>
  <c r="I103" i="109"/>
  <c r="C103" i="109"/>
  <c r="I102" i="109"/>
  <c r="I101" i="109"/>
  <c r="C101" i="109"/>
  <c r="I100" i="109"/>
  <c r="I99" i="109"/>
  <c r="C99" i="109"/>
  <c r="I98" i="109"/>
  <c r="I97" i="109"/>
  <c r="C97" i="109"/>
  <c r="I96" i="109"/>
  <c r="I95" i="109"/>
  <c r="C95" i="109"/>
  <c r="I94" i="109"/>
  <c r="I93" i="109"/>
  <c r="C93" i="109"/>
  <c r="I92" i="109"/>
  <c r="I91" i="109"/>
  <c r="C91" i="109"/>
  <c r="I90" i="109"/>
  <c r="I89" i="109"/>
  <c r="C89" i="109"/>
  <c r="I88" i="109"/>
  <c r="I87" i="109"/>
  <c r="C87" i="109"/>
  <c r="I86" i="109"/>
  <c r="I85" i="109"/>
  <c r="C85" i="109"/>
  <c r="I84" i="109"/>
  <c r="I83" i="109"/>
  <c r="C83" i="109"/>
  <c r="I82" i="109"/>
  <c r="I81" i="109"/>
  <c r="C81" i="109"/>
  <c r="I80" i="109"/>
  <c r="I79" i="109"/>
  <c r="C79" i="109"/>
  <c r="I78" i="109"/>
  <c r="I77" i="109"/>
  <c r="C77" i="109"/>
  <c r="I76" i="109"/>
  <c r="I75" i="109"/>
  <c r="C75" i="109"/>
  <c r="I74" i="109"/>
  <c r="I73" i="109"/>
  <c r="C73" i="109"/>
  <c r="I72" i="109"/>
  <c r="I71" i="109"/>
  <c r="C71" i="109"/>
  <c r="I70" i="109"/>
  <c r="I69" i="109"/>
  <c r="C69" i="109"/>
  <c r="I68" i="109"/>
  <c r="I67" i="109"/>
  <c r="C67" i="109"/>
  <c r="I66" i="109"/>
  <c r="I65" i="109"/>
  <c r="C65" i="109"/>
  <c r="O62" i="109"/>
  <c r="I62" i="109"/>
  <c r="H62" i="109"/>
  <c r="O61" i="109"/>
  <c r="I61" i="109"/>
  <c r="H61" i="109"/>
  <c r="O60" i="109"/>
  <c r="I60" i="109"/>
  <c r="H60" i="109"/>
  <c r="O59" i="109"/>
  <c r="I59" i="109"/>
  <c r="H59" i="109"/>
  <c r="P57" i="109"/>
  <c r="O57" i="109"/>
  <c r="I57" i="109"/>
  <c r="H57" i="109"/>
  <c r="D57" i="109"/>
  <c r="P56" i="109"/>
  <c r="O56" i="109"/>
  <c r="I56" i="109"/>
  <c r="H56" i="109"/>
  <c r="D56" i="109"/>
  <c r="P55" i="109"/>
  <c r="O55" i="109"/>
  <c r="I55" i="109"/>
  <c r="H55" i="109"/>
  <c r="D55" i="109"/>
  <c r="O54" i="109"/>
  <c r="I54" i="109"/>
  <c r="H54" i="109"/>
  <c r="O53" i="109"/>
  <c r="I53" i="109"/>
  <c r="H53" i="109"/>
  <c r="O52" i="109"/>
  <c r="I52" i="109"/>
  <c r="H52" i="109"/>
  <c r="O51" i="109"/>
  <c r="I51" i="109"/>
  <c r="H51" i="109"/>
  <c r="O50" i="109"/>
  <c r="I50" i="109"/>
  <c r="H50" i="109"/>
  <c r="O49" i="109"/>
  <c r="I49" i="109"/>
  <c r="H49" i="109"/>
  <c r="O48" i="109"/>
  <c r="I48" i="109"/>
  <c r="H48" i="109"/>
  <c r="O47" i="109"/>
  <c r="I47" i="109"/>
  <c r="H47" i="109"/>
  <c r="O46" i="109"/>
  <c r="I46" i="109"/>
  <c r="H46" i="109"/>
  <c r="O45" i="109"/>
  <c r="I45" i="109"/>
  <c r="H45" i="109"/>
  <c r="O44" i="109"/>
  <c r="I44" i="109"/>
  <c r="H44" i="109"/>
  <c r="O43" i="109"/>
  <c r="I43" i="109"/>
  <c r="H43" i="109"/>
  <c r="O42" i="109"/>
  <c r="I42" i="109"/>
  <c r="H42" i="109"/>
  <c r="O41" i="109"/>
  <c r="I41" i="109"/>
  <c r="H41" i="109"/>
  <c r="O40" i="109"/>
  <c r="I40" i="109"/>
  <c r="H40" i="109"/>
  <c r="O39" i="109"/>
  <c r="I39" i="109"/>
  <c r="H39" i="109"/>
  <c r="O38" i="109"/>
  <c r="I38" i="109"/>
  <c r="H38" i="109"/>
  <c r="O37" i="109"/>
  <c r="I37" i="109"/>
  <c r="H37" i="109"/>
  <c r="O36" i="109"/>
  <c r="I36" i="109"/>
  <c r="H36" i="109"/>
  <c r="O35" i="109"/>
  <c r="I35" i="109"/>
  <c r="H35" i="109"/>
  <c r="O34" i="109"/>
  <c r="I34" i="109"/>
  <c r="H34" i="109"/>
  <c r="O33" i="109"/>
  <c r="I33" i="109"/>
  <c r="H33" i="109"/>
  <c r="O32" i="109"/>
  <c r="I32" i="109"/>
  <c r="H32" i="109"/>
  <c r="N1" i="109"/>
  <c r="P19" i="109" s="1"/>
  <c r="I110" i="108"/>
  <c r="C110" i="108"/>
  <c r="I109" i="108"/>
  <c r="C109" i="108"/>
  <c r="I108" i="108"/>
  <c r="C108" i="108"/>
  <c r="I107" i="108"/>
  <c r="C107" i="108"/>
  <c r="I106" i="108"/>
  <c r="C106" i="108"/>
  <c r="I104" i="108"/>
  <c r="I103" i="108"/>
  <c r="C103" i="108"/>
  <c r="I102" i="108"/>
  <c r="I101" i="108"/>
  <c r="C101" i="108"/>
  <c r="I100" i="108"/>
  <c r="I99" i="108"/>
  <c r="C99" i="108"/>
  <c r="I98" i="108"/>
  <c r="I97" i="108"/>
  <c r="C97" i="108"/>
  <c r="I96" i="108"/>
  <c r="I95" i="108"/>
  <c r="C95" i="108"/>
  <c r="I94" i="108"/>
  <c r="I93" i="108"/>
  <c r="C93" i="108"/>
  <c r="I92" i="108"/>
  <c r="I91" i="108"/>
  <c r="C91" i="108"/>
  <c r="I90" i="108"/>
  <c r="I89" i="108"/>
  <c r="C89" i="108"/>
  <c r="I88" i="108"/>
  <c r="I87" i="108"/>
  <c r="C87" i="108"/>
  <c r="I86" i="108"/>
  <c r="I85" i="108"/>
  <c r="C85" i="108"/>
  <c r="I84" i="108"/>
  <c r="I83" i="108"/>
  <c r="C83" i="108"/>
  <c r="I82" i="108"/>
  <c r="I81" i="108"/>
  <c r="C81" i="108"/>
  <c r="I80" i="108"/>
  <c r="I79" i="108"/>
  <c r="C79" i="108"/>
  <c r="I78" i="108"/>
  <c r="I77" i="108"/>
  <c r="C77" i="108"/>
  <c r="I76" i="108"/>
  <c r="I75" i="108"/>
  <c r="C75" i="108"/>
  <c r="I74" i="108"/>
  <c r="I73" i="108"/>
  <c r="C73" i="108"/>
  <c r="I72" i="108"/>
  <c r="I71" i="108"/>
  <c r="C71" i="108"/>
  <c r="I70" i="108"/>
  <c r="I69" i="108"/>
  <c r="C69" i="108"/>
  <c r="I68" i="108"/>
  <c r="I67" i="108"/>
  <c r="C67" i="108"/>
  <c r="I66" i="108"/>
  <c r="I65" i="108"/>
  <c r="C65" i="108"/>
  <c r="O62" i="108"/>
  <c r="I62" i="108"/>
  <c r="H62" i="108"/>
  <c r="O61" i="108"/>
  <c r="I61" i="108"/>
  <c r="H61" i="108"/>
  <c r="O60" i="108"/>
  <c r="I60" i="108"/>
  <c r="H60" i="108"/>
  <c r="O59" i="108"/>
  <c r="I59" i="108"/>
  <c r="H59" i="108"/>
  <c r="P57" i="108"/>
  <c r="O57" i="108"/>
  <c r="I57" i="108"/>
  <c r="H57" i="108"/>
  <c r="D57" i="108"/>
  <c r="P56" i="108"/>
  <c r="O56" i="108"/>
  <c r="I56" i="108"/>
  <c r="H56" i="108"/>
  <c r="D56" i="108"/>
  <c r="P55" i="108"/>
  <c r="O55" i="108"/>
  <c r="I55" i="108"/>
  <c r="H55" i="108"/>
  <c r="D55" i="108"/>
  <c r="O54" i="108"/>
  <c r="I54" i="108"/>
  <c r="H54" i="108"/>
  <c r="O53" i="108"/>
  <c r="I53" i="108"/>
  <c r="H53" i="108"/>
  <c r="O52" i="108"/>
  <c r="I52" i="108"/>
  <c r="H52" i="108"/>
  <c r="O51" i="108"/>
  <c r="I51" i="108"/>
  <c r="H51" i="108"/>
  <c r="O50" i="108"/>
  <c r="I50" i="108"/>
  <c r="H50" i="108"/>
  <c r="O49" i="108"/>
  <c r="I49" i="108"/>
  <c r="H49" i="108"/>
  <c r="O48" i="108"/>
  <c r="I48" i="108"/>
  <c r="H48" i="108"/>
  <c r="O47" i="108"/>
  <c r="I47" i="108"/>
  <c r="H47" i="108"/>
  <c r="O46" i="108"/>
  <c r="I46" i="108"/>
  <c r="H46" i="108"/>
  <c r="O45" i="108"/>
  <c r="I45" i="108"/>
  <c r="H45" i="108"/>
  <c r="O44" i="108"/>
  <c r="I44" i="108"/>
  <c r="H44" i="108"/>
  <c r="O43" i="108"/>
  <c r="I43" i="108"/>
  <c r="H43" i="108"/>
  <c r="O42" i="108"/>
  <c r="I42" i="108"/>
  <c r="H42" i="108"/>
  <c r="O41" i="108"/>
  <c r="I41" i="108"/>
  <c r="H41" i="108"/>
  <c r="O40" i="108"/>
  <c r="I40" i="108"/>
  <c r="H40" i="108"/>
  <c r="O39" i="108"/>
  <c r="I39" i="108"/>
  <c r="H39" i="108"/>
  <c r="O38" i="108"/>
  <c r="I38" i="108"/>
  <c r="H38" i="108"/>
  <c r="O37" i="108"/>
  <c r="I37" i="108"/>
  <c r="H37" i="108"/>
  <c r="O36" i="108"/>
  <c r="I36" i="108"/>
  <c r="H36" i="108"/>
  <c r="O35" i="108"/>
  <c r="I35" i="108"/>
  <c r="H35" i="108"/>
  <c r="O34" i="108"/>
  <c r="I34" i="108"/>
  <c r="H34" i="108"/>
  <c r="O33" i="108"/>
  <c r="I33" i="108"/>
  <c r="H33" i="108"/>
  <c r="O32" i="108"/>
  <c r="I32" i="108"/>
  <c r="H32" i="108"/>
  <c r="N1" i="108"/>
  <c r="P19" i="108" s="1"/>
  <c r="I110" i="107"/>
  <c r="C110" i="107"/>
  <c r="I109" i="107"/>
  <c r="C109" i="107"/>
  <c r="I108" i="107"/>
  <c r="C108" i="107"/>
  <c r="I107" i="107"/>
  <c r="C107" i="107"/>
  <c r="I106" i="107"/>
  <c r="C106" i="107"/>
  <c r="I104" i="107"/>
  <c r="I103" i="107"/>
  <c r="C103" i="107"/>
  <c r="I102" i="107"/>
  <c r="I101" i="107"/>
  <c r="C101" i="107"/>
  <c r="I100" i="107"/>
  <c r="I99" i="107"/>
  <c r="C99" i="107"/>
  <c r="I98" i="107"/>
  <c r="I97" i="107"/>
  <c r="C97" i="107"/>
  <c r="I96" i="107"/>
  <c r="I95" i="107"/>
  <c r="C95" i="107"/>
  <c r="I94" i="107"/>
  <c r="I93" i="107"/>
  <c r="C93" i="107"/>
  <c r="I92" i="107"/>
  <c r="I91" i="107"/>
  <c r="C91" i="107"/>
  <c r="I90" i="107"/>
  <c r="I89" i="107"/>
  <c r="C89" i="107"/>
  <c r="I88" i="107"/>
  <c r="I87" i="107"/>
  <c r="C87" i="107"/>
  <c r="I86" i="107"/>
  <c r="I85" i="107"/>
  <c r="C85" i="107"/>
  <c r="I84" i="107"/>
  <c r="I83" i="107"/>
  <c r="C83" i="107"/>
  <c r="I82" i="107"/>
  <c r="I81" i="107"/>
  <c r="C81" i="107"/>
  <c r="I80" i="107"/>
  <c r="I79" i="107"/>
  <c r="C79" i="107"/>
  <c r="I78" i="107"/>
  <c r="I77" i="107"/>
  <c r="C77" i="107"/>
  <c r="I76" i="107"/>
  <c r="I75" i="107"/>
  <c r="C75" i="107"/>
  <c r="I74" i="107"/>
  <c r="I73" i="107"/>
  <c r="C73" i="107"/>
  <c r="I72" i="107"/>
  <c r="I71" i="107"/>
  <c r="C71" i="107"/>
  <c r="I70" i="107"/>
  <c r="I69" i="107"/>
  <c r="C69" i="107"/>
  <c r="I68" i="107"/>
  <c r="I67" i="107"/>
  <c r="C67" i="107"/>
  <c r="I66" i="107"/>
  <c r="I65" i="107"/>
  <c r="C65" i="107"/>
  <c r="O62" i="107"/>
  <c r="I62" i="107"/>
  <c r="H62" i="107"/>
  <c r="O61" i="107"/>
  <c r="I61" i="107"/>
  <c r="H61" i="107"/>
  <c r="O60" i="107"/>
  <c r="I60" i="107"/>
  <c r="H60" i="107"/>
  <c r="O59" i="107"/>
  <c r="I59" i="107"/>
  <c r="H59" i="107"/>
  <c r="P57" i="107"/>
  <c r="O57" i="107"/>
  <c r="I57" i="107"/>
  <c r="H57" i="107"/>
  <c r="D57" i="107"/>
  <c r="P56" i="107"/>
  <c r="O56" i="107"/>
  <c r="I56" i="107"/>
  <c r="H56" i="107"/>
  <c r="D56" i="107"/>
  <c r="P55" i="107"/>
  <c r="O55" i="107"/>
  <c r="I55" i="107"/>
  <c r="H55" i="107"/>
  <c r="D55" i="107"/>
  <c r="O54" i="107"/>
  <c r="I54" i="107"/>
  <c r="H54" i="107"/>
  <c r="O53" i="107"/>
  <c r="I53" i="107"/>
  <c r="H53" i="107"/>
  <c r="O52" i="107"/>
  <c r="I52" i="107"/>
  <c r="H52" i="107"/>
  <c r="O51" i="107"/>
  <c r="I51" i="107"/>
  <c r="H51" i="107"/>
  <c r="O50" i="107"/>
  <c r="I50" i="107"/>
  <c r="H50" i="107"/>
  <c r="O49" i="107"/>
  <c r="I49" i="107"/>
  <c r="H49" i="107"/>
  <c r="O48" i="107"/>
  <c r="I48" i="107"/>
  <c r="H48" i="107"/>
  <c r="O47" i="107"/>
  <c r="I47" i="107"/>
  <c r="H47" i="107"/>
  <c r="O46" i="107"/>
  <c r="I46" i="107"/>
  <c r="H46" i="107"/>
  <c r="O45" i="107"/>
  <c r="I45" i="107"/>
  <c r="H45" i="107"/>
  <c r="O44" i="107"/>
  <c r="I44" i="107"/>
  <c r="H44" i="107"/>
  <c r="O43" i="107"/>
  <c r="I43" i="107"/>
  <c r="H43" i="107"/>
  <c r="O42" i="107"/>
  <c r="I42" i="107"/>
  <c r="H42" i="107"/>
  <c r="O41" i="107"/>
  <c r="I41" i="107"/>
  <c r="H41" i="107"/>
  <c r="O40" i="107"/>
  <c r="I40" i="107"/>
  <c r="H40" i="107"/>
  <c r="O39" i="107"/>
  <c r="I39" i="107"/>
  <c r="H39" i="107"/>
  <c r="O38" i="107"/>
  <c r="I38" i="107"/>
  <c r="H38" i="107"/>
  <c r="O37" i="107"/>
  <c r="I37" i="107"/>
  <c r="H37" i="107"/>
  <c r="O36" i="107"/>
  <c r="I36" i="107"/>
  <c r="H36" i="107"/>
  <c r="O35" i="107"/>
  <c r="I35" i="107"/>
  <c r="H35" i="107"/>
  <c r="O34" i="107"/>
  <c r="I34" i="107"/>
  <c r="H34" i="107"/>
  <c r="O33" i="107"/>
  <c r="I33" i="107"/>
  <c r="H33" i="107"/>
  <c r="O32" i="107"/>
  <c r="I32" i="107"/>
  <c r="H32" i="107"/>
  <c r="N1" i="107"/>
  <c r="P19" i="107" s="1"/>
  <c r="I110" i="106"/>
  <c r="C110" i="106"/>
  <c r="I109" i="106"/>
  <c r="C109" i="106"/>
  <c r="I108" i="106"/>
  <c r="C108" i="106"/>
  <c r="I107" i="106"/>
  <c r="C107" i="106"/>
  <c r="I106" i="106"/>
  <c r="C106" i="106"/>
  <c r="I104" i="106"/>
  <c r="I103" i="106"/>
  <c r="C103" i="106"/>
  <c r="I102" i="106"/>
  <c r="I101" i="106"/>
  <c r="C101" i="106"/>
  <c r="I100" i="106"/>
  <c r="I99" i="106"/>
  <c r="C99" i="106"/>
  <c r="I98" i="106"/>
  <c r="I97" i="106"/>
  <c r="C97" i="106"/>
  <c r="I96" i="106"/>
  <c r="I95" i="106"/>
  <c r="C95" i="106"/>
  <c r="I94" i="106"/>
  <c r="I93" i="106"/>
  <c r="C93" i="106"/>
  <c r="I92" i="106"/>
  <c r="I91" i="106"/>
  <c r="C91" i="106"/>
  <c r="I90" i="106"/>
  <c r="I89" i="106"/>
  <c r="C89" i="106"/>
  <c r="I88" i="106"/>
  <c r="I87" i="106"/>
  <c r="C87" i="106"/>
  <c r="I86" i="106"/>
  <c r="I85" i="106"/>
  <c r="C85" i="106"/>
  <c r="I84" i="106"/>
  <c r="I83" i="106"/>
  <c r="C83" i="106"/>
  <c r="I82" i="106"/>
  <c r="I81" i="106"/>
  <c r="C81" i="106"/>
  <c r="I80" i="106"/>
  <c r="I79" i="106"/>
  <c r="C79" i="106"/>
  <c r="I78" i="106"/>
  <c r="I77" i="106"/>
  <c r="C77" i="106"/>
  <c r="I76" i="106"/>
  <c r="I75" i="106"/>
  <c r="C75" i="106"/>
  <c r="I74" i="106"/>
  <c r="I73" i="106"/>
  <c r="C73" i="106"/>
  <c r="I72" i="106"/>
  <c r="I71" i="106"/>
  <c r="C71" i="106"/>
  <c r="I70" i="106"/>
  <c r="I69" i="106"/>
  <c r="C69" i="106"/>
  <c r="I68" i="106"/>
  <c r="I67" i="106"/>
  <c r="C67" i="106"/>
  <c r="I66" i="106"/>
  <c r="I65" i="106"/>
  <c r="C65" i="106"/>
  <c r="O62" i="106"/>
  <c r="I62" i="106"/>
  <c r="H62" i="106"/>
  <c r="O61" i="106"/>
  <c r="I61" i="106"/>
  <c r="H61" i="106"/>
  <c r="O60" i="106"/>
  <c r="I60" i="106"/>
  <c r="H60" i="106"/>
  <c r="O59" i="106"/>
  <c r="I59" i="106"/>
  <c r="H59" i="106"/>
  <c r="P57" i="106"/>
  <c r="O57" i="106"/>
  <c r="I57" i="106"/>
  <c r="H57" i="106"/>
  <c r="D57" i="106"/>
  <c r="P56" i="106"/>
  <c r="O56" i="106"/>
  <c r="I56" i="106"/>
  <c r="H56" i="106"/>
  <c r="D56" i="106"/>
  <c r="P55" i="106"/>
  <c r="O55" i="106"/>
  <c r="I55" i="106"/>
  <c r="H55" i="106"/>
  <c r="D55" i="106"/>
  <c r="O54" i="106"/>
  <c r="I54" i="106"/>
  <c r="H54" i="106"/>
  <c r="O53" i="106"/>
  <c r="I53" i="106"/>
  <c r="H53" i="106"/>
  <c r="O52" i="106"/>
  <c r="I52" i="106"/>
  <c r="H52" i="106"/>
  <c r="O51" i="106"/>
  <c r="I51" i="106"/>
  <c r="H51" i="106"/>
  <c r="O50" i="106"/>
  <c r="I50" i="106"/>
  <c r="H50" i="106"/>
  <c r="O49" i="106"/>
  <c r="I49" i="106"/>
  <c r="H49" i="106"/>
  <c r="O48" i="106"/>
  <c r="I48" i="106"/>
  <c r="H48" i="106"/>
  <c r="O47" i="106"/>
  <c r="I47" i="106"/>
  <c r="H47" i="106"/>
  <c r="O46" i="106"/>
  <c r="I46" i="106"/>
  <c r="H46" i="106"/>
  <c r="O45" i="106"/>
  <c r="I45" i="106"/>
  <c r="H45" i="106"/>
  <c r="O44" i="106"/>
  <c r="I44" i="106"/>
  <c r="H44" i="106"/>
  <c r="O43" i="106"/>
  <c r="I43" i="106"/>
  <c r="H43" i="106"/>
  <c r="O42" i="106"/>
  <c r="I42" i="106"/>
  <c r="H42" i="106"/>
  <c r="O41" i="106"/>
  <c r="I41" i="106"/>
  <c r="H41" i="106"/>
  <c r="O40" i="106"/>
  <c r="I40" i="106"/>
  <c r="H40" i="106"/>
  <c r="O39" i="106"/>
  <c r="I39" i="106"/>
  <c r="H39" i="106"/>
  <c r="O38" i="106"/>
  <c r="I38" i="106"/>
  <c r="H38" i="106"/>
  <c r="O37" i="106"/>
  <c r="I37" i="106"/>
  <c r="H37" i="106"/>
  <c r="O36" i="106"/>
  <c r="I36" i="106"/>
  <c r="H36" i="106"/>
  <c r="O35" i="106"/>
  <c r="I35" i="106"/>
  <c r="H35" i="106"/>
  <c r="O34" i="106"/>
  <c r="I34" i="106"/>
  <c r="H34" i="106"/>
  <c r="O33" i="106"/>
  <c r="I33" i="106"/>
  <c r="H33" i="106"/>
  <c r="O32" i="106"/>
  <c r="I32" i="106"/>
  <c r="H32" i="106"/>
  <c r="N1" i="106"/>
  <c r="P19" i="106" s="1"/>
  <c r="I110" i="105"/>
  <c r="C110" i="105"/>
  <c r="I109" i="105"/>
  <c r="C109" i="105"/>
  <c r="I108" i="105"/>
  <c r="C108" i="105"/>
  <c r="I107" i="105"/>
  <c r="C107" i="105"/>
  <c r="I106" i="105"/>
  <c r="C106" i="105"/>
  <c r="I104" i="105"/>
  <c r="I103" i="105"/>
  <c r="C103" i="105"/>
  <c r="I102" i="105"/>
  <c r="I101" i="105"/>
  <c r="C101" i="105"/>
  <c r="I100" i="105"/>
  <c r="I99" i="105"/>
  <c r="C99" i="105"/>
  <c r="I98" i="105"/>
  <c r="I97" i="105"/>
  <c r="C97" i="105"/>
  <c r="I96" i="105"/>
  <c r="I95" i="105"/>
  <c r="C95" i="105"/>
  <c r="I94" i="105"/>
  <c r="I93" i="105"/>
  <c r="C93" i="105"/>
  <c r="I92" i="105"/>
  <c r="I91" i="105"/>
  <c r="C91" i="105"/>
  <c r="I90" i="105"/>
  <c r="I89" i="105"/>
  <c r="C89" i="105"/>
  <c r="I88" i="105"/>
  <c r="I87" i="105"/>
  <c r="C87" i="105"/>
  <c r="I86" i="105"/>
  <c r="I85" i="105"/>
  <c r="C85" i="105"/>
  <c r="I84" i="105"/>
  <c r="I83" i="105"/>
  <c r="C83" i="105"/>
  <c r="I82" i="105"/>
  <c r="I81" i="105"/>
  <c r="C81" i="105"/>
  <c r="I80" i="105"/>
  <c r="I79" i="105"/>
  <c r="C79" i="105"/>
  <c r="I78" i="105"/>
  <c r="I77" i="105"/>
  <c r="C77" i="105"/>
  <c r="I76" i="105"/>
  <c r="I75" i="105"/>
  <c r="C75" i="105"/>
  <c r="I74" i="105"/>
  <c r="I73" i="105"/>
  <c r="C73" i="105"/>
  <c r="I72" i="105"/>
  <c r="I71" i="105"/>
  <c r="C71" i="105"/>
  <c r="I70" i="105"/>
  <c r="I69" i="105"/>
  <c r="C69" i="105"/>
  <c r="I68" i="105"/>
  <c r="I67" i="105"/>
  <c r="C67" i="105"/>
  <c r="I66" i="105"/>
  <c r="I65" i="105"/>
  <c r="C65" i="105"/>
  <c r="O62" i="105"/>
  <c r="I62" i="105"/>
  <c r="H62" i="105"/>
  <c r="O61" i="105"/>
  <c r="I61" i="105"/>
  <c r="H61" i="105"/>
  <c r="O60" i="105"/>
  <c r="I60" i="105"/>
  <c r="H60" i="105"/>
  <c r="O59" i="105"/>
  <c r="I59" i="105"/>
  <c r="H59" i="105"/>
  <c r="P57" i="105"/>
  <c r="O57" i="105"/>
  <c r="I57" i="105"/>
  <c r="H57" i="105"/>
  <c r="D57" i="105"/>
  <c r="P56" i="105"/>
  <c r="O56" i="105"/>
  <c r="I56" i="105"/>
  <c r="H56" i="105"/>
  <c r="D56" i="105"/>
  <c r="P55" i="105"/>
  <c r="O55" i="105"/>
  <c r="I55" i="105"/>
  <c r="H55" i="105"/>
  <c r="D55" i="105"/>
  <c r="O54" i="105"/>
  <c r="I54" i="105"/>
  <c r="H54" i="105"/>
  <c r="O53" i="105"/>
  <c r="I53" i="105"/>
  <c r="H53" i="105"/>
  <c r="O52" i="105"/>
  <c r="I52" i="105"/>
  <c r="H52" i="105"/>
  <c r="O51" i="105"/>
  <c r="I51" i="105"/>
  <c r="H51" i="105"/>
  <c r="O50" i="105"/>
  <c r="I50" i="105"/>
  <c r="H50" i="105"/>
  <c r="O49" i="105"/>
  <c r="I49" i="105"/>
  <c r="H49" i="105"/>
  <c r="O48" i="105"/>
  <c r="I48" i="105"/>
  <c r="H48" i="105"/>
  <c r="O47" i="105"/>
  <c r="I47" i="105"/>
  <c r="H47" i="105"/>
  <c r="O46" i="105"/>
  <c r="I46" i="105"/>
  <c r="H46" i="105"/>
  <c r="O45" i="105"/>
  <c r="I45" i="105"/>
  <c r="H45" i="105"/>
  <c r="O44" i="105"/>
  <c r="I44" i="105"/>
  <c r="H44" i="105"/>
  <c r="O43" i="105"/>
  <c r="I43" i="105"/>
  <c r="H43" i="105"/>
  <c r="O42" i="105"/>
  <c r="I42" i="105"/>
  <c r="H42" i="105"/>
  <c r="O41" i="105"/>
  <c r="I41" i="105"/>
  <c r="H41" i="105"/>
  <c r="O40" i="105"/>
  <c r="I40" i="105"/>
  <c r="H40" i="105"/>
  <c r="O39" i="105"/>
  <c r="I39" i="105"/>
  <c r="H39" i="105"/>
  <c r="O38" i="105"/>
  <c r="I38" i="105"/>
  <c r="H38" i="105"/>
  <c r="O37" i="105"/>
  <c r="I37" i="105"/>
  <c r="H37" i="105"/>
  <c r="O36" i="105"/>
  <c r="I36" i="105"/>
  <c r="H36" i="105"/>
  <c r="O35" i="105"/>
  <c r="I35" i="105"/>
  <c r="H35" i="105"/>
  <c r="O34" i="105"/>
  <c r="I34" i="105"/>
  <c r="H34" i="105"/>
  <c r="O33" i="105"/>
  <c r="I33" i="105"/>
  <c r="H33" i="105"/>
  <c r="O32" i="105"/>
  <c r="I32" i="105"/>
  <c r="H32" i="105"/>
  <c r="N1" i="105"/>
  <c r="P19" i="105" s="1"/>
  <c r="I110" i="104"/>
  <c r="C110" i="104"/>
  <c r="I109" i="104"/>
  <c r="C109" i="104"/>
  <c r="I108" i="104"/>
  <c r="C108" i="104"/>
  <c r="I107" i="104"/>
  <c r="C107" i="104"/>
  <c r="I106" i="104"/>
  <c r="C106" i="104"/>
  <c r="I104" i="104"/>
  <c r="I103" i="104"/>
  <c r="C103" i="104"/>
  <c r="I102" i="104"/>
  <c r="I101" i="104"/>
  <c r="C101" i="104"/>
  <c r="I100" i="104"/>
  <c r="I99" i="104"/>
  <c r="C99" i="104"/>
  <c r="I98" i="104"/>
  <c r="I97" i="104"/>
  <c r="C97" i="104"/>
  <c r="I96" i="104"/>
  <c r="I95" i="104"/>
  <c r="C95" i="104"/>
  <c r="I94" i="104"/>
  <c r="I93" i="104"/>
  <c r="C93" i="104"/>
  <c r="I92" i="104"/>
  <c r="I91" i="104"/>
  <c r="C91" i="104"/>
  <c r="I90" i="104"/>
  <c r="I89" i="104"/>
  <c r="C89" i="104"/>
  <c r="I88" i="104"/>
  <c r="I87" i="104"/>
  <c r="C87" i="104"/>
  <c r="I86" i="104"/>
  <c r="I85" i="104"/>
  <c r="C85" i="104"/>
  <c r="I84" i="104"/>
  <c r="I83" i="104"/>
  <c r="C83" i="104"/>
  <c r="I82" i="104"/>
  <c r="I81" i="104"/>
  <c r="C81" i="104"/>
  <c r="I80" i="104"/>
  <c r="I79" i="104"/>
  <c r="C79" i="104"/>
  <c r="I78" i="104"/>
  <c r="I77" i="104"/>
  <c r="C77" i="104"/>
  <c r="I76" i="104"/>
  <c r="I75" i="104"/>
  <c r="C75" i="104"/>
  <c r="I74" i="104"/>
  <c r="I73" i="104"/>
  <c r="C73" i="104"/>
  <c r="I72" i="104"/>
  <c r="I71" i="104"/>
  <c r="C71" i="104"/>
  <c r="I70" i="104"/>
  <c r="I69" i="104"/>
  <c r="C69" i="104"/>
  <c r="I68" i="104"/>
  <c r="I67" i="104"/>
  <c r="C67" i="104"/>
  <c r="I66" i="104"/>
  <c r="I65" i="104"/>
  <c r="C65" i="104"/>
  <c r="O62" i="104"/>
  <c r="I62" i="104"/>
  <c r="H62" i="104"/>
  <c r="O61" i="104"/>
  <c r="I61" i="104"/>
  <c r="H61" i="104"/>
  <c r="O60" i="104"/>
  <c r="I60" i="104"/>
  <c r="H60" i="104"/>
  <c r="O59" i="104"/>
  <c r="I59" i="104"/>
  <c r="H59" i="104"/>
  <c r="P57" i="104"/>
  <c r="O57" i="104"/>
  <c r="I57" i="104"/>
  <c r="H57" i="104"/>
  <c r="D57" i="104"/>
  <c r="P56" i="104"/>
  <c r="O56" i="104"/>
  <c r="I56" i="104"/>
  <c r="H56" i="104"/>
  <c r="D56" i="104"/>
  <c r="P55" i="104"/>
  <c r="O55" i="104"/>
  <c r="I55" i="104"/>
  <c r="H55" i="104"/>
  <c r="D55" i="104"/>
  <c r="O54" i="104"/>
  <c r="I54" i="104"/>
  <c r="H54" i="104"/>
  <c r="O53" i="104"/>
  <c r="I53" i="104"/>
  <c r="H53" i="104"/>
  <c r="O52" i="104"/>
  <c r="I52" i="104"/>
  <c r="H52" i="104"/>
  <c r="O51" i="104"/>
  <c r="I51" i="104"/>
  <c r="H51" i="104"/>
  <c r="O50" i="104"/>
  <c r="I50" i="104"/>
  <c r="H50" i="104"/>
  <c r="O49" i="104"/>
  <c r="I49" i="104"/>
  <c r="H49" i="104"/>
  <c r="O48" i="104"/>
  <c r="I48" i="104"/>
  <c r="H48" i="104"/>
  <c r="O47" i="104"/>
  <c r="I47" i="104"/>
  <c r="H47" i="104"/>
  <c r="O46" i="104"/>
  <c r="I46" i="104"/>
  <c r="H46" i="104"/>
  <c r="O45" i="104"/>
  <c r="I45" i="104"/>
  <c r="H45" i="104"/>
  <c r="O44" i="104"/>
  <c r="I44" i="104"/>
  <c r="H44" i="104"/>
  <c r="O43" i="104"/>
  <c r="I43" i="104"/>
  <c r="H43" i="104"/>
  <c r="O42" i="104"/>
  <c r="I42" i="104"/>
  <c r="H42" i="104"/>
  <c r="O41" i="104"/>
  <c r="I41" i="104"/>
  <c r="H41" i="104"/>
  <c r="O40" i="104"/>
  <c r="I40" i="104"/>
  <c r="H40" i="104"/>
  <c r="O39" i="104"/>
  <c r="I39" i="104"/>
  <c r="H39" i="104"/>
  <c r="O38" i="104"/>
  <c r="I38" i="104"/>
  <c r="H38" i="104"/>
  <c r="O37" i="104"/>
  <c r="I37" i="104"/>
  <c r="H37" i="104"/>
  <c r="O36" i="104"/>
  <c r="I36" i="104"/>
  <c r="H36" i="104"/>
  <c r="O35" i="104"/>
  <c r="I35" i="104"/>
  <c r="H35" i="104"/>
  <c r="O34" i="104"/>
  <c r="I34" i="104"/>
  <c r="H34" i="104"/>
  <c r="O33" i="104"/>
  <c r="I33" i="104"/>
  <c r="H33" i="104"/>
  <c r="O32" i="104"/>
  <c r="I32" i="104"/>
  <c r="H32" i="104"/>
  <c r="N1" i="104"/>
  <c r="P19" i="104" s="1"/>
  <c r="I110" i="103"/>
  <c r="C110" i="103"/>
  <c r="I109" i="103"/>
  <c r="C109" i="103"/>
  <c r="I108" i="103"/>
  <c r="C108" i="103"/>
  <c r="I107" i="103"/>
  <c r="C107" i="103"/>
  <c r="I106" i="103"/>
  <c r="C106" i="103"/>
  <c r="I104" i="103"/>
  <c r="I103" i="103"/>
  <c r="C103" i="103"/>
  <c r="I102" i="103"/>
  <c r="I101" i="103"/>
  <c r="C101" i="103"/>
  <c r="I100" i="103"/>
  <c r="I99" i="103"/>
  <c r="C99" i="103"/>
  <c r="I98" i="103"/>
  <c r="I97" i="103"/>
  <c r="C97" i="103"/>
  <c r="I96" i="103"/>
  <c r="I95" i="103"/>
  <c r="C95" i="103"/>
  <c r="I94" i="103"/>
  <c r="I93" i="103"/>
  <c r="C93" i="103"/>
  <c r="I92" i="103"/>
  <c r="I91" i="103"/>
  <c r="C91" i="103"/>
  <c r="I90" i="103"/>
  <c r="I89" i="103"/>
  <c r="C89" i="103"/>
  <c r="I88" i="103"/>
  <c r="I87" i="103"/>
  <c r="C87" i="103"/>
  <c r="I86" i="103"/>
  <c r="I85" i="103"/>
  <c r="C85" i="103"/>
  <c r="I84" i="103"/>
  <c r="I83" i="103"/>
  <c r="C83" i="103"/>
  <c r="I82" i="103"/>
  <c r="I81" i="103"/>
  <c r="C81" i="103"/>
  <c r="I80" i="103"/>
  <c r="I79" i="103"/>
  <c r="C79" i="103"/>
  <c r="I78" i="103"/>
  <c r="I77" i="103"/>
  <c r="C77" i="103"/>
  <c r="I76" i="103"/>
  <c r="I75" i="103"/>
  <c r="C75" i="103"/>
  <c r="I74" i="103"/>
  <c r="I73" i="103"/>
  <c r="C73" i="103"/>
  <c r="I72" i="103"/>
  <c r="I71" i="103"/>
  <c r="C71" i="103"/>
  <c r="I70" i="103"/>
  <c r="I69" i="103"/>
  <c r="C69" i="103"/>
  <c r="I68" i="103"/>
  <c r="I67" i="103"/>
  <c r="C67" i="103"/>
  <c r="I66" i="103"/>
  <c r="I65" i="103"/>
  <c r="C65" i="103"/>
  <c r="O62" i="103"/>
  <c r="I62" i="103"/>
  <c r="H62" i="103"/>
  <c r="O61" i="103"/>
  <c r="I61" i="103"/>
  <c r="H61" i="103"/>
  <c r="O60" i="103"/>
  <c r="I60" i="103"/>
  <c r="H60" i="103"/>
  <c r="O59" i="103"/>
  <c r="I59" i="103"/>
  <c r="H59" i="103"/>
  <c r="P57" i="103"/>
  <c r="O57" i="103"/>
  <c r="I57" i="103"/>
  <c r="H57" i="103"/>
  <c r="D57" i="103"/>
  <c r="P56" i="103"/>
  <c r="O56" i="103"/>
  <c r="I56" i="103"/>
  <c r="H56" i="103"/>
  <c r="D56" i="103"/>
  <c r="P55" i="103"/>
  <c r="O55" i="103"/>
  <c r="I55" i="103"/>
  <c r="H55" i="103"/>
  <c r="D55" i="103"/>
  <c r="O54" i="103"/>
  <c r="I54" i="103"/>
  <c r="H54" i="103"/>
  <c r="O53" i="103"/>
  <c r="I53" i="103"/>
  <c r="H53" i="103"/>
  <c r="O52" i="103"/>
  <c r="I52" i="103"/>
  <c r="H52" i="103"/>
  <c r="O51" i="103"/>
  <c r="I51" i="103"/>
  <c r="H51" i="103"/>
  <c r="O50" i="103"/>
  <c r="I50" i="103"/>
  <c r="H50" i="103"/>
  <c r="O49" i="103"/>
  <c r="I49" i="103"/>
  <c r="H49" i="103"/>
  <c r="O48" i="103"/>
  <c r="I48" i="103"/>
  <c r="H48" i="103"/>
  <c r="O47" i="103"/>
  <c r="I47" i="103"/>
  <c r="H47" i="103"/>
  <c r="O46" i="103"/>
  <c r="I46" i="103"/>
  <c r="H46" i="103"/>
  <c r="O45" i="103"/>
  <c r="I45" i="103"/>
  <c r="H45" i="103"/>
  <c r="O44" i="103"/>
  <c r="I44" i="103"/>
  <c r="H44" i="103"/>
  <c r="O43" i="103"/>
  <c r="I43" i="103"/>
  <c r="H43" i="103"/>
  <c r="O42" i="103"/>
  <c r="I42" i="103"/>
  <c r="H42" i="103"/>
  <c r="O41" i="103"/>
  <c r="I41" i="103"/>
  <c r="H41" i="103"/>
  <c r="O40" i="103"/>
  <c r="I40" i="103"/>
  <c r="H40" i="103"/>
  <c r="O39" i="103"/>
  <c r="I39" i="103"/>
  <c r="H39" i="103"/>
  <c r="O38" i="103"/>
  <c r="I38" i="103"/>
  <c r="H38" i="103"/>
  <c r="O37" i="103"/>
  <c r="I37" i="103"/>
  <c r="H37" i="103"/>
  <c r="O36" i="103"/>
  <c r="I36" i="103"/>
  <c r="H36" i="103"/>
  <c r="O35" i="103"/>
  <c r="I35" i="103"/>
  <c r="H35" i="103"/>
  <c r="O34" i="103"/>
  <c r="I34" i="103"/>
  <c r="H34" i="103"/>
  <c r="O33" i="103"/>
  <c r="I33" i="103"/>
  <c r="H33" i="103"/>
  <c r="O32" i="103"/>
  <c r="I32" i="103"/>
  <c r="H32" i="103"/>
  <c r="N1" i="103"/>
  <c r="P19" i="103" s="1"/>
  <c r="I110" i="102"/>
  <c r="C110" i="102"/>
  <c r="I109" i="102"/>
  <c r="C109" i="102"/>
  <c r="I108" i="102"/>
  <c r="C108" i="102"/>
  <c r="I107" i="102"/>
  <c r="C107" i="102"/>
  <c r="I106" i="102"/>
  <c r="C106" i="102"/>
  <c r="I104" i="102"/>
  <c r="I103" i="102"/>
  <c r="C103" i="102"/>
  <c r="I102" i="102"/>
  <c r="I101" i="102"/>
  <c r="C101" i="102"/>
  <c r="I100" i="102"/>
  <c r="I99" i="102"/>
  <c r="C99" i="102"/>
  <c r="I98" i="102"/>
  <c r="I97" i="102"/>
  <c r="C97" i="102"/>
  <c r="I96" i="102"/>
  <c r="I95" i="102"/>
  <c r="C95" i="102"/>
  <c r="I94" i="102"/>
  <c r="I93" i="102"/>
  <c r="C93" i="102"/>
  <c r="I92" i="102"/>
  <c r="I91" i="102"/>
  <c r="C91" i="102"/>
  <c r="I90" i="102"/>
  <c r="I89" i="102"/>
  <c r="C89" i="102"/>
  <c r="I88" i="102"/>
  <c r="I87" i="102"/>
  <c r="C87" i="102"/>
  <c r="I86" i="102"/>
  <c r="I85" i="102"/>
  <c r="C85" i="102"/>
  <c r="I84" i="102"/>
  <c r="I83" i="102"/>
  <c r="C83" i="102"/>
  <c r="I82" i="102"/>
  <c r="I81" i="102"/>
  <c r="C81" i="102"/>
  <c r="I80" i="102"/>
  <c r="I79" i="102"/>
  <c r="C79" i="102"/>
  <c r="I78" i="102"/>
  <c r="I77" i="102"/>
  <c r="C77" i="102"/>
  <c r="I76" i="102"/>
  <c r="I75" i="102"/>
  <c r="C75" i="102"/>
  <c r="I74" i="102"/>
  <c r="I73" i="102"/>
  <c r="C73" i="102"/>
  <c r="I72" i="102"/>
  <c r="I71" i="102"/>
  <c r="C71" i="102"/>
  <c r="I70" i="102"/>
  <c r="I69" i="102"/>
  <c r="C69" i="102"/>
  <c r="I68" i="102"/>
  <c r="I67" i="102"/>
  <c r="C67" i="102"/>
  <c r="I66" i="102"/>
  <c r="I65" i="102"/>
  <c r="C65" i="102"/>
  <c r="O62" i="102"/>
  <c r="I62" i="102"/>
  <c r="H62" i="102"/>
  <c r="O61" i="102"/>
  <c r="I61" i="102"/>
  <c r="H61" i="102"/>
  <c r="O60" i="102"/>
  <c r="I60" i="102"/>
  <c r="H60" i="102"/>
  <c r="O59" i="102"/>
  <c r="I59" i="102"/>
  <c r="H59" i="102"/>
  <c r="P57" i="102"/>
  <c r="O57" i="102"/>
  <c r="I57" i="102"/>
  <c r="H57" i="102"/>
  <c r="D57" i="102"/>
  <c r="P56" i="102"/>
  <c r="O56" i="102"/>
  <c r="I56" i="102"/>
  <c r="H56" i="102"/>
  <c r="D56" i="102"/>
  <c r="P55" i="102"/>
  <c r="O55" i="102"/>
  <c r="I55" i="102"/>
  <c r="H55" i="102"/>
  <c r="D55" i="102"/>
  <c r="O54" i="102"/>
  <c r="I54" i="102"/>
  <c r="H54" i="102"/>
  <c r="O53" i="102"/>
  <c r="I53" i="102"/>
  <c r="H53" i="102"/>
  <c r="O52" i="102"/>
  <c r="I52" i="102"/>
  <c r="H52" i="102"/>
  <c r="O51" i="102"/>
  <c r="I51" i="102"/>
  <c r="H51" i="102"/>
  <c r="O50" i="102"/>
  <c r="I50" i="102"/>
  <c r="H50" i="102"/>
  <c r="O49" i="102"/>
  <c r="I49" i="102"/>
  <c r="H49" i="102"/>
  <c r="O48" i="102"/>
  <c r="I48" i="102"/>
  <c r="H48" i="102"/>
  <c r="O47" i="102"/>
  <c r="I47" i="102"/>
  <c r="H47" i="102"/>
  <c r="O46" i="102"/>
  <c r="I46" i="102"/>
  <c r="H46" i="102"/>
  <c r="O45" i="102"/>
  <c r="I45" i="102"/>
  <c r="H45" i="102"/>
  <c r="O44" i="102"/>
  <c r="I44" i="102"/>
  <c r="H44" i="102"/>
  <c r="O43" i="102"/>
  <c r="I43" i="102"/>
  <c r="H43" i="102"/>
  <c r="O42" i="102"/>
  <c r="I42" i="102"/>
  <c r="H42" i="102"/>
  <c r="O41" i="102"/>
  <c r="I41" i="102"/>
  <c r="H41" i="102"/>
  <c r="O40" i="102"/>
  <c r="I40" i="102"/>
  <c r="H40" i="102"/>
  <c r="O39" i="102"/>
  <c r="I39" i="102"/>
  <c r="H39" i="102"/>
  <c r="O38" i="102"/>
  <c r="I38" i="102"/>
  <c r="H38" i="102"/>
  <c r="O37" i="102"/>
  <c r="I37" i="102"/>
  <c r="H37" i="102"/>
  <c r="O36" i="102"/>
  <c r="I36" i="102"/>
  <c r="H36" i="102"/>
  <c r="O35" i="102"/>
  <c r="I35" i="102"/>
  <c r="H35" i="102"/>
  <c r="O34" i="102"/>
  <c r="I34" i="102"/>
  <c r="H34" i="102"/>
  <c r="O33" i="102"/>
  <c r="I33" i="102"/>
  <c r="H33" i="102"/>
  <c r="O32" i="102"/>
  <c r="I32" i="102"/>
  <c r="H32" i="102"/>
  <c r="N1" i="102"/>
  <c r="P19" i="102" s="1"/>
  <c r="I110" i="101"/>
  <c r="C110" i="101"/>
  <c r="I109" i="101"/>
  <c r="C109" i="101"/>
  <c r="I108" i="101"/>
  <c r="C108" i="101"/>
  <c r="I107" i="101"/>
  <c r="C107" i="101"/>
  <c r="I106" i="101"/>
  <c r="C106" i="101"/>
  <c r="I104" i="101"/>
  <c r="I103" i="101"/>
  <c r="C103" i="101"/>
  <c r="I102" i="101"/>
  <c r="I101" i="101"/>
  <c r="C101" i="101"/>
  <c r="I100" i="101"/>
  <c r="I99" i="101"/>
  <c r="C99" i="101"/>
  <c r="I98" i="101"/>
  <c r="I97" i="101"/>
  <c r="C97" i="101"/>
  <c r="I96" i="101"/>
  <c r="I95" i="101"/>
  <c r="C95" i="101"/>
  <c r="I94" i="101"/>
  <c r="I93" i="101"/>
  <c r="C93" i="101"/>
  <c r="I92" i="101"/>
  <c r="I91" i="101"/>
  <c r="C91" i="101"/>
  <c r="I90" i="101"/>
  <c r="I89" i="101"/>
  <c r="C89" i="101"/>
  <c r="I88" i="101"/>
  <c r="I87" i="101"/>
  <c r="C87" i="101"/>
  <c r="I86" i="101"/>
  <c r="I85" i="101"/>
  <c r="C85" i="101"/>
  <c r="I84" i="101"/>
  <c r="I83" i="101"/>
  <c r="C83" i="101"/>
  <c r="I82" i="101"/>
  <c r="I81" i="101"/>
  <c r="C81" i="101"/>
  <c r="I80" i="101"/>
  <c r="I79" i="101"/>
  <c r="C79" i="101"/>
  <c r="I78" i="101"/>
  <c r="I77" i="101"/>
  <c r="C77" i="101"/>
  <c r="I76" i="101"/>
  <c r="I75" i="101"/>
  <c r="C75" i="101"/>
  <c r="I74" i="101"/>
  <c r="I73" i="101"/>
  <c r="C73" i="101"/>
  <c r="I72" i="101"/>
  <c r="I71" i="101"/>
  <c r="C71" i="101"/>
  <c r="I70" i="101"/>
  <c r="I69" i="101"/>
  <c r="C69" i="101"/>
  <c r="I68" i="101"/>
  <c r="I67" i="101"/>
  <c r="C67" i="101"/>
  <c r="I66" i="101"/>
  <c r="I65" i="101"/>
  <c r="C65" i="101"/>
  <c r="O62" i="101"/>
  <c r="I62" i="101"/>
  <c r="H62" i="101"/>
  <c r="O61" i="101"/>
  <c r="I61" i="101"/>
  <c r="H61" i="101"/>
  <c r="O60" i="101"/>
  <c r="I60" i="101"/>
  <c r="H60" i="101"/>
  <c r="O59" i="101"/>
  <c r="I59" i="101"/>
  <c r="H59" i="101"/>
  <c r="P57" i="101"/>
  <c r="O57" i="101"/>
  <c r="I57" i="101"/>
  <c r="H57" i="101"/>
  <c r="D57" i="101"/>
  <c r="P56" i="101"/>
  <c r="O56" i="101"/>
  <c r="I56" i="101"/>
  <c r="H56" i="101"/>
  <c r="D56" i="101"/>
  <c r="P55" i="101"/>
  <c r="O55" i="101"/>
  <c r="I55" i="101"/>
  <c r="H55" i="101"/>
  <c r="D55" i="101"/>
  <c r="O54" i="101"/>
  <c r="I54" i="101"/>
  <c r="H54" i="101"/>
  <c r="O53" i="101"/>
  <c r="I53" i="101"/>
  <c r="H53" i="101"/>
  <c r="O52" i="101"/>
  <c r="I52" i="101"/>
  <c r="H52" i="101"/>
  <c r="O51" i="101"/>
  <c r="I51" i="101"/>
  <c r="H51" i="101"/>
  <c r="O50" i="101"/>
  <c r="I50" i="101"/>
  <c r="H50" i="101"/>
  <c r="O49" i="101"/>
  <c r="I49" i="101"/>
  <c r="H49" i="101"/>
  <c r="O48" i="101"/>
  <c r="I48" i="101"/>
  <c r="H48" i="101"/>
  <c r="O47" i="101"/>
  <c r="I47" i="101"/>
  <c r="H47" i="101"/>
  <c r="O46" i="101"/>
  <c r="I46" i="101"/>
  <c r="H46" i="101"/>
  <c r="O45" i="101"/>
  <c r="I45" i="101"/>
  <c r="H45" i="101"/>
  <c r="O44" i="101"/>
  <c r="I44" i="101"/>
  <c r="H44" i="101"/>
  <c r="O43" i="101"/>
  <c r="I43" i="101"/>
  <c r="H43" i="101"/>
  <c r="O42" i="101"/>
  <c r="I42" i="101"/>
  <c r="H42" i="101"/>
  <c r="O41" i="101"/>
  <c r="I41" i="101"/>
  <c r="H41" i="101"/>
  <c r="O40" i="101"/>
  <c r="I40" i="101"/>
  <c r="H40" i="101"/>
  <c r="O39" i="101"/>
  <c r="I39" i="101"/>
  <c r="H39" i="101"/>
  <c r="O38" i="101"/>
  <c r="I38" i="101"/>
  <c r="H38" i="101"/>
  <c r="O37" i="101"/>
  <c r="I37" i="101"/>
  <c r="H37" i="101"/>
  <c r="O36" i="101"/>
  <c r="I36" i="101"/>
  <c r="H36" i="101"/>
  <c r="O35" i="101"/>
  <c r="I35" i="101"/>
  <c r="H35" i="101"/>
  <c r="O34" i="101"/>
  <c r="I34" i="101"/>
  <c r="H34" i="101"/>
  <c r="O33" i="101"/>
  <c r="I33" i="101"/>
  <c r="H33" i="101"/>
  <c r="O32" i="101"/>
  <c r="I32" i="101"/>
  <c r="H32" i="101"/>
  <c r="N1" i="101"/>
  <c r="P19" i="101" s="1"/>
  <c r="I110" i="100"/>
  <c r="C110" i="100"/>
  <c r="I109" i="100"/>
  <c r="C109" i="100"/>
  <c r="I108" i="100"/>
  <c r="C108" i="100"/>
  <c r="I107" i="100"/>
  <c r="C107" i="100"/>
  <c r="I106" i="100"/>
  <c r="C106" i="100"/>
  <c r="I104" i="100"/>
  <c r="I103" i="100"/>
  <c r="C103" i="100"/>
  <c r="I102" i="100"/>
  <c r="I101" i="100"/>
  <c r="C101" i="100"/>
  <c r="I100" i="100"/>
  <c r="I99" i="100"/>
  <c r="C99" i="100"/>
  <c r="I98" i="100"/>
  <c r="I97" i="100"/>
  <c r="C97" i="100"/>
  <c r="I96" i="100"/>
  <c r="I95" i="100"/>
  <c r="C95" i="100"/>
  <c r="I94" i="100"/>
  <c r="I93" i="100"/>
  <c r="C93" i="100"/>
  <c r="I92" i="100"/>
  <c r="I91" i="100"/>
  <c r="C91" i="100"/>
  <c r="I90" i="100"/>
  <c r="I89" i="100"/>
  <c r="C89" i="100"/>
  <c r="I88" i="100"/>
  <c r="I87" i="100"/>
  <c r="C87" i="100"/>
  <c r="I86" i="100"/>
  <c r="I85" i="100"/>
  <c r="C85" i="100"/>
  <c r="I84" i="100"/>
  <c r="I83" i="100"/>
  <c r="C83" i="100"/>
  <c r="I82" i="100"/>
  <c r="I81" i="100"/>
  <c r="C81" i="100"/>
  <c r="I80" i="100"/>
  <c r="I79" i="100"/>
  <c r="C79" i="100"/>
  <c r="I78" i="100"/>
  <c r="I77" i="100"/>
  <c r="C77" i="100"/>
  <c r="I76" i="100"/>
  <c r="I75" i="100"/>
  <c r="C75" i="100"/>
  <c r="I74" i="100"/>
  <c r="I73" i="100"/>
  <c r="C73" i="100"/>
  <c r="I72" i="100"/>
  <c r="I71" i="100"/>
  <c r="C71" i="100"/>
  <c r="I70" i="100"/>
  <c r="I69" i="100"/>
  <c r="C69" i="100"/>
  <c r="I68" i="100"/>
  <c r="I67" i="100"/>
  <c r="C67" i="100"/>
  <c r="I66" i="100"/>
  <c r="I65" i="100"/>
  <c r="C65" i="100"/>
  <c r="O62" i="100"/>
  <c r="I62" i="100"/>
  <c r="H62" i="100"/>
  <c r="O61" i="100"/>
  <c r="I61" i="100"/>
  <c r="H61" i="100"/>
  <c r="O60" i="100"/>
  <c r="I60" i="100"/>
  <c r="H60" i="100"/>
  <c r="O59" i="100"/>
  <c r="I59" i="100"/>
  <c r="H59" i="100"/>
  <c r="P57" i="100"/>
  <c r="O57" i="100"/>
  <c r="I57" i="100"/>
  <c r="H57" i="100"/>
  <c r="D57" i="100"/>
  <c r="P56" i="100"/>
  <c r="O56" i="100"/>
  <c r="I56" i="100"/>
  <c r="H56" i="100"/>
  <c r="D56" i="100"/>
  <c r="P55" i="100"/>
  <c r="O55" i="100"/>
  <c r="I55" i="100"/>
  <c r="H55" i="100"/>
  <c r="D55" i="100"/>
  <c r="O54" i="100"/>
  <c r="I54" i="100"/>
  <c r="H54" i="100"/>
  <c r="O53" i="100"/>
  <c r="I53" i="100"/>
  <c r="H53" i="100"/>
  <c r="O52" i="100"/>
  <c r="I52" i="100"/>
  <c r="H52" i="100"/>
  <c r="O51" i="100"/>
  <c r="I51" i="100"/>
  <c r="H51" i="100"/>
  <c r="O50" i="100"/>
  <c r="I50" i="100"/>
  <c r="H50" i="100"/>
  <c r="O49" i="100"/>
  <c r="I49" i="100"/>
  <c r="H49" i="100"/>
  <c r="O48" i="100"/>
  <c r="I48" i="100"/>
  <c r="H48" i="100"/>
  <c r="O47" i="100"/>
  <c r="I47" i="100"/>
  <c r="H47" i="100"/>
  <c r="O46" i="100"/>
  <c r="I46" i="100"/>
  <c r="H46" i="100"/>
  <c r="O45" i="100"/>
  <c r="I45" i="100"/>
  <c r="H45" i="100"/>
  <c r="O44" i="100"/>
  <c r="I44" i="100"/>
  <c r="H44" i="100"/>
  <c r="O43" i="100"/>
  <c r="I43" i="100"/>
  <c r="H43" i="100"/>
  <c r="O42" i="100"/>
  <c r="I42" i="100"/>
  <c r="H42" i="100"/>
  <c r="O41" i="100"/>
  <c r="I41" i="100"/>
  <c r="H41" i="100"/>
  <c r="O40" i="100"/>
  <c r="I40" i="100"/>
  <c r="H40" i="100"/>
  <c r="O39" i="100"/>
  <c r="I39" i="100"/>
  <c r="H39" i="100"/>
  <c r="O38" i="100"/>
  <c r="I38" i="100"/>
  <c r="H38" i="100"/>
  <c r="O37" i="100"/>
  <c r="I37" i="100"/>
  <c r="H37" i="100"/>
  <c r="O36" i="100"/>
  <c r="I36" i="100"/>
  <c r="H36" i="100"/>
  <c r="O35" i="100"/>
  <c r="I35" i="100"/>
  <c r="H35" i="100"/>
  <c r="O34" i="100"/>
  <c r="I34" i="100"/>
  <c r="H34" i="100"/>
  <c r="O33" i="100"/>
  <c r="I33" i="100"/>
  <c r="H33" i="100"/>
  <c r="O32" i="100"/>
  <c r="I32" i="100"/>
  <c r="H32" i="100"/>
  <c r="N1" i="100"/>
  <c r="P19" i="100" s="1"/>
  <c r="I110" i="99"/>
  <c r="C110" i="99"/>
  <c r="I109" i="99"/>
  <c r="C109" i="99"/>
  <c r="I108" i="99"/>
  <c r="C108" i="99"/>
  <c r="I107" i="99"/>
  <c r="C107" i="99"/>
  <c r="I106" i="99"/>
  <c r="C106" i="99"/>
  <c r="I104" i="99"/>
  <c r="I103" i="99"/>
  <c r="C103" i="99"/>
  <c r="I102" i="99"/>
  <c r="I101" i="99"/>
  <c r="C101" i="99"/>
  <c r="I100" i="99"/>
  <c r="I99" i="99"/>
  <c r="C99" i="99"/>
  <c r="I98" i="99"/>
  <c r="I97" i="99"/>
  <c r="C97" i="99"/>
  <c r="I96" i="99"/>
  <c r="I95" i="99"/>
  <c r="C95" i="99"/>
  <c r="I94" i="99"/>
  <c r="I93" i="99"/>
  <c r="C93" i="99"/>
  <c r="I92" i="99"/>
  <c r="I91" i="99"/>
  <c r="C91" i="99"/>
  <c r="I90" i="99"/>
  <c r="I89" i="99"/>
  <c r="C89" i="99"/>
  <c r="I88" i="99"/>
  <c r="I87" i="99"/>
  <c r="C87" i="99"/>
  <c r="I86" i="99"/>
  <c r="I85" i="99"/>
  <c r="C85" i="99"/>
  <c r="I84" i="99"/>
  <c r="I83" i="99"/>
  <c r="C83" i="99"/>
  <c r="I82" i="99"/>
  <c r="I81" i="99"/>
  <c r="C81" i="99"/>
  <c r="I80" i="99"/>
  <c r="I79" i="99"/>
  <c r="C79" i="99"/>
  <c r="I78" i="99"/>
  <c r="I77" i="99"/>
  <c r="C77" i="99"/>
  <c r="I76" i="99"/>
  <c r="I75" i="99"/>
  <c r="C75" i="99"/>
  <c r="I74" i="99"/>
  <c r="I73" i="99"/>
  <c r="C73" i="99"/>
  <c r="I72" i="99"/>
  <c r="I71" i="99"/>
  <c r="C71" i="99"/>
  <c r="I70" i="99"/>
  <c r="I69" i="99"/>
  <c r="C69" i="99"/>
  <c r="I68" i="99"/>
  <c r="I67" i="99"/>
  <c r="C67" i="99"/>
  <c r="I66" i="99"/>
  <c r="I65" i="99"/>
  <c r="C65" i="99"/>
  <c r="O62" i="99"/>
  <c r="I62" i="99"/>
  <c r="H62" i="99"/>
  <c r="O61" i="99"/>
  <c r="I61" i="99"/>
  <c r="H61" i="99"/>
  <c r="O60" i="99"/>
  <c r="I60" i="99"/>
  <c r="H60" i="99"/>
  <c r="O59" i="99"/>
  <c r="I59" i="99"/>
  <c r="H59" i="99"/>
  <c r="P57" i="99"/>
  <c r="O57" i="99"/>
  <c r="I57" i="99"/>
  <c r="H57" i="99"/>
  <c r="D57" i="99"/>
  <c r="P56" i="99"/>
  <c r="O56" i="99"/>
  <c r="I56" i="99"/>
  <c r="H56" i="99"/>
  <c r="D56" i="99"/>
  <c r="P55" i="99"/>
  <c r="O55" i="99"/>
  <c r="I55" i="99"/>
  <c r="H55" i="99"/>
  <c r="D55" i="99"/>
  <c r="O54" i="99"/>
  <c r="I54" i="99"/>
  <c r="H54" i="99"/>
  <c r="O53" i="99"/>
  <c r="I53" i="99"/>
  <c r="H53" i="99"/>
  <c r="O52" i="99"/>
  <c r="I52" i="99"/>
  <c r="H52" i="99"/>
  <c r="O51" i="99"/>
  <c r="I51" i="99"/>
  <c r="H51" i="99"/>
  <c r="O50" i="99"/>
  <c r="I50" i="99"/>
  <c r="H50" i="99"/>
  <c r="O49" i="99"/>
  <c r="I49" i="99"/>
  <c r="H49" i="99"/>
  <c r="O48" i="99"/>
  <c r="I48" i="99"/>
  <c r="H48" i="99"/>
  <c r="O47" i="99"/>
  <c r="I47" i="99"/>
  <c r="H47" i="99"/>
  <c r="O46" i="99"/>
  <c r="I46" i="99"/>
  <c r="H46" i="99"/>
  <c r="O45" i="99"/>
  <c r="I45" i="99"/>
  <c r="H45" i="99"/>
  <c r="O44" i="99"/>
  <c r="I44" i="99"/>
  <c r="H44" i="99"/>
  <c r="O43" i="99"/>
  <c r="I43" i="99"/>
  <c r="H43" i="99"/>
  <c r="O42" i="99"/>
  <c r="I42" i="99"/>
  <c r="H42" i="99"/>
  <c r="O41" i="99"/>
  <c r="I41" i="99"/>
  <c r="H41" i="99"/>
  <c r="O40" i="99"/>
  <c r="I40" i="99"/>
  <c r="H40" i="99"/>
  <c r="O39" i="99"/>
  <c r="I39" i="99"/>
  <c r="H39" i="99"/>
  <c r="O38" i="99"/>
  <c r="I38" i="99"/>
  <c r="H38" i="99"/>
  <c r="O37" i="99"/>
  <c r="I37" i="99"/>
  <c r="H37" i="99"/>
  <c r="O36" i="99"/>
  <c r="I36" i="99"/>
  <c r="H36" i="99"/>
  <c r="O35" i="99"/>
  <c r="I35" i="99"/>
  <c r="H35" i="99"/>
  <c r="O34" i="99"/>
  <c r="I34" i="99"/>
  <c r="H34" i="99"/>
  <c r="O33" i="99"/>
  <c r="I33" i="99"/>
  <c r="H33" i="99"/>
  <c r="O32" i="99"/>
  <c r="I32" i="99"/>
  <c r="H32" i="99"/>
  <c r="N1" i="99"/>
  <c r="P19" i="99" s="1"/>
  <c r="I110" i="98"/>
  <c r="C110" i="98"/>
  <c r="I109" i="98"/>
  <c r="C109" i="98"/>
  <c r="I108" i="98"/>
  <c r="C108" i="98"/>
  <c r="I107" i="98"/>
  <c r="C107" i="98"/>
  <c r="I106" i="98"/>
  <c r="C106" i="98"/>
  <c r="I104" i="98"/>
  <c r="I103" i="98"/>
  <c r="C103" i="98"/>
  <c r="I102" i="98"/>
  <c r="I101" i="98"/>
  <c r="C101" i="98"/>
  <c r="I100" i="98"/>
  <c r="I99" i="98"/>
  <c r="C99" i="98"/>
  <c r="I98" i="98"/>
  <c r="I97" i="98"/>
  <c r="C97" i="98"/>
  <c r="I96" i="98"/>
  <c r="I95" i="98"/>
  <c r="C95" i="98"/>
  <c r="I94" i="98"/>
  <c r="I93" i="98"/>
  <c r="C93" i="98"/>
  <c r="I92" i="98"/>
  <c r="I91" i="98"/>
  <c r="C91" i="98"/>
  <c r="I90" i="98"/>
  <c r="I89" i="98"/>
  <c r="C89" i="98"/>
  <c r="I88" i="98"/>
  <c r="I87" i="98"/>
  <c r="C87" i="98"/>
  <c r="I86" i="98"/>
  <c r="I85" i="98"/>
  <c r="C85" i="98"/>
  <c r="I84" i="98"/>
  <c r="I83" i="98"/>
  <c r="C83" i="98"/>
  <c r="I82" i="98"/>
  <c r="I81" i="98"/>
  <c r="C81" i="98"/>
  <c r="I80" i="98"/>
  <c r="I79" i="98"/>
  <c r="C79" i="98"/>
  <c r="I78" i="98"/>
  <c r="I77" i="98"/>
  <c r="C77" i="98"/>
  <c r="I76" i="98"/>
  <c r="I75" i="98"/>
  <c r="C75" i="98"/>
  <c r="I74" i="98"/>
  <c r="I73" i="98"/>
  <c r="C73" i="98"/>
  <c r="I72" i="98"/>
  <c r="I71" i="98"/>
  <c r="C71" i="98"/>
  <c r="I70" i="98"/>
  <c r="I69" i="98"/>
  <c r="C69" i="98"/>
  <c r="I68" i="98"/>
  <c r="I67" i="98"/>
  <c r="C67" i="98"/>
  <c r="I66" i="98"/>
  <c r="I65" i="98"/>
  <c r="C65" i="98"/>
  <c r="O62" i="98"/>
  <c r="I62" i="98"/>
  <c r="H62" i="98"/>
  <c r="O61" i="98"/>
  <c r="I61" i="98"/>
  <c r="H61" i="98"/>
  <c r="O60" i="98"/>
  <c r="I60" i="98"/>
  <c r="H60" i="98"/>
  <c r="O59" i="98"/>
  <c r="I59" i="98"/>
  <c r="H59" i="98"/>
  <c r="P57" i="98"/>
  <c r="O57" i="98"/>
  <c r="I57" i="98"/>
  <c r="H57" i="98"/>
  <c r="D57" i="98"/>
  <c r="P56" i="98"/>
  <c r="O56" i="98"/>
  <c r="I56" i="98"/>
  <c r="H56" i="98"/>
  <c r="D56" i="98"/>
  <c r="P55" i="98"/>
  <c r="O55" i="98"/>
  <c r="I55" i="98"/>
  <c r="H55" i="98"/>
  <c r="D55" i="98"/>
  <c r="O54" i="98"/>
  <c r="I54" i="98"/>
  <c r="H54" i="98"/>
  <c r="O53" i="98"/>
  <c r="I53" i="98"/>
  <c r="H53" i="98"/>
  <c r="O52" i="98"/>
  <c r="I52" i="98"/>
  <c r="H52" i="98"/>
  <c r="O51" i="98"/>
  <c r="I51" i="98"/>
  <c r="H51" i="98"/>
  <c r="O50" i="98"/>
  <c r="I50" i="98"/>
  <c r="H50" i="98"/>
  <c r="O49" i="98"/>
  <c r="I49" i="98"/>
  <c r="H49" i="98"/>
  <c r="O48" i="98"/>
  <c r="I48" i="98"/>
  <c r="H48" i="98"/>
  <c r="O47" i="98"/>
  <c r="I47" i="98"/>
  <c r="H47" i="98"/>
  <c r="O46" i="98"/>
  <c r="I46" i="98"/>
  <c r="H46" i="98"/>
  <c r="O45" i="98"/>
  <c r="I45" i="98"/>
  <c r="H45" i="98"/>
  <c r="O44" i="98"/>
  <c r="I44" i="98"/>
  <c r="H44" i="98"/>
  <c r="O43" i="98"/>
  <c r="I43" i="98"/>
  <c r="H43" i="98"/>
  <c r="O42" i="98"/>
  <c r="I42" i="98"/>
  <c r="H42" i="98"/>
  <c r="O41" i="98"/>
  <c r="I41" i="98"/>
  <c r="H41" i="98"/>
  <c r="O40" i="98"/>
  <c r="I40" i="98"/>
  <c r="H40" i="98"/>
  <c r="O39" i="98"/>
  <c r="I39" i="98"/>
  <c r="H39" i="98"/>
  <c r="O38" i="98"/>
  <c r="I38" i="98"/>
  <c r="H38" i="98"/>
  <c r="O37" i="98"/>
  <c r="I37" i="98"/>
  <c r="H37" i="98"/>
  <c r="O36" i="98"/>
  <c r="I36" i="98"/>
  <c r="H36" i="98"/>
  <c r="O35" i="98"/>
  <c r="I35" i="98"/>
  <c r="H35" i="98"/>
  <c r="O34" i="98"/>
  <c r="I34" i="98"/>
  <c r="H34" i="98"/>
  <c r="O33" i="98"/>
  <c r="I33" i="98"/>
  <c r="H33" i="98"/>
  <c r="O32" i="98"/>
  <c r="I32" i="98"/>
  <c r="H32" i="98"/>
  <c r="N1" i="98"/>
  <c r="P19" i="98" s="1"/>
  <c r="I110" i="97"/>
  <c r="C110" i="97"/>
  <c r="I109" i="97"/>
  <c r="C109" i="97"/>
  <c r="I108" i="97"/>
  <c r="C108" i="97"/>
  <c r="I107" i="97"/>
  <c r="C107" i="97"/>
  <c r="I106" i="97"/>
  <c r="C106" i="97"/>
  <c r="I104" i="97"/>
  <c r="I103" i="97"/>
  <c r="C103" i="97"/>
  <c r="I102" i="97"/>
  <c r="I101" i="97"/>
  <c r="C101" i="97"/>
  <c r="I100" i="97"/>
  <c r="I99" i="97"/>
  <c r="C99" i="97"/>
  <c r="I98" i="97"/>
  <c r="I97" i="97"/>
  <c r="C97" i="97"/>
  <c r="I96" i="97"/>
  <c r="I95" i="97"/>
  <c r="C95" i="97"/>
  <c r="I94" i="97"/>
  <c r="I93" i="97"/>
  <c r="C93" i="97"/>
  <c r="I92" i="97"/>
  <c r="I91" i="97"/>
  <c r="C91" i="97"/>
  <c r="I90" i="97"/>
  <c r="I89" i="97"/>
  <c r="C89" i="97"/>
  <c r="I88" i="97"/>
  <c r="I87" i="97"/>
  <c r="C87" i="97"/>
  <c r="I86" i="97"/>
  <c r="I85" i="97"/>
  <c r="C85" i="97"/>
  <c r="I84" i="97"/>
  <c r="I83" i="97"/>
  <c r="C83" i="97"/>
  <c r="I82" i="97"/>
  <c r="I81" i="97"/>
  <c r="C81" i="97"/>
  <c r="I80" i="97"/>
  <c r="I79" i="97"/>
  <c r="C79" i="97"/>
  <c r="I78" i="97"/>
  <c r="I77" i="97"/>
  <c r="C77" i="97"/>
  <c r="I76" i="97"/>
  <c r="I75" i="97"/>
  <c r="C75" i="97"/>
  <c r="I74" i="97"/>
  <c r="I73" i="97"/>
  <c r="C73" i="97"/>
  <c r="I72" i="97"/>
  <c r="I71" i="97"/>
  <c r="C71" i="97"/>
  <c r="I70" i="97"/>
  <c r="I69" i="97"/>
  <c r="C69" i="97"/>
  <c r="I68" i="97"/>
  <c r="I67" i="97"/>
  <c r="C67" i="97"/>
  <c r="I66" i="97"/>
  <c r="I65" i="97"/>
  <c r="C65" i="97"/>
  <c r="O62" i="97"/>
  <c r="I62" i="97"/>
  <c r="H62" i="97"/>
  <c r="O61" i="97"/>
  <c r="I61" i="97"/>
  <c r="H61" i="97"/>
  <c r="O60" i="97"/>
  <c r="I60" i="97"/>
  <c r="H60" i="97"/>
  <c r="O59" i="97"/>
  <c r="I59" i="97"/>
  <c r="H59" i="97"/>
  <c r="P57" i="97"/>
  <c r="O57" i="97"/>
  <c r="I57" i="97"/>
  <c r="H57" i="97"/>
  <c r="D57" i="97"/>
  <c r="P56" i="97"/>
  <c r="O56" i="97"/>
  <c r="I56" i="97"/>
  <c r="H56" i="97"/>
  <c r="D56" i="97"/>
  <c r="P55" i="97"/>
  <c r="O55" i="97"/>
  <c r="I55" i="97"/>
  <c r="H55" i="97"/>
  <c r="D55" i="97"/>
  <c r="O54" i="97"/>
  <c r="I54" i="97"/>
  <c r="H54" i="97"/>
  <c r="O53" i="97"/>
  <c r="I53" i="97"/>
  <c r="H53" i="97"/>
  <c r="O52" i="97"/>
  <c r="I52" i="97"/>
  <c r="H52" i="97"/>
  <c r="O51" i="97"/>
  <c r="I51" i="97"/>
  <c r="H51" i="97"/>
  <c r="O50" i="97"/>
  <c r="I50" i="97"/>
  <c r="H50" i="97"/>
  <c r="O49" i="97"/>
  <c r="I49" i="97"/>
  <c r="H49" i="97"/>
  <c r="O48" i="97"/>
  <c r="I48" i="97"/>
  <c r="H48" i="97"/>
  <c r="O47" i="97"/>
  <c r="I47" i="97"/>
  <c r="H47" i="97"/>
  <c r="O46" i="97"/>
  <c r="I46" i="97"/>
  <c r="H46" i="97"/>
  <c r="O45" i="97"/>
  <c r="I45" i="97"/>
  <c r="H45" i="97"/>
  <c r="O44" i="97"/>
  <c r="I44" i="97"/>
  <c r="H44" i="97"/>
  <c r="O43" i="97"/>
  <c r="I43" i="97"/>
  <c r="H43" i="97"/>
  <c r="O42" i="97"/>
  <c r="I42" i="97"/>
  <c r="H42" i="97"/>
  <c r="O41" i="97"/>
  <c r="I41" i="97"/>
  <c r="H41" i="97"/>
  <c r="O40" i="97"/>
  <c r="I40" i="97"/>
  <c r="H40" i="97"/>
  <c r="O39" i="97"/>
  <c r="I39" i="97"/>
  <c r="H39" i="97"/>
  <c r="O38" i="97"/>
  <c r="I38" i="97"/>
  <c r="H38" i="97"/>
  <c r="O37" i="97"/>
  <c r="I37" i="97"/>
  <c r="H37" i="97"/>
  <c r="O36" i="97"/>
  <c r="I36" i="97"/>
  <c r="H36" i="97"/>
  <c r="O35" i="97"/>
  <c r="I35" i="97"/>
  <c r="H35" i="97"/>
  <c r="O34" i="97"/>
  <c r="I34" i="97"/>
  <c r="H34" i="97"/>
  <c r="O33" i="97"/>
  <c r="I33" i="97"/>
  <c r="H33" i="97"/>
  <c r="O32" i="97"/>
  <c r="I32" i="97"/>
  <c r="H32" i="97"/>
  <c r="N1" i="97"/>
  <c r="P19" i="97" s="1"/>
  <c r="AU63" i="60"/>
  <c r="AT63" i="60"/>
  <c r="AS63" i="60"/>
  <c r="AF63" i="60"/>
  <c r="AE63" i="60"/>
  <c r="AD63" i="60"/>
  <c r="AC63" i="60"/>
  <c r="AB63" i="60"/>
  <c r="AA63" i="60"/>
  <c r="Z63" i="60"/>
  <c r="AM63" i="60"/>
  <c r="AL63" i="60"/>
  <c r="AK63" i="60"/>
  <c r="AJ63" i="60"/>
  <c r="AI63" i="60"/>
  <c r="AH63" i="60"/>
  <c r="AG63" i="60"/>
  <c r="Y63" i="60"/>
  <c r="X63" i="60"/>
  <c r="W63" i="60"/>
  <c r="G75" i="102"/>
  <c r="G109" i="107"/>
  <c r="K82" i="104"/>
  <c r="K49" i="109"/>
  <c r="K70" i="113"/>
  <c r="G109" i="110"/>
  <c r="K66" i="105"/>
  <c r="G71" i="97"/>
  <c r="G109" i="115"/>
  <c r="K77" i="116"/>
  <c r="K101" i="117"/>
  <c r="J844" i="48" l="1"/>
  <c r="W39" i="125" s="1"/>
  <c r="P39" i="125"/>
  <c r="J994" i="48"/>
  <c r="W45" i="125" s="1"/>
  <c r="P45" i="125"/>
  <c r="J344" i="48"/>
  <c r="W19" i="125" s="1"/>
  <c r="P19" i="125"/>
  <c r="J369" i="48"/>
  <c r="W20" i="125" s="1"/>
  <c r="P20" i="125"/>
  <c r="J569" i="48"/>
  <c r="W28" i="125" s="1"/>
  <c r="P28" i="125"/>
  <c r="J269" i="48"/>
  <c r="W16" i="125" s="1"/>
  <c r="P16" i="125"/>
  <c r="J169" i="48"/>
  <c r="W12" i="125" s="1"/>
  <c r="P12" i="125"/>
  <c r="J944" i="48"/>
  <c r="W43" i="125" s="1"/>
  <c r="P43" i="125"/>
  <c r="J619" i="48"/>
  <c r="W30" i="125" s="1"/>
  <c r="P30" i="125"/>
  <c r="J319" i="48"/>
  <c r="W18" i="125" s="1"/>
  <c r="P18" i="125"/>
  <c r="J669" i="48"/>
  <c r="W32" i="125" s="1"/>
  <c r="P32" i="125"/>
  <c r="J194" i="48"/>
  <c r="W13" i="125" s="1"/>
  <c r="P13" i="125"/>
  <c r="J444" i="48"/>
  <c r="W23" i="125" s="1"/>
  <c r="P23" i="125"/>
  <c r="J869" i="48"/>
  <c r="W40" i="125" s="1"/>
  <c r="P40" i="125"/>
  <c r="J894" i="48"/>
  <c r="W41" i="125" s="1"/>
  <c r="P41" i="125"/>
  <c r="J594" i="48"/>
  <c r="W29" i="125" s="1"/>
  <c r="P29" i="125"/>
  <c r="J94" i="48"/>
  <c r="W9" i="125" s="1"/>
  <c r="P9" i="125"/>
  <c r="J494" i="48"/>
  <c r="W25" i="125" s="1"/>
  <c r="P25" i="125"/>
  <c r="J694" i="48"/>
  <c r="W33" i="125" s="1"/>
  <c r="P33" i="125"/>
  <c r="J519" i="48"/>
  <c r="W26" i="125" s="1"/>
  <c r="P26" i="125"/>
  <c r="J219" i="48"/>
  <c r="W14" i="125" s="1"/>
  <c r="P14" i="125"/>
  <c r="J294" i="48"/>
  <c r="W17" i="125" s="1"/>
  <c r="P17" i="125"/>
  <c r="J244" i="48"/>
  <c r="W15" i="125" s="1"/>
  <c r="P15" i="125"/>
  <c r="J919" i="48"/>
  <c r="W42" i="125" s="1"/>
  <c r="P42" i="125"/>
  <c r="J419" i="48"/>
  <c r="W22" i="125" s="1"/>
  <c r="P22" i="125"/>
  <c r="J394" i="48"/>
  <c r="W21" i="125" s="1"/>
  <c r="P21" i="125"/>
  <c r="J469" i="48"/>
  <c r="W24" i="125" s="1"/>
  <c r="P24" i="125"/>
  <c r="J969" i="48"/>
  <c r="W44" i="125" s="1"/>
  <c r="P44" i="125"/>
  <c r="J769" i="48"/>
  <c r="W36" i="125" s="1"/>
  <c r="P36" i="125"/>
  <c r="J144" i="48"/>
  <c r="W11" i="125" s="1"/>
  <c r="P11" i="125"/>
  <c r="J119" i="48"/>
  <c r="W10" i="125" s="1"/>
  <c r="P10" i="125"/>
  <c r="J719" i="48"/>
  <c r="W34" i="125" s="1"/>
  <c r="P34" i="125"/>
  <c r="J794" i="48"/>
  <c r="W37" i="125" s="1"/>
  <c r="P37" i="125"/>
  <c r="J544" i="48"/>
  <c r="W27" i="125" s="1"/>
  <c r="P27" i="125"/>
  <c r="J744" i="48"/>
  <c r="W35" i="125" s="1"/>
  <c r="P35" i="125"/>
  <c r="J819" i="48"/>
  <c r="W38" i="125" s="1"/>
  <c r="P38" i="125"/>
  <c r="J644" i="48"/>
  <c r="W31" i="125" s="1"/>
  <c r="P31" i="125"/>
  <c r="P226" i="48"/>
  <c r="Q251" i="48"/>
  <c r="BJ28" i="120"/>
  <c r="BK28" i="120" s="1"/>
  <c r="BL28" i="120" s="1"/>
  <c r="BI28" i="120"/>
  <c r="BG28" i="120"/>
  <c r="BF28" i="120"/>
  <c r="BE29" i="120"/>
  <c r="BH27" i="120"/>
  <c r="J109" i="115"/>
  <c r="N109" i="115" s="1"/>
  <c r="J109" i="110"/>
  <c r="N109" i="110" s="1"/>
  <c r="M49" i="109"/>
  <c r="J109" i="107"/>
  <c r="N109" i="107" s="1"/>
  <c r="J75" i="102"/>
  <c r="N75" i="102" s="1"/>
  <c r="J71" i="97"/>
  <c r="N71" i="97" s="1"/>
  <c r="K86" i="113"/>
  <c r="K106" i="117"/>
  <c r="G103" i="113"/>
  <c r="P251" i="48" l="1"/>
  <c r="Q276" i="48"/>
  <c r="J103" i="113"/>
  <c r="N103" i="113" s="1"/>
  <c r="BH28" i="120"/>
  <c r="BJ29" i="120"/>
  <c r="BK29" i="120" s="1"/>
  <c r="BL29" i="120" s="1"/>
  <c r="BI29" i="120"/>
  <c r="BE30" i="120"/>
  <c r="BF29" i="120"/>
  <c r="BG29" i="120"/>
  <c r="D32" i="48"/>
  <c r="H7" i="125" s="1"/>
  <c r="P276" i="48" l="1"/>
  <c r="Q301" i="48"/>
  <c r="BH29" i="120"/>
  <c r="BJ30" i="120"/>
  <c r="BK30" i="120" s="1"/>
  <c r="BL30" i="120" s="1"/>
  <c r="BI30" i="120"/>
  <c r="BE31" i="120"/>
  <c r="BG30" i="120"/>
  <c r="BF30" i="120"/>
  <c r="I6" i="125"/>
  <c r="K7" i="125" l="1"/>
  <c r="P33" i="48"/>
  <c r="Z7" i="125" s="1"/>
  <c r="BH30" i="120"/>
  <c r="P301" i="48"/>
  <c r="Q326" i="48"/>
  <c r="BG31" i="120"/>
  <c r="BE32" i="120"/>
  <c r="BF31" i="120"/>
  <c r="BJ31" i="120"/>
  <c r="BK31" i="120" s="1"/>
  <c r="BL31" i="120" s="1"/>
  <c r="BI31" i="120"/>
  <c r="C33" i="48"/>
  <c r="I7" i="125" s="1"/>
  <c r="D6" i="48"/>
  <c r="G6" i="125" s="1"/>
  <c r="H34" i="48"/>
  <c r="M7" i="125" s="1"/>
  <c r="K6" i="125"/>
  <c r="C34" i="48"/>
  <c r="L7" i="125" s="1"/>
  <c r="H9" i="48"/>
  <c r="M6" i="125" s="1"/>
  <c r="C9" i="48"/>
  <c r="L6" i="125" s="1"/>
  <c r="P326" i="48" l="1"/>
  <c r="Q351" i="48"/>
  <c r="BE33" i="120"/>
  <c r="BF32" i="120"/>
  <c r="BJ32" i="120"/>
  <c r="BK32" i="120" s="1"/>
  <c r="BL32" i="120" s="1"/>
  <c r="BI32" i="120"/>
  <c r="BG32" i="120"/>
  <c r="BH31" i="120"/>
  <c r="D31" i="48"/>
  <c r="G7" i="125" s="1"/>
  <c r="BH32" i="120" l="1"/>
  <c r="P351" i="48"/>
  <c r="Q376" i="48"/>
  <c r="BJ33" i="120"/>
  <c r="BK33" i="120" s="1"/>
  <c r="BL33" i="120" s="1"/>
  <c r="BE34" i="120"/>
  <c r="BI33" i="120"/>
  <c r="BF33" i="120"/>
  <c r="BG33" i="120"/>
  <c r="Q26" i="93"/>
  <c r="P1" i="93"/>
  <c r="BH33" i="120" l="1"/>
  <c r="P376" i="48"/>
  <c r="Q401" i="48"/>
  <c r="BI34" i="120"/>
  <c r="BG34" i="120"/>
  <c r="BE35" i="120"/>
  <c r="BF34" i="120"/>
  <c r="BJ34" i="120"/>
  <c r="BK34" i="120" s="1"/>
  <c r="BL34" i="120" s="1"/>
  <c r="P26" i="93"/>
  <c r="Q51" i="93"/>
  <c r="N38" i="119"/>
  <c r="M38" i="119"/>
  <c r="N37" i="119"/>
  <c r="M37" i="119"/>
  <c r="N36" i="119"/>
  <c r="M36" i="119"/>
  <c r="AZ63" i="60"/>
  <c r="AY63" i="60"/>
  <c r="AX63" i="60"/>
  <c r="AW63" i="60"/>
  <c r="AV63" i="60"/>
  <c r="AR63" i="60"/>
  <c r="AQ63" i="60"/>
  <c r="AP63" i="60"/>
  <c r="AO63" i="60"/>
  <c r="AN63" i="60"/>
  <c r="V63" i="60"/>
  <c r="J110" i="60"/>
  <c r="J109" i="60"/>
  <c r="J108" i="60"/>
  <c r="J107" i="60"/>
  <c r="J106" i="60"/>
  <c r="J104" i="60"/>
  <c r="J103" i="60"/>
  <c r="J102" i="60"/>
  <c r="J101" i="60"/>
  <c r="J100" i="60"/>
  <c r="J99" i="60"/>
  <c r="J98" i="60"/>
  <c r="J97" i="60"/>
  <c r="J96" i="60"/>
  <c r="J95" i="60"/>
  <c r="J94" i="60"/>
  <c r="J93" i="60"/>
  <c r="J92" i="60"/>
  <c r="J91" i="60"/>
  <c r="J90" i="60"/>
  <c r="J89" i="60"/>
  <c r="J88" i="60"/>
  <c r="J87" i="60"/>
  <c r="J86" i="60"/>
  <c r="J85" i="60"/>
  <c r="J84" i="60"/>
  <c r="J83" i="60"/>
  <c r="J82" i="60"/>
  <c r="J81" i="60"/>
  <c r="J80" i="60"/>
  <c r="J79" i="60"/>
  <c r="J78" i="60"/>
  <c r="J77" i="60"/>
  <c r="J76" i="60"/>
  <c r="J75" i="60"/>
  <c r="J74" i="60"/>
  <c r="J73" i="60"/>
  <c r="J72" i="60"/>
  <c r="J71" i="60"/>
  <c r="J70" i="60"/>
  <c r="J69" i="60"/>
  <c r="J68" i="60"/>
  <c r="J67" i="60"/>
  <c r="J66" i="60"/>
  <c r="J65" i="60"/>
  <c r="J62" i="60"/>
  <c r="J61" i="60"/>
  <c r="J60" i="60"/>
  <c r="J59"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I110" i="92"/>
  <c r="C110" i="92"/>
  <c r="I109" i="92"/>
  <c r="C109" i="92"/>
  <c r="I108" i="92"/>
  <c r="C108" i="92"/>
  <c r="I107" i="92"/>
  <c r="C107" i="92"/>
  <c r="I106" i="92"/>
  <c r="C106" i="92"/>
  <c r="I104" i="92"/>
  <c r="I103" i="92"/>
  <c r="C103" i="92"/>
  <c r="I102" i="92"/>
  <c r="I101" i="92"/>
  <c r="C101" i="92"/>
  <c r="I100" i="92"/>
  <c r="I99" i="92"/>
  <c r="C99" i="92"/>
  <c r="I98" i="92"/>
  <c r="I97" i="92"/>
  <c r="C97" i="92"/>
  <c r="I96" i="92"/>
  <c r="I95" i="92"/>
  <c r="C95" i="92"/>
  <c r="I94" i="92"/>
  <c r="I93" i="92"/>
  <c r="C93" i="92"/>
  <c r="I92" i="92"/>
  <c r="I91" i="92"/>
  <c r="C91" i="92"/>
  <c r="I90" i="92"/>
  <c r="I89" i="92"/>
  <c r="C89" i="92"/>
  <c r="I88" i="92"/>
  <c r="I87" i="92"/>
  <c r="C87" i="92"/>
  <c r="I86" i="92"/>
  <c r="I85" i="92"/>
  <c r="C85" i="92"/>
  <c r="I84" i="92"/>
  <c r="I83" i="92"/>
  <c r="C83" i="92"/>
  <c r="I82" i="92"/>
  <c r="I81" i="92"/>
  <c r="C81" i="92"/>
  <c r="I80" i="92"/>
  <c r="I79" i="92"/>
  <c r="C79" i="92"/>
  <c r="I78" i="92"/>
  <c r="I77" i="92"/>
  <c r="C77" i="92"/>
  <c r="I76" i="92"/>
  <c r="I75" i="92"/>
  <c r="C75" i="92"/>
  <c r="I74" i="92"/>
  <c r="I73" i="92"/>
  <c r="C73" i="92"/>
  <c r="I72" i="92"/>
  <c r="I71" i="92"/>
  <c r="C71" i="92"/>
  <c r="I70" i="92"/>
  <c r="I69" i="92"/>
  <c r="C69" i="92"/>
  <c r="I68" i="92"/>
  <c r="I67" i="92"/>
  <c r="C67" i="92"/>
  <c r="I66" i="92"/>
  <c r="I65" i="92"/>
  <c r="C65" i="92"/>
  <c r="O62" i="92"/>
  <c r="I62" i="92"/>
  <c r="H62" i="92"/>
  <c r="O61" i="92"/>
  <c r="I61" i="92"/>
  <c r="H61" i="92"/>
  <c r="O60" i="92"/>
  <c r="I60" i="92"/>
  <c r="H60" i="92"/>
  <c r="O59" i="92"/>
  <c r="I59" i="92"/>
  <c r="H59" i="92"/>
  <c r="P57" i="92"/>
  <c r="O57" i="92"/>
  <c r="I57" i="92"/>
  <c r="H57" i="92"/>
  <c r="D57" i="92"/>
  <c r="P56" i="92"/>
  <c r="O56" i="92"/>
  <c r="I56" i="92"/>
  <c r="H56" i="92"/>
  <c r="D56" i="92"/>
  <c r="P55" i="92"/>
  <c r="O55" i="92"/>
  <c r="I55" i="92"/>
  <c r="H55" i="92"/>
  <c r="D55" i="92"/>
  <c r="O54" i="92"/>
  <c r="I54" i="92"/>
  <c r="H54" i="92"/>
  <c r="O53" i="92"/>
  <c r="I53" i="92"/>
  <c r="H53" i="92"/>
  <c r="O52" i="92"/>
  <c r="I52" i="92"/>
  <c r="H52" i="92"/>
  <c r="O51" i="92"/>
  <c r="I51" i="92"/>
  <c r="H51" i="92"/>
  <c r="O50" i="92"/>
  <c r="I50" i="92"/>
  <c r="H50" i="92"/>
  <c r="O49" i="92"/>
  <c r="I49" i="92"/>
  <c r="H49" i="92"/>
  <c r="O48" i="92"/>
  <c r="I48" i="92"/>
  <c r="H48" i="92"/>
  <c r="O47" i="92"/>
  <c r="I47" i="92"/>
  <c r="H47" i="92"/>
  <c r="O46" i="92"/>
  <c r="I46" i="92"/>
  <c r="H46" i="92"/>
  <c r="O45" i="92"/>
  <c r="I45" i="92"/>
  <c r="H45" i="92"/>
  <c r="O44" i="92"/>
  <c r="I44" i="92"/>
  <c r="H44" i="92"/>
  <c r="O43" i="92"/>
  <c r="I43" i="92"/>
  <c r="H43" i="92"/>
  <c r="O42" i="92"/>
  <c r="I42" i="92"/>
  <c r="H42" i="92"/>
  <c r="O41" i="92"/>
  <c r="I41" i="92"/>
  <c r="H41" i="92"/>
  <c r="O40" i="92"/>
  <c r="I40" i="92"/>
  <c r="H40" i="92"/>
  <c r="O39" i="92"/>
  <c r="I39" i="92"/>
  <c r="H39" i="92"/>
  <c r="O38" i="92"/>
  <c r="I38" i="92"/>
  <c r="H38" i="92"/>
  <c r="O37" i="92"/>
  <c r="I37" i="92"/>
  <c r="H37" i="92"/>
  <c r="O36" i="92"/>
  <c r="I36" i="92"/>
  <c r="H36" i="92"/>
  <c r="O35" i="92"/>
  <c r="I35" i="92"/>
  <c r="H35" i="92"/>
  <c r="O34" i="92"/>
  <c r="I34" i="92"/>
  <c r="H34" i="92"/>
  <c r="O33" i="92"/>
  <c r="I33" i="92"/>
  <c r="H33" i="92"/>
  <c r="O32" i="92"/>
  <c r="I32" i="92"/>
  <c r="H32" i="92"/>
  <c r="N1" i="92"/>
  <c r="P19" i="92" s="1"/>
  <c r="I110" i="91"/>
  <c r="C110" i="91"/>
  <c r="I109" i="91"/>
  <c r="C109" i="91"/>
  <c r="I108" i="91"/>
  <c r="C108" i="91"/>
  <c r="I107" i="91"/>
  <c r="C107" i="91"/>
  <c r="I106" i="91"/>
  <c r="C106" i="91"/>
  <c r="I104" i="91"/>
  <c r="I103" i="91"/>
  <c r="C103" i="91"/>
  <c r="I102" i="91"/>
  <c r="I101" i="91"/>
  <c r="C101" i="91"/>
  <c r="I100" i="91"/>
  <c r="I99" i="91"/>
  <c r="C99" i="91"/>
  <c r="I98" i="91"/>
  <c r="I97" i="91"/>
  <c r="C97" i="91"/>
  <c r="I96" i="91"/>
  <c r="I95" i="91"/>
  <c r="C95" i="91"/>
  <c r="I94" i="91"/>
  <c r="I93" i="91"/>
  <c r="C93" i="91"/>
  <c r="I92" i="91"/>
  <c r="I91" i="91"/>
  <c r="C91" i="91"/>
  <c r="I90" i="91"/>
  <c r="I89" i="91"/>
  <c r="C89" i="91"/>
  <c r="I88" i="91"/>
  <c r="I87" i="91"/>
  <c r="C87" i="91"/>
  <c r="I86" i="91"/>
  <c r="I85" i="91"/>
  <c r="C85" i="91"/>
  <c r="I84" i="91"/>
  <c r="I83" i="91"/>
  <c r="C83" i="91"/>
  <c r="I82" i="91"/>
  <c r="I81" i="91"/>
  <c r="C81" i="91"/>
  <c r="I80" i="91"/>
  <c r="I79" i="91"/>
  <c r="C79" i="91"/>
  <c r="I78" i="91"/>
  <c r="I77" i="91"/>
  <c r="C77" i="91"/>
  <c r="I76" i="91"/>
  <c r="I75" i="91"/>
  <c r="C75" i="91"/>
  <c r="I74" i="91"/>
  <c r="I73" i="91"/>
  <c r="C73" i="91"/>
  <c r="I72" i="91"/>
  <c r="I71" i="91"/>
  <c r="C71" i="91"/>
  <c r="I70" i="91"/>
  <c r="I69" i="91"/>
  <c r="C69" i="91"/>
  <c r="I68" i="91"/>
  <c r="I67" i="91"/>
  <c r="C67" i="91"/>
  <c r="I66" i="91"/>
  <c r="I65" i="91"/>
  <c r="C65" i="91"/>
  <c r="O62" i="91"/>
  <c r="I62" i="91"/>
  <c r="H62" i="91"/>
  <c r="O61" i="91"/>
  <c r="I61" i="91"/>
  <c r="H61" i="91"/>
  <c r="O60" i="91"/>
  <c r="I60" i="91"/>
  <c r="H60" i="91"/>
  <c r="O59" i="91"/>
  <c r="I59" i="91"/>
  <c r="H59" i="91"/>
  <c r="P57" i="91"/>
  <c r="O57" i="91"/>
  <c r="I57" i="91"/>
  <c r="H57" i="91"/>
  <c r="D57" i="91"/>
  <c r="P56" i="91"/>
  <c r="O56" i="91"/>
  <c r="I56" i="91"/>
  <c r="H56" i="91"/>
  <c r="D56" i="91"/>
  <c r="P55" i="91"/>
  <c r="O55" i="91"/>
  <c r="I55" i="91"/>
  <c r="H55" i="91"/>
  <c r="D55" i="91"/>
  <c r="O54" i="91"/>
  <c r="I54" i="91"/>
  <c r="H54" i="91"/>
  <c r="O53" i="91"/>
  <c r="I53" i="91"/>
  <c r="H53" i="91"/>
  <c r="O52" i="91"/>
  <c r="I52" i="91"/>
  <c r="H52" i="91"/>
  <c r="O51" i="91"/>
  <c r="I51" i="91"/>
  <c r="H51" i="91"/>
  <c r="O50" i="91"/>
  <c r="I50" i="91"/>
  <c r="H50" i="91"/>
  <c r="O49" i="91"/>
  <c r="I49" i="91"/>
  <c r="H49" i="91"/>
  <c r="O48" i="91"/>
  <c r="I48" i="91"/>
  <c r="H48" i="91"/>
  <c r="O47" i="91"/>
  <c r="I47" i="91"/>
  <c r="H47" i="91"/>
  <c r="O46" i="91"/>
  <c r="I46" i="91"/>
  <c r="H46" i="91"/>
  <c r="O45" i="91"/>
  <c r="I45" i="91"/>
  <c r="H45" i="91"/>
  <c r="O44" i="91"/>
  <c r="I44" i="91"/>
  <c r="H44" i="91"/>
  <c r="O43" i="91"/>
  <c r="I43" i="91"/>
  <c r="H43" i="91"/>
  <c r="O42" i="91"/>
  <c r="I42" i="91"/>
  <c r="H42" i="91"/>
  <c r="O41" i="91"/>
  <c r="I41" i="91"/>
  <c r="H41" i="91"/>
  <c r="O40" i="91"/>
  <c r="I40" i="91"/>
  <c r="H40" i="91"/>
  <c r="O39" i="91"/>
  <c r="I39" i="91"/>
  <c r="H39" i="91"/>
  <c r="O38" i="91"/>
  <c r="I38" i="91"/>
  <c r="H38" i="91"/>
  <c r="O37" i="91"/>
  <c r="I37" i="91"/>
  <c r="H37" i="91"/>
  <c r="O36" i="91"/>
  <c r="I36" i="91"/>
  <c r="H36" i="91"/>
  <c r="O35" i="91"/>
  <c r="I35" i="91"/>
  <c r="H35" i="91"/>
  <c r="O34" i="91"/>
  <c r="I34" i="91"/>
  <c r="H34" i="91"/>
  <c r="O33" i="91"/>
  <c r="I33" i="91"/>
  <c r="H33" i="91"/>
  <c r="O32" i="91"/>
  <c r="I32" i="91"/>
  <c r="H32" i="91"/>
  <c r="N1" i="91"/>
  <c r="P19" i="91" s="1"/>
  <c r="I110" i="90"/>
  <c r="C110" i="90"/>
  <c r="I109" i="90"/>
  <c r="C109" i="90"/>
  <c r="I108" i="90"/>
  <c r="C108" i="90"/>
  <c r="I107" i="90"/>
  <c r="C107" i="90"/>
  <c r="I106" i="90"/>
  <c r="C106" i="90"/>
  <c r="I104" i="90"/>
  <c r="I103" i="90"/>
  <c r="C103" i="90"/>
  <c r="I102" i="90"/>
  <c r="I101" i="90"/>
  <c r="C101" i="90"/>
  <c r="I100" i="90"/>
  <c r="I99" i="90"/>
  <c r="C99" i="90"/>
  <c r="I98" i="90"/>
  <c r="I97" i="90"/>
  <c r="C97" i="90"/>
  <c r="I96" i="90"/>
  <c r="I95" i="90"/>
  <c r="C95" i="90"/>
  <c r="I94" i="90"/>
  <c r="I93" i="90"/>
  <c r="C93" i="90"/>
  <c r="I92" i="90"/>
  <c r="I91" i="90"/>
  <c r="C91" i="90"/>
  <c r="I90" i="90"/>
  <c r="I89" i="90"/>
  <c r="C89" i="90"/>
  <c r="I88" i="90"/>
  <c r="I87" i="90"/>
  <c r="C87" i="90"/>
  <c r="I86" i="90"/>
  <c r="I85" i="90"/>
  <c r="C85" i="90"/>
  <c r="I84" i="90"/>
  <c r="I83" i="90"/>
  <c r="C83" i="90"/>
  <c r="I82" i="90"/>
  <c r="I81" i="90"/>
  <c r="C81" i="90"/>
  <c r="I80" i="90"/>
  <c r="I79" i="90"/>
  <c r="C79" i="90"/>
  <c r="I78" i="90"/>
  <c r="I77" i="90"/>
  <c r="C77" i="90"/>
  <c r="I76" i="90"/>
  <c r="I75" i="90"/>
  <c r="C75" i="90"/>
  <c r="I74" i="90"/>
  <c r="I73" i="90"/>
  <c r="C73" i="90"/>
  <c r="I72" i="90"/>
  <c r="I71" i="90"/>
  <c r="C71" i="90"/>
  <c r="I70" i="90"/>
  <c r="I69" i="90"/>
  <c r="C69" i="90"/>
  <c r="I68" i="90"/>
  <c r="I67" i="90"/>
  <c r="C67" i="90"/>
  <c r="I66" i="90"/>
  <c r="I65" i="90"/>
  <c r="C65" i="90"/>
  <c r="O62" i="90"/>
  <c r="I62" i="90"/>
  <c r="H62" i="90"/>
  <c r="O61" i="90"/>
  <c r="I61" i="90"/>
  <c r="H61" i="90"/>
  <c r="O60" i="90"/>
  <c r="I60" i="90"/>
  <c r="H60" i="90"/>
  <c r="O59" i="90"/>
  <c r="I59" i="90"/>
  <c r="H59" i="90"/>
  <c r="P57" i="90"/>
  <c r="O57" i="90"/>
  <c r="I57" i="90"/>
  <c r="H57" i="90"/>
  <c r="D57" i="90"/>
  <c r="P56" i="90"/>
  <c r="O56" i="90"/>
  <c r="I56" i="90"/>
  <c r="H56" i="90"/>
  <c r="D56" i="90"/>
  <c r="P55" i="90"/>
  <c r="O55" i="90"/>
  <c r="I55" i="90"/>
  <c r="H55" i="90"/>
  <c r="D55" i="90"/>
  <c r="O54" i="90"/>
  <c r="I54" i="90"/>
  <c r="H54" i="90"/>
  <c r="O53" i="90"/>
  <c r="I53" i="90"/>
  <c r="H53" i="90"/>
  <c r="O52" i="90"/>
  <c r="I52" i="90"/>
  <c r="H52" i="90"/>
  <c r="O51" i="90"/>
  <c r="I51" i="90"/>
  <c r="H51" i="90"/>
  <c r="O50" i="90"/>
  <c r="I50" i="90"/>
  <c r="H50" i="90"/>
  <c r="O49" i="90"/>
  <c r="I49" i="90"/>
  <c r="H49" i="90"/>
  <c r="O48" i="90"/>
  <c r="I48" i="90"/>
  <c r="H48" i="90"/>
  <c r="O47" i="90"/>
  <c r="I47" i="90"/>
  <c r="H47" i="90"/>
  <c r="O46" i="90"/>
  <c r="I46" i="90"/>
  <c r="H46" i="90"/>
  <c r="O45" i="90"/>
  <c r="I45" i="90"/>
  <c r="H45" i="90"/>
  <c r="O44" i="90"/>
  <c r="I44" i="90"/>
  <c r="H44" i="90"/>
  <c r="O43" i="90"/>
  <c r="I43" i="90"/>
  <c r="H43" i="90"/>
  <c r="O42" i="90"/>
  <c r="I42" i="90"/>
  <c r="H42" i="90"/>
  <c r="O41" i="90"/>
  <c r="I41" i="90"/>
  <c r="H41" i="90"/>
  <c r="O40" i="90"/>
  <c r="I40" i="90"/>
  <c r="H40" i="90"/>
  <c r="O39" i="90"/>
  <c r="I39" i="90"/>
  <c r="H39" i="90"/>
  <c r="O38" i="90"/>
  <c r="I38" i="90"/>
  <c r="H38" i="90"/>
  <c r="O37" i="90"/>
  <c r="I37" i="90"/>
  <c r="H37" i="90"/>
  <c r="O36" i="90"/>
  <c r="I36" i="90"/>
  <c r="H36" i="90"/>
  <c r="O35" i="90"/>
  <c r="I35" i="90"/>
  <c r="H35" i="90"/>
  <c r="O34" i="90"/>
  <c r="I34" i="90"/>
  <c r="H34" i="90"/>
  <c r="O33" i="90"/>
  <c r="I33" i="90"/>
  <c r="H33" i="90"/>
  <c r="O32" i="90"/>
  <c r="I32" i="90"/>
  <c r="H32" i="90"/>
  <c r="N1" i="90"/>
  <c r="P19" i="90" s="1"/>
  <c r="I110" i="89"/>
  <c r="C110" i="89"/>
  <c r="I109" i="89"/>
  <c r="C109" i="89"/>
  <c r="I108" i="89"/>
  <c r="C108" i="89"/>
  <c r="I107" i="89"/>
  <c r="C107" i="89"/>
  <c r="I106" i="89"/>
  <c r="C106" i="89"/>
  <c r="I104" i="89"/>
  <c r="I103" i="89"/>
  <c r="C103" i="89"/>
  <c r="I102" i="89"/>
  <c r="I101" i="89"/>
  <c r="C101" i="89"/>
  <c r="I100" i="89"/>
  <c r="I99" i="89"/>
  <c r="C99" i="89"/>
  <c r="I98" i="89"/>
  <c r="I97" i="89"/>
  <c r="C97" i="89"/>
  <c r="I96" i="89"/>
  <c r="I95" i="89"/>
  <c r="C95" i="89"/>
  <c r="I94" i="89"/>
  <c r="I93" i="89"/>
  <c r="C93" i="89"/>
  <c r="I92" i="89"/>
  <c r="I91" i="89"/>
  <c r="C91" i="89"/>
  <c r="I90" i="89"/>
  <c r="I89" i="89"/>
  <c r="C89" i="89"/>
  <c r="I88" i="89"/>
  <c r="I87" i="89"/>
  <c r="C87" i="89"/>
  <c r="I86" i="89"/>
  <c r="I85" i="89"/>
  <c r="C85" i="89"/>
  <c r="I84" i="89"/>
  <c r="I83" i="89"/>
  <c r="C83" i="89"/>
  <c r="I82" i="89"/>
  <c r="I81" i="89"/>
  <c r="C81" i="89"/>
  <c r="I80" i="89"/>
  <c r="I79" i="89"/>
  <c r="C79" i="89"/>
  <c r="I78" i="89"/>
  <c r="I77" i="89"/>
  <c r="C77" i="89"/>
  <c r="I76" i="89"/>
  <c r="I75" i="89"/>
  <c r="C75" i="89"/>
  <c r="I74" i="89"/>
  <c r="I73" i="89"/>
  <c r="C73" i="89"/>
  <c r="I72" i="89"/>
  <c r="I71" i="89"/>
  <c r="C71" i="89"/>
  <c r="I70" i="89"/>
  <c r="I69" i="89"/>
  <c r="C69" i="89"/>
  <c r="I68" i="89"/>
  <c r="I67" i="89"/>
  <c r="C67" i="89"/>
  <c r="I66" i="89"/>
  <c r="I65" i="89"/>
  <c r="C65" i="89"/>
  <c r="O62" i="89"/>
  <c r="I62" i="89"/>
  <c r="H62" i="89"/>
  <c r="O61" i="89"/>
  <c r="I61" i="89"/>
  <c r="H61" i="89"/>
  <c r="O60" i="89"/>
  <c r="I60" i="89"/>
  <c r="H60" i="89"/>
  <c r="O59" i="89"/>
  <c r="I59" i="89"/>
  <c r="H59" i="89"/>
  <c r="P57" i="89"/>
  <c r="O57" i="89"/>
  <c r="I57" i="89"/>
  <c r="H57" i="89"/>
  <c r="D57" i="89"/>
  <c r="P56" i="89"/>
  <c r="O56" i="89"/>
  <c r="I56" i="89"/>
  <c r="H56" i="89"/>
  <c r="D56" i="89"/>
  <c r="P55" i="89"/>
  <c r="O55" i="89"/>
  <c r="I55" i="89"/>
  <c r="H55" i="89"/>
  <c r="D55" i="89"/>
  <c r="O54" i="89"/>
  <c r="I54" i="89"/>
  <c r="H54" i="89"/>
  <c r="O53" i="89"/>
  <c r="I53" i="89"/>
  <c r="H53" i="89"/>
  <c r="O52" i="89"/>
  <c r="I52" i="89"/>
  <c r="H52" i="89"/>
  <c r="O51" i="89"/>
  <c r="I51" i="89"/>
  <c r="H51" i="89"/>
  <c r="O50" i="89"/>
  <c r="I50" i="89"/>
  <c r="H50" i="89"/>
  <c r="O49" i="89"/>
  <c r="I49" i="89"/>
  <c r="H49" i="89"/>
  <c r="O48" i="89"/>
  <c r="I48" i="89"/>
  <c r="H48" i="89"/>
  <c r="O47" i="89"/>
  <c r="I47" i="89"/>
  <c r="H47" i="89"/>
  <c r="O46" i="89"/>
  <c r="I46" i="89"/>
  <c r="H46" i="89"/>
  <c r="O45" i="89"/>
  <c r="I45" i="89"/>
  <c r="H45" i="89"/>
  <c r="O44" i="89"/>
  <c r="I44" i="89"/>
  <c r="H44" i="89"/>
  <c r="O43" i="89"/>
  <c r="I43" i="89"/>
  <c r="H43" i="89"/>
  <c r="O42" i="89"/>
  <c r="I42" i="89"/>
  <c r="H42" i="89"/>
  <c r="O41" i="89"/>
  <c r="I41" i="89"/>
  <c r="H41" i="89"/>
  <c r="O40" i="89"/>
  <c r="I40" i="89"/>
  <c r="H40" i="89"/>
  <c r="O39" i="89"/>
  <c r="I39" i="89"/>
  <c r="H39" i="89"/>
  <c r="O38" i="89"/>
  <c r="I38" i="89"/>
  <c r="H38" i="89"/>
  <c r="O37" i="89"/>
  <c r="I37" i="89"/>
  <c r="H37" i="89"/>
  <c r="O36" i="89"/>
  <c r="I36" i="89"/>
  <c r="H36" i="89"/>
  <c r="O35" i="89"/>
  <c r="I35" i="89"/>
  <c r="H35" i="89"/>
  <c r="O34" i="89"/>
  <c r="I34" i="89"/>
  <c r="H34" i="89"/>
  <c r="O33" i="89"/>
  <c r="I33" i="89"/>
  <c r="H33" i="89"/>
  <c r="O32" i="89"/>
  <c r="I32" i="89"/>
  <c r="H32" i="89"/>
  <c r="N1" i="89"/>
  <c r="P19" i="89" s="1"/>
  <c r="I110" i="88"/>
  <c r="C110" i="88"/>
  <c r="I109" i="88"/>
  <c r="C109" i="88"/>
  <c r="I108" i="88"/>
  <c r="C108" i="88"/>
  <c r="I107" i="88"/>
  <c r="C107" i="88"/>
  <c r="I106" i="88"/>
  <c r="C106" i="88"/>
  <c r="I104" i="88"/>
  <c r="I103" i="88"/>
  <c r="C103" i="88"/>
  <c r="I102" i="88"/>
  <c r="I101" i="88"/>
  <c r="C101" i="88"/>
  <c r="I100" i="88"/>
  <c r="I99" i="88"/>
  <c r="C99" i="88"/>
  <c r="I98" i="88"/>
  <c r="I97" i="88"/>
  <c r="C97" i="88"/>
  <c r="I96" i="88"/>
  <c r="I95" i="88"/>
  <c r="C95" i="88"/>
  <c r="I94" i="88"/>
  <c r="I93" i="88"/>
  <c r="C93" i="88"/>
  <c r="I92" i="88"/>
  <c r="I91" i="88"/>
  <c r="C91" i="88"/>
  <c r="I90" i="88"/>
  <c r="I89" i="88"/>
  <c r="C89" i="88"/>
  <c r="I88" i="88"/>
  <c r="I87" i="88"/>
  <c r="C87" i="88"/>
  <c r="I86" i="88"/>
  <c r="I85" i="88"/>
  <c r="C85" i="88"/>
  <c r="I84" i="88"/>
  <c r="I83" i="88"/>
  <c r="C83" i="88"/>
  <c r="I82" i="88"/>
  <c r="I81" i="88"/>
  <c r="C81" i="88"/>
  <c r="I80" i="88"/>
  <c r="I79" i="88"/>
  <c r="C79" i="88"/>
  <c r="I78" i="88"/>
  <c r="I77" i="88"/>
  <c r="C77" i="88"/>
  <c r="I76" i="88"/>
  <c r="I75" i="88"/>
  <c r="C75" i="88"/>
  <c r="I74" i="88"/>
  <c r="I73" i="88"/>
  <c r="C73" i="88"/>
  <c r="I72" i="88"/>
  <c r="I71" i="88"/>
  <c r="C71" i="88"/>
  <c r="I70" i="88"/>
  <c r="I69" i="88"/>
  <c r="C69" i="88"/>
  <c r="I68" i="88"/>
  <c r="I67" i="88"/>
  <c r="C67" i="88"/>
  <c r="I66" i="88"/>
  <c r="I65" i="88"/>
  <c r="C65" i="88"/>
  <c r="O62" i="88"/>
  <c r="I62" i="88"/>
  <c r="H62" i="88"/>
  <c r="O61" i="88"/>
  <c r="I61" i="88"/>
  <c r="H61" i="88"/>
  <c r="O60" i="88"/>
  <c r="I60" i="88"/>
  <c r="H60" i="88"/>
  <c r="O59" i="88"/>
  <c r="I59" i="88"/>
  <c r="H59" i="88"/>
  <c r="P57" i="88"/>
  <c r="O57" i="88"/>
  <c r="I57" i="88"/>
  <c r="H57" i="88"/>
  <c r="D57" i="88"/>
  <c r="P56" i="88"/>
  <c r="O56" i="88"/>
  <c r="I56" i="88"/>
  <c r="H56" i="88"/>
  <c r="D56" i="88"/>
  <c r="P55" i="88"/>
  <c r="O55" i="88"/>
  <c r="I55" i="88"/>
  <c r="H55" i="88"/>
  <c r="D55" i="88"/>
  <c r="O54" i="88"/>
  <c r="I54" i="88"/>
  <c r="H54" i="88"/>
  <c r="O53" i="88"/>
  <c r="I53" i="88"/>
  <c r="H53" i="88"/>
  <c r="O52" i="88"/>
  <c r="I52" i="88"/>
  <c r="H52" i="88"/>
  <c r="O51" i="88"/>
  <c r="I51" i="88"/>
  <c r="H51" i="88"/>
  <c r="O50" i="88"/>
  <c r="I50" i="88"/>
  <c r="H50" i="88"/>
  <c r="O49" i="88"/>
  <c r="I49" i="88"/>
  <c r="H49" i="88"/>
  <c r="O48" i="88"/>
  <c r="I48" i="88"/>
  <c r="H48" i="88"/>
  <c r="O47" i="88"/>
  <c r="I47" i="88"/>
  <c r="H47" i="88"/>
  <c r="O46" i="88"/>
  <c r="I46" i="88"/>
  <c r="H46" i="88"/>
  <c r="O45" i="88"/>
  <c r="I45" i="88"/>
  <c r="H45" i="88"/>
  <c r="O44" i="88"/>
  <c r="I44" i="88"/>
  <c r="H44" i="88"/>
  <c r="O43" i="88"/>
  <c r="I43" i="88"/>
  <c r="H43" i="88"/>
  <c r="O42" i="88"/>
  <c r="I42" i="88"/>
  <c r="H42" i="88"/>
  <c r="O41" i="88"/>
  <c r="I41" i="88"/>
  <c r="H41" i="88"/>
  <c r="O40" i="88"/>
  <c r="I40" i="88"/>
  <c r="H40" i="88"/>
  <c r="O39" i="88"/>
  <c r="I39" i="88"/>
  <c r="H39" i="88"/>
  <c r="O38" i="88"/>
  <c r="I38" i="88"/>
  <c r="H38" i="88"/>
  <c r="O37" i="88"/>
  <c r="I37" i="88"/>
  <c r="H37" i="88"/>
  <c r="O36" i="88"/>
  <c r="I36" i="88"/>
  <c r="H36" i="88"/>
  <c r="O35" i="88"/>
  <c r="I35" i="88"/>
  <c r="H35" i="88"/>
  <c r="O34" i="88"/>
  <c r="I34" i="88"/>
  <c r="H34" i="88"/>
  <c r="O33" i="88"/>
  <c r="I33" i="88"/>
  <c r="H33" i="88"/>
  <c r="O32" i="88"/>
  <c r="I32" i="88"/>
  <c r="H32" i="88"/>
  <c r="N1" i="88"/>
  <c r="P19" i="88" s="1"/>
  <c r="I110" i="87"/>
  <c r="C110" i="87"/>
  <c r="I109" i="87"/>
  <c r="C109" i="87"/>
  <c r="I108" i="87"/>
  <c r="C108" i="87"/>
  <c r="I107" i="87"/>
  <c r="C107" i="87"/>
  <c r="I106" i="87"/>
  <c r="C106" i="87"/>
  <c r="I104" i="87"/>
  <c r="I103" i="87"/>
  <c r="C103" i="87"/>
  <c r="I102" i="87"/>
  <c r="I101" i="87"/>
  <c r="C101" i="87"/>
  <c r="I100" i="87"/>
  <c r="I99" i="87"/>
  <c r="C99" i="87"/>
  <c r="I98" i="87"/>
  <c r="I97" i="87"/>
  <c r="C97" i="87"/>
  <c r="I96" i="87"/>
  <c r="I95" i="87"/>
  <c r="C95" i="87"/>
  <c r="I94" i="87"/>
  <c r="I93" i="87"/>
  <c r="C93" i="87"/>
  <c r="I92" i="87"/>
  <c r="I91" i="87"/>
  <c r="C91" i="87"/>
  <c r="I90" i="87"/>
  <c r="I89" i="87"/>
  <c r="C89" i="87"/>
  <c r="I88" i="87"/>
  <c r="I87" i="87"/>
  <c r="C87" i="87"/>
  <c r="I86" i="87"/>
  <c r="I85" i="87"/>
  <c r="C85" i="87"/>
  <c r="I84" i="87"/>
  <c r="I83" i="87"/>
  <c r="C83" i="87"/>
  <c r="I82" i="87"/>
  <c r="I81" i="87"/>
  <c r="C81" i="87"/>
  <c r="I80" i="87"/>
  <c r="I79" i="87"/>
  <c r="C79" i="87"/>
  <c r="I78" i="87"/>
  <c r="I77" i="87"/>
  <c r="C77" i="87"/>
  <c r="I76" i="87"/>
  <c r="I75" i="87"/>
  <c r="C75" i="87"/>
  <c r="I74" i="87"/>
  <c r="I73" i="87"/>
  <c r="C73" i="87"/>
  <c r="I72" i="87"/>
  <c r="I71" i="87"/>
  <c r="C71" i="87"/>
  <c r="I70" i="87"/>
  <c r="I69" i="87"/>
  <c r="C69" i="87"/>
  <c r="I68" i="87"/>
  <c r="I67" i="87"/>
  <c r="C67" i="87"/>
  <c r="I66" i="87"/>
  <c r="I65" i="87"/>
  <c r="C65" i="87"/>
  <c r="O62" i="87"/>
  <c r="I62" i="87"/>
  <c r="H62" i="87"/>
  <c r="O61" i="87"/>
  <c r="I61" i="87"/>
  <c r="H61" i="87"/>
  <c r="O60" i="87"/>
  <c r="I60" i="87"/>
  <c r="H60" i="87"/>
  <c r="O59" i="87"/>
  <c r="I59" i="87"/>
  <c r="H59" i="87"/>
  <c r="P57" i="87"/>
  <c r="O57" i="87"/>
  <c r="I57" i="87"/>
  <c r="H57" i="87"/>
  <c r="D57" i="87"/>
  <c r="P56" i="87"/>
  <c r="O56" i="87"/>
  <c r="I56" i="87"/>
  <c r="H56" i="87"/>
  <c r="D56" i="87"/>
  <c r="P55" i="87"/>
  <c r="O55" i="87"/>
  <c r="I55" i="87"/>
  <c r="H55" i="87"/>
  <c r="D55" i="87"/>
  <c r="O54" i="87"/>
  <c r="I54" i="87"/>
  <c r="H54" i="87"/>
  <c r="O53" i="87"/>
  <c r="I53" i="87"/>
  <c r="H53" i="87"/>
  <c r="O52" i="87"/>
  <c r="I52" i="87"/>
  <c r="H52" i="87"/>
  <c r="O51" i="87"/>
  <c r="I51" i="87"/>
  <c r="H51" i="87"/>
  <c r="O50" i="87"/>
  <c r="I50" i="87"/>
  <c r="H50" i="87"/>
  <c r="O49" i="87"/>
  <c r="I49" i="87"/>
  <c r="H49" i="87"/>
  <c r="O48" i="87"/>
  <c r="I48" i="87"/>
  <c r="H48" i="87"/>
  <c r="O47" i="87"/>
  <c r="I47" i="87"/>
  <c r="H47" i="87"/>
  <c r="O46" i="87"/>
  <c r="I46" i="87"/>
  <c r="H46" i="87"/>
  <c r="O45" i="87"/>
  <c r="I45" i="87"/>
  <c r="H45" i="87"/>
  <c r="O44" i="87"/>
  <c r="I44" i="87"/>
  <c r="H44" i="87"/>
  <c r="O43" i="87"/>
  <c r="I43" i="87"/>
  <c r="H43" i="87"/>
  <c r="O42" i="87"/>
  <c r="I42" i="87"/>
  <c r="H42" i="87"/>
  <c r="O41" i="87"/>
  <c r="I41" i="87"/>
  <c r="H41" i="87"/>
  <c r="O40" i="87"/>
  <c r="I40" i="87"/>
  <c r="H40" i="87"/>
  <c r="O39" i="87"/>
  <c r="I39" i="87"/>
  <c r="H39" i="87"/>
  <c r="O38" i="87"/>
  <c r="I38" i="87"/>
  <c r="H38" i="87"/>
  <c r="O37" i="87"/>
  <c r="I37" i="87"/>
  <c r="H37" i="87"/>
  <c r="O36" i="87"/>
  <c r="I36" i="87"/>
  <c r="H36" i="87"/>
  <c r="O35" i="87"/>
  <c r="I35" i="87"/>
  <c r="H35" i="87"/>
  <c r="O34" i="87"/>
  <c r="I34" i="87"/>
  <c r="H34" i="87"/>
  <c r="O33" i="87"/>
  <c r="I33" i="87"/>
  <c r="H33" i="87"/>
  <c r="O32" i="87"/>
  <c r="I32" i="87"/>
  <c r="H32" i="87"/>
  <c r="N1" i="87"/>
  <c r="P19" i="87" s="1"/>
  <c r="I110" i="86"/>
  <c r="C110" i="86"/>
  <c r="I109" i="86"/>
  <c r="C109" i="86"/>
  <c r="I108" i="86"/>
  <c r="C108" i="86"/>
  <c r="I107" i="86"/>
  <c r="C107" i="86"/>
  <c r="I106" i="86"/>
  <c r="C106" i="86"/>
  <c r="I104" i="86"/>
  <c r="I103" i="86"/>
  <c r="C103" i="86"/>
  <c r="I102" i="86"/>
  <c r="I101" i="86"/>
  <c r="C101" i="86"/>
  <c r="I100" i="86"/>
  <c r="I99" i="86"/>
  <c r="C99" i="86"/>
  <c r="I98" i="86"/>
  <c r="I97" i="86"/>
  <c r="C97" i="86"/>
  <c r="I96" i="86"/>
  <c r="I95" i="86"/>
  <c r="C95" i="86"/>
  <c r="I94" i="86"/>
  <c r="I93" i="86"/>
  <c r="C93" i="86"/>
  <c r="I92" i="86"/>
  <c r="I91" i="86"/>
  <c r="C91" i="86"/>
  <c r="I90" i="86"/>
  <c r="I89" i="86"/>
  <c r="C89" i="86"/>
  <c r="I88" i="86"/>
  <c r="I87" i="86"/>
  <c r="C87" i="86"/>
  <c r="I86" i="86"/>
  <c r="I85" i="86"/>
  <c r="C85" i="86"/>
  <c r="I84" i="86"/>
  <c r="I83" i="86"/>
  <c r="C83" i="86"/>
  <c r="I82" i="86"/>
  <c r="I81" i="86"/>
  <c r="C81" i="86"/>
  <c r="I80" i="86"/>
  <c r="I79" i="86"/>
  <c r="C79" i="86"/>
  <c r="I78" i="86"/>
  <c r="I77" i="86"/>
  <c r="C77" i="86"/>
  <c r="I76" i="86"/>
  <c r="I75" i="86"/>
  <c r="C75" i="86"/>
  <c r="I74" i="86"/>
  <c r="I73" i="86"/>
  <c r="C73" i="86"/>
  <c r="I72" i="86"/>
  <c r="I71" i="86"/>
  <c r="C71" i="86"/>
  <c r="I70" i="86"/>
  <c r="I69" i="86"/>
  <c r="C69" i="86"/>
  <c r="I68" i="86"/>
  <c r="I67" i="86"/>
  <c r="C67" i="86"/>
  <c r="I66" i="86"/>
  <c r="I65" i="86"/>
  <c r="C65" i="86"/>
  <c r="O62" i="86"/>
  <c r="I62" i="86"/>
  <c r="H62" i="86"/>
  <c r="O61" i="86"/>
  <c r="I61" i="86"/>
  <c r="H61" i="86"/>
  <c r="O60" i="86"/>
  <c r="I60" i="86"/>
  <c r="H60" i="86"/>
  <c r="O59" i="86"/>
  <c r="I59" i="86"/>
  <c r="H59" i="86"/>
  <c r="P57" i="86"/>
  <c r="O57" i="86"/>
  <c r="I57" i="86"/>
  <c r="H57" i="86"/>
  <c r="D57" i="86"/>
  <c r="P56" i="86"/>
  <c r="O56" i="86"/>
  <c r="I56" i="86"/>
  <c r="H56" i="86"/>
  <c r="D56" i="86"/>
  <c r="P55" i="86"/>
  <c r="O55" i="86"/>
  <c r="I55" i="86"/>
  <c r="H55" i="86"/>
  <c r="D55" i="86"/>
  <c r="O54" i="86"/>
  <c r="I54" i="86"/>
  <c r="H54" i="86"/>
  <c r="O53" i="86"/>
  <c r="I53" i="86"/>
  <c r="H53" i="86"/>
  <c r="O52" i="86"/>
  <c r="I52" i="86"/>
  <c r="H52" i="86"/>
  <c r="O51" i="86"/>
  <c r="I51" i="86"/>
  <c r="H51" i="86"/>
  <c r="O50" i="86"/>
  <c r="I50" i="86"/>
  <c r="H50" i="86"/>
  <c r="O49" i="86"/>
  <c r="I49" i="86"/>
  <c r="H49" i="86"/>
  <c r="O48" i="86"/>
  <c r="I48" i="86"/>
  <c r="H48" i="86"/>
  <c r="O47" i="86"/>
  <c r="I47" i="86"/>
  <c r="H47" i="86"/>
  <c r="O46" i="86"/>
  <c r="I46" i="86"/>
  <c r="H46" i="86"/>
  <c r="O45" i="86"/>
  <c r="I45" i="86"/>
  <c r="H45" i="86"/>
  <c r="O44" i="86"/>
  <c r="I44" i="86"/>
  <c r="H44" i="86"/>
  <c r="O43" i="86"/>
  <c r="I43" i="86"/>
  <c r="H43" i="86"/>
  <c r="O42" i="86"/>
  <c r="I42" i="86"/>
  <c r="H42" i="86"/>
  <c r="O41" i="86"/>
  <c r="I41" i="86"/>
  <c r="H41" i="86"/>
  <c r="O40" i="86"/>
  <c r="I40" i="86"/>
  <c r="H40" i="86"/>
  <c r="O39" i="86"/>
  <c r="I39" i="86"/>
  <c r="H39" i="86"/>
  <c r="O38" i="86"/>
  <c r="I38" i="86"/>
  <c r="H38" i="86"/>
  <c r="O37" i="86"/>
  <c r="I37" i="86"/>
  <c r="H37" i="86"/>
  <c r="O36" i="86"/>
  <c r="I36" i="86"/>
  <c r="H36" i="86"/>
  <c r="O35" i="86"/>
  <c r="I35" i="86"/>
  <c r="H35" i="86"/>
  <c r="O34" i="86"/>
  <c r="I34" i="86"/>
  <c r="H34" i="86"/>
  <c r="O33" i="86"/>
  <c r="I33" i="86"/>
  <c r="H33" i="86"/>
  <c r="O32" i="86"/>
  <c r="I32" i="86"/>
  <c r="H32" i="86"/>
  <c r="N1" i="86"/>
  <c r="P19" i="86" s="1"/>
  <c r="I110" i="85"/>
  <c r="C110" i="85"/>
  <c r="I109" i="85"/>
  <c r="C109" i="85"/>
  <c r="I108" i="85"/>
  <c r="C108" i="85"/>
  <c r="I107" i="85"/>
  <c r="C107" i="85"/>
  <c r="I106" i="85"/>
  <c r="C106" i="85"/>
  <c r="I104" i="85"/>
  <c r="I103" i="85"/>
  <c r="C103" i="85"/>
  <c r="I102" i="85"/>
  <c r="I101" i="85"/>
  <c r="C101" i="85"/>
  <c r="I100" i="85"/>
  <c r="I99" i="85"/>
  <c r="C99" i="85"/>
  <c r="I98" i="85"/>
  <c r="I97" i="85"/>
  <c r="C97" i="85"/>
  <c r="I96" i="85"/>
  <c r="I95" i="85"/>
  <c r="C95" i="85"/>
  <c r="I94" i="85"/>
  <c r="I93" i="85"/>
  <c r="C93" i="85"/>
  <c r="I92" i="85"/>
  <c r="I91" i="85"/>
  <c r="C91" i="85"/>
  <c r="I90" i="85"/>
  <c r="I89" i="85"/>
  <c r="C89" i="85"/>
  <c r="I88" i="85"/>
  <c r="I87" i="85"/>
  <c r="C87" i="85"/>
  <c r="I86" i="85"/>
  <c r="I85" i="85"/>
  <c r="C85" i="85"/>
  <c r="I84" i="85"/>
  <c r="I83" i="85"/>
  <c r="C83" i="85"/>
  <c r="I82" i="85"/>
  <c r="I81" i="85"/>
  <c r="C81" i="85"/>
  <c r="I80" i="85"/>
  <c r="I79" i="85"/>
  <c r="C79" i="85"/>
  <c r="I78" i="85"/>
  <c r="I77" i="85"/>
  <c r="C77" i="85"/>
  <c r="I76" i="85"/>
  <c r="I75" i="85"/>
  <c r="C75" i="85"/>
  <c r="I74" i="85"/>
  <c r="I73" i="85"/>
  <c r="C73" i="85"/>
  <c r="I72" i="85"/>
  <c r="I71" i="85"/>
  <c r="C71" i="85"/>
  <c r="I70" i="85"/>
  <c r="I69" i="85"/>
  <c r="C69" i="85"/>
  <c r="I68" i="85"/>
  <c r="I67" i="85"/>
  <c r="C67" i="85"/>
  <c r="I66" i="85"/>
  <c r="I65" i="85"/>
  <c r="C65" i="85"/>
  <c r="O62" i="85"/>
  <c r="I62" i="85"/>
  <c r="H62" i="85"/>
  <c r="O61" i="85"/>
  <c r="I61" i="85"/>
  <c r="H61" i="85"/>
  <c r="O60" i="85"/>
  <c r="I60" i="85"/>
  <c r="H60" i="85"/>
  <c r="O59" i="85"/>
  <c r="I59" i="85"/>
  <c r="H59" i="85"/>
  <c r="P57" i="85"/>
  <c r="O57" i="85"/>
  <c r="I57" i="85"/>
  <c r="H57" i="85"/>
  <c r="D57" i="85"/>
  <c r="P56" i="85"/>
  <c r="O56" i="85"/>
  <c r="I56" i="85"/>
  <c r="H56" i="85"/>
  <c r="D56" i="85"/>
  <c r="P55" i="85"/>
  <c r="O55" i="85"/>
  <c r="I55" i="85"/>
  <c r="H55" i="85"/>
  <c r="D55" i="85"/>
  <c r="O54" i="85"/>
  <c r="I54" i="85"/>
  <c r="H54" i="85"/>
  <c r="O53" i="85"/>
  <c r="I53" i="85"/>
  <c r="H53" i="85"/>
  <c r="O52" i="85"/>
  <c r="I52" i="85"/>
  <c r="H52" i="85"/>
  <c r="O51" i="85"/>
  <c r="I51" i="85"/>
  <c r="H51" i="85"/>
  <c r="O50" i="85"/>
  <c r="I50" i="85"/>
  <c r="H50" i="85"/>
  <c r="O49" i="85"/>
  <c r="I49" i="85"/>
  <c r="H49" i="85"/>
  <c r="O48" i="85"/>
  <c r="I48" i="85"/>
  <c r="H48" i="85"/>
  <c r="O47" i="85"/>
  <c r="I47" i="85"/>
  <c r="H47" i="85"/>
  <c r="O46" i="85"/>
  <c r="I46" i="85"/>
  <c r="H46" i="85"/>
  <c r="O45" i="85"/>
  <c r="I45" i="85"/>
  <c r="H45" i="85"/>
  <c r="O44" i="85"/>
  <c r="I44" i="85"/>
  <c r="H44" i="85"/>
  <c r="O43" i="85"/>
  <c r="I43" i="85"/>
  <c r="H43" i="85"/>
  <c r="O42" i="85"/>
  <c r="I42" i="85"/>
  <c r="H42" i="85"/>
  <c r="O41" i="85"/>
  <c r="I41" i="85"/>
  <c r="H41" i="85"/>
  <c r="O40" i="85"/>
  <c r="I40" i="85"/>
  <c r="H40" i="85"/>
  <c r="O39" i="85"/>
  <c r="I39" i="85"/>
  <c r="H39" i="85"/>
  <c r="O38" i="85"/>
  <c r="I38" i="85"/>
  <c r="H38" i="85"/>
  <c r="O37" i="85"/>
  <c r="I37" i="85"/>
  <c r="H37" i="85"/>
  <c r="O36" i="85"/>
  <c r="I36" i="85"/>
  <c r="H36" i="85"/>
  <c r="O35" i="85"/>
  <c r="I35" i="85"/>
  <c r="H35" i="85"/>
  <c r="O34" i="85"/>
  <c r="I34" i="85"/>
  <c r="H34" i="85"/>
  <c r="O33" i="85"/>
  <c r="I33" i="85"/>
  <c r="H33" i="85"/>
  <c r="O32" i="85"/>
  <c r="I32" i="85"/>
  <c r="H32" i="85"/>
  <c r="N1" i="85"/>
  <c r="P19" i="85" s="1"/>
  <c r="I110" i="84"/>
  <c r="C110" i="84"/>
  <c r="I109" i="84"/>
  <c r="C109" i="84"/>
  <c r="I108" i="84"/>
  <c r="C108" i="84"/>
  <c r="I107" i="84"/>
  <c r="C107" i="84"/>
  <c r="I106" i="84"/>
  <c r="C106" i="84"/>
  <c r="I104" i="84"/>
  <c r="I103" i="84"/>
  <c r="C103" i="84"/>
  <c r="I102" i="84"/>
  <c r="I101" i="84"/>
  <c r="C101" i="84"/>
  <c r="I100" i="84"/>
  <c r="I99" i="84"/>
  <c r="C99" i="84"/>
  <c r="I98" i="84"/>
  <c r="I97" i="84"/>
  <c r="C97" i="84"/>
  <c r="I96" i="84"/>
  <c r="I95" i="84"/>
  <c r="C95" i="84"/>
  <c r="I94" i="84"/>
  <c r="I93" i="84"/>
  <c r="C93" i="84"/>
  <c r="I92" i="84"/>
  <c r="I91" i="84"/>
  <c r="C91" i="84"/>
  <c r="I90" i="84"/>
  <c r="I89" i="84"/>
  <c r="C89" i="84"/>
  <c r="I88" i="84"/>
  <c r="I87" i="84"/>
  <c r="C87" i="84"/>
  <c r="I86" i="84"/>
  <c r="I85" i="84"/>
  <c r="C85" i="84"/>
  <c r="I84" i="84"/>
  <c r="I83" i="84"/>
  <c r="C83" i="84"/>
  <c r="I82" i="84"/>
  <c r="I81" i="84"/>
  <c r="C81" i="84"/>
  <c r="I80" i="84"/>
  <c r="I79" i="84"/>
  <c r="C79" i="84"/>
  <c r="I78" i="84"/>
  <c r="I77" i="84"/>
  <c r="C77" i="84"/>
  <c r="I76" i="84"/>
  <c r="I75" i="84"/>
  <c r="C75" i="84"/>
  <c r="I74" i="84"/>
  <c r="I73" i="84"/>
  <c r="C73" i="84"/>
  <c r="I72" i="84"/>
  <c r="I71" i="84"/>
  <c r="C71" i="84"/>
  <c r="I70" i="84"/>
  <c r="I69" i="84"/>
  <c r="C69" i="84"/>
  <c r="I68" i="84"/>
  <c r="I67" i="84"/>
  <c r="C67" i="84"/>
  <c r="I66" i="84"/>
  <c r="I65" i="84"/>
  <c r="C65" i="84"/>
  <c r="O62" i="84"/>
  <c r="I62" i="84"/>
  <c r="H62" i="84"/>
  <c r="O61" i="84"/>
  <c r="I61" i="84"/>
  <c r="H61" i="84"/>
  <c r="O60" i="84"/>
  <c r="I60" i="84"/>
  <c r="H60" i="84"/>
  <c r="O59" i="84"/>
  <c r="I59" i="84"/>
  <c r="H59" i="84"/>
  <c r="P57" i="84"/>
  <c r="O57" i="84"/>
  <c r="I57" i="84"/>
  <c r="H57" i="84"/>
  <c r="D57" i="84"/>
  <c r="P56" i="84"/>
  <c r="O56" i="84"/>
  <c r="I56" i="84"/>
  <c r="H56" i="84"/>
  <c r="D56" i="84"/>
  <c r="P55" i="84"/>
  <c r="O55" i="84"/>
  <c r="I55" i="84"/>
  <c r="H55" i="84"/>
  <c r="D55" i="84"/>
  <c r="O54" i="84"/>
  <c r="I54" i="84"/>
  <c r="H54" i="84"/>
  <c r="O53" i="84"/>
  <c r="I53" i="84"/>
  <c r="H53" i="84"/>
  <c r="O52" i="84"/>
  <c r="I52" i="84"/>
  <c r="H52" i="84"/>
  <c r="O51" i="84"/>
  <c r="I51" i="84"/>
  <c r="H51" i="84"/>
  <c r="O50" i="84"/>
  <c r="I50" i="84"/>
  <c r="H50" i="84"/>
  <c r="O49" i="84"/>
  <c r="I49" i="84"/>
  <c r="H49" i="84"/>
  <c r="O48" i="84"/>
  <c r="I48" i="84"/>
  <c r="H48" i="84"/>
  <c r="O47" i="84"/>
  <c r="I47" i="84"/>
  <c r="H47" i="84"/>
  <c r="O46" i="84"/>
  <c r="I46" i="84"/>
  <c r="H46" i="84"/>
  <c r="O45" i="84"/>
  <c r="I45" i="84"/>
  <c r="H45" i="84"/>
  <c r="O44" i="84"/>
  <c r="I44" i="84"/>
  <c r="H44" i="84"/>
  <c r="O43" i="84"/>
  <c r="I43" i="84"/>
  <c r="H43" i="84"/>
  <c r="O42" i="84"/>
  <c r="I42" i="84"/>
  <c r="H42" i="84"/>
  <c r="O41" i="84"/>
  <c r="I41" i="84"/>
  <c r="H41" i="84"/>
  <c r="O40" i="84"/>
  <c r="I40" i="84"/>
  <c r="H40" i="84"/>
  <c r="O39" i="84"/>
  <c r="I39" i="84"/>
  <c r="H39" i="84"/>
  <c r="O38" i="84"/>
  <c r="I38" i="84"/>
  <c r="H38" i="84"/>
  <c r="O37" i="84"/>
  <c r="I37" i="84"/>
  <c r="H37" i="84"/>
  <c r="O36" i="84"/>
  <c r="I36" i="84"/>
  <c r="H36" i="84"/>
  <c r="O35" i="84"/>
  <c r="I35" i="84"/>
  <c r="H35" i="84"/>
  <c r="O34" i="84"/>
  <c r="I34" i="84"/>
  <c r="H34" i="84"/>
  <c r="O33" i="84"/>
  <c r="I33" i="84"/>
  <c r="H33" i="84"/>
  <c r="O32" i="84"/>
  <c r="I32" i="84"/>
  <c r="H32" i="84"/>
  <c r="N1" i="84"/>
  <c r="P19" i="84" s="1"/>
  <c r="I110" i="83"/>
  <c r="C110" i="83"/>
  <c r="I109" i="83"/>
  <c r="C109" i="83"/>
  <c r="I108" i="83"/>
  <c r="C108" i="83"/>
  <c r="I107" i="83"/>
  <c r="C107" i="83"/>
  <c r="I106" i="83"/>
  <c r="C106" i="83"/>
  <c r="I104" i="83"/>
  <c r="I103" i="83"/>
  <c r="C103" i="83"/>
  <c r="I102" i="83"/>
  <c r="I101" i="83"/>
  <c r="C101" i="83"/>
  <c r="I100" i="83"/>
  <c r="I99" i="83"/>
  <c r="C99" i="83"/>
  <c r="I98" i="83"/>
  <c r="I97" i="83"/>
  <c r="C97" i="83"/>
  <c r="I96" i="83"/>
  <c r="I95" i="83"/>
  <c r="C95" i="83"/>
  <c r="I94" i="83"/>
  <c r="I93" i="83"/>
  <c r="C93" i="83"/>
  <c r="I92" i="83"/>
  <c r="I91" i="83"/>
  <c r="C91" i="83"/>
  <c r="I90" i="83"/>
  <c r="I89" i="83"/>
  <c r="C89" i="83"/>
  <c r="I88" i="83"/>
  <c r="I87" i="83"/>
  <c r="C87" i="83"/>
  <c r="I86" i="83"/>
  <c r="I85" i="83"/>
  <c r="C85" i="83"/>
  <c r="I84" i="83"/>
  <c r="I83" i="83"/>
  <c r="C83" i="83"/>
  <c r="I82" i="83"/>
  <c r="I81" i="83"/>
  <c r="C81" i="83"/>
  <c r="I80" i="83"/>
  <c r="I79" i="83"/>
  <c r="C79" i="83"/>
  <c r="I78" i="83"/>
  <c r="I77" i="83"/>
  <c r="C77" i="83"/>
  <c r="I76" i="83"/>
  <c r="I75" i="83"/>
  <c r="C75" i="83"/>
  <c r="I74" i="83"/>
  <c r="I73" i="83"/>
  <c r="C73" i="83"/>
  <c r="I72" i="83"/>
  <c r="I71" i="83"/>
  <c r="C71" i="83"/>
  <c r="I70" i="83"/>
  <c r="I69" i="83"/>
  <c r="C69" i="83"/>
  <c r="I68" i="83"/>
  <c r="I67" i="83"/>
  <c r="C67" i="83"/>
  <c r="I66" i="83"/>
  <c r="I65" i="83"/>
  <c r="C65" i="83"/>
  <c r="O62" i="83"/>
  <c r="I62" i="83"/>
  <c r="H62" i="83"/>
  <c r="O61" i="83"/>
  <c r="I61" i="83"/>
  <c r="H61" i="83"/>
  <c r="O60" i="83"/>
  <c r="I60" i="83"/>
  <c r="H60" i="83"/>
  <c r="O59" i="83"/>
  <c r="I59" i="83"/>
  <c r="H59" i="83"/>
  <c r="P57" i="83"/>
  <c r="O57" i="83"/>
  <c r="I57" i="83"/>
  <c r="H57" i="83"/>
  <c r="D57" i="83"/>
  <c r="P56" i="83"/>
  <c r="O56" i="83"/>
  <c r="I56" i="83"/>
  <c r="H56" i="83"/>
  <c r="D56" i="83"/>
  <c r="P55" i="83"/>
  <c r="O55" i="83"/>
  <c r="I55" i="83"/>
  <c r="H55" i="83"/>
  <c r="D55" i="83"/>
  <c r="O54" i="83"/>
  <c r="I54" i="83"/>
  <c r="H54" i="83"/>
  <c r="O53" i="83"/>
  <c r="I53" i="83"/>
  <c r="H53" i="83"/>
  <c r="O52" i="83"/>
  <c r="I52" i="83"/>
  <c r="H52" i="83"/>
  <c r="O51" i="83"/>
  <c r="I51" i="83"/>
  <c r="H51" i="83"/>
  <c r="O50" i="83"/>
  <c r="I50" i="83"/>
  <c r="H50" i="83"/>
  <c r="O49" i="83"/>
  <c r="I49" i="83"/>
  <c r="H49" i="83"/>
  <c r="O48" i="83"/>
  <c r="I48" i="83"/>
  <c r="H48" i="83"/>
  <c r="O47" i="83"/>
  <c r="I47" i="83"/>
  <c r="H47" i="83"/>
  <c r="O46" i="83"/>
  <c r="I46" i="83"/>
  <c r="H46" i="83"/>
  <c r="O45" i="83"/>
  <c r="I45" i="83"/>
  <c r="H45" i="83"/>
  <c r="O44" i="83"/>
  <c r="I44" i="83"/>
  <c r="H44" i="83"/>
  <c r="O43" i="83"/>
  <c r="I43" i="83"/>
  <c r="H43" i="83"/>
  <c r="O42" i="83"/>
  <c r="I42" i="83"/>
  <c r="H42" i="83"/>
  <c r="O41" i="83"/>
  <c r="I41" i="83"/>
  <c r="H41" i="83"/>
  <c r="O40" i="83"/>
  <c r="I40" i="83"/>
  <c r="H40" i="83"/>
  <c r="O39" i="83"/>
  <c r="I39" i="83"/>
  <c r="H39" i="83"/>
  <c r="O38" i="83"/>
  <c r="I38" i="83"/>
  <c r="H38" i="83"/>
  <c r="O37" i="83"/>
  <c r="I37" i="83"/>
  <c r="H37" i="83"/>
  <c r="O36" i="83"/>
  <c r="I36" i="83"/>
  <c r="H36" i="83"/>
  <c r="O35" i="83"/>
  <c r="I35" i="83"/>
  <c r="H35" i="83"/>
  <c r="O34" i="83"/>
  <c r="I34" i="83"/>
  <c r="H34" i="83"/>
  <c r="O33" i="83"/>
  <c r="I33" i="83"/>
  <c r="H33" i="83"/>
  <c r="O32" i="83"/>
  <c r="I32" i="83"/>
  <c r="H32" i="83"/>
  <c r="N1" i="83"/>
  <c r="P19" i="83" s="1"/>
  <c r="I110" i="82"/>
  <c r="C110" i="82"/>
  <c r="I109" i="82"/>
  <c r="C109" i="82"/>
  <c r="I108" i="82"/>
  <c r="C108" i="82"/>
  <c r="I107" i="82"/>
  <c r="C107" i="82"/>
  <c r="I106" i="82"/>
  <c r="C106" i="82"/>
  <c r="I104" i="82"/>
  <c r="I103" i="82"/>
  <c r="C103" i="82"/>
  <c r="I102" i="82"/>
  <c r="I101" i="82"/>
  <c r="C101" i="82"/>
  <c r="I100" i="82"/>
  <c r="I99" i="82"/>
  <c r="C99" i="82"/>
  <c r="I98" i="82"/>
  <c r="I97" i="82"/>
  <c r="C97" i="82"/>
  <c r="I96" i="82"/>
  <c r="I95" i="82"/>
  <c r="C95" i="82"/>
  <c r="I94" i="82"/>
  <c r="I93" i="82"/>
  <c r="C93" i="82"/>
  <c r="I92" i="82"/>
  <c r="I91" i="82"/>
  <c r="C91" i="82"/>
  <c r="I90" i="82"/>
  <c r="I89" i="82"/>
  <c r="C89" i="82"/>
  <c r="I88" i="82"/>
  <c r="I87" i="82"/>
  <c r="C87" i="82"/>
  <c r="I86" i="82"/>
  <c r="I85" i="82"/>
  <c r="C85" i="82"/>
  <c r="I84" i="82"/>
  <c r="I83" i="82"/>
  <c r="C83" i="82"/>
  <c r="I82" i="82"/>
  <c r="I81" i="82"/>
  <c r="C81" i="82"/>
  <c r="I80" i="82"/>
  <c r="I79" i="82"/>
  <c r="C79" i="82"/>
  <c r="I78" i="82"/>
  <c r="I77" i="82"/>
  <c r="C77" i="82"/>
  <c r="I76" i="82"/>
  <c r="I75" i="82"/>
  <c r="C75" i="82"/>
  <c r="I74" i="82"/>
  <c r="I73" i="82"/>
  <c r="C73" i="82"/>
  <c r="I72" i="82"/>
  <c r="I71" i="82"/>
  <c r="C71" i="82"/>
  <c r="I70" i="82"/>
  <c r="I69" i="82"/>
  <c r="C69" i="82"/>
  <c r="I68" i="82"/>
  <c r="I67" i="82"/>
  <c r="C67" i="82"/>
  <c r="I66" i="82"/>
  <c r="I65" i="82"/>
  <c r="C65" i="82"/>
  <c r="O62" i="82"/>
  <c r="I62" i="82"/>
  <c r="H62" i="82"/>
  <c r="O61" i="82"/>
  <c r="I61" i="82"/>
  <c r="H61" i="82"/>
  <c r="O60" i="82"/>
  <c r="I60" i="82"/>
  <c r="H60" i="82"/>
  <c r="O59" i="82"/>
  <c r="I59" i="82"/>
  <c r="H59" i="82"/>
  <c r="P57" i="82"/>
  <c r="O57" i="82"/>
  <c r="I57" i="82"/>
  <c r="H57" i="82"/>
  <c r="D57" i="82"/>
  <c r="P56" i="82"/>
  <c r="O56" i="82"/>
  <c r="I56" i="82"/>
  <c r="H56" i="82"/>
  <c r="D56" i="82"/>
  <c r="P55" i="82"/>
  <c r="O55" i="82"/>
  <c r="I55" i="82"/>
  <c r="H55" i="82"/>
  <c r="D55" i="82"/>
  <c r="O54" i="82"/>
  <c r="I54" i="82"/>
  <c r="H54" i="82"/>
  <c r="O53" i="82"/>
  <c r="I53" i="82"/>
  <c r="H53" i="82"/>
  <c r="O52" i="82"/>
  <c r="I52" i="82"/>
  <c r="H52" i="82"/>
  <c r="O51" i="82"/>
  <c r="I51" i="82"/>
  <c r="H51" i="82"/>
  <c r="O50" i="82"/>
  <c r="I50" i="82"/>
  <c r="H50" i="82"/>
  <c r="O49" i="82"/>
  <c r="I49" i="82"/>
  <c r="H49" i="82"/>
  <c r="O48" i="82"/>
  <c r="I48" i="82"/>
  <c r="H48" i="82"/>
  <c r="O47" i="82"/>
  <c r="I47" i="82"/>
  <c r="H47" i="82"/>
  <c r="O46" i="82"/>
  <c r="I46" i="82"/>
  <c r="H46" i="82"/>
  <c r="O45" i="82"/>
  <c r="I45" i="82"/>
  <c r="H45" i="82"/>
  <c r="O44" i="82"/>
  <c r="I44" i="82"/>
  <c r="H44" i="82"/>
  <c r="O43" i="82"/>
  <c r="I43" i="82"/>
  <c r="H43" i="82"/>
  <c r="O42" i="82"/>
  <c r="I42" i="82"/>
  <c r="H42" i="82"/>
  <c r="O41" i="82"/>
  <c r="I41" i="82"/>
  <c r="H41" i="82"/>
  <c r="O40" i="82"/>
  <c r="I40" i="82"/>
  <c r="H40" i="82"/>
  <c r="O39" i="82"/>
  <c r="I39" i="82"/>
  <c r="H39" i="82"/>
  <c r="O38" i="82"/>
  <c r="I38" i="82"/>
  <c r="H38" i="82"/>
  <c r="O37" i="82"/>
  <c r="I37" i="82"/>
  <c r="H37" i="82"/>
  <c r="O36" i="82"/>
  <c r="I36" i="82"/>
  <c r="H36" i="82"/>
  <c r="O35" i="82"/>
  <c r="I35" i="82"/>
  <c r="H35" i="82"/>
  <c r="O34" i="82"/>
  <c r="I34" i="82"/>
  <c r="H34" i="82"/>
  <c r="O33" i="82"/>
  <c r="I33" i="82"/>
  <c r="H33" i="82"/>
  <c r="O32" i="82"/>
  <c r="I32" i="82"/>
  <c r="H32" i="82"/>
  <c r="N1" i="82"/>
  <c r="P19" i="82" s="1"/>
  <c r="BA63" i="60"/>
  <c r="C65" i="61"/>
  <c r="P401" i="48" l="1"/>
  <c r="Q426" i="48"/>
  <c r="BG35" i="120"/>
  <c r="BF35" i="120"/>
  <c r="BE36" i="120"/>
  <c r="BI35" i="120"/>
  <c r="BJ35" i="120"/>
  <c r="BK35" i="120" s="1"/>
  <c r="BL35" i="120" s="1"/>
  <c r="BH34" i="120"/>
  <c r="P51" i="93"/>
  <c r="Q76" i="93"/>
  <c r="I110" i="81"/>
  <c r="C110" i="81"/>
  <c r="I109" i="81"/>
  <c r="C109" i="81"/>
  <c r="I108" i="81"/>
  <c r="C108" i="81"/>
  <c r="I107" i="81"/>
  <c r="C107" i="81"/>
  <c r="I106" i="81"/>
  <c r="C106" i="81"/>
  <c r="I104" i="81"/>
  <c r="I103" i="81"/>
  <c r="C103" i="81"/>
  <c r="I102" i="81"/>
  <c r="I101" i="81"/>
  <c r="C101" i="81"/>
  <c r="I100" i="81"/>
  <c r="I99" i="81"/>
  <c r="C99" i="81"/>
  <c r="I98" i="81"/>
  <c r="I97" i="81"/>
  <c r="C97" i="81"/>
  <c r="I96" i="81"/>
  <c r="I95" i="81"/>
  <c r="C95" i="81"/>
  <c r="I94" i="81"/>
  <c r="I93" i="81"/>
  <c r="C93" i="81"/>
  <c r="I92" i="81"/>
  <c r="I91" i="81"/>
  <c r="C91" i="81"/>
  <c r="I90" i="81"/>
  <c r="I89" i="81"/>
  <c r="C89" i="81"/>
  <c r="I88" i="81"/>
  <c r="I87" i="81"/>
  <c r="C87" i="81"/>
  <c r="I86" i="81"/>
  <c r="I85" i="81"/>
  <c r="C85" i="81"/>
  <c r="I84" i="81"/>
  <c r="I83" i="81"/>
  <c r="C83" i="81"/>
  <c r="I82" i="81"/>
  <c r="I81" i="81"/>
  <c r="C81" i="81"/>
  <c r="I80" i="81"/>
  <c r="I79" i="81"/>
  <c r="C79" i="81"/>
  <c r="I78" i="81"/>
  <c r="I77" i="81"/>
  <c r="C77" i="81"/>
  <c r="I76" i="81"/>
  <c r="I75" i="81"/>
  <c r="C75" i="81"/>
  <c r="I74" i="81"/>
  <c r="I73" i="81"/>
  <c r="C73" i="81"/>
  <c r="I72" i="81"/>
  <c r="I71" i="81"/>
  <c r="C71" i="81"/>
  <c r="I70" i="81"/>
  <c r="I69" i="81"/>
  <c r="C69" i="81"/>
  <c r="I68" i="81"/>
  <c r="I67" i="81"/>
  <c r="C67" i="81"/>
  <c r="I66" i="81"/>
  <c r="I65" i="81"/>
  <c r="C65" i="81"/>
  <c r="O62" i="81"/>
  <c r="I62" i="81"/>
  <c r="H62" i="81"/>
  <c r="O61" i="81"/>
  <c r="I61" i="81"/>
  <c r="H61" i="81"/>
  <c r="O60" i="81"/>
  <c r="I60" i="81"/>
  <c r="H60" i="81"/>
  <c r="O59" i="81"/>
  <c r="I59" i="81"/>
  <c r="H59" i="81"/>
  <c r="P57" i="81"/>
  <c r="O57" i="81"/>
  <c r="I57" i="81"/>
  <c r="H57" i="81"/>
  <c r="D57" i="81"/>
  <c r="P56" i="81"/>
  <c r="O56" i="81"/>
  <c r="I56" i="81"/>
  <c r="H56" i="81"/>
  <c r="D56" i="81"/>
  <c r="P55" i="81"/>
  <c r="O55" i="81"/>
  <c r="I55" i="81"/>
  <c r="H55" i="81"/>
  <c r="D55" i="81"/>
  <c r="O54" i="81"/>
  <c r="I54" i="81"/>
  <c r="H54" i="81"/>
  <c r="O53" i="81"/>
  <c r="I53" i="81"/>
  <c r="H53" i="81"/>
  <c r="O52" i="81"/>
  <c r="I52" i="81"/>
  <c r="H52" i="81"/>
  <c r="O51" i="81"/>
  <c r="I51" i="81"/>
  <c r="H51" i="81"/>
  <c r="O50" i="81"/>
  <c r="I50" i="81"/>
  <c r="H50" i="81"/>
  <c r="O49" i="81"/>
  <c r="I49" i="81"/>
  <c r="H49" i="81"/>
  <c r="O48" i="81"/>
  <c r="I48" i="81"/>
  <c r="H48" i="81"/>
  <c r="O47" i="81"/>
  <c r="I47" i="81"/>
  <c r="H47" i="81"/>
  <c r="O46" i="81"/>
  <c r="I46" i="81"/>
  <c r="H46" i="81"/>
  <c r="O45" i="81"/>
  <c r="I45" i="81"/>
  <c r="H45" i="81"/>
  <c r="O44" i="81"/>
  <c r="I44" i="81"/>
  <c r="H44" i="81"/>
  <c r="O43" i="81"/>
  <c r="I43" i="81"/>
  <c r="H43" i="81"/>
  <c r="O42" i="81"/>
  <c r="I42" i="81"/>
  <c r="H42" i="81"/>
  <c r="O41" i="81"/>
  <c r="I41" i="81"/>
  <c r="H41" i="81"/>
  <c r="O40" i="81"/>
  <c r="I40" i="81"/>
  <c r="H40" i="81"/>
  <c r="O39" i="81"/>
  <c r="I39" i="81"/>
  <c r="H39" i="81"/>
  <c r="O38" i="81"/>
  <c r="I38" i="81"/>
  <c r="H38" i="81"/>
  <c r="O37" i="81"/>
  <c r="I37" i="81"/>
  <c r="H37" i="81"/>
  <c r="O36" i="81"/>
  <c r="I36" i="81"/>
  <c r="H36" i="81"/>
  <c r="O35" i="81"/>
  <c r="I35" i="81"/>
  <c r="H35" i="81"/>
  <c r="O34" i="81"/>
  <c r="I34" i="81"/>
  <c r="H34" i="81"/>
  <c r="O33" i="81"/>
  <c r="I33" i="81"/>
  <c r="H33" i="81"/>
  <c r="O32" i="81"/>
  <c r="I32" i="81"/>
  <c r="H32" i="81"/>
  <c r="N1" i="81"/>
  <c r="P19" i="81" s="1"/>
  <c r="I110" i="80"/>
  <c r="C110" i="80"/>
  <c r="I109" i="80"/>
  <c r="C109" i="80"/>
  <c r="I108" i="80"/>
  <c r="C108" i="80"/>
  <c r="I107" i="80"/>
  <c r="C107" i="80"/>
  <c r="I106" i="80"/>
  <c r="C106" i="80"/>
  <c r="I104" i="80"/>
  <c r="I103" i="80"/>
  <c r="C103" i="80"/>
  <c r="I102" i="80"/>
  <c r="I101" i="80"/>
  <c r="C101" i="80"/>
  <c r="I100" i="80"/>
  <c r="I99" i="80"/>
  <c r="C99" i="80"/>
  <c r="I98" i="80"/>
  <c r="I97" i="80"/>
  <c r="C97" i="80"/>
  <c r="I96" i="80"/>
  <c r="I95" i="80"/>
  <c r="C95" i="80"/>
  <c r="I94" i="80"/>
  <c r="I93" i="80"/>
  <c r="C93" i="80"/>
  <c r="I92" i="80"/>
  <c r="I91" i="80"/>
  <c r="C91" i="80"/>
  <c r="I90" i="80"/>
  <c r="I89" i="80"/>
  <c r="C89" i="80"/>
  <c r="I88" i="80"/>
  <c r="I87" i="80"/>
  <c r="C87" i="80"/>
  <c r="I86" i="80"/>
  <c r="I85" i="80"/>
  <c r="C85" i="80"/>
  <c r="I84" i="80"/>
  <c r="I83" i="80"/>
  <c r="C83" i="80"/>
  <c r="I82" i="80"/>
  <c r="I81" i="80"/>
  <c r="C81" i="80"/>
  <c r="I80" i="80"/>
  <c r="I79" i="80"/>
  <c r="C79" i="80"/>
  <c r="I78" i="80"/>
  <c r="I77" i="80"/>
  <c r="C77" i="80"/>
  <c r="I76" i="80"/>
  <c r="I75" i="80"/>
  <c r="C75" i="80"/>
  <c r="I74" i="80"/>
  <c r="I73" i="80"/>
  <c r="C73" i="80"/>
  <c r="I72" i="80"/>
  <c r="I71" i="80"/>
  <c r="C71" i="80"/>
  <c r="I70" i="80"/>
  <c r="I69" i="80"/>
  <c r="C69" i="80"/>
  <c r="I68" i="80"/>
  <c r="I67" i="80"/>
  <c r="C67" i="80"/>
  <c r="I66" i="80"/>
  <c r="I65" i="80"/>
  <c r="C65" i="80"/>
  <c r="O62" i="80"/>
  <c r="I62" i="80"/>
  <c r="H62" i="80"/>
  <c r="O61" i="80"/>
  <c r="I61" i="80"/>
  <c r="H61" i="80"/>
  <c r="O60" i="80"/>
  <c r="I60" i="80"/>
  <c r="H60" i="80"/>
  <c r="O59" i="80"/>
  <c r="I59" i="80"/>
  <c r="H59" i="80"/>
  <c r="P57" i="80"/>
  <c r="O57" i="80"/>
  <c r="I57" i="80"/>
  <c r="H57" i="80"/>
  <c r="D57" i="80"/>
  <c r="P56" i="80"/>
  <c r="O56" i="80"/>
  <c r="I56" i="80"/>
  <c r="H56" i="80"/>
  <c r="D56" i="80"/>
  <c r="P55" i="80"/>
  <c r="O55" i="80"/>
  <c r="I55" i="80"/>
  <c r="H55" i="80"/>
  <c r="D55" i="80"/>
  <c r="O54" i="80"/>
  <c r="I54" i="80"/>
  <c r="H54" i="80"/>
  <c r="O53" i="80"/>
  <c r="I53" i="80"/>
  <c r="H53" i="80"/>
  <c r="O52" i="80"/>
  <c r="I52" i="80"/>
  <c r="H52" i="80"/>
  <c r="O51" i="80"/>
  <c r="I51" i="80"/>
  <c r="H51" i="80"/>
  <c r="O50" i="80"/>
  <c r="I50" i="80"/>
  <c r="H50" i="80"/>
  <c r="O49" i="80"/>
  <c r="I49" i="80"/>
  <c r="H49" i="80"/>
  <c r="O48" i="80"/>
  <c r="I48" i="80"/>
  <c r="H48" i="80"/>
  <c r="O47" i="80"/>
  <c r="I47" i="80"/>
  <c r="H47" i="80"/>
  <c r="O46" i="80"/>
  <c r="I46" i="80"/>
  <c r="H46" i="80"/>
  <c r="O45" i="80"/>
  <c r="I45" i="80"/>
  <c r="H45" i="80"/>
  <c r="O44" i="80"/>
  <c r="I44" i="80"/>
  <c r="H44" i="80"/>
  <c r="O43" i="80"/>
  <c r="I43" i="80"/>
  <c r="H43" i="80"/>
  <c r="O42" i="80"/>
  <c r="I42" i="80"/>
  <c r="H42" i="80"/>
  <c r="O41" i="80"/>
  <c r="I41" i="80"/>
  <c r="H41" i="80"/>
  <c r="O40" i="80"/>
  <c r="I40" i="80"/>
  <c r="H40" i="80"/>
  <c r="O39" i="80"/>
  <c r="I39" i="80"/>
  <c r="H39" i="80"/>
  <c r="O38" i="80"/>
  <c r="I38" i="80"/>
  <c r="H38" i="80"/>
  <c r="O37" i="80"/>
  <c r="I37" i="80"/>
  <c r="H37" i="80"/>
  <c r="O36" i="80"/>
  <c r="I36" i="80"/>
  <c r="H36" i="80"/>
  <c r="O35" i="80"/>
  <c r="I35" i="80"/>
  <c r="H35" i="80"/>
  <c r="O34" i="80"/>
  <c r="I34" i="80"/>
  <c r="H34" i="80"/>
  <c r="O33" i="80"/>
  <c r="I33" i="80"/>
  <c r="H33" i="80"/>
  <c r="O32" i="80"/>
  <c r="I32" i="80"/>
  <c r="H32" i="80"/>
  <c r="N1" i="80"/>
  <c r="P19" i="80" s="1"/>
  <c r="I110" i="79"/>
  <c r="C110" i="79"/>
  <c r="I109" i="79"/>
  <c r="C109" i="79"/>
  <c r="I108" i="79"/>
  <c r="C108" i="79"/>
  <c r="I107" i="79"/>
  <c r="C107" i="79"/>
  <c r="I106" i="79"/>
  <c r="C106" i="79"/>
  <c r="I104" i="79"/>
  <c r="I103" i="79"/>
  <c r="C103" i="79"/>
  <c r="I102" i="79"/>
  <c r="I101" i="79"/>
  <c r="C101" i="79"/>
  <c r="I100" i="79"/>
  <c r="I99" i="79"/>
  <c r="C99" i="79"/>
  <c r="I98" i="79"/>
  <c r="I97" i="79"/>
  <c r="C97" i="79"/>
  <c r="I96" i="79"/>
  <c r="I95" i="79"/>
  <c r="C95" i="79"/>
  <c r="I94" i="79"/>
  <c r="I93" i="79"/>
  <c r="C93" i="79"/>
  <c r="I92" i="79"/>
  <c r="I91" i="79"/>
  <c r="C91" i="79"/>
  <c r="I90" i="79"/>
  <c r="I89" i="79"/>
  <c r="C89" i="79"/>
  <c r="I88" i="79"/>
  <c r="I87" i="79"/>
  <c r="C87" i="79"/>
  <c r="I86" i="79"/>
  <c r="I85" i="79"/>
  <c r="C85" i="79"/>
  <c r="I84" i="79"/>
  <c r="I83" i="79"/>
  <c r="C83" i="79"/>
  <c r="I82" i="79"/>
  <c r="I81" i="79"/>
  <c r="C81" i="79"/>
  <c r="I80" i="79"/>
  <c r="I79" i="79"/>
  <c r="C79" i="79"/>
  <c r="I78" i="79"/>
  <c r="I77" i="79"/>
  <c r="C77" i="79"/>
  <c r="I76" i="79"/>
  <c r="I75" i="79"/>
  <c r="C75" i="79"/>
  <c r="I74" i="79"/>
  <c r="I73" i="79"/>
  <c r="C73" i="79"/>
  <c r="I72" i="79"/>
  <c r="I71" i="79"/>
  <c r="C71" i="79"/>
  <c r="I70" i="79"/>
  <c r="I69" i="79"/>
  <c r="C69" i="79"/>
  <c r="I68" i="79"/>
  <c r="I67" i="79"/>
  <c r="C67" i="79"/>
  <c r="I66" i="79"/>
  <c r="I65" i="79"/>
  <c r="C65" i="79"/>
  <c r="O62" i="79"/>
  <c r="I62" i="79"/>
  <c r="H62" i="79"/>
  <c r="O61" i="79"/>
  <c r="I61" i="79"/>
  <c r="H61" i="79"/>
  <c r="O60" i="79"/>
  <c r="I60" i="79"/>
  <c r="H60" i="79"/>
  <c r="O59" i="79"/>
  <c r="I59" i="79"/>
  <c r="H59" i="79"/>
  <c r="P57" i="79"/>
  <c r="O57" i="79"/>
  <c r="I57" i="79"/>
  <c r="H57" i="79"/>
  <c r="D57" i="79"/>
  <c r="P56" i="79"/>
  <c r="O56" i="79"/>
  <c r="I56" i="79"/>
  <c r="H56" i="79"/>
  <c r="D56" i="79"/>
  <c r="P55" i="79"/>
  <c r="O55" i="79"/>
  <c r="I55" i="79"/>
  <c r="H55" i="79"/>
  <c r="D55" i="79"/>
  <c r="O54" i="79"/>
  <c r="I54" i="79"/>
  <c r="H54" i="79"/>
  <c r="O53" i="79"/>
  <c r="I53" i="79"/>
  <c r="H53" i="79"/>
  <c r="O52" i="79"/>
  <c r="I52" i="79"/>
  <c r="H52" i="79"/>
  <c r="O51" i="79"/>
  <c r="I51" i="79"/>
  <c r="H51" i="79"/>
  <c r="O50" i="79"/>
  <c r="I50" i="79"/>
  <c r="H50" i="79"/>
  <c r="O49" i="79"/>
  <c r="I49" i="79"/>
  <c r="H49" i="79"/>
  <c r="O48" i="79"/>
  <c r="I48" i="79"/>
  <c r="H48" i="79"/>
  <c r="O47" i="79"/>
  <c r="I47" i="79"/>
  <c r="H47" i="79"/>
  <c r="O46" i="79"/>
  <c r="I46" i="79"/>
  <c r="H46" i="79"/>
  <c r="O45" i="79"/>
  <c r="I45" i="79"/>
  <c r="H45" i="79"/>
  <c r="O44" i="79"/>
  <c r="I44" i="79"/>
  <c r="H44" i="79"/>
  <c r="O43" i="79"/>
  <c r="I43" i="79"/>
  <c r="H43" i="79"/>
  <c r="O42" i="79"/>
  <c r="I42" i="79"/>
  <c r="H42" i="79"/>
  <c r="O41" i="79"/>
  <c r="I41" i="79"/>
  <c r="H41" i="79"/>
  <c r="O40" i="79"/>
  <c r="I40" i="79"/>
  <c r="H40" i="79"/>
  <c r="O39" i="79"/>
  <c r="I39" i="79"/>
  <c r="H39" i="79"/>
  <c r="O38" i="79"/>
  <c r="I38" i="79"/>
  <c r="H38" i="79"/>
  <c r="O37" i="79"/>
  <c r="I37" i="79"/>
  <c r="H37" i="79"/>
  <c r="O36" i="79"/>
  <c r="I36" i="79"/>
  <c r="H36" i="79"/>
  <c r="O35" i="79"/>
  <c r="I35" i="79"/>
  <c r="H35" i="79"/>
  <c r="O34" i="79"/>
  <c r="I34" i="79"/>
  <c r="H34" i="79"/>
  <c r="O33" i="79"/>
  <c r="I33" i="79"/>
  <c r="H33" i="79"/>
  <c r="O32" i="79"/>
  <c r="I32" i="79"/>
  <c r="H32" i="79"/>
  <c r="N1" i="79"/>
  <c r="P19" i="79" s="1"/>
  <c r="I110" i="78"/>
  <c r="C110" i="78"/>
  <c r="I109" i="78"/>
  <c r="C109" i="78"/>
  <c r="I108" i="78"/>
  <c r="C108" i="78"/>
  <c r="I107" i="78"/>
  <c r="C107" i="78"/>
  <c r="I106" i="78"/>
  <c r="C106" i="78"/>
  <c r="I104" i="78"/>
  <c r="I103" i="78"/>
  <c r="C103" i="78"/>
  <c r="I102" i="78"/>
  <c r="I101" i="78"/>
  <c r="C101" i="78"/>
  <c r="I100" i="78"/>
  <c r="I99" i="78"/>
  <c r="C99" i="78"/>
  <c r="I98" i="78"/>
  <c r="I97" i="78"/>
  <c r="C97" i="78"/>
  <c r="I96" i="78"/>
  <c r="I95" i="78"/>
  <c r="C95" i="78"/>
  <c r="I94" i="78"/>
  <c r="I93" i="78"/>
  <c r="C93" i="78"/>
  <c r="I92" i="78"/>
  <c r="I91" i="78"/>
  <c r="C91" i="78"/>
  <c r="I90" i="78"/>
  <c r="I89" i="78"/>
  <c r="C89" i="78"/>
  <c r="I88" i="78"/>
  <c r="I87" i="78"/>
  <c r="C87" i="78"/>
  <c r="I86" i="78"/>
  <c r="I85" i="78"/>
  <c r="C85" i="78"/>
  <c r="I84" i="78"/>
  <c r="I83" i="78"/>
  <c r="C83" i="78"/>
  <c r="I82" i="78"/>
  <c r="I81" i="78"/>
  <c r="C81" i="78"/>
  <c r="I80" i="78"/>
  <c r="I79" i="78"/>
  <c r="C79" i="78"/>
  <c r="I78" i="78"/>
  <c r="I77" i="78"/>
  <c r="C77" i="78"/>
  <c r="I76" i="78"/>
  <c r="I75" i="78"/>
  <c r="C75" i="78"/>
  <c r="I74" i="78"/>
  <c r="I73" i="78"/>
  <c r="C73" i="78"/>
  <c r="I72" i="78"/>
  <c r="I71" i="78"/>
  <c r="C71" i="78"/>
  <c r="I70" i="78"/>
  <c r="I69" i="78"/>
  <c r="C69" i="78"/>
  <c r="I68" i="78"/>
  <c r="I67" i="78"/>
  <c r="C67" i="78"/>
  <c r="I66" i="78"/>
  <c r="I65" i="78"/>
  <c r="C65" i="78"/>
  <c r="O62" i="78"/>
  <c r="I62" i="78"/>
  <c r="H62" i="78"/>
  <c r="O61" i="78"/>
  <c r="I61" i="78"/>
  <c r="H61" i="78"/>
  <c r="O60" i="78"/>
  <c r="I60" i="78"/>
  <c r="H60" i="78"/>
  <c r="O59" i="78"/>
  <c r="I59" i="78"/>
  <c r="H59" i="78"/>
  <c r="P57" i="78"/>
  <c r="O57" i="78"/>
  <c r="I57" i="78"/>
  <c r="H57" i="78"/>
  <c r="D57" i="78"/>
  <c r="P56" i="78"/>
  <c r="O56" i="78"/>
  <c r="I56" i="78"/>
  <c r="H56" i="78"/>
  <c r="D56" i="78"/>
  <c r="P55" i="78"/>
  <c r="O55" i="78"/>
  <c r="I55" i="78"/>
  <c r="H55" i="78"/>
  <c r="D55" i="78"/>
  <c r="O54" i="78"/>
  <c r="I54" i="78"/>
  <c r="H54" i="78"/>
  <c r="O53" i="78"/>
  <c r="I53" i="78"/>
  <c r="H53" i="78"/>
  <c r="O52" i="78"/>
  <c r="I52" i="78"/>
  <c r="H52" i="78"/>
  <c r="O51" i="78"/>
  <c r="I51" i="78"/>
  <c r="H51" i="78"/>
  <c r="O50" i="78"/>
  <c r="I50" i="78"/>
  <c r="H50" i="78"/>
  <c r="O49" i="78"/>
  <c r="I49" i="78"/>
  <c r="H49" i="78"/>
  <c r="O48" i="78"/>
  <c r="I48" i="78"/>
  <c r="H48" i="78"/>
  <c r="O47" i="78"/>
  <c r="I47" i="78"/>
  <c r="H47" i="78"/>
  <c r="O46" i="78"/>
  <c r="I46" i="78"/>
  <c r="H46" i="78"/>
  <c r="O45" i="78"/>
  <c r="I45" i="78"/>
  <c r="H45" i="78"/>
  <c r="O44" i="78"/>
  <c r="I44" i="78"/>
  <c r="H44" i="78"/>
  <c r="O43" i="78"/>
  <c r="I43" i="78"/>
  <c r="H43" i="78"/>
  <c r="O42" i="78"/>
  <c r="I42" i="78"/>
  <c r="H42" i="78"/>
  <c r="O41" i="78"/>
  <c r="I41" i="78"/>
  <c r="H41" i="78"/>
  <c r="O40" i="78"/>
  <c r="I40" i="78"/>
  <c r="H40" i="78"/>
  <c r="O39" i="78"/>
  <c r="I39" i="78"/>
  <c r="H39" i="78"/>
  <c r="O38" i="78"/>
  <c r="I38" i="78"/>
  <c r="H38" i="78"/>
  <c r="O37" i="78"/>
  <c r="I37" i="78"/>
  <c r="H37" i="78"/>
  <c r="O36" i="78"/>
  <c r="I36" i="78"/>
  <c r="H36" i="78"/>
  <c r="O35" i="78"/>
  <c r="I35" i="78"/>
  <c r="H35" i="78"/>
  <c r="O34" i="78"/>
  <c r="I34" i="78"/>
  <c r="H34" i="78"/>
  <c r="O33" i="78"/>
  <c r="I33" i="78"/>
  <c r="H33" i="78"/>
  <c r="O32" i="78"/>
  <c r="I32" i="78"/>
  <c r="H32" i="78"/>
  <c r="N1" i="78"/>
  <c r="P19" i="78" s="1"/>
  <c r="I110" i="77"/>
  <c r="C110" i="77"/>
  <c r="I109" i="77"/>
  <c r="C109" i="77"/>
  <c r="I108" i="77"/>
  <c r="C108" i="77"/>
  <c r="I107" i="77"/>
  <c r="C107" i="77"/>
  <c r="I106" i="77"/>
  <c r="C106" i="77"/>
  <c r="I104" i="77"/>
  <c r="I103" i="77"/>
  <c r="C103" i="77"/>
  <c r="I102" i="77"/>
  <c r="I101" i="77"/>
  <c r="C101" i="77"/>
  <c r="I100" i="77"/>
  <c r="I99" i="77"/>
  <c r="C99" i="77"/>
  <c r="I98" i="77"/>
  <c r="I97" i="77"/>
  <c r="C97" i="77"/>
  <c r="I96" i="77"/>
  <c r="I95" i="77"/>
  <c r="C95" i="77"/>
  <c r="I94" i="77"/>
  <c r="I93" i="77"/>
  <c r="C93" i="77"/>
  <c r="I92" i="77"/>
  <c r="I91" i="77"/>
  <c r="C91" i="77"/>
  <c r="I90" i="77"/>
  <c r="I89" i="77"/>
  <c r="C89" i="77"/>
  <c r="I88" i="77"/>
  <c r="I87" i="77"/>
  <c r="C87" i="77"/>
  <c r="I86" i="77"/>
  <c r="I85" i="77"/>
  <c r="C85" i="77"/>
  <c r="I84" i="77"/>
  <c r="I83" i="77"/>
  <c r="C83" i="77"/>
  <c r="I82" i="77"/>
  <c r="I81" i="77"/>
  <c r="C81" i="77"/>
  <c r="I80" i="77"/>
  <c r="I79" i="77"/>
  <c r="C79" i="77"/>
  <c r="I78" i="77"/>
  <c r="I77" i="77"/>
  <c r="C77" i="77"/>
  <c r="I76" i="77"/>
  <c r="I75" i="77"/>
  <c r="C75" i="77"/>
  <c r="I74" i="77"/>
  <c r="I73" i="77"/>
  <c r="C73" i="77"/>
  <c r="I72" i="77"/>
  <c r="I71" i="77"/>
  <c r="C71" i="77"/>
  <c r="I70" i="77"/>
  <c r="I69" i="77"/>
  <c r="C69" i="77"/>
  <c r="I68" i="77"/>
  <c r="I67" i="77"/>
  <c r="C67" i="77"/>
  <c r="I66" i="77"/>
  <c r="I65" i="77"/>
  <c r="C65" i="77"/>
  <c r="O62" i="77"/>
  <c r="I62" i="77"/>
  <c r="H62" i="77"/>
  <c r="O61" i="77"/>
  <c r="I61" i="77"/>
  <c r="H61" i="77"/>
  <c r="O60" i="77"/>
  <c r="I60" i="77"/>
  <c r="H60" i="77"/>
  <c r="O59" i="77"/>
  <c r="I59" i="77"/>
  <c r="H59" i="77"/>
  <c r="P57" i="77"/>
  <c r="O57" i="77"/>
  <c r="I57" i="77"/>
  <c r="H57" i="77"/>
  <c r="D57" i="77"/>
  <c r="P56" i="77"/>
  <c r="O56" i="77"/>
  <c r="I56" i="77"/>
  <c r="H56" i="77"/>
  <c r="D56" i="77"/>
  <c r="P55" i="77"/>
  <c r="O55" i="77"/>
  <c r="I55" i="77"/>
  <c r="H55" i="77"/>
  <c r="D55" i="77"/>
  <c r="O54" i="77"/>
  <c r="I54" i="77"/>
  <c r="H54" i="77"/>
  <c r="O53" i="77"/>
  <c r="I53" i="77"/>
  <c r="H53" i="77"/>
  <c r="O52" i="77"/>
  <c r="I52" i="77"/>
  <c r="H52" i="77"/>
  <c r="O51" i="77"/>
  <c r="I51" i="77"/>
  <c r="H51" i="77"/>
  <c r="O50" i="77"/>
  <c r="I50" i="77"/>
  <c r="H50" i="77"/>
  <c r="O49" i="77"/>
  <c r="I49" i="77"/>
  <c r="H49" i="77"/>
  <c r="O48" i="77"/>
  <c r="I48" i="77"/>
  <c r="H48" i="77"/>
  <c r="O47" i="77"/>
  <c r="I47" i="77"/>
  <c r="H47" i="77"/>
  <c r="O46" i="77"/>
  <c r="I46" i="77"/>
  <c r="H46" i="77"/>
  <c r="O45" i="77"/>
  <c r="I45" i="77"/>
  <c r="H45" i="77"/>
  <c r="O44" i="77"/>
  <c r="I44" i="77"/>
  <c r="H44" i="77"/>
  <c r="O43" i="77"/>
  <c r="I43" i="77"/>
  <c r="H43" i="77"/>
  <c r="O42" i="77"/>
  <c r="I42" i="77"/>
  <c r="H42" i="77"/>
  <c r="O41" i="77"/>
  <c r="I41" i="77"/>
  <c r="H41" i="77"/>
  <c r="O40" i="77"/>
  <c r="I40" i="77"/>
  <c r="H40" i="77"/>
  <c r="O39" i="77"/>
  <c r="I39" i="77"/>
  <c r="H39" i="77"/>
  <c r="O38" i="77"/>
  <c r="I38" i="77"/>
  <c r="H38" i="77"/>
  <c r="O37" i="77"/>
  <c r="I37" i="77"/>
  <c r="H37" i="77"/>
  <c r="O36" i="77"/>
  <c r="I36" i="77"/>
  <c r="H36" i="77"/>
  <c r="O35" i="77"/>
  <c r="I35" i="77"/>
  <c r="H35" i="77"/>
  <c r="O34" i="77"/>
  <c r="I34" i="77"/>
  <c r="H34" i="77"/>
  <c r="O33" i="77"/>
  <c r="I33" i="77"/>
  <c r="H33" i="77"/>
  <c r="O32" i="77"/>
  <c r="I32" i="77"/>
  <c r="H32" i="77"/>
  <c r="N1" i="77"/>
  <c r="P19" i="77" s="1"/>
  <c r="I110" i="76"/>
  <c r="C110" i="76"/>
  <c r="I109" i="76"/>
  <c r="C109" i="76"/>
  <c r="I108" i="76"/>
  <c r="C108" i="76"/>
  <c r="I107" i="76"/>
  <c r="C107" i="76"/>
  <c r="I106" i="76"/>
  <c r="C106" i="76"/>
  <c r="I104" i="76"/>
  <c r="I103" i="76"/>
  <c r="C103" i="76"/>
  <c r="I102" i="76"/>
  <c r="I101" i="76"/>
  <c r="C101" i="76"/>
  <c r="I100" i="76"/>
  <c r="I99" i="76"/>
  <c r="C99" i="76"/>
  <c r="I98" i="76"/>
  <c r="I97" i="76"/>
  <c r="C97" i="76"/>
  <c r="I96" i="76"/>
  <c r="I95" i="76"/>
  <c r="C95" i="76"/>
  <c r="I94" i="76"/>
  <c r="I93" i="76"/>
  <c r="C93" i="76"/>
  <c r="I92" i="76"/>
  <c r="I91" i="76"/>
  <c r="C91" i="76"/>
  <c r="I90" i="76"/>
  <c r="I89" i="76"/>
  <c r="C89" i="76"/>
  <c r="I88" i="76"/>
  <c r="I87" i="76"/>
  <c r="C87" i="76"/>
  <c r="I86" i="76"/>
  <c r="I85" i="76"/>
  <c r="C85" i="76"/>
  <c r="I84" i="76"/>
  <c r="I83" i="76"/>
  <c r="C83" i="76"/>
  <c r="I82" i="76"/>
  <c r="I81" i="76"/>
  <c r="C81" i="76"/>
  <c r="I80" i="76"/>
  <c r="I79" i="76"/>
  <c r="C79" i="76"/>
  <c r="I78" i="76"/>
  <c r="I77" i="76"/>
  <c r="C77" i="76"/>
  <c r="I76" i="76"/>
  <c r="I75" i="76"/>
  <c r="C75" i="76"/>
  <c r="I74" i="76"/>
  <c r="I73" i="76"/>
  <c r="C73" i="76"/>
  <c r="I72" i="76"/>
  <c r="I71" i="76"/>
  <c r="C71" i="76"/>
  <c r="I70" i="76"/>
  <c r="I69" i="76"/>
  <c r="C69" i="76"/>
  <c r="I68" i="76"/>
  <c r="I67" i="76"/>
  <c r="C67" i="76"/>
  <c r="I66" i="76"/>
  <c r="I65" i="76"/>
  <c r="C65" i="76"/>
  <c r="O62" i="76"/>
  <c r="I62" i="76"/>
  <c r="H62" i="76"/>
  <c r="O61" i="76"/>
  <c r="I61" i="76"/>
  <c r="H61" i="76"/>
  <c r="O60" i="76"/>
  <c r="I60" i="76"/>
  <c r="H60" i="76"/>
  <c r="O59" i="76"/>
  <c r="I59" i="76"/>
  <c r="H59" i="76"/>
  <c r="P57" i="76"/>
  <c r="O57" i="76"/>
  <c r="I57" i="76"/>
  <c r="H57" i="76"/>
  <c r="D57" i="76"/>
  <c r="P56" i="76"/>
  <c r="O56" i="76"/>
  <c r="I56" i="76"/>
  <c r="H56" i="76"/>
  <c r="D56" i="76"/>
  <c r="P55" i="76"/>
  <c r="O55" i="76"/>
  <c r="I55" i="76"/>
  <c r="H55" i="76"/>
  <c r="D55" i="76"/>
  <c r="O54" i="76"/>
  <c r="I54" i="76"/>
  <c r="H54" i="76"/>
  <c r="O53" i="76"/>
  <c r="I53" i="76"/>
  <c r="H53" i="76"/>
  <c r="O52" i="76"/>
  <c r="I52" i="76"/>
  <c r="H52" i="76"/>
  <c r="O51" i="76"/>
  <c r="I51" i="76"/>
  <c r="H51" i="76"/>
  <c r="O50" i="76"/>
  <c r="I50" i="76"/>
  <c r="H50" i="76"/>
  <c r="O49" i="76"/>
  <c r="I49" i="76"/>
  <c r="H49" i="76"/>
  <c r="O48" i="76"/>
  <c r="I48" i="76"/>
  <c r="H48" i="76"/>
  <c r="O47" i="76"/>
  <c r="I47" i="76"/>
  <c r="H47" i="76"/>
  <c r="O46" i="76"/>
  <c r="I46" i="76"/>
  <c r="H46" i="76"/>
  <c r="O45" i="76"/>
  <c r="I45" i="76"/>
  <c r="H45" i="76"/>
  <c r="O44" i="76"/>
  <c r="I44" i="76"/>
  <c r="H44" i="76"/>
  <c r="O43" i="76"/>
  <c r="I43" i="76"/>
  <c r="H43" i="76"/>
  <c r="O42" i="76"/>
  <c r="I42" i="76"/>
  <c r="H42" i="76"/>
  <c r="O41" i="76"/>
  <c r="I41" i="76"/>
  <c r="H41" i="76"/>
  <c r="O40" i="76"/>
  <c r="I40" i="76"/>
  <c r="H40" i="76"/>
  <c r="O39" i="76"/>
  <c r="I39" i="76"/>
  <c r="H39" i="76"/>
  <c r="O38" i="76"/>
  <c r="I38" i="76"/>
  <c r="H38" i="76"/>
  <c r="O37" i="76"/>
  <c r="I37" i="76"/>
  <c r="H37" i="76"/>
  <c r="O36" i="76"/>
  <c r="I36" i="76"/>
  <c r="H36" i="76"/>
  <c r="O35" i="76"/>
  <c r="I35" i="76"/>
  <c r="H35" i="76"/>
  <c r="O34" i="76"/>
  <c r="I34" i="76"/>
  <c r="H34" i="76"/>
  <c r="O33" i="76"/>
  <c r="I33" i="76"/>
  <c r="H33" i="76"/>
  <c r="O32" i="76"/>
  <c r="I32" i="76"/>
  <c r="H32" i="76"/>
  <c r="N1" i="76"/>
  <c r="P19" i="76" s="1"/>
  <c r="I110" i="75"/>
  <c r="C110" i="75"/>
  <c r="I109" i="75"/>
  <c r="C109" i="75"/>
  <c r="I108" i="75"/>
  <c r="C108" i="75"/>
  <c r="I107" i="75"/>
  <c r="C107" i="75"/>
  <c r="I106" i="75"/>
  <c r="C106" i="75"/>
  <c r="I104" i="75"/>
  <c r="I103" i="75"/>
  <c r="C103" i="75"/>
  <c r="I102" i="75"/>
  <c r="I101" i="75"/>
  <c r="C101" i="75"/>
  <c r="I100" i="75"/>
  <c r="I99" i="75"/>
  <c r="C99" i="75"/>
  <c r="I98" i="75"/>
  <c r="I97" i="75"/>
  <c r="C97" i="75"/>
  <c r="I96" i="75"/>
  <c r="I95" i="75"/>
  <c r="C95" i="75"/>
  <c r="I94" i="75"/>
  <c r="I93" i="75"/>
  <c r="C93" i="75"/>
  <c r="I92" i="75"/>
  <c r="I91" i="75"/>
  <c r="C91" i="75"/>
  <c r="I90" i="75"/>
  <c r="I89" i="75"/>
  <c r="C89" i="75"/>
  <c r="I88" i="75"/>
  <c r="I87" i="75"/>
  <c r="C87" i="75"/>
  <c r="I86" i="75"/>
  <c r="I85" i="75"/>
  <c r="C85" i="75"/>
  <c r="I84" i="75"/>
  <c r="I83" i="75"/>
  <c r="C83" i="75"/>
  <c r="I82" i="75"/>
  <c r="I81" i="75"/>
  <c r="C81" i="75"/>
  <c r="I80" i="75"/>
  <c r="I79" i="75"/>
  <c r="C79" i="75"/>
  <c r="I78" i="75"/>
  <c r="I77" i="75"/>
  <c r="C77" i="75"/>
  <c r="I76" i="75"/>
  <c r="I75" i="75"/>
  <c r="C75" i="75"/>
  <c r="I74" i="75"/>
  <c r="I73" i="75"/>
  <c r="C73" i="75"/>
  <c r="I72" i="75"/>
  <c r="I71" i="75"/>
  <c r="C71" i="75"/>
  <c r="I70" i="75"/>
  <c r="I69" i="75"/>
  <c r="C69" i="75"/>
  <c r="I68" i="75"/>
  <c r="I67" i="75"/>
  <c r="C67" i="75"/>
  <c r="I66" i="75"/>
  <c r="I65" i="75"/>
  <c r="C65" i="75"/>
  <c r="O62" i="75"/>
  <c r="I62" i="75"/>
  <c r="H62" i="75"/>
  <c r="O61" i="75"/>
  <c r="I61" i="75"/>
  <c r="H61" i="75"/>
  <c r="O60" i="75"/>
  <c r="I60" i="75"/>
  <c r="H60" i="75"/>
  <c r="O59" i="75"/>
  <c r="I59" i="75"/>
  <c r="H59" i="75"/>
  <c r="P57" i="75"/>
  <c r="O57" i="75"/>
  <c r="I57" i="75"/>
  <c r="H57" i="75"/>
  <c r="D57" i="75"/>
  <c r="P56" i="75"/>
  <c r="O56" i="75"/>
  <c r="I56" i="75"/>
  <c r="H56" i="75"/>
  <c r="D56" i="75"/>
  <c r="P55" i="75"/>
  <c r="O55" i="75"/>
  <c r="I55" i="75"/>
  <c r="H55" i="75"/>
  <c r="D55" i="75"/>
  <c r="O54" i="75"/>
  <c r="I54" i="75"/>
  <c r="H54" i="75"/>
  <c r="O53" i="75"/>
  <c r="I53" i="75"/>
  <c r="H53" i="75"/>
  <c r="O52" i="75"/>
  <c r="I52" i="75"/>
  <c r="H52" i="75"/>
  <c r="O51" i="75"/>
  <c r="I51" i="75"/>
  <c r="H51" i="75"/>
  <c r="O50" i="75"/>
  <c r="I50" i="75"/>
  <c r="H50" i="75"/>
  <c r="O49" i="75"/>
  <c r="I49" i="75"/>
  <c r="H49" i="75"/>
  <c r="O48" i="75"/>
  <c r="I48" i="75"/>
  <c r="H48" i="75"/>
  <c r="O47" i="75"/>
  <c r="I47" i="75"/>
  <c r="H47" i="75"/>
  <c r="O46" i="75"/>
  <c r="I46" i="75"/>
  <c r="H46" i="75"/>
  <c r="O45" i="75"/>
  <c r="I45" i="75"/>
  <c r="H45" i="75"/>
  <c r="O44" i="75"/>
  <c r="I44" i="75"/>
  <c r="H44" i="75"/>
  <c r="O43" i="75"/>
  <c r="I43" i="75"/>
  <c r="H43" i="75"/>
  <c r="O42" i="75"/>
  <c r="I42" i="75"/>
  <c r="H42" i="75"/>
  <c r="O41" i="75"/>
  <c r="I41" i="75"/>
  <c r="H41" i="75"/>
  <c r="O40" i="75"/>
  <c r="I40" i="75"/>
  <c r="H40" i="75"/>
  <c r="O39" i="75"/>
  <c r="I39" i="75"/>
  <c r="H39" i="75"/>
  <c r="O38" i="75"/>
  <c r="I38" i="75"/>
  <c r="H38" i="75"/>
  <c r="O37" i="75"/>
  <c r="I37" i="75"/>
  <c r="H37" i="75"/>
  <c r="O36" i="75"/>
  <c r="I36" i="75"/>
  <c r="H36" i="75"/>
  <c r="O35" i="75"/>
  <c r="I35" i="75"/>
  <c r="H35" i="75"/>
  <c r="O34" i="75"/>
  <c r="I34" i="75"/>
  <c r="H34" i="75"/>
  <c r="O33" i="75"/>
  <c r="I33" i="75"/>
  <c r="H33" i="75"/>
  <c r="O32" i="75"/>
  <c r="I32" i="75"/>
  <c r="H32" i="75"/>
  <c r="N1" i="75"/>
  <c r="P19" i="75" s="1"/>
  <c r="I110" i="74"/>
  <c r="C110" i="74"/>
  <c r="I109" i="74"/>
  <c r="C109" i="74"/>
  <c r="I108" i="74"/>
  <c r="C108" i="74"/>
  <c r="I107" i="74"/>
  <c r="C107" i="74"/>
  <c r="I106" i="74"/>
  <c r="C106" i="74"/>
  <c r="I104" i="74"/>
  <c r="I103" i="74"/>
  <c r="C103" i="74"/>
  <c r="I102" i="74"/>
  <c r="I101" i="74"/>
  <c r="C101" i="74"/>
  <c r="I100" i="74"/>
  <c r="I99" i="74"/>
  <c r="C99" i="74"/>
  <c r="I98" i="74"/>
  <c r="I97" i="74"/>
  <c r="C97" i="74"/>
  <c r="I96" i="74"/>
  <c r="I95" i="74"/>
  <c r="C95" i="74"/>
  <c r="I94" i="74"/>
  <c r="I93" i="74"/>
  <c r="C93" i="74"/>
  <c r="I92" i="74"/>
  <c r="I91" i="74"/>
  <c r="C91" i="74"/>
  <c r="I90" i="74"/>
  <c r="I89" i="74"/>
  <c r="C89" i="74"/>
  <c r="I88" i="74"/>
  <c r="I87" i="74"/>
  <c r="C87" i="74"/>
  <c r="I86" i="74"/>
  <c r="I85" i="74"/>
  <c r="C85" i="74"/>
  <c r="I84" i="74"/>
  <c r="I83" i="74"/>
  <c r="C83" i="74"/>
  <c r="I82" i="74"/>
  <c r="I81" i="74"/>
  <c r="C81" i="74"/>
  <c r="I80" i="74"/>
  <c r="I79" i="74"/>
  <c r="C79" i="74"/>
  <c r="I78" i="74"/>
  <c r="I77" i="74"/>
  <c r="C77" i="74"/>
  <c r="I76" i="74"/>
  <c r="I75" i="74"/>
  <c r="C75" i="74"/>
  <c r="I74" i="74"/>
  <c r="I73" i="74"/>
  <c r="C73" i="74"/>
  <c r="I72" i="74"/>
  <c r="I71" i="74"/>
  <c r="C71" i="74"/>
  <c r="I70" i="74"/>
  <c r="I69" i="74"/>
  <c r="C69" i="74"/>
  <c r="I68" i="74"/>
  <c r="I67" i="74"/>
  <c r="C67" i="74"/>
  <c r="I66" i="74"/>
  <c r="I65" i="74"/>
  <c r="C65" i="74"/>
  <c r="O62" i="74"/>
  <c r="I62" i="74"/>
  <c r="H62" i="74"/>
  <c r="O61" i="74"/>
  <c r="I61" i="74"/>
  <c r="H61" i="74"/>
  <c r="O60" i="74"/>
  <c r="I60" i="74"/>
  <c r="H60" i="74"/>
  <c r="O59" i="74"/>
  <c r="I59" i="74"/>
  <c r="H59" i="74"/>
  <c r="P57" i="74"/>
  <c r="O57" i="74"/>
  <c r="I57" i="74"/>
  <c r="H57" i="74"/>
  <c r="D57" i="74"/>
  <c r="P56" i="74"/>
  <c r="O56" i="74"/>
  <c r="I56" i="74"/>
  <c r="H56" i="74"/>
  <c r="D56" i="74"/>
  <c r="P55" i="74"/>
  <c r="O55" i="74"/>
  <c r="I55" i="74"/>
  <c r="H55" i="74"/>
  <c r="D55" i="74"/>
  <c r="O54" i="74"/>
  <c r="I54" i="74"/>
  <c r="H54" i="74"/>
  <c r="O53" i="74"/>
  <c r="I53" i="74"/>
  <c r="H53" i="74"/>
  <c r="O52" i="74"/>
  <c r="I52" i="74"/>
  <c r="H52" i="74"/>
  <c r="O51" i="74"/>
  <c r="I51" i="74"/>
  <c r="H51" i="74"/>
  <c r="O50" i="74"/>
  <c r="I50" i="74"/>
  <c r="H50" i="74"/>
  <c r="O49" i="74"/>
  <c r="I49" i="74"/>
  <c r="H49" i="74"/>
  <c r="O48" i="74"/>
  <c r="I48" i="74"/>
  <c r="H48" i="74"/>
  <c r="O47" i="74"/>
  <c r="I47" i="74"/>
  <c r="H47" i="74"/>
  <c r="O46" i="74"/>
  <c r="I46" i="74"/>
  <c r="H46" i="74"/>
  <c r="O45" i="74"/>
  <c r="I45" i="74"/>
  <c r="H45" i="74"/>
  <c r="O44" i="74"/>
  <c r="I44" i="74"/>
  <c r="H44" i="74"/>
  <c r="O43" i="74"/>
  <c r="I43" i="74"/>
  <c r="H43" i="74"/>
  <c r="O42" i="74"/>
  <c r="I42" i="74"/>
  <c r="H42" i="74"/>
  <c r="O41" i="74"/>
  <c r="I41" i="74"/>
  <c r="H41" i="74"/>
  <c r="O40" i="74"/>
  <c r="I40" i="74"/>
  <c r="H40" i="74"/>
  <c r="O39" i="74"/>
  <c r="I39" i="74"/>
  <c r="H39" i="74"/>
  <c r="O38" i="74"/>
  <c r="I38" i="74"/>
  <c r="H38" i="74"/>
  <c r="O37" i="74"/>
  <c r="I37" i="74"/>
  <c r="H37" i="74"/>
  <c r="O36" i="74"/>
  <c r="I36" i="74"/>
  <c r="H36" i="74"/>
  <c r="O35" i="74"/>
  <c r="I35" i="74"/>
  <c r="H35" i="74"/>
  <c r="O34" i="74"/>
  <c r="I34" i="74"/>
  <c r="H34" i="74"/>
  <c r="O33" i="74"/>
  <c r="I33" i="74"/>
  <c r="H33" i="74"/>
  <c r="O32" i="74"/>
  <c r="I32" i="74"/>
  <c r="H32" i="74"/>
  <c r="N1" i="74"/>
  <c r="P19" i="74" s="1"/>
  <c r="I110" i="73"/>
  <c r="C110" i="73"/>
  <c r="I109" i="73"/>
  <c r="C109" i="73"/>
  <c r="I108" i="73"/>
  <c r="C108" i="73"/>
  <c r="I107" i="73"/>
  <c r="C107" i="73"/>
  <c r="I106" i="73"/>
  <c r="C106" i="73"/>
  <c r="I104" i="73"/>
  <c r="I103" i="73"/>
  <c r="C103" i="73"/>
  <c r="I102" i="73"/>
  <c r="I101" i="73"/>
  <c r="C101" i="73"/>
  <c r="I100" i="73"/>
  <c r="I99" i="73"/>
  <c r="C99" i="73"/>
  <c r="I98" i="73"/>
  <c r="I97" i="73"/>
  <c r="C97" i="73"/>
  <c r="I96" i="73"/>
  <c r="I95" i="73"/>
  <c r="C95" i="73"/>
  <c r="I94" i="73"/>
  <c r="I93" i="73"/>
  <c r="C93" i="73"/>
  <c r="I92" i="73"/>
  <c r="I91" i="73"/>
  <c r="C91" i="73"/>
  <c r="I90" i="73"/>
  <c r="I89" i="73"/>
  <c r="C89" i="73"/>
  <c r="I88" i="73"/>
  <c r="I87" i="73"/>
  <c r="C87" i="73"/>
  <c r="I86" i="73"/>
  <c r="I85" i="73"/>
  <c r="C85" i="73"/>
  <c r="I84" i="73"/>
  <c r="I83" i="73"/>
  <c r="C83" i="73"/>
  <c r="I82" i="73"/>
  <c r="I81" i="73"/>
  <c r="C81" i="73"/>
  <c r="I80" i="73"/>
  <c r="I79" i="73"/>
  <c r="C79" i="73"/>
  <c r="I78" i="73"/>
  <c r="I77" i="73"/>
  <c r="C77" i="73"/>
  <c r="I76" i="73"/>
  <c r="I75" i="73"/>
  <c r="C75" i="73"/>
  <c r="I74" i="73"/>
  <c r="I73" i="73"/>
  <c r="C73" i="73"/>
  <c r="I72" i="73"/>
  <c r="I71" i="73"/>
  <c r="C71" i="73"/>
  <c r="I70" i="73"/>
  <c r="I69" i="73"/>
  <c r="C69" i="73"/>
  <c r="I68" i="73"/>
  <c r="I67" i="73"/>
  <c r="C67" i="73"/>
  <c r="I66" i="73"/>
  <c r="I65" i="73"/>
  <c r="C65" i="73"/>
  <c r="O62" i="73"/>
  <c r="I62" i="73"/>
  <c r="H62" i="73"/>
  <c r="O61" i="73"/>
  <c r="I61" i="73"/>
  <c r="H61" i="73"/>
  <c r="O60" i="73"/>
  <c r="I60" i="73"/>
  <c r="H60" i="73"/>
  <c r="O59" i="73"/>
  <c r="I59" i="73"/>
  <c r="H59" i="73"/>
  <c r="P57" i="73"/>
  <c r="O57" i="73"/>
  <c r="I57" i="73"/>
  <c r="H57" i="73"/>
  <c r="D57" i="73"/>
  <c r="P56" i="73"/>
  <c r="O56" i="73"/>
  <c r="I56" i="73"/>
  <c r="H56" i="73"/>
  <c r="D56" i="73"/>
  <c r="P55" i="73"/>
  <c r="O55" i="73"/>
  <c r="I55" i="73"/>
  <c r="H55" i="73"/>
  <c r="D55" i="73"/>
  <c r="O54" i="73"/>
  <c r="I54" i="73"/>
  <c r="H54" i="73"/>
  <c r="O53" i="73"/>
  <c r="I53" i="73"/>
  <c r="H53" i="73"/>
  <c r="O52" i="73"/>
  <c r="I52" i="73"/>
  <c r="H52" i="73"/>
  <c r="O51" i="73"/>
  <c r="I51" i="73"/>
  <c r="H51" i="73"/>
  <c r="O50" i="73"/>
  <c r="I50" i="73"/>
  <c r="H50" i="73"/>
  <c r="O49" i="73"/>
  <c r="I49" i="73"/>
  <c r="H49" i="73"/>
  <c r="O48" i="73"/>
  <c r="I48" i="73"/>
  <c r="H48" i="73"/>
  <c r="O47" i="73"/>
  <c r="I47" i="73"/>
  <c r="H47" i="73"/>
  <c r="O46" i="73"/>
  <c r="I46" i="73"/>
  <c r="H46" i="73"/>
  <c r="O45" i="73"/>
  <c r="I45" i="73"/>
  <c r="H45" i="73"/>
  <c r="O44" i="73"/>
  <c r="I44" i="73"/>
  <c r="H44" i="73"/>
  <c r="O43" i="73"/>
  <c r="I43" i="73"/>
  <c r="H43" i="73"/>
  <c r="O42" i="73"/>
  <c r="I42" i="73"/>
  <c r="H42" i="73"/>
  <c r="O41" i="73"/>
  <c r="I41" i="73"/>
  <c r="H41" i="73"/>
  <c r="O40" i="73"/>
  <c r="I40" i="73"/>
  <c r="H40" i="73"/>
  <c r="O39" i="73"/>
  <c r="I39" i="73"/>
  <c r="H39" i="73"/>
  <c r="O38" i="73"/>
  <c r="I38" i="73"/>
  <c r="H38" i="73"/>
  <c r="O37" i="73"/>
  <c r="I37" i="73"/>
  <c r="H37" i="73"/>
  <c r="O36" i="73"/>
  <c r="I36" i="73"/>
  <c r="H36" i="73"/>
  <c r="O35" i="73"/>
  <c r="I35" i="73"/>
  <c r="H35" i="73"/>
  <c r="O34" i="73"/>
  <c r="I34" i="73"/>
  <c r="H34" i="73"/>
  <c r="O33" i="73"/>
  <c r="I33" i="73"/>
  <c r="H33" i="73"/>
  <c r="O32" i="73"/>
  <c r="I32" i="73"/>
  <c r="H32" i="73"/>
  <c r="N1" i="73"/>
  <c r="P19" i="73" s="1"/>
  <c r="I110" i="72"/>
  <c r="C110" i="72"/>
  <c r="I109" i="72"/>
  <c r="C109" i="72"/>
  <c r="I108" i="72"/>
  <c r="C108" i="72"/>
  <c r="I107" i="72"/>
  <c r="C107" i="72"/>
  <c r="I106" i="72"/>
  <c r="C106" i="72"/>
  <c r="I104" i="72"/>
  <c r="I103" i="72"/>
  <c r="C103" i="72"/>
  <c r="I102" i="72"/>
  <c r="I101" i="72"/>
  <c r="C101" i="72"/>
  <c r="I100" i="72"/>
  <c r="I99" i="72"/>
  <c r="C99" i="72"/>
  <c r="I98" i="72"/>
  <c r="I97" i="72"/>
  <c r="C97" i="72"/>
  <c r="I96" i="72"/>
  <c r="I95" i="72"/>
  <c r="C95" i="72"/>
  <c r="I94" i="72"/>
  <c r="I93" i="72"/>
  <c r="C93" i="72"/>
  <c r="I92" i="72"/>
  <c r="I91" i="72"/>
  <c r="C91" i="72"/>
  <c r="I90" i="72"/>
  <c r="I89" i="72"/>
  <c r="C89" i="72"/>
  <c r="I88" i="72"/>
  <c r="I87" i="72"/>
  <c r="C87" i="72"/>
  <c r="I86" i="72"/>
  <c r="I85" i="72"/>
  <c r="C85" i="72"/>
  <c r="I84" i="72"/>
  <c r="I83" i="72"/>
  <c r="C83" i="72"/>
  <c r="I82" i="72"/>
  <c r="I81" i="72"/>
  <c r="C81" i="72"/>
  <c r="I80" i="72"/>
  <c r="I79" i="72"/>
  <c r="C79" i="72"/>
  <c r="I78" i="72"/>
  <c r="I77" i="72"/>
  <c r="C77" i="72"/>
  <c r="I76" i="72"/>
  <c r="I75" i="72"/>
  <c r="C75" i="72"/>
  <c r="I74" i="72"/>
  <c r="I73" i="72"/>
  <c r="C73" i="72"/>
  <c r="I72" i="72"/>
  <c r="I71" i="72"/>
  <c r="C71" i="72"/>
  <c r="I70" i="72"/>
  <c r="I69" i="72"/>
  <c r="C69" i="72"/>
  <c r="I68" i="72"/>
  <c r="I67" i="72"/>
  <c r="C67" i="72"/>
  <c r="I66" i="72"/>
  <c r="I65" i="72"/>
  <c r="C65" i="72"/>
  <c r="O62" i="72"/>
  <c r="I62" i="72"/>
  <c r="H62" i="72"/>
  <c r="O61" i="72"/>
  <c r="I61" i="72"/>
  <c r="H61" i="72"/>
  <c r="O60" i="72"/>
  <c r="I60" i="72"/>
  <c r="H60" i="72"/>
  <c r="O59" i="72"/>
  <c r="I59" i="72"/>
  <c r="H59" i="72"/>
  <c r="P57" i="72"/>
  <c r="O57" i="72"/>
  <c r="I57" i="72"/>
  <c r="H57" i="72"/>
  <c r="D57" i="72"/>
  <c r="P56" i="72"/>
  <c r="O56" i="72"/>
  <c r="I56" i="72"/>
  <c r="H56" i="72"/>
  <c r="D56" i="72"/>
  <c r="P55" i="72"/>
  <c r="O55" i="72"/>
  <c r="I55" i="72"/>
  <c r="H55" i="72"/>
  <c r="D55" i="72"/>
  <c r="O54" i="72"/>
  <c r="I54" i="72"/>
  <c r="H54" i="72"/>
  <c r="O53" i="72"/>
  <c r="I53" i="72"/>
  <c r="H53" i="72"/>
  <c r="O52" i="72"/>
  <c r="I52" i="72"/>
  <c r="H52" i="72"/>
  <c r="O51" i="72"/>
  <c r="I51" i="72"/>
  <c r="H51" i="72"/>
  <c r="O50" i="72"/>
  <c r="I50" i="72"/>
  <c r="H50" i="72"/>
  <c r="O49" i="72"/>
  <c r="I49" i="72"/>
  <c r="H49" i="72"/>
  <c r="O48" i="72"/>
  <c r="I48" i="72"/>
  <c r="H48" i="72"/>
  <c r="O47" i="72"/>
  <c r="I47" i="72"/>
  <c r="H47" i="72"/>
  <c r="O46" i="72"/>
  <c r="I46" i="72"/>
  <c r="H46" i="72"/>
  <c r="O45" i="72"/>
  <c r="I45" i="72"/>
  <c r="H45" i="72"/>
  <c r="O44" i="72"/>
  <c r="I44" i="72"/>
  <c r="H44" i="72"/>
  <c r="O43" i="72"/>
  <c r="I43" i="72"/>
  <c r="H43" i="72"/>
  <c r="O42" i="72"/>
  <c r="I42" i="72"/>
  <c r="H42" i="72"/>
  <c r="O41" i="72"/>
  <c r="I41" i="72"/>
  <c r="H41" i="72"/>
  <c r="O40" i="72"/>
  <c r="I40" i="72"/>
  <c r="H40" i="72"/>
  <c r="O39" i="72"/>
  <c r="I39" i="72"/>
  <c r="H39" i="72"/>
  <c r="O38" i="72"/>
  <c r="I38" i="72"/>
  <c r="H38" i="72"/>
  <c r="O37" i="72"/>
  <c r="I37" i="72"/>
  <c r="H37" i="72"/>
  <c r="O36" i="72"/>
  <c r="I36" i="72"/>
  <c r="H36" i="72"/>
  <c r="O35" i="72"/>
  <c r="I35" i="72"/>
  <c r="H35" i="72"/>
  <c r="O34" i="72"/>
  <c r="I34" i="72"/>
  <c r="H34" i="72"/>
  <c r="O33" i="72"/>
  <c r="I33" i="72"/>
  <c r="H33" i="72"/>
  <c r="O32" i="72"/>
  <c r="I32" i="72"/>
  <c r="H32" i="72"/>
  <c r="N1" i="72"/>
  <c r="P19" i="72" s="1"/>
  <c r="I110" i="71"/>
  <c r="C110" i="71"/>
  <c r="I109" i="71"/>
  <c r="C109" i="71"/>
  <c r="I108" i="71"/>
  <c r="C108" i="71"/>
  <c r="I107" i="71"/>
  <c r="C107" i="71"/>
  <c r="I106" i="71"/>
  <c r="C106" i="71"/>
  <c r="I104" i="71"/>
  <c r="I103" i="71"/>
  <c r="C103" i="71"/>
  <c r="I102" i="71"/>
  <c r="I101" i="71"/>
  <c r="C101" i="71"/>
  <c r="I100" i="71"/>
  <c r="I99" i="71"/>
  <c r="C99" i="71"/>
  <c r="I98" i="71"/>
  <c r="I97" i="71"/>
  <c r="C97" i="71"/>
  <c r="I96" i="71"/>
  <c r="I95" i="71"/>
  <c r="C95" i="71"/>
  <c r="I94" i="71"/>
  <c r="I93" i="71"/>
  <c r="C93" i="71"/>
  <c r="I92" i="71"/>
  <c r="I91" i="71"/>
  <c r="C91" i="71"/>
  <c r="I90" i="71"/>
  <c r="I89" i="71"/>
  <c r="C89" i="71"/>
  <c r="I88" i="71"/>
  <c r="I87" i="71"/>
  <c r="C87" i="71"/>
  <c r="I86" i="71"/>
  <c r="I85" i="71"/>
  <c r="C85" i="71"/>
  <c r="I84" i="71"/>
  <c r="I83" i="71"/>
  <c r="C83" i="71"/>
  <c r="I82" i="71"/>
  <c r="I81" i="71"/>
  <c r="C81" i="71"/>
  <c r="I80" i="71"/>
  <c r="I79" i="71"/>
  <c r="C79" i="71"/>
  <c r="I78" i="71"/>
  <c r="I77" i="71"/>
  <c r="C77" i="71"/>
  <c r="I76" i="71"/>
  <c r="I75" i="71"/>
  <c r="C75" i="71"/>
  <c r="I74" i="71"/>
  <c r="I73" i="71"/>
  <c r="C73" i="71"/>
  <c r="I72" i="71"/>
  <c r="I71" i="71"/>
  <c r="C71" i="71"/>
  <c r="I70" i="71"/>
  <c r="I69" i="71"/>
  <c r="C69" i="71"/>
  <c r="I68" i="71"/>
  <c r="I67" i="71"/>
  <c r="C67" i="71"/>
  <c r="I66" i="71"/>
  <c r="I65" i="71"/>
  <c r="C65" i="71"/>
  <c r="O62" i="71"/>
  <c r="I62" i="71"/>
  <c r="H62" i="71"/>
  <c r="O61" i="71"/>
  <c r="I61" i="71"/>
  <c r="H61" i="71"/>
  <c r="O60" i="71"/>
  <c r="I60" i="71"/>
  <c r="H60" i="71"/>
  <c r="O59" i="71"/>
  <c r="I59" i="71"/>
  <c r="H59" i="71"/>
  <c r="P57" i="71"/>
  <c r="O57" i="71"/>
  <c r="I57" i="71"/>
  <c r="H57" i="71"/>
  <c r="D57" i="71"/>
  <c r="P56" i="71"/>
  <c r="O56" i="71"/>
  <c r="I56" i="71"/>
  <c r="H56" i="71"/>
  <c r="D56" i="71"/>
  <c r="P55" i="71"/>
  <c r="O55" i="71"/>
  <c r="I55" i="71"/>
  <c r="H55" i="71"/>
  <c r="D55" i="71"/>
  <c r="O54" i="71"/>
  <c r="I54" i="71"/>
  <c r="H54" i="71"/>
  <c r="O53" i="71"/>
  <c r="I53" i="71"/>
  <c r="H53" i="71"/>
  <c r="O52" i="71"/>
  <c r="I52" i="71"/>
  <c r="H52" i="71"/>
  <c r="O51" i="71"/>
  <c r="I51" i="71"/>
  <c r="H51" i="71"/>
  <c r="O50" i="71"/>
  <c r="I50" i="71"/>
  <c r="H50" i="71"/>
  <c r="O49" i="71"/>
  <c r="I49" i="71"/>
  <c r="H49" i="71"/>
  <c r="O48" i="71"/>
  <c r="I48" i="71"/>
  <c r="H48" i="71"/>
  <c r="O47" i="71"/>
  <c r="I47" i="71"/>
  <c r="H47" i="71"/>
  <c r="O46" i="71"/>
  <c r="I46" i="71"/>
  <c r="H46" i="71"/>
  <c r="O45" i="71"/>
  <c r="I45" i="71"/>
  <c r="H45" i="71"/>
  <c r="O44" i="71"/>
  <c r="I44" i="71"/>
  <c r="H44" i="71"/>
  <c r="O43" i="71"/>
  <c r="I43" i="71"/>
  <c r="H43" i="71"/>
  <c r="O42" i="71"/>
  <c r="I42" i="71"/>
  <c r="H42" i="71"/>
  <c r="O41" i="71"/>
  <c r="I41" i="71"/>
  <c r="H41" i="71"/>
  <c r="O40" i="71"/>
  <c r="I40" i="71"/>
  <c r="H40" i="71"/>
  <c r="O39" i="71"/>
  <c r="I39" i="71"/>
  <c r="H39" i="71"/>
  <c r="O38" i="71"/>
  <c r="I38" i="71"/>
  <c r="H38" i="71"/>
  <c r="O37" i="71"/>
  <c r="I37" i="71"/>
  <c r="H37" i="71"/>
  <c r="O36" i="71"/>
  <c r="I36" i="71"/>
  <c r="H36" i="71"/>
  <c r="O35" i="71"/>
  <c r="I35" i="71"/>
  <c r="H35" i="71"/>
  <c r="O34" i="71"/>
  <c r="I34" i="71"/>
  <c r="H34" i="71"/>
  <c r="O33" i="71"/>
  <c r="I33" i="71"/>
  <c r="H33" i="71"/>
  <c r="O32" i="71"/>
  <c r="I32" i="71"/>
  <c r="H32" i="71"/>
  <c r="N1" i="71"/>
  <c r="P19" i="71" s="1"/>
  <c r="C103" i="65"/>
  <c r="C101" i="65"/>
  <c r="C99" i="65"/>
  <c r="C97" i="65"/>
  <c r="C95" i="65"/>
  <c r="C93" i="65"/>
  <c r="C91" i="65"/>
  <c r="C89" i="65"/>
  <c r="C87" i="65"/>
  <c r="C85" i="65"/>
  <c r="C83" i="65"/>
  <c r="C81" i="65"/>
  <c r="C79" i="65"/>
  <c r="C77" i="65"/>
  <c r="C75" i="65"/>
  <c r="C73" i="65"/>
  <c r="C71" i="65"/>
  <c r="C69" i="65"/>
  <c r="C67" i="65"/>
  <c r="C65" i="65"/>
  <c r="H62" i="65"/>
  <c r="H61" i="65"/>
  <c r="H60" i="65"/>
  <c r="H59" i="65"/>
  <c r="H57" i="65"/>
  <c r="H56" i="65"/>
  <c r="H55" i="65"/>
  <c r="H54" i="65"/>
  <c r="H53" i="65"/>
  <c r="H52" i="65"/>
  <c r="H51" i="65"/>
  <c r="H50" i="65"/>
  <c r="H49" i="65"/>
  <c r="H48" i="65"/>
  <c r="H47" i="65"/>
  <c r="H46" i="65"/>
  <c r="H45" i="65"/>
  <c r="H44" i="65"/>
  <c r="H43" i="65"/>
  <c r="H42" i="65"/>
  <c r="H41" i="65"/>
  <c r="H40" i="65"/>
  <c r="H39" i="65"/>
  <c r="H38" i="65"/>
  <c r="H37" i="65"/>
  <c r="H36" i="65"/>
  <c r="H35" i="65"/>
  <c r="H34" i="65"/>
  <c r="H33" i="65"/>
  <c r="H32" i="65"/>
  <c r="O62" i="65"/>
  <c r="O61" i="65"/>
  <c r="O60" i="65"/>
  <c r="O59" i="65"/>
  <c r="P57" i="65"/>
  <c r="O57" i="65"/>
  <c r="P56" i="65"/>
  <c r="O56" i="65"/>
  <c r="P55" i="65"/>
  <c r="O55" i="65"/>
  <c r="O54" i="65"/>
  <c r="O53" i="65"/>
  <c r="O52" i="65"/>
  <c r="O51" i="65"/>
  <c r="O50" i="65"/>
  <c r="O49" i="65"/>
  <c r="O48" i="65"/>
  <c r="O47" i="65"/>
  <c r="O46" i="65"/>
  <c r="O45" i="65"/>
  <c r="O44" i="65"/>
  <c r="O43" i="65"/>
  <c r="O42" i="65"/>
  <c r="O41" i="65"/>
  <c r="O40" i="65"/>
  <c r="O39" i="65"/>
  <c r="O38" i="65"/>
  <c r="O37" i="65"/>
  <c r="O36" i="65"/>
  <c r="O35" i="65"/>
  <c r="O34" i="65"/>
  <c r="O33" i="65"/>
  <c r="O32" i="65"/>
  <c r="I110" i="65"/>
  <c r="I109" i="65"/>
  <c r="I108" i="65"/>
  <c r="I107" i="65"/>
  <c r="I106" i="65"/>
  <c r="I104" i="65"/>
  <c r="I103" i="65"/>
  <c r="I102" i="65"/>
  <c r="I101" i="65"/>
  <c r="I100" i="65"/>
  <c r="I99" i="65"/>
  <c r="I98" i="65"/>
  <c r="I97" i="65"/>
  <c r="I96" i="65"/>
  <c r="I95" i="65"/>
  <c r="I94" i="65"/>
  <c r="I93" i="65"/>
  <c r="I92" i="65"/>
  <c r="I91" i="65"/>
  <c r="I90" i="65"/>
  <c r="I89" i="65"/>
  <c r="I88" i="65"/>
  <c r="I87" i="65"/>
  <c r="I86" i="65"/>
  <c r="I85" i="65"/>
  <c r="I84" i="65"/>
  <c r="I83" i="65"/>
  <c r="I82" i="65"/>
  <c r="I81" i="65"/>
  <c r="I80" i="65"/>
  <c r="I79" i="65"/>
  <c r="I78" i="65"/>
  <c r="I77" i="65"/>
  <c r="I76" i="65"/>
  <c r="I75" i="65"/>
  <c r="I74" i="65"/>
  <c r="I73" i="65"/>
  <c r="I72" i="65"/>
  <c r="I71" i="65"/>
  <c r="I70" i="65"/>
  <c r="I69" i="65"/>
  <c r="I68" i="65"/>
  <c r="I67" i="65"/>
  <c r="I66" i="65"/>
  <c r="I65" i="65"/>
  <c r="I62" i="65"/>
  <c r="I61" i="65"/>
  <c r="I60" i="65"/>
  <c r="I59" i="65"/>
  <c r="C110" i="65"/>
  <c r="C109" i="65"/>
  <c r="C108" i="65"/>
  <c r="C107" i="65"/>
  <c r="C106" i="65"/>
  <c r="D57" i="65"/>
  <c r="D56" i="65"/>
  <c r="D55" i="65"/>
  <c r="I57" i="65"/>
  <c r="I56" i="65"/>
  <c r="I55" i="65"/>
  <c r="I54" i="65"/>
  <c r="I53" i="65"/>
  <c r="I52" i="65"/>
  <c r="I51" i="65"/>
  <c r="I50" i="65"/>
  <c r="I49" i="65"/>
  <c r="I48" i="65"/>
  <c r="I47" i="65"/>
  <c r="I46" i="65"/>
  <c r="I45" i="65"/>
  <c r="I44" i="65"/>
  <c r="I43" i="65"/>
  <c r="I42" i="65"/>
  <c r="I41" i="65"/>
  <c r="I40" i="65"/>
  <c r="I39" i="65"/>
  <c r="I38" i="65"/>
  <c r="I37" i="65"/>
  <c r="I36" i="65"/>
  <c r="I35" i="65"/>
  <c r="I34" i="65"/>
  <c r="I33" i="65"/>
  <c r="I32" i="65"/>
  <c r="N1" i="65"/>
  <c r="P19" i="65" s="1"/>
  <c r="P426" i="48" l="1"/>
  <c r="Q451" i="48"/>
  <c r="BE37" i="120"/>
  <c r="BG36" i="120"/>
  <c r="BF36" i="120"/>
  <c r="BI36" i="120"/>
  <c r="BJ36" i="120"/>
  <c r="BK36" i="120" s="1"/>
  <c r="BL36" i="120" s="1"/>
  <c r="BH35" i="120"/>
  <c r="U53" i="65"/>
  <c r="P76" i="93"/>
  <c r="Q101" i="93"/>
  <c r="DB7" i="54"/>
  <c r="DA7" i="54"/>
  <c r="CZ7" i="54"/>
  <c r="CY7" i="54"/>
  <c r="CX7" i="54"/>
  <c r="DB4" i="54"/>
  <c r="DA4" i="54"/>
  <c r="CZ4" i="54"/>
  <c r="CY4" i="54"/>
  <c r="CX4" i="54"/>
  <c r="CN10" i="54"/>
  <c r="CM10" i="54"/>
  <c r="CL10" i="54"/>
  <c r="CK10" i="54"/>
  <c r="CJ10" i="54"/>
  <c r="BE4" i="54"/>
  <c r="BD4" i="54"/>
  <c r="BC4" i="54"/>
  <c r="BB4" i="54"/>
  <c r="BA4" i="54"/>
  <c r="BE7" i="54"/>
  <c r="BD7" i="54"/>
  <c r="BC7" i="54"/>
  <c r="BB7" i="54"/>
  <c r="BA7" i="54"/>
  <c r="AZ10" i="54"/>
  <c r="AY10" i="54"/>
  <c r="AX10" i="54"/>
  <c r="AW10" i="54"/>
  <c r="AV10" i="54"/>
  <c r="AU10" i="54"/>
  <c r="AT10" i="54"/>
  <c r="AS10" i="54"/>
  <c r="AR10" i="54"/>
  <c r="AQ10" i="54"/>
  <c r="AP10" i="54"/>
  <c r="AO10" i="54"/>
  <c r="AN10" i="54"/>
  <c r="B2" i="54"/>
  <c r="F17" i="54" s="1"/>
  <c r="B24" i="54"/>
  <c r="T4" i="54" l="1"/>
  <c r="T7" i="54"/>
  <c r="EQ7" i="54"/>
  <c r="EP7" i="54"/>
  <c r="EO7" i="54"/>
  <c r="AY7" i="54"/>
  <c r="AZ7" i="54" s="1"/>
  <c r="EO4" i="54"/>
  <c r="EP4" i="54"/>
  <c r="EQ4" i="54"/>
  <c r="V17" i="54"/>
  <c r="Q476" i="48"/>
  <c r="P451" i="48"/>
  <c r="CW7" i="54"/>
  <c r="AI7" i="54"/>
  <c r="Y7" i="54"/>
  <c r="V7" i="54" s="1"/>
  <c r="N7" i="54"/>
  <c r="F7" i="54"/>
  <c r="EB4" i="54"/>
  <c r="CO4" i="54"/>
  <c r="BW4" i="54"/>
  <c r="AN4" i="54"/>
  <c r="AF4" i="54"/>
  <c r="P4" i="54"/>
  <c r="H4" i="54"/>
  <c r="CU7" i="54"/>
  <c r="AP7" i="54"/>
  <c r="AH7" i="54"/>
  <c r="X7" i="54"/>
  <c r="M7" i="54"/>
  <c r="E7" i="54"/>
  <c r="DZ4" i="54"/>
  <c r="CN4" i="54"/>
  <c r="BU4" i="54"/>
  <c r="AM4" i="54"/>
  <c r="AE4" i="54"/>
  <c r="O4" i="54"/>
  <c r="G4" i="54"/>
  <c r="Z7" i="54"/>
  <c r="W7" i="54" s="1"/>
  <c r="CU4" i="54"/>
  <c r="Q4" i="54"/>
  <c r="AW7" i="54"/>
  <c r="AO7" i="54"/>
  <c r="AG7" i="54"/>
  <c r="U7" i="54"/>
  <c r="L7" i="54"/>
  <c r="D7" i="54"/>
  <c r="DT4" i="54"/>
  <c r="CJ4" i="54"/>
  <c r="BO4" i="54"/>
  <c r="AL4" i="54"/>
  <c r="AD4" i="54"/>
  <c r="N4" i="54"/>
  <c r="F4" i="54"/>
  <c r="CO7" i="54"/>
  <c r="AV7" i="54"/>
  <c r="AN7" i="54"/>
  <c r="AF7" i="54"/>
  <c r="S7" i="54"/>
  <c r="K7" i="54"/>
  <c r="C7" i="54"/>
  <c r="DR4" i="54"/>
  <c r="CH4" i="54"/>
  <c r="BM4" i="54"/>
  <c r="AK4" i="54"/>
  <c r="AC4" i="54"/>
  <c r="M4" i="54"/>
  <c r="E4" i="54"/>
  <c r="R7" i="54"/>
  <c r="B7" i="54"/>
  <c r="CG4" i="54"/>
  <c r="BG4" i="54"/>
  <c r="AJ4" i="54"/>
  <c r="L4" i="54"/>
  <c r="D4" i="54"/>
  <c r="CJ7" i="54"/>
  <c r="AT7" i="54"/>
  <c r="AL7" i="54"/>
  <c r="AC7" i="54"/>
  <c r="Q7" i="54"/>
  <c r="I7" i="54"/>
  <c r="EE4" i="54"/>
  <c r="CF4" i="54"/>
  <c r="AI4" i="54"/>
  <c r="K4" i="54"/>
  <c r="CI7" i="54"/>
  <c r="AK7" i="54"/>
  <c r="P7" i="54"/>
  <c r="ED4" i="54"/>
  <c r="CE4" i="54"/>
  <c r="AH4" i="54"/>
  <c r="J4" i="54"/>
  <c r="B4" i="54"/>
  <c r="O7" i="54"/>
  <c r="EC4" i="54"/>
  <c r="CC4" i="54"/>
  <c r="AG4" i="54"/>
  <c r="CN7" i="54"/>
  <c r="AU7" i="54"/>
  <c r="AM7" i="54"/>
  <c r="AD7" i="54"/>
  <c r="J7" i="54"/>
  <c r="DL4" i="54"/>
  <c r="U4" i="54"/>
  <c r="DJ4" i="54"/>
  <c r="S4" i="54"/>
  <c r="C4" i="54"/>
  <c r="AS7" i="54"/>
  <c r="AA7" i="54"/>
  <c r="AB7" i="54" s="1"/>
  <c r="H7" i="54"/>
  <c r="DD4" i="54"/>
  <c r="AS4" i="54"/>
  <c r="R4" i="54"/>
  <c r="AR7" i="54"/>
  <c r="AJ7" i="54"/>
  <c r="G7" i="54"/>
  <c r="AR4" i="54"/>
  <c r="I4" i="54"/>
  <c r="AY4" i="54"/>
  <c r="BH36" i="120"/>
  <c r="BF37" i="120"/>
  <c r="BE38" i="120"/>
  <c r="BJ37" i="120"/>
  <c r="BK37" i="120" s="1"/>
  <c r="BL37" i="120" s="1"/>
  <c r="BI37" i="120"/>
  <c r="BG37" i="120"/>
  <c r="BH37" i="120" s="1"/>
  <c r="W17" i="54"/>
  <c r="P101" i="93"/>
  <c r="Q126" i="93"/>
  <c r="I17" i="54"/>
  <c r="AB17" i="54"/>
  <c r="AM17" i="54"/>
  <c r="AJ17" i="54"/>
  <c r="AK17" i="54"/>
  <c r="AI17" i="54"/>
  <c r="AG17" i="54"/>
  <c r="AD17" i="54"/>
  <c r="AE17" i="54"/>
  <c r="AC17" i="54"/>
  <c r="Y17" i="54"/>
  <c r="Z17" i="54"/>
  <c r="AA17" i="54"/>
  <c r="X17" i="54"/>
  <c r="DT17" i="54"/>
  <c r="DU17" i="54"/>
  <c r="DV17" i="54"/>
  <c r="DW17" i="54"/>
  <c r="DX17" i="54"/>
  <c r="DS17" i="54"/>
  <c r="J17" i="54"/>
  <c r="K17" i="54"/>
  <c r="N17" i="54"/>
  <c r="O17" i="54"/>
  <c r="L17" i="54"/>
  <c r="P17" i="54"/>
  <c r="M17" i="54"/>
  <c r="G96" i="61"/>
  <c r="F96" i="61"/>
  <c r="G94" i="61"/>
  <c r="F94" i="61"/>
  <c r="G92" i="61"/>
  <c r="F92" i="61"/>
  <c r="G90" i="61"/>
  <c r="F90" i="61"/>
  <c r="G88" i="61"/>
  <c r="F88" i="61"/>
  <c r="G86" i="61"/>
  <c r="F86" i="61"/>
  <c r="G84" i="61"/>
  <c r="F84" i="61"/>
  <c r="G82" i="61"/>
  <c r="F82" i="61"/>
  <c r="G80" i="61"/>
  <c r="F80" i="61"/>
  <c r="G78" i="61"/>
  <c r="F78" i="61"/>
  <c r="G76" i="61"/>
  <c r="F76" i="61"/>
  <c r="G72" i="61"/>
  <c r="F72" i="61"/>
  <c r="G70" i="61"/>
  <c r="F70" i="61"/>
  <c r="G68" i="61"/>
  <c r="F68" i="61"/>
  <c r="G66" i="61"/>
  <c r="F66" i="61"/>
  <c r="EE10" i="54"/>
  <c r="ED10" i="54"/>
  <c r="EC10" i="54"/>
  <c r="EB10" i="54"/>
  <c r="CW10" i="54"/>
  <c r="CV10" i="54"/>
  <c r="CU10" i="54"/>
  <c r="CT10" i="54"/>
  <c r="CS10" i="54"/>
  <c r="CR10" i="54"/>
  <c r="CQ10" i="54"/>
  <c r="CP10" i="54"/>
  <c r="CO10" i="54"/>
  <c r="CI10" i="54"/>
  <c r="CH10" i="54"/>
  <c r="CG10" i="54"/>
  <c r="CF10" i="54"/>
  <c r="CE10" i="54"/>
  <c r="Y4" i="54" l="1"/>
  <c r="V4" i="54" s="1"/>
  <c r="X4" i="54"/>
  <c r="Z4" i="54"/>
  <c r="W4" i="54" s="1"/>
  <c r="BV4" i="54"/>
  <c r="BN4" i="54"/>
  <c r="AA4" i="54"/>
  <c r="AB4" i="54" s="1"/>
  <c r="AB14" i="54" s="1"/>
  <c r="D43" i="63" s="1"/>
  <c r="DK4" i="54"/>
  <c r="DS4" i="54"/>
  <c r="BT4" i="54"/>
  <c r="BJ4" i="54"/>
  <c r="AT4" i="54"/>
  <c r="CD4" i="54"/>
  <c r="BS4" i="54"/>
  <c r="BI4" i="54"/>
  <c r="AQ4" i="54"/>
  <c r="BR4" i="54"/>
  <c r="BH4" i="54"/>
  <c r="AP4" i="54"/>
  <c r="CB4" i="54"/>
  <c r="BK4" i="54"/>
  <c r="CA4" i="54"/>
  <c r="BQ4" i="54"/>
  <c r="AZ4" i="54"/>
  <c r="AO4" i="54"/>
  <c r="BZ4" i="54"/>
  <c r="BP4" i="54"/>
  <c r="AX4" i="54"/>
  <c r="BY4" i="54"/>
  <c r="AW4" i="54"/>
  <c r="BX4" i="54"/>
  <c r="AV4" i="54"/>
  <c r="AU4" i="54"/>
  <c r="BL4" i="54"/>
  <c r="DX4" i="54"/>
  <c r="DN4" i="54"/>
  <c r="CV4" i="54"/>
  <c r="CK4" i="54"/>
  <c r="DW4" i="54"/>
  <c r="DM4" i="54"/>
  <c r="CT4" i="54"/>
  <c r="CS4" i="54"/>
  <c r="DE4" i="54"/>
  <c r="DV4" i="54"/>
  <c r="DY4" i="54"/>
  <c r="CL4" i="54"/>
  <c r="DU4" i="54"/>
  <c r="DI4" i="54"/>
  <c r="CR4" i="54"/>
  <c r="DG4" i="54"/>
  <c r="DF4" i="54"/>
  <c r="DH4" i="54"/>
  <c r="CQ4" i="54"/>
  <c r="DQ4" i="54"/>
  <c r="DP4" i="54"/>
  <c r="CP4" i="54"/>
  <c r="EA4" i="54"/>
  <c r="CM4" i="54"/>
  <c r="DO4" i="54"/>
  <c r="AX7" i="54"/>
  <c r="AQ7" i="54"/>
  <c r="T14" i="54"/>
  <c r="EJ14" i="54" s="1"/>
  <c r="EQ14" i="54"/>
  <c r="J24" i="34" s="1"/>
  <c r="EP14" i="54"/>
  <c r="G24" i="34" s="1"/>
  <c r="EO14" i="54"/>
  <c r="D24" i="34" s="1"/>
  <c r="P476" i="48"/>
  <c r="Q501" i="48"/>
  <c r="CV7" i="54"/>
  <c r="CQ7" i="54"/>
  <c r="CL7" i="54"/>
  <c r="CM7" i="54"/>
  <c r="CS7" i="54"/>
  <c r="CT7" i="54"/>
  <c r="CP7" i="54"/>
  <c r="CR7" i="54"/>
  <c r="CK7" i="54"/>
  <c r="J122" i="60"/>
  <c r="BF38" i="120"/>
  <c r="BE39" i="120"/>
  <c r="BJ38" i="120"/>
  <c r="BK38" i="120" s="1"/>
  <c r="BL38" i="120" s="1"/>
  <c r="BI38" i="120"/>
  <c r="BG38" i="120"/>
  <c r="BH38" i="120" s="1"/>
  <c r="P126" i="93"/>
  <c r="Q151" i="93"/>
  <c r="H118" i="60"/>
  <c r="R41" i="64"/>
  <c r="U43" i="64" s="1"/>
  <c r="T39" i="64" s="1"/>
  <c r="O41" i="64"/>
  <c r="M30" i="64"/>
  <c r="M29" i="64"/>
  <c r="J29" i="64"/>
  <c r="H29" i="64"/>
  <c r="F29" i="64"/>
  <c r="C29" i="64"/>
  <c r="M28" i="64"/>
  <c r="M27" i="64"/>
  <c r="J27" i="64"/>
  <c r="H27" i="64"/>
  <c r="F27" i="64"/>
  <c r="C27" i="64"/>
  <c r="M26" i="64"/>
  <c r="M25" i="64"/>
  <c r="J25" i="64"/>
  <c r="H25" i="64"/>
  <c r="F25" i="64"/>
  <c r="C25" i="64"/>
  <c r="M24" i="64"/>
  <c r="M23" i="64"/>
  <c r="J23" i="64"/>
  <c r="H23" i="64"/>
  <c r="F23" i="64"/>
  <c r="C23" i="64"/>
  <c r="M22" i="64"/>
  <c r="M21" i="64"/>
  <c r="J21" i="64"/>
  <c r="H21" i="64"/>
  <c r="F21" i="64"/>
  <c r="C21" i="64"/>
  <c r="J20" i="64"/>
  <c r="H20" i="64"/>
  <c r="J19" i="64"/>
  <c r="H19" i="64"/>
  <c r="L18" i="64"/>
  <c r="V18" i="64" s="1"/>
  <c r="X18" i="64" s="1"/>
  <c r="J18" i="64"/>
  <c r="H18" i="64"/>
  <c r="L17" i="64"/>
  <c r="V17" i="64" s="1"/>
  <c r="X17" i="64" s="1"/>
  <c r="J17" i="64"/>
  <c r="H17" i="64"/>
  <c r="L16" i="64"/>
  <c r="V16" i="64" s="1"/>
  <c r="X16" i="64" s="1"/>
  <c r="J16" i="64"/>
  <c r="H16" i="64"/>
  <c r="R8" i="64"/>
  <c r="O8" i="64"/>
  <c r="K8" i="64"/>
  <c r="H8" i="64"/>
  <c r="G39" i="64"/>
  <c r="G4" i="64"/>
  <c r="FE5" i="122" l="1"/>
  <c r="D29" i="46"/>
  <c r="CP6" i="124" s="1"/>
  <c r="FG5" i="122"/>
  <c r="H29" i="46"/>
  <c r="CR6" i="124" s="1"/>
  <c r="FI5" i="122"/>
  <c r="L29" i="46"/>
  <c r="CT6" i="124" s="1"/>
  <c r="J118" i="60"/>
  <c r="BE10" i="54" s="1"/>
  <c r="BE14" i="54" s="1"/>
  <c r="M13" i="127" s="1"/>
  <c r="P501" i="48"/>
  <c r="Q526" i="48"/>
  <c r="BF39" i="120"/>
  <c r="BJ39" i="120"/>
  <c r="BK39" i="120" s="1"/>
  <c r="BL39" i="120" s="1"/>
  <c r="BI39" i="120"/>
  <c r="BE40" i="120"/>
  <c r="BG39" i="120"/>
  <c r="BH39" i="120" s="1"/>
  <c r="O18" i="64"/>
  <c r="O19" i="64"/>
  <c r="V8" i="64"/>
  <c r="O27" i="64"/>
  <c r="O17" i="64"/>
  <c r="P151" i="93"/>
  <c r="Q176" i="93"/>
  <c r="M43" i="63"/>
  <c r="T43" i="63" s="1"/>
  <c r="H31" i="64"/>
  <c r="O29" i="64"/>
  <c r="O21" i="64"/>
  <c r="O23" i="64"/>
  <c r="Q30" i="64"/>
  <c r="S30" i="64"/>
  <c r="S26" i="64"/>
  <c r="Q26" i="64"/>
  <c r="S24" i="64"/>
  <c r="Q24" i="64"/>
  <c r="O25" i="64"/>
  <c r="Q28" i="64"/>
  <c r="S28" i="64"/>
  <c r="S22" i="64"/>
  <c r="Q22" i="64"/>
  <c r="O16" i="64"/>
  <c r="V19" i="64"/>
  <c r="X19" i="64" s="1"/>
  <c r="J31" i="64"/>
  <c r="B41" i="64" s="1"/>
  <c r="H32" i="64"/>
  <c r="M15" i="127" l="1"/>
  <c r="AB15" i="54"/>
  <c r="P526" i="48"/>
  <c r="Q551" i="48"/>
  <c r="BE41" i="120"/>
  <c r="BJ40" i="120"/>
  <c r="BK40" i="120" s="1"/>
  <c r="BI40" i="120"/>
  <c r="BG40" i="120"/>
  <c r="BH40" i="120" s="1"/>
  <c r="P176" i="93"/>
  <c r="Q201" i="93"/>
  <c r="Q27" i="64"/>
  <c r="V27" i="64" s="1"/>
  <c r="V28" i="64"/>
  <c r="Q23" i="64"/>
  <c r="V23" i="64" s="1"/>
  <c r="V24" i="64"/>
  <c r="S23" i="64"/>
  <c r="X23" i="64" s="1"/>
  <c r="X24" i="64"/>
  <c r="Q25" i="64"/>
  <c r="V25" i="64" s="1"/>
  <c r="V26" i="64"/>
  <c r="S25" i="64"/>
  <c r="X25" i="64" s="1"/>
  <c r="X26" i="64"/>
  <c r="S29" i="64"/>
  <c r="X29" i="64" s="1"/>
  <c r="X30" i="64"/>
  <c r="S27" i="64"/>
  <c r="X27" i="64" s="1"/>
  <c r="X28" i="64"/>
  <c r="Q29" i="64"/>
  <c r="V29" i="64" s="1"/>
  <c r="V30" i="64"/>
  <c r="V22" i="64"/>
  <c r="Q21" i="64"/>
  <c r="V21" i="64" s="1"/>
  <c r="X22" i="64"/>
  <c r="S21" i="64"/>
  <c r="X21" i="64" s="1"/>
  <c r="X43" i="63" l="1"/>
  <c r="AA10" i="54" s="1"/>
  <c r="AA14" i="54" s="1"/>
  <c r="G25" i="45" s="1"/>
  <c r="P551" i="48"/>
  <c r="Q576" i="48"/>
  <c r="BG41" i="120"/>
  <c r="BH41" i="120" s="1"/>
  <c r="BE42" i="120"/>
  <c r="BJ41" i="120"/>
  <c r="BK41" i="120" s="1"/>
  <c r="BI41" i="120"/>
  <c r="P201" i="93"/>
  <c r="Q226" i="93"/>
  <c r="V31" i="64"/>
  <c r="X31" i="64"/>
  <c r="V32" i="64" l="1"/>
  <c r="T41" i="64"/>
  <c r="G41" i="64"/>
  <c r="F98" i="63"/>
  <c r="X32" i="64"/>
  <c r="W41" i="64"/>
  <c r="J98" i="63"/>
  <c r="J41" i="64"/>
  <c r="P576" i="48"/>
  <c r="Q601" i="48"/>
  <c r="BI42" i="120"/>
  <c r="BG42" i="120"/>
  <c r="BH42" i="120" s="1"/>
  <c r="BJ42" i="120"/>
  <c r="BK42" i="120" s="1"/>
  <c r="J111" i="63"/>
  <c r="J110" i="63"/>
  <c r="J114" i="63"/>
  <c r="J109" i="63"/>
  <c r="J108" i="63"/>
  <c r="J106" i="63"/>
  <c r="J113" i="63"/>
  <c r="J112" i="63"/>
  <c r="J105" i="63"/>
  <c r="P226" i="93"/>
  <c r="Q251" i="93"/>
  <c r="N32" i="119"/>
  <c r="M32" i="119"/>
  <c r="N34" i="119"/>
  <c r="M34" i="119"/>
  <c r="N31" i="119"/>
  <c r="M31" i="119"/>
  <c r="N30" i="119"/>
  <c r="M30" i="119"/>
  <c r="M29" i="119"/>
  <c r="N29" i="119"/>
  <c r="N43" i="119"/>
  <c r="M43" i="119"/>
  <c r="N44" i="119"/>
  <c r="M44" i="119"/>
  <c r="N33" i="119"/>
  <c r="M33" i="119"/>
  <c r="N25" i="119"/>
  <c r="M25" i="119"/>
  <c r="N41" i="119"/>
  <c r="M41" i="119"/>
  <c r="N39" i="119"/>
  <c r="M39" i="119"/>
  <c r="M26" i="119"/>
  <c r="N26" i="119"/>
  <c r="N28" i="119"/>
  <c r="M28" i="119"/>
  <c r="M35" i="119"/>
  <c r="N35" i="119"/>
  <c r="N42" i="119"/>
  <c r="M42" i="119"/>
  <c r="N27" i="119"/>
  <c r="M27" i="119"/>
  <c r="M40" i="119"/>
  <c r="N40" i="119"/>
  <c r="AE10" i="120" l="1"/>
  <c r="AG10" i="120" s="1"/>
  <c r="AF10" i="120"/>
  <c r="AH10" i="120" s="1"/>
  <c r="P601" i="48"/>
  <c r="Q626" i="48"/>
  <c r="AF90" i="120"/>
  <c r="AF21" i="120"/>
  <c r="AE93" i="120"/>
  <c r="AF84" i="120"/>
  <c r="AE94" i="120"/>
  <c r="AG94" i="120" s="1"/>
  <c r="AE81" i="120"/>
  <c r="AF55" i="120"/>
  <c r="AE92" i="120"/>
  <c r="AE19" i="120"/>
  <c r="AG19" i="120" s="1"/>
  <c r="AE27" i="120"/>
  <c r="AE86" i="120"/>
  <c r="AF11" i="120"/>
  <c r="AF47" i="120"/>
  <c r="AF34" i="120"/>
  <c r="AF60" i="120"/>
  <c r="AE61" i="120"/>
  <c r="AG61" i="120" s="1"/>
  <c r="AE36" i="120"/>
  <c r="AF86" i="120"/>
  <c r="AE52" i="120"/>
  <c r="AG52" i="120" s="1"/>
  <c r="AE97" i="120"/>
  <c r="AG97" i="120" s="1"/>
  <c r="AE41" i="120"/>
  <c r="AF25" i="120"/>
  <c r="AE75" i="120"/>
  <c r="AF93" i="120"/>
  <c r="AF26" i="120"/>
  <c r="AE95" i="120"/>
  <c r="AE11" i="120"/>
  <c r="AE45" i="120"/>
  <c r="AF51" i="120"/>
  <c r="AF75" i="120"/>
  <c r="AF89" i="120"/>
  <c r="AF79" i="120"/>
  <c r="AF95" i="120"/>
  <c r="AF44" i="120"/>
  <c r="AF49" i="120"/>
  <c r="AE77" i="120"/>
  <c r="AF46" i="120"/>
  <c r="AE20" i="120"/>
  <c r="AE96" i="120"/>
  <c r="AE82" i="120"/>
  <c r="AG82" i="120" s="1"/>
  <c r="AF81" i="120"/>
  <c r="AE68" i="120"/>
  <c r="AE71" i="120"/>
  <c r="AE83" i="120"/>
  <c r="AF53" i="120"/>
  <c r="AE55" i="120"/>
  <c r="AG55" i="120" s="1"/>
  <c r="AE42" i="120"/>
  <c r="AE69" i="120"/>
  <c r="AE59" i="120"/>
  <c r="AF80" i="120"/>
  <c r="AE67" i="120"/>
  <c r="AG67" i="120" s="1"/>
  <c r="AF41" i="120"/>
  <c r="AE73" i="120"/>
  <c r="AG73" i="120" s="1"/>
  <c r="AE56" i="120"/>
  <c r="AE63" i="120"/>
  <c r="AE76" i="120"/>
  <c r="AG76" i="120" s="1"/>
  <c r="AE79" i="120"/>
  <c r="AG79" i="120" s="1"/>
  <c r="AE40" i="120"/>
  <c r="AG40" i="120" s="1"/>
  <c r="AF64" i="120"/>
  <c r="AE48" i="120"/>
  <c r="AF73" i="120"/>
  <c r="AF68" i="120"/>
  <c r="AE46" i="120"/>
  <c r="AG46" i="120" s="1"/>
  <c r="AE51" i="120"/>
  <c r="AE26" i="120"/>
  <c r="AF17" i="120"/>
  <c r="AE44" i="120"/>
  <c r="AE85" i="120"/>
  <c r="AG85" i="120" s="1"/>
  <c r="AE21" i="120"/>
  <c r="AF76" i="120"/>
  <c r="AF32" i="120"/>
  <c r="AF42" i="120"/>
  <c r="AF85" i="120"/>
  <c r="AF87" i="120"/>
  <c r="AF45" i="120"/>
  <c r="AE15" i="120"/>
  <c r="AE57" i="120"/>
  <c r="AF33" i="120"/>
  <c r="AF12" i="120"/>
  <c r="AE31" i="120"/>
  <c r="AG31" i="120" s="1"/>
  <c r="AE60" i="120"/>
  <c r="AF54" i="120"/>
  <c r="AE34" i="120"/>
  <c r="AG34" i="120" s="1"/>
  <c r="AE78" i="120"/>
  <c r="AF22" i="120"/>
  <c r="AE32" i="120"/>
  <c r="AE30" i="120"/>
  <c r="AF83" i="120"/>
  <c r="AE39" i="120"/>
  <c r="AE89" i="120"/>
  <c r="AE58" i="120"/>
  <c r="AG58" i="120" s="1"/>
  <c r="AF27" i="120"/>
  <c r="AE16" i="120"/>
  <c r="AG16" i="120" s="1"/>
  <c r="AF67" i="120"/>
  <c r="AF23" i="120"/>
  <c r="AF65" i="120"/>
  <c r="AE99" i="120"/>
  <c r="AF82" i="120"/>
  <c r="AF63" i="120"/>
  <c r="AE33" i="120"/>
  <c r="AF92" i="120"/>
  <c r="AE65" i="120"/>
  <c r="AF36" i="120"/>
  <c r="AF50" i="120"/>
  <c r="AE53" i="120"/>
  <c r="AF99" i="120"/>
  <c r="AF91" i="120"/>
  <c r="AE87" i="120"/>
  <c r="AE91" i="120"/>
  <c r="AG91" i="120" s="1"/>
  <c r="AF13" i="120"/>
  <c r="AF38" i="120"/>
  <c r="AF37" i="120"/>
  <c r="AE37" i="120"/>
  <c r="AG37" i="120" s="1"/>
  <c r="AF98" i="120"/>
  <c r="AE43" i="120"/>
  <c r="AG43" i="120" s="1"/>
  <c r="AF61" i="120"/>
  <c r="AE29" i="120"/>
  <c r="AF43" i="120"/>
  <c r="AF39" i="120"/>
  <c r="AF30" i="120"/>
  <c r="AE14" i="120"/>
  <c r="AE49" i="120"/>
  <c r="AG49" i="120" s="1"/>
  <c r="AE25" i="120"/>
  <c r="AG25" i="120" s="1"/>
  <c r="AF48" i="120"/>
  <c r="AE90" i="120"/>
  <c r="AE80" i="120"/>
  <c r="AE18" i="120"/>
  <c r="AF14" i="120"/>
  <c r="AE98" i="120"/>
  <c r="AF52" i="120"/>
  <c r="AE50" i="120"/>
  <c r="AF28" i="120"/>
  <c r="AE38" i="120"/>
  <c r="AE66" i="120"/>
  <c r="AE23" i="120"/>
  <c r="AE88" i="120"/>
  <c r="AG88" i="120" s="1"/>
  <c r="AF56" i="120"/>
  <c r="AE62" i="120"/>
  <c r="AF31" i="120"/>
  <c r="AE35" i="120"/>
  <c r="AE17" i="120"/>
  <c r="AF19" i="120"/>
  <c r="AE84" i="120"/>
  <c r="AF97" i="120"/>
  <c r="AF20" i="120"/>
  <c r="AF57" i="120"/>
  <c r="AE28" i="120"/>
  <c r="AG28" i="120" s="1"/>
  <c r="AF69" i="120"/>
  <c r="AF96" i="120"/>
  <c r="AF35" i="120"/>
  <c r="AF15" i="120"/>
  <c r="AF40" i="120"/>
  <c r="AE74" i="120"/>
  <c r="AF62" i="120"/>
  <c r="AE54" i="120"/>
  <c r="AF70" i="120"/>
  <c r="AF24" i="120"/>
  <c r="AE12" i="120"/>
  <c r="AE22" i="120"/>
  <c r="AG22" i="120" s="1"/>
  <c r="AF16" i="120"/>
  <c r="AF29" i="120"/>
  <c r="AF72" i="120"/>
  <c r="AE24" i="120"/>
  <c r="AE47" i="120"/>
  <c r="AF18" i="120"/>
  <c r="AF77" i="120"/>
  <c r="AE70" i="120"/>
  <c r="AG70" i="120" s="1"/>
  <c r="AE64" i="120"/>
  <c r="AG64" i="120" s="1"/>
  <c r="AE13" i="120"/>
  <c r="AG13" i="120" s="1"/>
  <c r="AF94" i="120"/>
  <c r="AF66" i="120"/>
  <c r="AF74" i="120"/>
  <c r="AF59" i="120"/>
  <c r="AF78" i="120"/>
  <c r="AE72" i="120"/>
  <c r="AF88" i="120"/>
  <c r="AF71" i="120"/>
  <c r="AF58" i="120"/>
  <c r="R113" i="63"/>
  <c r="AA113" i="63"/>
  <c r="R112" i="63"/>
  <c r="AA112" i="63"/>
  <c r="R109" i="63"/>
  <c r="AA109" i="63"/>
  <c r="R114" i="63"/>
  <c r="AA114" i="63"/>
  <c r="R105" i="63"/>
  <c r="AA105" i="63"/>
  <c r="R110" i="63"/>
  <c r="AA110" i="63"/>
  <c r="R111" i="63"/>
  <c r="AA111" i="63"/>
  <c r="R108" i="63"/>
  <c r="AA108" i="63"/>
  <c r="R106" i="63"/>
  <c r="AA106" i="63"/>
  <c r="P251" i="93"/>
  <c r="Q276" i="93"/>
  <c r="V30" i="61"/>
  <c r="U30" i="61"/>
  <c r="T30" i="61"/>
  <c r="S30" i="61"/>
  <c r="R30" i="61"/>
  <c r="Q30" i="61"/>
  <c r="P30" i="61"/>
  <c r="O30" i="61"/>
  <c r="N30" i="61"/>
  <c r="I57" i="61"/>
  <c r="D57" i="61"/>
  <c r="I56" i="61"/>
  <c r="D56" i="61"/>
  <c r="I55" i="61"/>
  <c r="D55" i="61"/>
  <c r="G54" i="61"/>
  <c r="I57" i="60"/>
  <c r="I56" i="60"/>
  <c r="I55" i="60"/>
  <c r="D55" i="60"/>
  <c r="W74" i="120" l="1"/>
  <c r="AH74" i="120"/>
  <c r="W70" i="120"/>
  <c r="AH70" i="120"/>
  <c r="W28" i="120"/>
  <c r="AH28" i="120"/>
  <c r="W61" i="120"/>
  <c r="AH61" i="120"/>
  <c r="W27" i="120"/>
  <c r="AH27" i="120"/>
  <c r="W41" i="120"/>
  <c r="AH41" i="120"/>
  <c r="R77" i="120"/>
  <c r="AG77" i="120"/>
  <c r="W11" i="120"/>
  <c r="AH11" i="120"/>
  <c r="W66" i="120"/>
  <c r="AH66" i="120"/>
  <c r="R50" i="120"/>
  <c r="AG50" i="120"/>
  <c r="W91" i="120"/>
  <c r="AH91" i="120"/>
  <c r="R44" i="120"/>
  <c r="AG44" i="120"/>
  <c r="R71" i="120"/>
  <c r="AG71" i="120"/>
  <c r="W49" i="120"/>
  <c r="AH49" i="120"/>
  <c r="R86" i="120"/>
  <c r="AG86" i="120"/>
  <c r="W72" i="120"/>
  <c r="AH72" i="120"/>
  <c r="R62" i="120"/>
  <c r="AG62" i="120"/>
  <c r="W82" i="120"/>
  <c r="AH82" i="120"/>
  <c r="W54" i="120"/>
  <c r="AH54" i="120"/>
  <c r="W44" i="120"/>
  <c r="AH44" i="120"/>
  <c r="W21" i="120"/>
  <c r="AH21" i="120"/>
  <c r="W20" i="120"/>
  <c r="AH20" i="120"/>
  <c r="R98" i="120"/>
  <c r="AG98" i="120"/>
  <c r="R53" i="120"/>
  <c r="AG53" i="120"/>
  <c r="R60" i="120"/>
  <c r="AG60" i="120"/>
  <c r="R26" i="120"/>
  <c r="AG26" i="120"/>
  <c r="W81" i="120"/>
  <c r="AH81" i="120"/>
  <c r="W26" i="120"/>
  <c r="AH26" i="120"/>
  <c r="W90" i="120"/>
  <c r="AH90" i="120"/>
  <c r="W40" i="120"/>
  <c r="AH40" i="120"/>
  <c r="W14" i="120"/>
  <c r="AH14" i="120"/>
  <c r="W30" i="120"/>
  <c r="AH30" i="120"/>
  <c r="W37" i="120"/>
  <c r="AH37" i="120"/>
  <c r="W50" i="120"/>
  <c r="AH50" i="120"/>
  <c r="W65" i="120"/>
  <c r="AH65" i="120"/>
  <c r="W83" i="120"/>
  <c r="AH83" i="120"/>
  <c r="W42" i="120"/>
  <c r="AH42" i="120"/>
  <c r="R51" i="120"/>
  <c r="AG51" i="120"/>
  <c r="R69" i="120"/>
  <c r="AG69" i="120"/>
  <c r="W79" i="120"/>
  <c r="AH79" i="120"/>
  <c r="W93" i="120"/>
  <c r="AH93" i="120"/>
  <c r="R92" i="120"/>
  <c r="AG92" i="120"/>
  <c r="R72" i="120"/>
  <c r="AG72" i="120"/>
  <c r="W15" i="120"/>
  <c r="AH15" i="120"/>
  <c r="R84" i="120"/>
  <c r="AG84" i="120"/>
  <c r="R23" i="120"/>
  <c r="AG23" i="120"/>
  <c r="R18" i="120"/>
  <c r="AG18" i="120"/>
  <c r="W39" i="120"/>
  <c r="AH39" i="120"/>
  <c r="W38" i="120"/>
  <c r="AH38" i="120"/>
  <c r="W36" i="120"/>
  <c r="AH36" i="120"/>
  <c r="W23" i="120"/>
  <c r="AH23" i="120"/>
  <c r="R30" i="120"/>
  <c r="AG30" i="120"/>
  <c r="W12" i="120"/>
  <c r="AH12" i="120"/>
  <c r="W32" i="120"/>
  <c r="AH32" i="120"/>
  <c r="R63" i="120"/>
  <c r="AG63" i="120"/>
  <c r="R42" i="120"/>
  <c r="AG42" i="120"/>
  <c r="R96" i="120"/>
  <c r="AG96" i="120"/>
  <c r="W89" i="120"/>
  <c r="AH89" i="120"/>
  <c r="R75" i="120"/>
  <c r="AG75" i="120"/>
  <c r="W60" i="120"/>
  <c r="AH60" i="120"/>
  <c r="W55" i="120"/>
  <c r="AH55" i="120"/>
  <c r="R35" i="120"/>
  <c r="AG35" i="120"/>
  <c r="R87" i="120"/>
  <c r="AG87" i="120"/>
  <c r="R15" i="120"/>
  <c r="AG15" i="120"/>
  <c r="R54" i="120"/>
  <c r="AG54" i="120"/>
  <c r="W64" i="120"/>
  <c r="AH64" i="120"/>
  <c r="W58" i="120"/>
  <c r="AH58" i="120"/>
  <c r="W57" i="120"/>
  <c r="AH57" i="120"/>
  <c r="W98" i="120"/>
  <c r="AH98" i="120"/>
  <c r="W87" i="120"/>
  <c r="AH87" i="120"/>
  <c r="R68" i="120"/>
  <c r="AG68" i="120"/>
  <c r="W86" i="120"/>
  <c r="AH86" i="120"/>
  <c r="R74" i="120"/>
  <c r="AG74" i="120"/>
  <c r="R39" i="120"/>
  <c r="AG39" i="120"/>
  <c r="R59" i="120"/>
  <c r="AG59" i="120"/>
  <c r="R36" i="120"/>
  <c r="AG36" i="120"/>
  <c r="W88" i="120"/>
  <c r="AH88" i="120"/>
  <c r="W97" i="120"/>
  <c r="AH97" i="120"/>
  <c r="W77" i="120"/>
  <c r="AH77" i="120"/>
  <c r="W19" i="120"/>
  <c r="AH19" i="120"/>
  <c r="W43" i="120"/>
  <c r="AH43" i="120"/>
  <c r="W67" i="120"/>
  <c r="AH67" i="120"/>
  <c r="W75" i="120"/>
  <c r="AH75" i="120"/>
  <c r="W34" i="120"/>
  <c r="AH34" i="120"/>
  <c r="R81" i="120"/>
  <c r="AG81" i="120"/>
  <c r="R47" i="120"/>
  <c r="AG47" i="120"/>
  <c r="W69" i="120"/>
  <c r="AH69" i="120"/>
  <c r="W48" i="120"/>
  <c r="AH48" i="120"/>
  <c r="R33" i="120"/>
  <c r="AG33" i="120"/>
  <c r="R78" i="120"/>
  <c r="AG78" i="120"/>
  <c r="R48" i="120"/>
  <c r="AG48" i="120"/>
  <c r="R83" i="120"/>
  <c r="AG83" i="120"/>
  <c r="R45" i="120"/>
  <c r="AG45" i="120"/>
  <c r="W84" i="120"/>
  <c r="AH84" i="120"/>
  <c r="R24" i="120"/>
  <c r="AG24" i="120"/>
  <c r="W31" i="120"/>
  <c r="AH31" i="120"/>
  <c r="W63" i="120"/>
  <c r="AH63" i="120"/>
  <c r="W45" i="120"/>
  <c r="AH45" i="120"/>
  <c r="R11" i="120"/>
  <c r="AG11" i="120"/>
  <c r="R93" i="120"/>
  <c r="AG93" i="120"/>
  <c r="W94" i="120"/>
  <c r="AH94" i="120"/>
  <c r="W62" i="120"/>
  <c r="AH62" i="120"/>
  <c r="W52" i="120"/>
  <c r="AH52" i="120"/>
  <c r="W99" i="120"/>
  <c r="AH99" i="120"/>
  <c r="R89" i="120"/>
  <c r="AG89" i="120"/>
  <c r="W17" i="120"/>
  <c r="AH17" i="120"/>
  <c r="W80" i="120"/>
  <c r="AH80" i="120"/>
  <c r="R95" i="120"/>
  <c r="AG95" i="120"/>
  <c r="R27" i="120"/>
  <c r="AG27" i="120"/>
  <c r="W71" i="120"/>
  <c r="AH71" i="120"/>
  <c r="W29" i="120"/>
  <c r="AH29" i="120"/>
  <c r="W56" i="120"/>
  <c r="AH56" i="120"/>
  <c r="R14" i="120"/>
  <c r="AG14" i="120"/>
  <c r="R99" i="120"/>
  <c r="AG99" i="120"/>
  <c r="W85" i="120"/>
  <c r="AH85" i="120"/>
  <c r="W95" i="120"/>
  <c r="AH95" i="120"/>
  <c r="W16" i="120"/>
  <c r="AH16" i="120"/>
  <c r="W78" i="120"/>
  <c r="AH78" i="120"/>
  <c r="R12" i="120"/>
  <c r="AG12" i="120"/>
  <c r="W35" i="120"/>
  <c r="AH35" i="120"/>
  <c r="R66" i="120"/>
  <c r="AG66" i="120"/>
  <c r="R80" i="120"/>
  <c r="AG80" i="120"/>
  <c r="W13" i="120"/>
  <c r="AH13" i="120"/>
  <c r="R65" i="120"/>
  <c r="AG65" i="120"/>
  <c r="R32" i="120"/>
  <c r="AG32" i="120"/>
  <c r="W33" i="120"/>
  <c r="AH33" i="120"/>
  <c r="W76" i="120"/>
  <c r="AH76" i="120"/>
  <c r="W68" i="120"/>
  <c r="AH68" i="120"/>
  <c r="R56" i="120"/>
  <c r="AG56" i="120"/>
  <c r="R20" i="120"/>
  <c r="AG20" i="120"/>
  <c r="W25" i="120"/>
  <c r="AH25" i="120"/>
  <c r="W59" i="120"/>
  <c r="AH59" i="120"/>
  <c r="W18" i="120"/>
  <c r="AH18" i="120"/>
  <c r="W24" i="120"/>
  <c r="AH24" i="120"/>
  <c r="W96" i="120"/>
  <c r="AH96" i="120"/>
  <c r="R17" i="120"/>
  <c r="AG17" i="120"/>
  <c r="R38" i="120"/>
  <c r="AG38" i="120"/>
  <c r="R90" i="120"/>
  <c r="AG90" i="120"/>
  <c r="R29" i="120"/>
  <c r="AG29" i="120"/>
  <c r="W92" i="120"/>
  <c r="AH92" i="120"/>
  <c r="W22" i="120"/>
  <c r="AH22" i="120"/>
  <c r="R57" i="120"/>
  <c r="AG57" i="120"/>
  <c r="R21" i="120"/>
  <c r="AG21" i="120"/>
  <c r="W73" i="120"/>
  <c r="AH73" i="120"/>
  <c r="W53" i="120"/>
  <c r="AH53" i="120"/>
  <c r="W46" i="120"/>
  <c r="AH46" i="120"/>
  <c r="W51" i="120"/>
  <c r="AH51" i="120"/>
  <c r="R41" i="120"/>
  <c r="AG41" i="120"/>
  <c r="W47" i="120"/>
  <c r="AH47" i="120"/>
  <c r="P626" i="48"/>
  <c r="Q651" i="48"/>
  <c r="W10" i="120"/>
  <c r="R10" i="120"/>
  <c r="X46" i="120"/>
  <c r="R46" i="120"/>
  <c r="R91" i="120"/>
  <c r="X91" i="120"/>
  <c r="K91" i="120" s="1"/>
  <c r="L32" i="126" s="1"/>
  <c r="X16" i="120"/>
  <c r="K16" i="120" s="1"/>
  <c r="L7" i="126" s="1"/>
  <c r="R16" i="120"/>
  <c r="X73" i="120"/>
  <c r="K73" i="120" s="1"/>
  <c r="L26" i="126" s="1"/>
  <c r="R73" i="120"/>
  <c r="X94" i="120"/>
  <c r="K94" i="120" s="1"/>
  <c r="L33" i="126" s="1"/>
  <c r="R94" i="120"/>
  <c r="X85" i="120"/>
  <c r="K85" i="120" s="1"/>
  <c r="L30" i="126" s="1"/>
  <c r="R85" i="120"/>
  <c r="X97" i="120"/>
  <c r="R97" i="120"/>
  <c r="R70" i="120"/>
  <c r="X70" i="120"/>
  <c r="K70" i="120" s="1"/>
  <c r="L25" i="126" s="1"/>
  <c r="X28" i="120"/>
  <c r="K28" i="120" s="1"/>
  <c r="L11" i="126" s="1"/>
  <c r="R28" i="120"/>
  <c r="X25" i="120"/>
  <c r="K25" i="120" s="1"/>
  <c r="L10" i="126" s="1"/>
  <c r="R25" i="120"/>
  <c r="R43" i="120"/>
  <c r="X43" i="120"/>
  <c r="K43" i="120" s="1"/>
  <c r="L16" i="126" s="1"/>
  <c r="R58" i="120"/>
  <c r="X58" i="120"/>
  <c r="K58" i="120" s="1"/>
  <c r="L21" i="126" s="1"/>
  <c r="X34" i="120"/>
  <c r="K34" i="120" s="1"/>
  <c r="L13" i="126" s="1"/>
  <c r="R34" i="120"/>
  <c r="X67" i="120"/>
  <c r="K67" i="120" s="1"/>
  <c r="L24" i="126" s="1"/>
  <c r="R67" i="120"/>
  <c r="X52" i="120"/>
  <c r="R52" i="120"/>
  <c r="X37" i="120"/>
  <c r="K37" i="120" s="1"/>
  <c r="L14" i="126" s="1"/>
  <c r="R37" i="120"/>
  <c r="R79" i="120"/>
  <c r="X79" i="120"/>
  <c r="K79" i="120" s="1"/>
  <c r="L28" i="126" s="1"/>
  <c r="R19" i="120"/>
  <c r="X19" i="120"/>
  <c r="K19" i="120" s="1"/>
  <c r="L8" i="126" s="1"/>
  <c r="R49" i="120"/>
  <c r="X49" i="120"/>
  <c r="K49" i="120" s="1"/>
  <c r="L18" i="126" s="1"/>
  <c r="X40" i="120"/>
  <c r="K40" i="120" s="1"/>
  <c r="L15" i="126" s="1"/>
  <c r="R40" i="120"/>
  <c r="X64" i="120"/>
  <c r="K64" i="120" s="1"/>
  <c r="L23" i="126" s="1"/>
  <c r="R64" i="120"/>
  <c r="X88" i="120"/>
  <c r="K88" i="120" s="1"/>
  <c r="L31" i="126" s="1"/>
  <c r="R88" i="120"/>
  <c r="R31" i="120"/>
  <c r="X31" i="120"/>
  <c r="R76" i="120"/>
  <c r="X76" i="120"/>
  <c r="K76" i="120" s="1"/>
  <c r="L27" i="126" s="1"/>
  <c r="R82" i="120"/>
  <c r="X82" i="120"/>
  <c r="K82" i="120" s="1"/>
  <c r="L29" i="126" s="1"/>
  <c r="X61" i="120"/>
  <c r="K61" i="120" s="1"/>
  <c r="L22" i="126" s="1"/>
  <c r="R61" i="120"/>
  <c r="R22" i="120"/>
  <c r="X22" i="120"/>
  <c r="K22" i="120" s="1"/>
  <c r="L9" i="126" s="1"/>
  <c r="R55" i="120"/>
  <c r="X55" i="120"/>
  <c r="K55" i="120" s="1"/>
  <c r="L20" i="126" s="1"/>
  <c r="K31" i="120"/>
  <c r="L12" i="126" s="1"/>
  <c r="K46" i="120"/>
  <c r="L17" i="126" s="1"/>
  <c r="K97" i="120"/>
  <c r="L34" i="126" s="1"/>
  <c r="K52" i="120"/>
  <c r="L19" i="126" s="1"/>
  <c r="X13" i="120"/>
  <c r="K13" i="120" s="1"/>
  <c r="L6" i="126" s="1"/>
  <c r="D116" i="63"/>
  <c r="P108" i="63"/>
  <c r="P105" i="63"/>
  <c r="P111" i="63"/>
  <c r="P107" i="63"/>
  <c r="P106" i="63"/>
  <c r="P112" i="63"/>
  <c r="P114" i="63"/>
  <c r="P109" i="63"/>
  <c r="P113" i="63"/>
  <c r="P110" i="63"/>
  <c r="P276" i="93"/>
  <c r="Q301" i="93"/>
  <c r="N14" i="119"/>
  <c r="M14" i="119"/>
  <c r="M13" i="119"/>
  <c r="N13" i="119"/>
  <c r="M6" i="119"/>
  <c r="N6" i="119"/>
  <c r="N12" i="119"/>
  <c r="M12" i="119"/>
  <c r="N20" i="119"/>
  <c r="M20" i="119"/>
  <c r="M8" i="119"/>
  <c r="N8" i="119"/>
  <c r="N18" i="119"/>
  <c r="M18" i="119"/>
  <c r="M19" i="119"/>
  <c r="N19" i="119"/>
  <c r="N7" i="119"/>
  <c r="M7" i="119"/>
  <c r="N9" i="119"/>
  <c r="M9" i="119"/>
  <c r="N16" i="119"/>
  <c r="M16" i="119"/>
  <c r="M11" i="119"/>
  <c r="N11" i="119"/>
  <c r="N15" i="119"/>
  <c r="M15" i="119"/>
  <c r="N17" i="119"/>
  <c r="M17" i="119"/>
  <c r="N10" i="119"/>
  <c r="M10" i="119"/>
  <c r="N22" i="119"/>
  <c r="M22" i="119"/>
  <c r="M23" i="119"/>
  <c r="N23" i="119"/>
  <c r="N21" i="119"/>
  <c r="M21" i="119"/>
  <c r="M24" i="119"/>
  <c r="N24" i="119"/>
  <c r="U10" i="54"/>
  <c r="U14" i="54" s="1"/>
  <c r="EK14" i="54" s="1"/>
  <c r="EI14" i="54" s="1"/>
  <c r="S10" i="54"/>
  <c r="S14" i="54" s="1"/>
  <c r="R10" i="54"/>
  <c r="R14" i="54" s="1"/>
  <c r="EG14" i="54" s="1"/>
  <c r="Q10" i="54"/>
  <c r="Q14" i="54" s="1"/>
  <c r="AM10" i="54"/>
  <c r="AM14" i="54" s="1"/>
  <c r="AL10" i="54"/>
  <c r="AL14" i="54" s="1"/>
  <c r="AK10" i="54"/>
  <c r="AK14" i="54" s="1"/>
  <c r="AJ10" i="54"/>
  <c r="AJ14" i="54" s="1"/>
  <c r="AI10" i="54"/>
  <c r="AI14" i="54" s="1"/>
  <c r="AH10" i="54"/>
  <c r="AH14" i="54" s="1"/>
  <c r="AG10" i="54"/>
  <c r="AG14" i="54" s="1"/>
  <c r="AF10" i="54"/>
  <c r="AE10" i="54"/>
  <c r="AD10" i="54"/>
  <c r="AC10" i="54"/>
  <c r="AC14" i="54" s="1"/>
  <c r="M99" i="63"/>
  <c r="M89" i="63"/>
  <c r="M98" i="63" s="1"/>
  <c r="I89" i="63"/>
  <c r="T66" i="63"/>
  <c r="X64" i="63"/>
  <c r="M63" i="63"/>
  <c r="T63" i="63" s="1"/>
  <c r="T60" i="63"/>
  <c r="M57" i="63"/>
  <c r="R9" i="64"/>
  <c r="R10" i="64" s="1"/>
  <c r="I90" i="63"/>
  <c r="K9" i="64"/>
  <c r="K10" i="64" s="1"/>
  <c r="CT14" i="54" l="1"/>
  <c r="CM14" i="54"/>
  <c r="CV14" i="54"/>
  <c r="CS14" i="54"/>
  <c r="CJ14" i="54"/>
  <c r="CR14" i="54"/>
  <c r="CQ14" i="54"/>
  <c r="CP14" i="54"/>
  <c r="CN14" i="54"/>
  <c r="CL14" i="54"/>
  <c r="CU14" i="54"/>
  <c r="CK14" i="54"/>
  <c r="CO14" i="54"/>
  <c r="AS14" i="54"/>
  <c r="AZ14" i="54"/>
  <c r="J9" i="49" s="1"/>
  <c r="AR14" i="54"/>
  <c r="K6" i="49" s="1"/>
  <c r="AY14" i="54"/>
  <c r="AQ14" i="54"/>
  <c r="AX14" i="54"/>
  <c r="AP14" i="54"/>
  <c r="AW14" i="54"/>
  <c r="AO14" i="54"/>
  <c r="E6" i="49" s="1"/>
  <c r="AV14" i="54"/>
  <c r="E9" i="49" s="1"/>
  <c r="AN14" i="54"/>
  <c r="AU14" i="54"/>
  <c r="AT14" i="54"/>
  <c r="EH14" i="54"/>
  <c r="EF14" i="54"/>
  <c r="R13" i="120"/>
  <c r="X10" i="120"/>
  <c r="K10" i="120" s="1"/>
  <c r="AD14" i="54"/>
  <c r="P651" i="48"/>
  <c r="Q676" i="48"/>
  <c r="T112" i="63"/>
  <c r="Y112" i="63"/>
  <c r="AC112" i="63" s="1"/>
  <c r="T107" i="63"/>
  <c r="Y107" i="63"/>
  <c r="AC107" i="63" s="1"/>
  <c r="T106" i="63"/>
  <c r="Y106" i="63"/>
  <c r="AC106" i="63" s="1"/>
  <c r="T111" i="63"/>
  <c r="Y111" i="63"/>
  <c r="AC111" i="63" s="1"/>
  <c r="T110" i="63"/>
  <c r="Y110" i="63"/>
  <c r="AC110" i="63" s="1"/>
  <c r="T105" i="63"/>
  <c r="Y105" i="63"/>
  <c r="AC105" i="63" s="1"/>
  <c r="T113" i="63"/>
  <c r="Y113" i="63"/>
  <c r="AC113" i="63" s="1"/>
  <c r="T108" i="63"/>
  <c r="Y108" i="63"/>
  <c r="AC108" i="63" s="1"/>
  <c r="T109" i="63"/>
  <c r="Y109" i="63"/>
  <c r="AC109" i="63" s="1"/>
  <c r="T114" i="63"/>
  <c r="Y114" i="63"/>
  <c r="AC114" i="63" s="1"/>
  <c r="O9" i="64"/>
  <c r="O10" i="64" s="1"/>
  <c r="P301" i="93"/>
  <c r="Q326" i="93"/>
  <c r="N5" i="119"/>
  <c r="M5" i="119"/>
  <c r="X57" i="63"/>
  <c r="H9" i="64"/>
  <c r="T57" i="63"/>
  <c r="M103" i="63" l="1"/>
  <c r="B122" i="60"/>
  <c r="L5" i="126"/>
  <c r="HU5" i="122"/>
  <c r="H8" i="120"/>
  <c r="HO5" i="122" s="1"/>
  <c r="Q701" i="48"/>
  <c r="P676" i="48"/>
  <c r="Q351" i="93"/>
  <c r="P326" i="93"/>
  <c r="V9" i="64"/>
  <c r="V10" i="64" s="1"/>
  <c r="H10" i="64"/>
  <c r="P10" i="54"/>
  <c r="P14" i="54" s="1"/>
  <c r="F18" i="32" s="1"/>
  <c r="F18" i="45" s="1"/>
  <c r="O10" i="54"/>
  <c r="O14" i="54" s="1"/>
  <c r="F17" i="32" s="1"/>
  <c r="F17" i="45" s="1"/>
  <c r="N10" i="54"/>
  <c r="N14" i="54" s="1"/>
  <c r="D16" i="32" s="1"/>
  <c r="M10" i="54"/>
  <c r="M14" i="54" s="1"/>
  <c r="D15" i="32" s="1"/>
  <c r="L10" i="54"/>
  <c r="L14" i="54" s="1"/>
  <c r="D14" i="32" s="1"/>
  <c r="K10" i="54"/>
  <c r="K14" i="54" s="1"/>
  <c r="J10" i="54"/>
  <c r="J14" i="54" s="1"/>
  <c r="I10" i="54"/>
  <c r="I14" i="54" s="1"/>
  <c r="H10" i="54"/>
  <c r="G10" i="54"/>
  <c r="F10" i="54"/>
  <c r="E10" i="54"/>
  <c r="E14" i="54" s="1"/>
  <c r="D10" i="54"/>
  <c r="D14" i="54" s="1"/>
  <c r="B36" i="51" s="1"/>
  <c r="C10" i="54"/>
  <c r="B10" i="54"/>
  <c r="CW4" i="54"/>
  <c r="CI4" i="54"/>
  <c r="CH7" i="54"/>
  <c r="CG7" i="54"/>
  <c r="CF7" i="54"/>
  <c r="CE7" i="54"/>
  <c r="CD7" i="54"/>
  <c r="CC7" i="54"/>
  <c r="CB7" i="54"/>
  <c r="CA7" i="54"/>
  <c r="BZ7" i="54"/>
  <c r="BY7" i="54"/>
  <c r="BX7" i="54"/>
  <c r="BW7" i="54"/>
  <c r="BV7" i="54"/>
  <c r="BU7" i="54"/>
  <c r="BT7" i="54"/>
  <c r="BS7" i="54"/>
  <c r="BR7" i="54"/>
  <c r="BQ7" i="54"/>
  <c r="BP7" i="54"/>
  <c r="BO7" i="54"/>
  <c r="BN7" i="54"/>
  <c r="BM7" i="54"/>
  <c r="BL7" i="54"/>
  <c r="BK7" i="54"/>
  <c r="BJ7" i="54"/>
  <c r="BI7" i="54"/>
  <c r="BH7" i="54"/>
  <c r="BG7" i="54"/>
  <c r="L28" i="32"/>
  <c r="C110" i="59"/>
  <c r="C109" i="59"/>
  <c r="C108" i="59"/>
  <c r="C107" i="59"/>
  <c r="C106" i="59"/>
  <c r="G110" i="61"/>
  <c r="F110" i="61"/>
  <c r="G109" i="61"/>
  <c r="F109" i="61"/>
  <c r="G108" i="61"/>
  <c r="F108" i="61"/>
  <c r="G107" i="61"/>
  <c r="F107" i="61"/>
  <c r="G106" i="61"/>
  <c r="F106" i="61"/>
  <c r="C110" i="61"/>
  <c r="C109" i="61"/>
  <c r="C108" i="61"/>
  <c r="C107" i="61"/>
  <c r="C106" i="61"/>
  <c r="C103" i="61"/>
  <c r="C101" i="61"/>
  <c r="C99" i="61"/>
  <c r="C97" i="61"/>
  <c r="C95" i="61"/>
  <c r="C93" i="61"/>
  <c r="C91" i="61"/>
  <c r="C89" i="61"/>
  <c r="C87" i="61"/>
  <c r="C85" i="61"/>
  <c r="C83" i="61"/>
  <c r="C81" i="61"/>
  <c r="C79" i="61"/>
  <c r="C77" i="61"/>
  <c r="C75" i="61"/>
  <c r="C73" i="61"/>
  <c r="C71" i="61"/>
  <c r="C69" i="61"/>
  <c r="C67" i="61"/>
  <c r="I110" i="61"/>
  <c r="I109" i="61"/>
  <c r="I108" i="61"/>
  <c r="I107" i="61"/>
  <c r="I106" i="61"/>
  <c r="I104" i="61"/>
  <c r="I103" i="61"/>
  <c r="I102" i="61"/>
  <c r="I101" i="61"/>
  <c r="I100" i="61"/>
  <c r="I99" i="61"/>
  <c r="I98" i="61"/>
  <c r="I97" i="61"/>
  <c r="I96" i="61"/>
  <c r="I95" i="61"/>
  <c r="I94" i="61"/>
  <c r="I93" i="61"/>
  <c r="I92" i="61"/>
  <c r="I91" i="61"/>
  <c r="I90" i="61"/>
  <c r="I89" i="61"/>
  <c r="I88" i="61"/>
  <c r="I87" i="61"/>
  <c r="I86" i="61"/>
  <c r="I85" i="61"/>
  <c r="I84" i="61"/>
  <c r="I83" i="61"/>
  <c r="I82" i="61"/>
  <c r="I81" i="61"/>
  <c r="I80" i="61"/>
  <c r="I79" i="61"/>
  <c r="I78" i="61"/>
  <c r="I77" i="61"/>
  <c r="I76" i="61"/>
  <c r="I75" i="61"/>
  <c r="I74" i="61"/>
  <c r="I73" i="61"/>
  <c r="I72" i="61"/>
  <c r="I71" i="61"/>
  <c r="I70" i="61"/>
  <c r="I69" i="61"/>
  <c r="I68" i="61"/>
  <c r="I67" i="61"/>
  <c r="I66" i="61"/>
  <c r="I65" i="61"/>
  <c r="I62" i="61"/>
  <c r="I61" i="61"/>
  <c r="I60" i="61"/>
  <c r="I59" i="61"/>
  <c r="I54" i="61"/>
  <c r="I53" i="61"/>
  <c r="I52" i="61"/>
  <c r="I51" i="61"/>
  <c r="I50" i="61"/>
  <c r="I49" i="61"/>
  <c r="I48" i="61"/>
  <c r="I47" i="61"/>
  <c r="I46" i="61"/>
  <c r="I45" i="61"/>
  <c r="I44" i="61"/>
  <c r="I43" i="61"/>
  <c r="I42" i="61"/>
  <c r="I41" i="61"/>
  <c r="I40" i="61"/>
  <c r="I39" i="61"/>
  <c r="I38" i="61"/>
  <c r="I37" i="61"/>
  <c r="I36" i="61"/>
  <c r="I35" i="61"/>
  <c r="I34" i="61"/>
  <c r="I33" i="61"/>
  <c r="I32" i="61"/>
  <c r="U63" i="60"/>
  <c r="T63" i="60"/>
  <c r="S63" i="60"/>
  <c r="R63" i="60"/>
  <c r="Q63" i="60"/>
  <c r="P63" i="60"/>
  <c r="O63" i="60"/>
  <c r="N63" i="60"/>
  <c r="M63" i="60"/>
  <c r="L63" i="60"/>
  <c r="K63" i="60"/>
  <c r="I110" i="60"/>
  <c r="I109" i="60"/>
  <c r="I108" i="60"/>
  <c r="I107" i="60"/>
  <c r="I106"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2" i="60"/>
  <c r="I61" i="60"/>
  <c r="I60" i="60"/>
  <c r="I59" i="60"/>
  <c r="I54" i="60"/>
  <c r="I53" i="60"/>
  <c r="I52" i="60"/>
  <c r="I51" i="60"/>
  <c r="I50" i="60"/>
  <c r="I49" i="60"/>
  <c r="I48" i="60"/>
  <c r="I47" i="60"/>
  <c r="I46" i="60"/>
  <c r="I45" i="60"/>
  <c r="I44" i="60"/>
  <c r="I43" i="60"/>
  <c r="I42" i="60"/>
  <c r="I41" i="60"/>
  <c r="I40" i="60"/>
  <c r="I39" i="60"/>
  <c r="I38" i="60"/>
  <c r="I37" i="60"/>
  <c r="I36" i="60"/>
  <c r="I35" i="60"/>
  <c r="I34" i="60"/>
  <c r="I33" i="60"/>
  <c r="I32" i="60"/>
  <c r="K110" i="59"/>
  <c r="J110" i="59"/>
  <c r="K109" i="59"/>
  <c r="J109" i="59"/>
  <c r="K108" i="59"/>
  <c r="J108" i="59"/>
  <c r="K107" i="59"/>
  <c r="J107" i="59"/>
  <c r="K106" i="59"/>
  <c r="J106" i="59"/>
  <c r="C103" i="59"/>
  <c r="C101" i="59"/>
  <c r="C99" i="59"/>
  <c r="C97" i="59"/>
  <c r="C95" i="59"/>
  <c r="C93" i="59"/>
  <c r="C91" i="59"/>
  <c r="C89" i="59"/>
  <c r="C87" i="59"/>
  <c r="C85" i="59"/>
  <c r="C83" i="59"/>
  <c r="C81" i="59"/>
  <c r="C79" i="59"/>
  <c r="C77" i="59"/>
  <c r="C75" i="59"/>
  <c r="C73" i="59"/>
  <c r="C71" i="59"/>
  <c r="C69" i="59"/>
  <c r="C67" i="59"/>
  <c r="C65" i="59"/>
  <c r="D14" i="45" l="1"/>
  <c r="O128" i="60"/>
  <c r="W128" i="60"/>
  <c r="AE128" i="60"/>
  <c r="AM128" i="60"/>
  <c r="AU128" i="60"/>
  <c r="P128" i="60"/>
  <c r="X128" i="60"/>
  <c r="AF128" i="60"/>
  <c r="AN128" i="60"/>
  <c r="AV128" i="60"/>
  <c r="Q128" i="60"/>
  <c r="Y128" i="60"/>
  <c r="AG128" i="60"/>
  <c r="AO128" i="60"/>
  <c r="AW128" i="60"/>
  <c r="R128" i="60"/>
  <c r="Z128" i="60"/>
  <c r="AH128" i="60"/>
  <c r="AP128" i="60"/>
  <c r="AX128" i="60"/>
  <c r="K128" i="60"/>
  <c r="S128" i="60"/>
  <c r="AA128" i="60"/>
  <c r="AI128" i="60"/>
  <c r="AQ128" i="60"/>
  <c r="AY128" i="60"/>
  <c r="L128" i="60"/>
  <c r="T128" i="60"/>
  <c r="AB128" i="60"/>
  <c r="AJ128" i="60"/>
  <c r="AR128" i="60"/>
  <c r="AZ128" i="60"/>
  <c r="M128" i="60"/>
  <c r="U128" i="60"/>
  <c r="AC128" i="60"/>
  <c r="AK128" i="60"/>
  <c r="AS128" i="60"/>
  <c r="BA128" i="60"/>
  <c r="N128" i="60"/>
  <c r="V128" i="60"/>
  <c r="AD128" i="60"/>
  <c r="AL128" i="60"/>
  <c r="AT128" i="60"/>
  <c r="D15" i="45"/>
  <c r="K68" i="59"/>
  <c r="J68" i="59"/>
  <c r="K70" i="59"/>
  <c r="J70" i="59"/>
  <c r="K72" i="59"/>
  <c r="J72" i="59"/>
  <c r="K74" i="59"/>
  <c r="J74" i="59"/>
  <c r="K66" i="59"/>
  <c r="J66" i="59"/>
  <c r="K96" i="59"/>
  <c r="J96" i="59"/>
  <c r="J82" i="59"/>
  <c r="K82" i="59"/>
  <c r="K100" i="59"/>
  <c r="J100" i="59"/>
  <c r="J98" i="59"/>
  <c r="K98" i="59"/>
  <c r="K86" i="59"/>
  <c r="J86" i="59"/>
  <c r="K104" i="59"/>
  <c r="J104" i="59"/>
  <c r="K80" i="59"/>
  <c r="J80" i="59"/>
  <c r="K84" i="59"/>
  <c r="J84" i="59"/>
  <c r="K88" i="59"/>
  <c r="J88" i="59"/>
  <c r="J90" i="59"/>
  <c r="K90" i="59"/>
  <c r="K102" i="59"/>
  <c r="J102" i="59"/>
  <c r="K92" i="59"/>
  <c r="J92" i="59"/>
  <c r="K76" i="59"/>
  <c r="J76" i="59"/>
  <c r="K78" i="59"/>
  <c r="J78" i="59"/>
  <c r="K94" i="59"/>
  <c r="J94" i="59"/>
  <c r="O5" i="122"/>
  <c r="A991" i="93"/>
  <c r="N45" i="123" s="1"/>
  <c r="A791" i="93"/>
  <c r="N37" i="123" s="1"/>
  <c r="A591" i="93"/>
  <c r="N29" i="123" s="1"/>
  <c r="A391" i="93"/>
  <c r="N21" i="123" s="1"/>
  <c r="A191" i="93"/>
  <c r="N13" i="123" s="1"/>
  <c r="A966" i="93"/>
  <c r="N44" i="123" s="1"/>
  <c r="A766" i="93"/>
  <c r="N36" i="123" s="1"/>
  <c r="A566" i="93"/>
  <c r="N28" i="123" s="1"/>
  <c r="A366" i="93"/>
  <c r="N20" i="123" s="1"/>
  <c r="A166" i="93"/>
  <c r="N12" i="123" s="1"/>
  <c r="A616" i="93"/>
  <c r="N30" i="123" s="1"/>
  <c r="A71" i="93"/>
  <c r="A941" i="93"/>
  <c r="N43" i="123" s="1"/>
  <c r="A741" i="93"/>
  <c r="N35" i="123" s="1"/>
  <c r="A541" i="93"/>
  <c r="N27" i="123" s="1"/>
  <c r="A341" i="93"/>
  <c r="N19" i="123" s="1"/>
  <c r="A141" i="93"/>
  <c r="N11" i="123" s="1"/>
  <c r="A816" i="93"/>
  <c r="N38" i="123" s="1"/>
  <c r="A916" i="93"/>
  <c r="N42" i="123" s="1"/>
  <c r="A716" i="93"/>
  <c r="N34" i="123" s="1"/>
  <c r="A516" i="93"/>
  <c r="N26" i="123" s="1"/>
  <c r="A316" i="93"/>
  <c r="N18" i="123" s="1"/>
  <c r="A116" i="93"/>
  <c r="N10" i="123" s="1"/>
  <c r="A891" i="93"/>
  <c r="N41" i="123" s="1"/>
  <c r="A691" i="93"/>
  <c r="N33" i="123" s="1"/>
  <c r="A491" i="93"/>
  <c r="N25" i="123" s="1"/>
  <c r="A291" i="93"/>
  <c r="N17" i="123" s="1"/>
  <c r="A66" i="93"/>
  <c r="N8" i="123" s="1"/>
  <c r="A841" i="93"/>
  <c r="N39" i="123" s="1"/>
  <c r="A641" i="93"/>
  <c r="N31" i="123" s="1"/>
  <c r="A441" i="93"/>
  <c r="N23" i="123" s="1"/>
  <c r="A41" i="93"/>
  <c r="N7" i="123" s="1"/>
  <c r="A216" i="93"/>
  <c r="N14" i="123" s="1"/>
  <c r="A866" i="93"/>
  <c r="N40" i="123" s="1"/>
  <c r="A666" i="93"/>
  <c r="N32" i="123" s="1"/>
  <c r="A466" i="93"/>
  <c r="N24" i="123" s="1"/>
  <c r="A266" i="93"/>
  <c r="N16" i="123" s="1"/>
  <c r="A91" i="93"/>
  <c r="N9" i="123" s="1"/>
  <c r="A241" i="93"/>
  <c r="N15" i="123" s="1"/>
  <c r="A416" i="93"/>
  <c r="N22" i="123" s="1"/>
  <c r="AB5" i="122"/>
  <c r="P6" i="124"/>
  <c r="P5" i="122"/>
  <c r="B35" i="51"/>
  <c r="Q726" i="48"/>
  <c r="P701" i="48"/>
  <c r="A596" i="93"/>
  <c r="A496" i="93"/>
  <c r="A396" i="93"/>
  <c r="A221" i="93"/>
  <c r="A121" i="93"/>
  <c r="A796" i="93"/>
  <c r="A271" i="93"/>
  <c r="A771" i="93"/>
  <c r="A746" i="93"/>
  <c r="A921" i="93"/>
  <c r="A821" i="93"/>
  <c r="A721" i="93"/>
  <c r="A296" i="93"/>
  <c r="A896" i="93"/>
  <c r="A696" i="93"/>
  <c r="A646" i="93"/>
  <c r="A346" i="93"/>
  <c r="A871" i="93"/>
  <c r="A521" i="93"/>
  <c r="A321" i="93"/>
  <c r="A946" i="93"/>
  <c r="A671" i="93"/>
  <c r="A571" i="93"/>
  <c r="A471" i="93"/>
  <c r="A371" i="93"/>
  <c r="A196" i="93"/>
  <c r="A96" i="93"/>
  <c r="A996" i="93"/>
  <c r="A546" i="93"/>
  <c r="A446" i="93"/>
  <c r="A171" i="93"/>
  <c r="A971" i="93"/>
  <c r="A246" i="93"/>
  <c r="A621" i="93"/>
  <c r="A421" i="93"/>
  <c r="A146" i="93"/>
  <c r="A846" i="93"/>
  <c r="Q376" i="93"/>
  <c r="P351" i="93"/>
  <c r="D65" i="109"/>
  <c r="D65" i="117"/>
  <c r="D65" i="115"/>
  <c r="D65" i="108"/>
  <c r="D65" i="114"/>
  <c r="D65" i="113"/>
  <c r="D65" i="110"/>
  <c r="D65" i="105"/>
  <c r="D65" i="106"/>
  <c r="D65" i="102"/>
  <c r="D65" i="99"/>
  <c r="D65" i="116"/>
  <c r="D65" i="111"/>
  <c r="D65" i="101"/>
  <c r="D65" i="97"/>
  <c r="D65" i="103"/>
  <c r="D65" i="100"/>
  <c r="D65" i="98"/>
  <c r="D65" i="104"/>
  <c r="D65" i="107"/>
  <c r="D81" i="103"/>
  <c r="D81" i="117"/>
  <c r="D81" i="111"/>
  <c r="D81" i="108"/>
  <c r="D81" i="107"/>
  <c r="D81" i="106"/>
  <c r="D81" i="100"/>
  <c r="D81" i="102"/>
  <c r="D81" i="101"/>
  <c r="D81" i="99"/>
  <c r="D81" i="116"/>
  <c r="D81" i="115"/>
  <c r="D81" i="104"/>
  <c r="D81" i="114"/>
  <c r="D81" i="113"/>
  <c r="D81" i="110"/>
  <c r="D81" i="98"/>
  <c r="D81" i="97"/>
  <c r="D81" i="109"/>
  <c r="D81" i="105"/>
  <c r="D97" i="117"/>
  <c r="D97" i="110"/>
  <c r="D97" i="99"/>
  <c r="D97" i="116"/>
  <c r="D97" i="115"/>
  <c r="D97" i="108"/>
  <c r="D97" i="102"/>
  <c r="D97" i="97"/>
  <c r="D97" i="104"/>
  <c r="D97" i="101"/>
  <c r="D97" i="114"/>
  <c r="D97" i="113"/>
  <c r="D97" i="111"/>
  <c r="D97" i="109"/>
  <c r="D97" i="107"/>
  <c r="D97" i="105"/>
  <c r="D97" i="103"/>
  <c r="D97" i="100"/>
  <c r="D97" i="106"/>
  <c r="D97" i="98"/>
  <c r="D67" i="116"/>
  <c r="D67" i="111"/>
  <c r="D67" i="101"/>
  <c r="D67" i="97"/>
  <c r="D67" i="103"/>
  <c r="D67" i="107"/>
  <c r="D67" i="104"/>
  <c r="D67" i="98"/>
  <c r="D67" i="100"/>
  <c r="D67" i="109"/>
  <c r="D67" i="117"/>
  <c r="D67" i="115"/>
  <c r="D67" i="108"/>
  <c r="D67" i="106"/>
  <c r="D67" i="102"/>
  <c r="D67" i="99"/>
  <c r="D67" i="114"/>
  <c r="D67" i="113"/>
  <c r="D67" i="105"/>
  <c r="D67" i="110"/>
  <c r="D83" i="116"/>
  <c r="D83" i="115"/>
  <c r="D83" i="104"/>
  <c r="D83" i="105"/>
  <c r="D83" i="109"/>
  <c r="D83" i="98"/>
  <c r="D83" i="114"/>
  <c r="D83" i="113"/>
  <c r="D83" i="110"/>
  <c r="D83" i="97"/>
  <c r="D83" i="103"/>
  <c r="D83" i="117"/>
  <c r="D83" i="111"/>
  <c r="D83" i="108"/>
  <c r="D83" i="107"/>
  <c r="D83" i="101"/>
  <c r="D83" i="99"/>
  <c r="D83" i="106"/>
  <c r="D83" i="100"/>
  <c r="D83" i="102"/>
  <c r="D99" i="114"/>
  <c r="D99" i="113"/>
  <c r="D99" i="111"/>
  <c r="D99" i="109"/>
  <c r="D99" i="106"/>
  <c r="D99" i="105"/>
  <c r="D99" i="100"/>
  <c r="D99" i="98"/>
  <c r="D99" i="110"/>
  <c r="D99" i="103"/>
  <c r="D99" i="117"/>
  <c r="D99" i="115"/>
  <c r="D99" i="102"/>
  <c r="D99" i="99"/>
  <c r="D99" i="116"/>
  <c r="D99" i="108"/>
  <c r="D99" i="97"/>
  <c r="D99" i="107"/>
  <c r="D99" i="101"/>
  <c r="D99" i="104"/>
  <c r="D85" i="107"/>
  <c r="D85" i="103"/>
  <c r="D85" i="102"/>
  <c r="D85" i="117"/>
  <c r="D85" i="111"/>
  <c r="D85" i="108"/>
  <c r="D85" i="100"/>
  <c r="D85" i="106"/>
  <c r="D85" i="116"/>
  <c r="D85" i="105"/>
  <c r="D85" i="101"/>
  <c r="D85" i="115"/>
  <c r="D85" i="104"/>
  <c r="D85" i="109"/>
  <c r="D85" i="98"/>
  <c r="D85" i="114"/>
  <c r="D85" i="99"/>
  <c r="D85" i="97"/>
  <c r="D85" i="110"/>
  <c r="D85" i="113"/>
  <c r="D101" i="117"/>
  <c r="D101" i="99"/>
  <c r="D101" i="116"/>
  <c r="D101" i="108"/>
  <c r="D101" i="114"/>
  <c r="D101" i="107"/>
  <c r="D101" i="104"/>
  <c r="D101" i="113"/>
  <c r="D101" i="111"/>
  <c r="D101" i="109"/>
  <c r="D101" i="101"/>
  <c r="D101" i="105"/>
  <c r="D101" i="110"/>
  <c r="D101" i="98"/>
  <c r="D101" i="102"/>
  <c r="D101" i="97"/>
  <c r="D101" i="115"/>
  <c r="D101" i="100"/>
  <c r="D101" i="103"/>
  <c r="D101" i="106"/>
  <c r="D87" i="115"/>
  <c r="D87" i="104"/>
  <c r="D87" i="98"/>
  <c r="D87" i="110"/>
  <c r="D87" i="109"/>
  <c r="D87" i="99"/>
  <c r="D87" i="113"/>
  <c r="D87" i="114"/>
  <c r="D87" i="102"/>
  <c r="D87" i="97"/>
  <c r="D87" i="107"/>
  <c r="D87" i="103"/>
  <c r="D87" i="100"/>
  <c r="D87" i="117"/>
  <c r="D87" i="111"/>
  <c r="D87" i="108"/>
  <c r="D87" i="116"/>
  <c r="D87" i="105"/>
  <c r="D87" i="101"/>
  <c r="D87" i="106"/>
  <c r="D103" i="110"/>
  <c r="D103" i="105"/>
  <c r="D103" i="98"/>
  <c r="D103" i="115"/>
  <c r="D103" i="100"/>
  <c r="D103" i="106"/>
  <c r="D103" i="103"/>
  <c r="D103" i="102"/>
  <c r="D103" i="97"/>
  <c r="D103" i="99"/>
  <c r="D103" i="117"/>
  <c r="D103" i="114"/>
  <c r="D103" i="116"/>
  <c r="D103" i="108"/>
  <c r="D103" i="113"/>
  <c r="D103" i="111"/>
  <c r="D103" i="109"/>
  <c r="D103" i="101"/>
  <c r="D103" i="107"/>
  <c r="D103" i="104"/>
  <c r="D69" i="109"/>
  <c r="D69" i="117"/>
  <c r="D69" i="115"/>
  <c r="D69" i="108"/>
  <c r="D69" i="114"/>
  <c r="D69" i="113"/>
  <c r="D69" i="110"/>
  <c r="D69" i="105"/>
  <c r="D69" i="106"/>
  <c r="D69" i="102"/>
  <c r="D69" i="99"/>
  <c r="D69" i="116"/>
  <c r="D69" i="111"/>
  <c r="D69" i="101"/>
  <c r="D69" i="97"/>
  <c r="D69" i="103"/>
  <c r="D69" i="100"/>
  <c r="D69" i="107"/>
  <c r="D69" i="98"/>
  <c r="D69" i="104"/>
  <c r="D73" i="115"/>
  <c r="D73" i="105"/>
  <c r="D73" i="99"/>
  <c r="D73" i="117"/>
  <c r="D73" i="114"/>
  <c r="D73" i="113"/>
  <c r="D73" i="108"/>
  <c r="D73" i="102"/>
  <c r="D73" i="110"/>
  <c r="D73" i="111"/>
  <c r="D73" i="106"/>
  <c r="D73" i="97"/>
  <c r="D73" i="116"/>
  <c r="D73" i="101"/>
  <c r="D73" i="107"/>
  <c r="D73" i="103"/>
  <c r="D73" i="98"/>
  <c r="D73" i="109"/>
  <c r="D73" i="100"/>
  <c r="D73" i="104"/>
  <c r="D89" i="107"/>
  <c r="D89" i="100"/>
  <c r="D89" i="117"/>
  <c r="D89" i="108"/>
  <c r="D89" i="105"/>
  <c r="D89" i="106"/>
  <c r="D89" i="116"/>
  <c r="D89" i="101"/>
  <c r="D89" i="98"/>
  <c r="D89" i="115"/>
  <c r="D89" i="110"/>
  <c r="D89" i="109"/>
  <c r="D89" i="104"/>
  <c r="D89" i="114"/>
  <c r="D89" i="99"/>
  <c r="D89" i="111"/>
  <c r="D89" i="103"/>
  <c r="D89" i="113"/>
  <c r="D89" i="97"/>
  <c r="D89" i="102"/>
  <c r="D75" i="116"/>
  <c r="D75" i="107"/>
  <c r="D75" i="101"/>
  <c r="D75" i="100"/>
  <c r="D75" i="103"/>
  <c r="D75" i="104"/>
  <c r="D75" i="115"/>
  <c r="D75" i="109"/>
  <c r="D75" i="99"/>
  <c r="D75" i="105"/>
  <c r="D75" i="102"/>
  <c r="D75" i="117"/>
  <c r="D75" i="114"/>
  <c r="D75" i="113"/>
  <c r="D75" i="110"/>
  <c r="D75" i="108"/>
  <c r="D75" i="97"/>
  <c r="D75" i="111"/>
  <c r="D75" i="106"/>
  <c r="D75" i="98"/>
  <c r="D91" i="115"/>
  <c r="D91" i="110"/>
  <c r="D91" i="109"/>
  <c r="D91" i="104"/>
  <c r="D91" i="97"/>
  <c r="D91" i="102"/>
  <c r="D91" i="114"/>
  <c r="D91" i="113"/>
  <c r="D91" i="111"/>
  <c r="D91" i="107"/>
  <c r="D91" i="103"/>
  <c r="D91" i="100"/>
  <c r="D91" i="117"/>
  <c r="D91" i="108"/>
  <c r="D91" i="105"/>
  <c r="D91" i="98"/>
  <c r="D91" i="116"/>
  <c r="D91" i="101"/>
  <c r="D91" i="99"/>
  <c r="D91" i="106"/>
  <c r="D71" i="116"/>
  <c r="D71" i="111"/>
  <c r="D71" i="101"/>
  <c r="D71" i="97"/>
  <c r="D71" i="103"/>
  <c r="D71" i="107"/>
  <c r="D71" i="104"/>
  <c r="D71" i="98"/>
  <c r="D71" i="100"/>
  <c r="D71" i="109"/>
  <c r="D71" i="117"/>
  <c r="D71" i="115"/>
  <c r="D71" i="108"/>
  <c r="D71" i="106"/>
  <c r="D71" i="102"/>
  <c r="D71" i="99"/>
  <c r="D71" i="110"/>
  <c r="D71" i="114"/>
  <c r="D71" i="113"/>
  <c r="D71" i="105"/>
  <c r="D77" i="114"/>
  <c r="D77" i="110"/>
  <c r="D77" i="97"/>
  <c r="D77" i="117"/>
  <c r="D77" i="108"/>
  <c r="D77" i="107"/>
  <c r="D77" i="106"/>
  <c r="D77" i="98"/>
  <c r="D77" i="111"/>
  <c r="D77" i="103"/>
  <c r="D77" i="101"/>
  <c r="D77" i="116"/>
  <c r="D77" i="100"/>
  <c r="D77" i="104"/>
  <c r="D77" i="102"/>
  <c r="D77" i="113"/>
  <c r="D77" i="109"/>
  <c r="D77" i="105"/>
  <c r="D77" i="99"/>
  <c r="D77" i="115"/>
  <c r="D93" i="117"/>
  <c r="D93" i="106"/>
  <c r="D93" i="105"/>
  <c r="D93" i="98"/>
  <c r="D93" i="108"/>
  <c r="D93" i="116"/>
  <c r="D93" i="115"/>
  <c r="D93" i="110"/>
  <c r="D93" i="104"/>
  <c r="D93" i="102"/>
  <c r="D93" i="101"/>
  <c r="D93" i="99"/>
  <c r="D93" i="97"/>
  <c r="D93" i="109"/>
  <c r="D93" i="113"/>
  <c r="D93" i="107"/>
  <c r="D93" i="103"/>
  <c r="D93" i="100"/>
  <c r="D93" i="114"/>
  <c r="D93" i="111"/>
  <c r="D79" i="116"/>
  <c r="D79" i="102"/>
  <c r="D79" i="115"/>
  <c r="D79" i="104"/>
  <c r="D79" i="99"/>
  <c r="D79" i="105"/>
  <c r="D79" i="113"/>
  <c r="D79" i="109"/>
  <c r="D79" i="114"/>
  <c r="D79" i="110"/>
  <c r="D79" i="98"/>
  <c r="D79" i="97"/>
  <c r="D79" i="117"/>
  <c r="D79" i="108"/>
  <c r="D79" i="111"/>
  <c r="D79" i="103"/>
  <c r="D79" i="101"/>
  <c r="D79" i="100"/>
  <c r="D79" i="106"/>
  <c r="D79" i="107"/>
  <c r="D95" i="109"/>
  <c r="D95" i="113"/>
  <c r="D95" i="107"/>
  <c r="D95" i="114"/>
  <c r="D95" i="111"/>
  <c r="D95" i="98"/>
  <c r="D95" i="105"/>
  <c r="D95" i="103"/>
  <c r="D95" i="100"/>
  <c r="D95" i="117"/>
  <c r="D95" i="106"/>
  <c r="D95" i="116"/>
  <c r="D95" i="115"/>
  <c r="D95" i="110"/>
  <c r="D95" i="108"/>
  <c r="D95" i="99"/>
  <c r="D95" i="97"/>
  <c r="D95" i="104"/>
  <c r="D95" i="101"/>
  <c r="D95" i="102"/>
  <c r="P109" i="116"/>
  <c r="P109" i="113"/>
  <c r="P109" i="117"/>
  <c r="P109" i="114"/>
  <c r="P109" i="115"/>
  <c r="P109" i="109"/>
  <c r="P109" i="110"/>
  <c r="P109" i="107"/>
  <c r="P109" i="111"/>
  <c r="P109" i="108"/>
  <c r="P109" i="105"/>
  <c r="P109" i="103"/>
  <c r="P109" i="102"/>
  <c r="P109" i="106"/>
  <c r="P109" i="104"/>
  <c r="P109" i="100"/>
  <c r="P109" i="98"/>
  <c r="P109" i="101"/>
  <c r="P109" i="99"/>
  <c r="P109" i="97"/>
  <c r="O110" i="117"/>
  <c r="O110" i="114"/>
  <c r="O110" i="111"/>
  <c r="O110" i="115"/>
  <c r="O110" i="110"/>
  <c r="O110" i="107"/>
  <c r="O110" i="108"/>
  <c r="O110" i="113"/>
  <c r="O110" i="109"/>
  <c r="O110" i="116"/>
  <c r="O110" i="106"/>
  <c r="O110" i="104"/>
  <c r="O110" i="100"/>
  <c r="O110" i="103"/>
  <c r="O110" i="105"/>
  <c r="O110" i="101"/>
  <c r="O110" i="99"/>
  <c r="O110" i="102"/>
  <c r="O110" i="98"/>
  <c r="O110" i="97"/>
  <c r="P106" i="117"/>
  <c r="P106" i="114"/>
  <c r="P106" i="115"/>
  <c r="P106" i="116"/>
  <c r="P106" i="113"/>
  <c r="P106" i="108"/>
  <c r="P106" i="111"/>
  <c r="P106" i="106"/>
  <c r="P106" i="109"/>
  <c r="P106" i="110"/>
  <c r="P106" i="107"/>
  <c r="P106" i="104"/>
  <c r="P106" i="105"/>
  <c r="P106" i="103"/>
  <c r="P106" i="102"/>
  <c r="P106" i="101"/>
  <c r="P106" i="99"/>
  <c r="P106" i="97"/>
  <c r="P106" i="100"/>
  <c r="P106" i="98"/>
  <c r="P110" i="117"/>
  <c r="P110" i="114"/>
  <c r="P110" i="115"/>
  <c r="P110" i="116"/>
  <c r="P110" i="113"/>
  <c r="P110" i="108"/>
  <c r="P110" i="106"/>
  <c r="P110" i="111"/>
  <c r="P110" i="109"/>
  <c r="P110" i="110"/>
  <c r="P110" i="107"/>
  <c r="P110" i="104"/>
  <c r="P110" i="105"/>
  <c r="P110" i="103"/>
  <c r="P110" i="102"/>
  <c r="P110" i="101"/>
  <c r="P110" i="99"/>
  <c r="P110" i="97"/>
  <c r="P110" i="100"/>
  <c r="P110" i="98"/>
  <c r="O109" i="115"/>
  <c r="O109" i="116"/>
  <c r="O109" i="113"/>
  <c r="O109" i="117"/>
  <c r="O109" i="114"/>
  <c r="O109" i="111"/>
  <c r="O109" i="109"/>
  <c r="O109" i="110"/>
  <c r="O109" i="108"/>
  <c r="O109" i="105"/>
  <c r="O109" i="103"/>
  <c r="O109" i="102"/>
  <c r="O109" i="106"/>
  <c r="O109" i="107"/>
  <c r="O109" i="101"/>
  <c r="O109" i="99"/>
  <c r="O109" i="104"/>
  <c r="O109" i="100"/>
  <c r="O109" i="98"/>
  <c r="O109" i="97"/>
  <c r="O106" i="117"/>
  <c r="O106" i="114"/>
  <c r="O106" i="111"/>
  <c r="O106" i="115"/>
  <c r="O106" i="110"/>
  <c r="O106" i="116"/>
  <c r="O106" i="108"/>
  <c r="O106" i="113"/>
  <c r="O106" i="109"/>
  <c r="O106" i="104"/>
  <c r="O106" i="106"/>
  <c r="O106" i="100"/>
  <c r="O106" i="102"/>
  <c r="O106" i="107"/>
  <c r="O106" i="103"/>
  <c r="O106" i="101"/>
  <c r="O106" i="99"/>
  <c r="O106" i="105"/>
  <c r="O106" i="97"/>
  <c r="O106" i="98"/>
  <c r="O107" i="115"/>
  <c r="O107" i="116"/>
  <c r="O107" i="113"/>
  <c r="O107" i="117"/>
  <c r="O107" i="114"/>
  <c r="O107" i="109"/>
  <c r="O107" i="110"/>
  <c r="O107" i="108"/>
  <c r="O107" i="111"/>
  <c r="O107" i="105"/>
  <c r="O107" i="103"/>
  <c r="O107" i="102"/>
  <c r="O107" i="107"/>
  <c r="O107" i="106"/>
  <c r="O107" i="101"/>
  <c r="O107" i="99"/>
  <c r="O107" i="104"/>
  <c r="O107" i="100"/>
  <c r="O107" i="98"/>
  <c r="O107" i="97"/>
  <c r="P107" i="116"/>
  <c r="P107" i="113"/>
  <c r="P107" i="117"/>
  <c r="P107" i="114"/>
  <c r="P107" i="115"/>
  <c r="P107" i="109"/>
  <c r="P107" i="110"/>
  <c r="P107" i="107"/>
  <c r="P107" i="105"/>
  <c r="P107" i="103"/>
  <c r="P107" i="102"/>
  <c r="P107" i="106"/>
  <c r="P107" i="111"/>
  <c r="P107" i="104"/>
  <c r="P107" i="100"/>
  <c r="P107" i="98"/>
  <c r="P107" i="108"/>
  <c r="P107" i="101"/>
  <c r="P107" i="99"/>
  <c r="P107" i="97"/>
  <c r="P108" i="117"/>
  <c r="P108" i="114"/>
  <c r="P108" i="115"/>
  <c r="P108" i="116"/>
  <c r="P108" i="113"/>
  <c r="P108" i="108"/>
  <c r="P108" i="111"/>
  <c r="P108" i="106"/>
  <c r="P108" i="109"/>
  <c r="P108" i="110"/>
  <c r="P108" i="107"/>
  <c r="P108" i="104"/>
  <c r="P108" i="105"/>
  <c r="P108" i="103"/>
  <c r="P108" i="102"/>
  <c r="P108" i="101"/>
  <c r="P108" i="99"/>
  <c r="P108" i="97"/>
  <c r="P108" i="100"/>
  <c r="P108" i="98"/>
  <c r="O108" i="117"/>
  <c r="O108" i="114"/>
  <c r="O108" i="111"/>
  <c r="O108" i="115"/>
  <c r="O108" i="113"/>
  <c r="O108" i="110"/>
  <c r="O108" i="108"/>
  <c r="O108" i="116"/>
  <c r="O108" i="109"/>
  <c r="O108" i="107"/>
  <c r="O108" i="104"/>
  <c r="O108" i="106"/>
  <c r="O108" i="105"/>
  <c r="O108" i="100"/>
  <c r="O108" i="102"/>
  <c r="O108" i="101"/>
  <c r="O108" i="99"/>
  <c r="O108" i="103"/>
  <c r="O108" i="98"/>
  <c r="O108" i="97"/>
  <c r="A46" i="93"/>
  <c r="A21" i="93"/>
  <c r="A16" i="93"/>
  <c r="N6" i="123" s="1"/>
  <c r="AE15" i="54"/>
  <c r="D79" i="91"/>
  <c r="D79" i="92"/>
  <c r="D79" i="90"/>
  <c r="D79" i="85"/>
  <c r="D79" i="89"/>
  <c r="D79" i="88"/>
  <c r="D79" i="82"/>
  <c r="D79" i="84"/>
  <c r="D79" i="87"/>
  <c r="D79" i="83"/>
  <c r="D79" i="86"/>
  <c r="D65" i="92"/>
  <c r="D65" i="90"/>
  <c r="D65" i="89"/>
  <c r="D65" i="91"/>
  <c r="D65" i="88"/>
  <c r="D65" i="86"/>
  <c r="D65" i="84"/>
  <c r="D65" i="82"/>
  <c r="D65" i="87"/>
  <c r="D65" i="85"/>
  <c r="D65" i="83"/>
  <c r="D81" i="92"/>
  <c r="D81" i="90"/>
  <c r="D81" i="89"/>
  <c r="D81" i="91"/>
  <c r="D81" i="88"/>
  <c r="D81" i="86"/>
  <c r="D81" i="83"/>
  <c r="D81" i="84"/>
  <c r="D81" i="85"/>
  <c r="D81" i="87"/>
  <c r="D81" i="82"/>
  <c r="D67" i="92"/>
  <c r="D67" i="90"/>
  <c r="D67" i="89"/>
  <c r="D67" i="91"/>
  <c r="D67" i="88"/>
  <c r="D67" i="86"/>
  <c r="D67" i="85"/>
  <c r="D67" i="84"/>
  <c r="D67" i="82"/>
  <c r="D67" i="83"/>
  <c r="D67" i="87"/>
  <c r="D83" i="92"/>
  <c r="D83" i="90"/>
  <c r="D83" i="89"/>
  <c r="D83" i="91"/>
  <c r="D83" i="87"/>
  <c r="D83" i="86"/>
  <c r="D83" i="88"/>
  <c r="D83" i="85"/>
  <c r="D83" i="83"/>
  <c r="D83" i="84"/>
  <c r="D83" i="82"/>
  <c r="D99" i="91"/>
  <c r="D99" i="92"/>
  <c r="D99" i="90"/>
  <c r="D99" i="85"/>
  <c r="D99" i="89"/>
  <c r="D99" i="87"/>
  <c r="D99" i="86"/>
  <c r="D99" i="88"/>
  <c r="D99" i="83"/>
  <c r="D99" i="84"/>
  <c r="D99" i="82"/>
  <c r="P106" i="91"/>
  <c r="P106" i="89"/>
  <c r="P106" i="92"/>
  <c r="P106" i="88"/>
  <c r="P106" i="90"/>
  <c r="P106" i="87"/>
  <c r="P106" i="85"/>
  <c r="P106" i="86"/>
  <c r="P106" i="83"/>
  <c r="P106" i="84"/>
  <c r="P106" i="82"/>
  <c r="P110" i="91"/>
  <c r="P110" i="89"/>
  <c r="P110" i="92"/>
  <c r="P110" i="88"/>
  <c r="P110" i="90"/>
  <c r="P110" i="87"/>
  <c r="P110" i="85"/>
  <c r="P110" i="83"/>
  <c r="P110" i="86"/>
  <c r="P110" i="84"/>
  <c r="P110" i="82"/>
  <c r="D101" i="92"/>
  <c r="D101" i="90"/>
  <c r="D101" i="89"/>
  <c r="D101" i="86"/>
  <c r="D101" i="84"/>
  <c r="D101" i="91"/>
  <c r="D101" i="88"/>
  <c r="D101" i="87"/>
  <c r="D101" i="85"/>
  <c r="D101" i="82"/>
  <c r="D101" i="83"/>
  <c r="O107" i="92"/>
  <c r="O107" i="90"/>
  <c r="O107" i="91"/>
  <c r="O107" i="88"/>
  <c r="O107" i="89"/>
  <c r="O107" i="87"/>
  <c r="O107" i="85"/>
  <c r="O107" i="84"/>
  <c r="O107" i="82"/>
  <c r="O107" i="86"/>
  <c r="O107" i="83"/>
  <c r="D85" i="92"/>
  <c r="D85" i="90"/>
  <c r="D85" i="89"/>
  <c r="D85" i="91"/>
  <c r="D85" i="86"/>
  <c r="D85" i="84"/>
  <c r="D85" i="88"/>
  <c r="D85" i="87"/>
  <c r="D85" i="82"/>
  <c r="D85" i="83"/>
  <c r="D85" i="85"/>
  <c r="D103" i="92"/>
  <c r="D103" i="90"/>
  <c r="D103" i="91"/>
  <c r="D103" i="89"/>
  <c r="D103" i="88"/>
  <c r="D103" i="86"/>
  <c r="D103" i="84"/>
  <c r="D103" i="87"/>
  <c r="D103" i="85"/>
  <c r="D103" i="82"/>
  <c r="D103" i="83"/>
  <c r="D75" i="89"/>
  <c r="D75" i="91"/>
  <c r="D75" i="90"/>
  <c r="D75" i="92"/>
  <c r="D75" i="86"/>
  <c r="D75" i="87"/>
  <c r="D75" i="88"/>
  <c r="D75" i="84"/>
  <c r="D75" i="85"/>
  <c r="D75" i="83"/>
  <c r="D75" i="82"/>
  <c r="D69" i="92"/>
  <c r="D69" i="90"/>
  <c r="D69" i="89"/>
  <c r="D69" i="91"/>
  <c r="D69" i="88"/>
  <c r="D69" i="86"/>
  <c r="D69" i="87"/>
  <c r="D69" i="84"/>
  <c r="D69" i="82"/>
  <c r="D69" i="85"/>
  <c r="D69" i="83"/>
  <c r="D71" i="92"/>
  <c r="D71" i="90"/>
  <c r="D71" i="89"/>
  <c r="D71" i="91"/>
  <c r="D71" i="86"/>
  <c r="D71" i="88"/>
  <c r="D71" i="84"/>
  <c r="D71" i="82"/>
  <c r="D71" i="87"/>
  <c r="D71" i="83"/>
  <c r="D71" i="85"/>
  <c r="D87" i="92"/>
  <c r="D87" i="91"/>
  <c r="D87" i="89"/>
  <c r="D87" i="90"/>
  <c r="D87" i="88"/>
  <c r="D87" i="86"/>
  <c r="D87" i="85"/>
  <c r="D87" i="84"/>
  <c r="D87" i="83"/>
  <c r="D87" i="82"/>
  <c r="D87" i="87"/>
  <c r="P107" i="92"/>
  <c r="P107" i="88"/>
  <c r="P107" i="90"/>
  <c r="P107" i="91"/>
  <c r="P107" i="89"/>
  <c r="P107" i="86"/>
  <c r="P107" i="84"/>
  <c r="P107" i="87"/>
  <c r="P107" i="85"/>
  <c r="P107" i="82"/>
  <c r="P107" i="83"/>
  <c r="D73" i="91"/>
  <c r="D73" i="89"/>
  <c r="D73" i="90"/>
  <c r="D73" i="86"/>
  <c r="D73" i="92"/>
  <c r="D73" i="88"/>
  <c r="D73" i="85"/>
  <c r="D73" i="84"/>
  <c r="D73" i="82"/>
  <c r="D73" i="83"/>
  <c r="D73" i="87"/>
  <c r="D89" i="91"/>
  <c r="D89" i="90"/>
  <c r="D89" i="86"/>
  <c r="D89" i="85"/>
  <c r="D89" i="84"/>
  <c r="D89" i="89"/>
  <c r="D89" i="88"/>
  <c r="D89" i="92"/>
  <c r="D89" i="87"/>
  <c r="D89" i="83"/>
  <c r="D89" i="82"/>
  <c r="O108" i="91"/>
  <c r="O108" i="89"/>
  <c r="O108" i="92"/>
  <c r="O108" i="88"/>
  <c r="O108" i="90"/>
  <c r="O108" i="86"/>
  <c r="O108" i="83"/>
  <c r="O108" i="87"/>
  <c r="O108" i="85"/>
  <c r="O108" i="84"/>
  <c r="O108" i="82"/>
  <c r="D91" i="91"/>
  <c r="D91" i="89"/>
  <c r="D91" i="90"/>
  <c r="D91" i="92"/>
  <c r="D91" i="86"/>
  <c r="D91" i="84"/>
  <c r="D91" i="87"/>
  <c r="D91" i="88"/>
  <c r="D91" i="82"/>
  <c r="D91" i="83"/>
  <c r="D91" i="85"/>
  <c r="P108" i="91"/>
  <c r="P108" i="89"/>
  <c r="P108" i="92"/>
  <c r="P108" i="88"/>
  <c r="P108" i="90"/>
  <c r="P108" i="87"/>
  <c r="P108" i="85"/>
  <c r="P108" i="86"/>
  <c r="P108" i="83"/>
  <c r="P108" i="84"/>
  <c r="P108" i="82"/>
  <c r="D93" i="91"/>
  <c r="D93" i="89"/>
  <c r="D93" i="92"/>
  <c r="D93" i="90"/>
  <c r="D93" i="85"/>
  <c r="D93" i="88"/>
  <c r="D93" i="87"/>
  <c r="D93" i="84"/>
  <c r="D93" i="83"/>
  <c r="D93" i="86"/>
  <c r="D93" i="82"/>
  <c r="O109" i="92"/>
  <c r="O109" i="90"/>
  <c r="O109" i="91"/>
  <c r="O109" i="88"/>
  <c r="O109" i="89"/>
  <c r="O109" i="87"/>
  <c r="O109" i="85"/>
  <c r="O109" i="84"/>
  <c r="O109" i="82"/>
  <c r="O109" i="86"/>
  <c r="O109" i="83"/>
  <c r="D95" i="89"/>
  <c r="D95" i="92"/>
  <c r="D95" i="90"/>
  <c r="D95" i="91"/>
  <c r="D95" i="88"/>
  <c r="D95" i="85"/>
  <c r="D95" i="84"/>
  <c r="D95" i="83"/>
  <c r="D95" i="87"/>
  <c r="D95" i="82"/>
  <c r="D95" i="86"/>
  <c r="P109" i="92"/>
  <c r="P109" i="88"/>
  <c r="P109" i="90"/>
  <c r="P109" i="91"/>
  <c r="P109" i="89"/>
  <c r="P109" i="86"/>
  <c r="P109" i="84"/>
  <c r="P109" i="87"/>
  <c r="P109" i="85"/>
  <c r="P109" i="82"/>
  <c r="P109" i="83"/>
  <c r="D77" i="92"/>
  <c r="D77" i="91"/>
  <c r="D77" i="90"/>
  <c r="D77" i="85"/>
  <c r="D77" i="89"/>
  <c r="D77" i="88"/>
  <c r="D77" i="87"/>
  <c r="D77" i="86"/>
  <c r="D77" i="84"/>
  <c r="D77" i="83"/>
  <c r="D77" i="82"/>
  <c r="D97" i="89"/>
  <c r="D97" i="92"/>
  <c r="D97" i="91"/>
  <c r="D97" i="90"/>
  <c r="D97" i="85"/>
  <c r="D97" i="88"/>
  <c r="D97" i="86"/>
  <c r="D97" i="83"/>
  <c r="D97" i="84"/>
  <c r="D97" i="82"/>
  <c r="D97" i="87"/>
  <c r="O106" i="91"/>
  <c r="O106" i="89"/>
  <c r="O106" i="92"/>
  <c r="O106" i="88"/>
  <c r="O106" i="90"/>
  <c r="O106" i="86"/>
  <c r="O106" i="83"/>
  <c r="O106" i="87"/>
  <c r="O106" i="85"/>
  <c r="O106" i="84"/>
  <c r="O106" i="82"/>
  <c r="O110" i="91"/>
  <c r="O110" i="89"/>
  <c r="O110" i="92"/>
  <c r="O110" i="88"/>
  <c r="O110" i="90"/>
  <c r="O110" i="86"/>
  <c r="O110" i="83"/>
  <c r="O110" i="87"/>
  <c r="O110" i="85"/>
  <c r="O110" i="84"/>
  <c r="O110" i="82"/>
  <c r="D77" i="79"/>
  <c r="D77" i="81"/>
  <c r="D77" i="80"/>
  <c r="D77" i="78"/>
  <c r="D77" i="77"/>
  <c r="D77" i="76"/>
  <c r="D77" i="75"/>
  <c r="D77" i="74"/>
  <c r="D95" i="79"/>
  <c r="D95" i="78"/>
  <c r="D95" i="80"/>
  <c r="D95" i="81"/>
  <c r="D95" i="74"/>
  <c r="D95" i="77"/>
  <c r="D95" i="76"/>
  <c r="D95" i="75"/>
  <c r="P109" i="80"/>
  <c r="P109" i="78"/>
  <c r="P109" i="81"/>
  <c r="P109" i="79"/>
  <c r="P109" i="77"/>
  <c r="P109" i="76"/>
  <c r="P109" i="74"/>
  <c r="P109" i="75"/>
  <c r="E65" i="59"/>
  <c r="D65" i="80"/>
  <c r="D65" i="78"/>
  <c r="D65" i="81"/>
  <c r="D65" i="77"/>
  <c r="D65" i="74"/>
  <c r="D65" i="79"/>
  <c r="D65" i="71"/>
  <c r="D65" i="65"/>
  <c r="D65" i="72"/>
  <c r="D65" i="73"/>
  <c r="D65" i="75"/>
  <c r="D65" i="76"/>
  <c r="D81" i="78"/>
  <c r="D81" i="81"/>
  <c r="D81" i="77"/>
  <c r="D81" i="79"/>
  <c r="D81" i="76"/>
  <c r="D81" i="80"/>
  <c r="D81" i="75"/>
  <c r="D81" i="74"/>
  <c r="D97" i="81"/>
  <c r="D97" i="80"/>
  <c r="D97" i="79"/>
  <c r="D97" i="77"/>
  <c r="D97" i="76"/>
  <c r="D97" i="78"/>
  <c r="D97" i="75"/>
  <c r="D97" i="74"/>
  <c r="O106" i="81"/>
  <c r="O106" i="79"/>
  <c r="O106" i="80"/>
  <c r="O106" i="78"/>
  <c r="O106" i="76"/>
  <c r="O106" i="75"/>
  <c r="O106" i="74"/>
  <c r="O106" i="77"/>
  <c r="O110" i="81"/>
  <c r="O110" i="79"/>
  <c r="O110" i="80"/>
  <c r="O110" i="78"/>
  <c r="O110" i="76"/>
  <c r="O110" i="75"/>
  <c r="O110" i="77"/>
  <c r="O110" i="74"/>
  <c r="E73" i="59"/>
  <c r="D73" i="80"/>
  <c r="D73" i="81"/>
  <c r="D73" i="79"/>
  <c r="D73" i="77"/>
  <c r="D73" i="75"/>
  <c r="D73" i="76"/>
  <c r="D73" i="78"/>
  <c r="D73" i="65"/>
  <c r="D73" i="72"/>
  <c r="D73" i="71"/>
  <c r="D73" i="74"/>
  <c r="D73" i="73"/>
  <c r="D99" i="81"/>
  <c r="D99" i="80"/>
  <c r="D99" i="79"/>
  <c r="D99" i="77"/>
  <c r="D99" i="78"/>
  <c r="D99" i="76"/>
  <c r="D99" i="75"/>
  <c r="D99" i="74"/>
  <c r="P106" i="81"/>
  <c r="P106" i="79"/>
  <c r="P106" i="77"/>
  <c r="P106" i="78"/>
  <c r="P106" i="76"/>
  <c r="P106" i="80"/>
  <c r="P106" i="74"/>
  <c r="P106" i="75"/>
  <c r="P110" i="81"/>
  <c r="P110" i="79"/>
  <c r="P110" i="77"/>
  <c r="P110" i="80"/>
  <c r="P110" i="76"/>
  <c r="P110" i="78"/>
  <c r="P110" i="74"/>
  <c r="P110" i="75"/>
  <c r="E67" i="59"/>
  <c r="D67" i="80"/>
  <c r="D67" i="78"/>
  <c r="D67" i="81"/>
  <c r="D67" i="77"/>
  <c r="D67" i="79"/>
  <c r="D67" i="74"/>
  <c r="D67" i="71"/>
  <c r="D67" i="76"/>
  <c r="D67" i="73"/>
  <c r="D67" i="75"/>
  <c r="D67" i="65"/>
  <c r="D67" i="72"/>
  <c r="D101" i="80"/>
  <c r="D101" i="78"/>
  <c r="D101" i="81"/>
  <c r="D101" i="77"/>
  <c r="D101" i="79"/>
  <c r="D101" i="75"/>
  <c r="D101" i="76"/>
  <c r="D101" i="74"/>
  <c r="D83" i="78"/>
  <c r="D83" i="77"/>
  <c r="D83" i="81"/>
  <c r="D83" i="80"/>
  <c r="D83" i="79"/>
  <c r="D83" i="76"/>
  <c r="D83" i="75"/>
  <c r="D83" i="74"/>
  <c r="E69" i="59"/>
  <c r="D69" i="80"/>
  <c r="D69" i="78"/>
  <c r="D69" i="81"/>
  <c r="D69" i="77"/>
  <c r="D69" i="76"/>
  <c r="D69" i="74"/>
  <c r="D69" i="79"/>
  <c r="D69" i="75"/>
  <c r="D69" i="71"/>
  <c r="D69" i="65"/>
  <c r="D69" i="73"/>
  <c r="D69" i="72"/>
  <c r="D85" i="81"/>
  <c r="D85" i="77"/>
  <c r="D85" i="80"/>
  <c r="D85" i="78"/>
  <c r="D85" i="79"/>
  <c r="D85" i="76"/>
  <c r="D85" i="75"/>
  <c r="D85" i="74"/>
  <c r="O107" i="80"/>
  <c r="O107" i="78"/>
  <c r="O107" i="81"/>
  <c r="O107" i="77"/>
  <c r="O107" i="74"/>
  <c r="O107" i="79"/>
  <c r="O107" i="75"/>
  <c r="O107" i="76"/>
  <c r="E71" i="59"/>
  <c r="D71" i="80"/>
  <c r="D71" i="78"/>
  <c r="D71" i="81"/>
  <c r="D71" i="77"/>
  <c r="D71" i="79"/>
  <c r="D71" i="76"/>
  <c r="D71" i="74"/>
  <c r="D71" i="71"/>
  <c r="D71" i="65"/>
  <c r="D71" i="75"/>
  <c r="D71" i="73"/>
  <c r="D71" i="72"/>
  <c r="D87" i="81"/>
  <c r="D87" i="77"/>
  <c r="D87" i="80"/>
  <c r="D87" i="78"/>
  <c r="D87" i="76"/>
  <c r="D87" i="74"/>
  <c r="D87" i="79"/>
  <c r="D87" i="75"/>
  <c r="D103" i="80"/>
  <c r="D103" i="78"/>
  <c r="D103" i="81"/>
  <c r="D103" i="79"/>
  <c r="D103" i="76"/>
  <c r="D103" i="74"/>
  <c r="D103" i="77"/>
  <c r="D103" i="75"/>
  <c r="P107" i="80"/>
  <c r="P107" i="78"/>
  <c r="P107" i="81"/>
  <c r="P107" i="76"/>
  <c r="P107" i="79"/>
  <c r="P107" i="75"/>
  <c r="P107" i="77"/>
  <c r="P107" i="74"/>
  <c r="D89" i="79"/>
  <c r="D89" i="80"/>
  <c r="D89" i="78"/>
  <c r="D89" i="75"/>
  <c r="D89" i="77"/>
  <c r="D89" i="76"/>
  <c r="D89" i="81"/>
  <c r="D89" i="74"/>
  <c r="O108" i="81"/>
  <c r="O108" i="79"/>
  <c r="O108" i="80"/>
  <c r="O108" i="78"/>
  <c r="O108" i="76"/>
  <c r="O108" i="75"/>
  <c r="O108" i="77"/>
  <c r="O108" i="74"/>
  <c r="D91" i="80"/>
  <c r="D91" i="79"/>
  <c r="D91" i="78"/>
  <c r="D91" i="81"/>
  <c r="D91" i="75"/>
  <c r="D91" i="76"/>
  <c r="D91" i="77"/>
  <c r="D91" i="74"/>
  <c r="P108" i="81"/>
  <c r="P108" i="79"/>
  <c r="P108" i="77"/>
  <c r="P108" i="80"/>
  <c r="P108" i="78"/>
  <c r="P108" i="76"/>
  <c r="P108" i="74"/>
  <c r="P108" i="75"/>
  <c r="D93" i="79"/>
  <c r="D93" i="78"/>
  <c r="D93" i="81"/>
  <c r="D93" i="80"/>
  <c r="D93" i="77"/>
  <c r="D93" i="74"/>
  <c r="D93" i="76"/>
  <c r="D93" i="75"/>
  <c r="O109" i="80"/>
  <c r="O109" i="78"/>
  <c r="O109" i="81"/>
  <c r="O109" i="77"/>
  <c r="O109" i="74"/>
  <c r="O109" i="76"/>
  <c r="O109" i="75"/>
  <c r="O109" i="79"/>
  <c r="D75" i="81"/>
  <c r="D75" i="79"/>
  <c r="D75" i="80"/>
  <c r="D75" i="75"/>
  <c r="D75" i="76"/>
  <c r="D75" i="74"/>
  <c r="D75" i="78"/>
  <c r="D75" i="77"/>
  <c r="D79" i="79"/>
  <c r="D79" i="81"/>
  <c r="D79" i="80"/>
  <c r="D79" i="74"/>
  <c r="D79" i="77"/>
  <c r="D79" i="78"/>
  <c r="D79" i="76"/>
  <c r="D79" i="75"/>
  <c r="E99" i="59"/>
  <c r="D99" i="71"/>
  <c r="D99" i="65"/>
  <c r="D99" i="73"/>
  <c r="D99" i="72"/>
  <c r="P106" i="73"/>
  <c r="P106" i="71"/>
  <c r="P106" i="65"/>
  <c r="P106" i="72"/>
  <c r="P110" i="73"/>
  <c r="P110" i="71"/>
  <c r="P110" i="65"/>
  <c r="P110" i="72"/>
  <c r="E85" i="59"/>
  <c r="D85" i="71"/>
  <c r="D85" i="72"/>
  <c r="D85" i="73"/>
  <c r="D85" i="65"/>
  <c r="E101" i="59"/>
  <c r="D101" i="72"/>
  <c r="D101" i="73"/>
  <c r="D101" i="71"/>
  <c r="D101" i="65"/>
  <c r="O107" i="65"/>
  <c r="O107" i="72"/>
  <c r="O107" i="73"/>
  <c r="O107" i="71"/>
  <c r="E87" i="59"/>
  <c r="D87" i="73"/>
  <c r="D87" i="72"/>
  <c r="D87" i="65"/>
  <c r="D87" i="71"/>
  <c r="E103" i="59"/>
  <c r="D103" i="72"/>
  <c r="D103" i="65"/>
  <c r="D103" i="73"/>
  <c r="D103" i="71"/>
  <c r="P107" i="65"/>
  <c r="P107" i="72"/>
  <c r="P107" i="73"/>
  <c r="P107" i="71"/>
  <c r="E89" i="59"/>
  <c r="D89" i="65"/>
  <c r="D89" i="72"/>
  <c r="D89" i="73"/>
  <c r="D89" i="71"/>
  <c r="O108" i="73"/>
  <c r="O108" i="71"/>
  <c r="O108" i="65"/>
  <c r="O108" i="72"/>
  <c r="E75" i="59"/>
  <c r="D75" i="65"/>
  <c r="D75" i="71"/>
  <c r="D75" i="73"/>
  <c r="D75" i="72"/>
  <c r="E91" i="59"/>
  <c r="D91" i="65"/>
  <c r="D91" i="73"/>
  <c r="D91" i="71"/>
  <c r="D91" i="72"/>
  <c r="P108" i="73"/>
  <c r="P108" i="71"/>
  <c r="P108" i="72"/>
  <c r="P108" i="65"/>
  <c r="E77" i="59"/>
  <c r="D77" i="71"/>
  <c r="D77" i="73"/>
  <c r="D77" i="72"/>
  <c r="D77" i="65"/>
  <c r="E93" i="59"/>
  <c r="D93" i="73"/>
  <c r="D93" i="71"/>
  <c r="D93" i="72"/>
  <c r="D93" i="65"/>
  <c r="O109" i="72"/>
  <c r="O109" i="73"/>
  <c r="O109" i="65"/>
  <c r="O109" i="71"/>
  <c r="E83" i="59"/>
  <c r="D83" i="71"/>
  <c r="D83" i="65"/>
  <c r="D83" i="72"/>
  <c r="D83" i="73"/>
  <c r="E79" i="59"/>
  <c r="D79" i="73"/>
  <c r="D79" i="71"/>
  <c r="D79" i="65"/>
  <c r="D79" i="72"/>
  <c r="E95" i="59"/>
  <c r="D95" i="71"/>
  <c r="D95" i="65"/>
  <c r="D95" i="72"/>
  <c r="D95" i="73"/>
  <c r="P109" i="72"/>
  <c r="P109" i="65"/>
  <c r="P109" i="73"/>
  <c r="P109" i="71"/>
  <c r="E81" i="59"/>
  <c r="D81" i="73"/>
  <c r="D81" i="71"/>
  <c r="D81" i="65"/>
  <c r="D81" i="72"/>
  <c r="E97" i="59"/>
  <c r="D97" i="71"/>
  <c r="D97" i="65"/>
  <c r="D97" i="72"/>
  <c r="D97" i="73"/>
  <c r="O106" i="73"/>
  <c r="O106" i="71"/>
  <c r="O106" i="65"/>
  <c r="O106" i="72"/>
  <c r="O110" i="73"/>
  <c r="O110" i="71"/>
  <c r="O110" i="65"/>
  <c r="O110" i="72"/>
  <c r="E81" i="61"/>
  <c r="E93" i="61"/>
  <c r="E97" i="61"/>
  <c r="E77" i="61"/>
  <c r="E89" i="61"/>
  <c r="E75" i="61"/>
  <c r="E101" i="61"/>
  <c r="E65" i="61"/>
  <c r="E67" i="61"/>
  <c r="E85" i="61"/>
  <c r="E69" i="61"/>
  <c r="E71" i="61"/>
  <c r="E79" i="61"/>
  <c r="E83" i="61"/>
  <c r="E87" i="61"/>
  <c r="E91" i="61"/>
  <c r="E95" i="61"/>
  <c r="E99" i="61"/>
  <c r="E103" i="61"/>
  <c r="E73" i="61"/>
  <c r="O110" i="59"/>
  <c r="N110" i="59"/>
  <c r="M110" i="59"/>
  <c r="O109" i="59"/>
  <c r="N109" i="59"/>
  <c r="M109" i="59"/>
  <c r="O108" i="59"/>
  <c r="N108" i="59"/>
  <c r="M108" i="59"/>
  <c r="O107" i="59"/>
  <c r="N107" i="59"/>
  <c r="M107" i="59"/>
  <c r="R32" i="45" l="1"/>
  <c r="O6" i="124"/>
  <c r="P726" i="48"/>
  <c r="Q751" i="48"/>
  <c r="Q401" i="93"/>
  <c r="P376" i="93"/>
  <c r="R95" i="102"/>
  <c r="S95" i="102"/>
  <c r="R96" i="102"/>
  <c r="S96" i="102"/>
  <c r="R95" i="116"/>
  <c r="S96" i="116"/>
  <c r="R96" i="116"/>
  <c r="S95" i="116"/>
  <c r="R95" i="114"/>
  <c r="S95" i="114"/>
  <c r="S96" i="114"/>
  <c r="R96" i="114"/>
  <c r="S80" i="103"/>
  <c r="R80" i="103"/>
  <c r="S79" i="103"/>
  <c r="R79" i="103"/>
  <c r="R80" i="109"/>
  <c r="S80" i="109"/>
  <c r="S79" i="109"/>
  <c r="R79" i="109"/>
  <c r="S94" i="111"/>
  <c r="S93" i="111"/>
  <c r="R94" i="111"/>
  <c r="R93" i="111"/>
  <c r="R93" i="99"/>
  <c r="S93" i="99"/>
  <c r="S94" i="99"/>
  <c r="R94" i="99"/>
  <c r="R93" i="98"/>
  <c r="S94" i="98"/>
  <c r="S93" i="98"/>
  <c r="R94" i="98"/>
  <c r="S78" i="113"/>
  <c r="S77" i="113"/>
  <c r="R78" i="113"/>
  <c r="R77" i="113"/>
  <c r="R77" i="98"/>
  <c r="S77" i="98"/>
  <c r="S78" i="98"/>
  <c r="R78" i="98"/>
  <c r="R71" i="105"/>
  <c r="S72" i="105"/>
  <c r="S71" i="105"/>
  <c r="R72" i="105"/>
  <c r="R71" i="115"/>
  <c r="S71" i="115"/>
  <c r="R72" i="115"/>
  <c r="S72" i="115"/>
  <c r="S72" i="97"/>
  <c r="S71" i="97"/>
  <c r="R72" i="97"/>
  <c r="R71" i="97"/>
  <c r="R91" i="98"/>
  <c r="S92" i="98"/>
  <c r="R92" i="98"/>
  <c r="S91" i="98"/>
  <c r="R91" i="113"/>
  <c r="S92" i="113"/>
  <c r="R92" i="113"/>
  <c r="S91" i="113"/>
  <c r="R75" i="98"/>
  <c r="S76" i="98"/>
  <c r="R76" i="98"/>
  <c r="S75" i="98"/>
  <c r="S75" i="117"/>
  <c r="R75" i="117"/>
  <c r="S76" i="117"/>
  <c r="R76" i="117"/>
  <c r="S76" i="100"/>
  <c r="S75" i="100"/>
  <c r="R76" i="100"/>
  <c r="R75" i="100"/>
  <c r="S90" i="111"/>
  <c r="S89" i="111"/>
  <c r="R90" i="111"/>
  <c r="R89" i="111"/>
  <c r="S90" i="101"/>
  <c r="S89" i="101"/>
  <c r="R90" i="101"/>
  <c r="R89" i="101"/>
  <c r="S74" i="104"/>
  <c r="R73" i="104"/>
  <c r="S73" i="104"/>
  <c r="R74" i="104"/>
  <c r="R73" i="97"/>
  <c r="S73" i="97"/>
  <c r="S74" i="97"/>
  <c r="R74" i="97"/>
  <c r="S74" i="117"/>
  <c r="R73" i="117"/>
  <c r="S73" i="117"/>
  <c r="R74" i="117"/>
  <c r="S104" i="104"/>
  <c r="R104" i="104"/>
  <c r="S103" i="104"/>
  <c r="R103" i="104"/>
  <c r="R103" i="114"/>
  <c r="S104" i="114"/>
  <c r="S103" i="114"/>
  <c r="R104" i="114"/>
  <c r="R103" i="115"/>
  <c r="S103" i="115"/>
  <c r="R104" i="115"/>
  <c r="S104" i="115"/>
  <c r="R87" i="108"/>
  <c r="S88" i="108"/>
  <c r="R88" i="108"/>
  <c r="S87" i="108"/>
  <c r="R87" i="114"/>
  <c r="S87" i="114"/>
  <c r="S88" i="114"/>
  <c r="R88" i="114"/>
  <c r="R102" i="106"/>
  <c r="S102" i="106"/>
  <c r="R101" i="106"/>
  <c r="S101" i="106"/>
  <c r="R102" i="105"/>
  <c r="S102" i="105"/>
  <c r="S101" i="105"/>
  <c r="R101" i="105"/>
  <c r="S102" i="108"/>
  <c r="S101" i="108"/>
  <c r="R101" i="108"/>
  <c r="R102" i="108"/>
  <c r="S86" i="114"/>
  <c r="R85" i="114"/>
  <c r="S85" i="114"/>
  <c r="R86" i="114"/>
  <c r="R86" i="106"/>
  <c r="S86" i="106"/>
  <c r="R85" i="106"/>
  <c r="S85" i="106"/>
  <c r="S84" i="101"/>
  <c r="R84" i="101"/>
  <c r="S83" i="101"/>
  <c r="R83" i="101"/>
  <c r="R83" i="113"/>
  <c r="S84" i="113"/>
  <c r="S83" i="113"/>
  <c r="R84" i="113"/>
  <c r="R81" i="105"/>
  <c r="S81" i="105"/>
  <c r="S82" i="105"/>
  <c r="R82" i="105"/>
  <c r="S82" i="115"/>
  <c r="R82" i="115"/>
  <c r="R81" i="115"/>
  <c r="S81" i="115"/>
  <c r="S82" i="108"/>
  <c r="S81" i="108"/>
  <c r="R82" i="108"/>
  <c r="R81" i="108"/>
  <c r="R95" i="101"/>
  <c r="S95" i="101"/>
  <c r="S96" i="101"/>
  <c r="R96" i="101"/>
  <c r="S96" i="106"/>
  <c r="S95" i="106"/>
  <c r="R95" i="106"/>
  <c r="R96" i="106"/>
  <c r="S96" i="107"/>
  <c r="S95" i="107"/>
  <c r="R96" i="107"/>
  <c r="R95" i="107"/>
  <c r="R79" i="111"/>
  <c r="S80" i="111"/>
  <c r="S79" i="111"/>
  <c r="R80" i="111"/>
  <c r="R79" i="113"/>
  <c r="S79" i="113"/>
  <c r="S80" i="113"/>
  <c r="R80" i="113"/>
  <c r="S94" i="114"/>
  <c r="S93" i="114"/>
  <c r="R94" i="114"/>
  <c r="R93" i="114"/>
  <c r="S94" i="101"/>
  <c r="S93" i="101"/>
  <c r="R94" i="101"/>
  <c r="R93" i="101"/>
  <c r="R93" i="105"/>
  <c r="S93" i="105"/>
  <c r="S94" i="105"/>
  <c r="R94" i="105"/>
  <c r="R78" i="102"/>
  <c r="S78" i="102"/>
  <c r="R77" i="102"/>
  <c r="S77" i="102"/>
  <c r="R78" i="106"/>
  <c r="S78" i="106"/>
  <c r="R77" i="106"/>
  <c r="S77" i="106"/>
  <c r="R71" i="113"/>
  <c r="S71" i="113"/>
  <c r="S72" i="113"/>
  <c r="R72" i="113"/>
  <c r="R71" i="117"/>
  <c r="S72" i="117"/>
  <c r="R72" i="117"/>
  <c r="S71" i="117"/>
  <c r="R71" i="101"/>
  <c r="S71" i="101"/>
  <c r="S72" i="101"/>
  <c r="R72" i="101"/>
  <c r="R91" i="105"/>
  <c r="S92" i="105"/>
  <c r="R92" i="105"/>
  <c r="S91" i="105"/>
  <c r="R91" i="114"/>
  <c r="S91" i="114"/>
  <c r="S92" i="114"/>
  <c r="R92" i="114"/>
  <c r="R75" i="106"/>
  <c r="S76" i="106"/>
  <c r="S75" i="106"/>
  <c r="R76" i="106"/>
  <c r="R75" i="102"/>
  <c r="R76" i="102"/>
  <c r="S75" i="102"/>
  <c r="S76" i="102"/>
  <c r="R75" i="101"/>
  <c r="S75" i="101"/>
  <c r="S76" i="101"/>
  <c r="R76" i="101"/>
  <c r="R89" i="99"/>
  <c r="S90" i="99"/>
  <c r="S89" i="99"/>
  <c r="R90" i="99"/>
  <c r="S90" i="116"/>
  <c r="R90" i="116"/>
  <c r="R89" i="116"/>
  <c r="S89" i="116"/>
  <c r="R73" i="100"/>
  <c r="S74" i="100"/>
  <c r="S73" i="100"/>
  <c r="R74" i="100"/>
  <c r="R74" i="106"/>
  <c r="S74" i="106"/>
  <c r="R73" i="106"/>
  <c r="S73" i="106"/>
  <c r="R73" i="99"/>
  <c r="S73" i="99"/>
  <c r="R74" i="99"/>
  <c r="S74" i="99"/>
  <c r="S104" i="107"/>
  <c r="S103" i="107"/>
  <c r="R104" i="107"/>
  <c r="R103" i="107"/>
  <c r="R103" i="117"/>
  <c r="S104" i="117"/>
  <c r="S103" i="117"/>
  <c r="R104" i="117"/>
  <c r="R103" i="98"/>
  <c r="S103" i="98"/>
  <c r="R104" i="98"/>
  <c r="S104" i="98"/>
  <c r="R87" i="111"/>
  <c r="S88" i="111"/>
  <c r="S87" i="111"/>
  <c r="R88" i="111"/>
  <c r="R88" i="113"/>
  <c r="R87" i="113"/>
  <c r="S87" i="113"/>
  <c r="S88" i="113"/>
  <c r="S102" i="103"/>
  <c r="S101" i="103"/>
  <c r="R101" i="103"/>
  <c r="R102" i="103"/>
  <c r="S102" i="101"/>
  <c r="S101" i="101"/>
  <c r="R101" i="101"/>
  <c r="R102" i="101"/>
  <c r="S102" i="116"/>
  <c r="S101" i="116"/>
  <c r="R101" i="116"/>
  <c r="R102" i="116"/>
  <c r="R85" i="98"/>
  <c r="S86" i="98"/>
  <c r="S85" i="98"/>
  <c r="R86" i="98"/>
  <c r="R85" i="100"/>
  <c r="S85" i="100"/>
  <c r="R86" i="100"/>
  <c r="S86" i="100"/>
  <c r="S84" i="107"/>
  <c r="S83" i="107"/>
  <c r="R84" i="107"/>
  <c r="R83" i="107"/>
  <c r="R83" i="114"/>
  <c r="R84" i="114"/>
  <c r="S83" i="114"/>
  <c r="S84" i="114"/>
  <c r="S82" i="109"/>
  <c r="S81" i="109"/>
  <c r="R82" i="109"/>
  <c r="R81" i="109"/>
  <c r="S82" i="116"/>
  <c r="R81" i="116"/>
  <c r="S81" i="116"/>
  <c r="R82" i="116"/>
  <c r="S82" i="111"/>
  <c r="R81" i="111"/>
  <c r="S81" i="111"/>
  <c r="R82" i="111"/>
  <c r="S96" i="104"/>
  <c r="S95" i="104"/>
  <c r="R96" i="104"/>
  <c r="R95" i="104"/>
  <c r="S96" i="117"/>
  <c r="R96" i="117"/>
  <c r="S95" i="117"/>
  <c r="R95" i="117"/>
  <c r="R95" i="113"/>
  <c r="S95" i="113"/>
  <c r="S96" i="113"/>
  <c r="R96" i="113"/>
  <c r="R79" i="108"/>
  <c r="S80" i="108"/>
  <c r="R80" i="108"/>
  <c r="S79" i="108"/>
  <c r="R79" i="105"/>
  <c r="S80" i="105"/>
  <c r="S79" i="105"/>
  <c r="R80" i="105"/>
  <c r="R93" i="100"/>
  <c r="S93" i="100"/>
  <c r="R94" i="100"/>
  <c r="S94" i="100"/>
  <c r="R94" i="102"/>
  <c r="S94" i="102"/>
  <c r="R93" i="102"/>
  <c r="S93" i="102"/>
  <c r="S94" i="106"/>
  <c r="R94" i="106"/>
  <c r="R93" i="106"/>
  <c r="S93" i="106"/>
  <c r="S78" i="104"/>
  <c r="R77" i="104"/>
  <c r="S77" i="104"/>
  <c r="R78" i="104"/>
  <c r="R78" i="107"/>
  <c r="R77" i="107"/>
  <c r="S77" i="107"/>
  <c r="S78" i="107"/>
  <c r="R71" i="114"/>
  <c r="S72" i="114"/>
  <c r="R72" i="114"/>
  <c r="S71" i="114"/>
  <c r="S72" i="109"/>
  <c r="S71" i="109"/>
  <c r="R72" i="109"/>
  <c r="R71" i="109"/>
  <c r="R71" i="111"/>
  <c r="S72" i="111"/>
  <c r="R72" i="111"/>
  <c r="S71" i="111"/>
  <c r="R92" i="108"/>
  <c r="S91" i="108"/>
  <c r="R91" i="108"/>
  <c r="S92" i="108"/>
  <c r="S92" i="102"/>
  <c r="R92" i="102"/>
  <c r="R91" i="102"/>
  <c r="S91" i="102"/>
  <c r="R75" i="111"/>
  <c r="R76" i="111"/>
  <c r="S76" i="111"/>
  <c r="S75" i="111"/>
  <c r="R75" i="105"/>
  <c r="S76" i="105"/>
  <c r="S75" i="105"/>
  <c r="R76" i="105"/>
  <c r="S76" i="107"/>
  <c r="R76" i="107"/>
  <c r="S75" i="107"/>
  <c r="R75" i="107"/>
  <c r="S90" i="114"/>
  <c r="R89" i="114"/>
  <c r="S89" i="114"/>
  <c r="R90" i="114"/>
  <c r="R90" i="106"/>
  <c r="S90" i="106"/>
  <c r="R89" i="106"/>
  <c r="S89" i="106"/>
  <c r="S74" i="109"/>
  <c r="R73" i="109"/>
  <c r="S73" i="109"/>
  <c r="R74" i="109"/>
  <c r="S74" i="111"/>
  <c r="R73" i="111"/>
  <c r="S73" i="111"/>
  <c r="R74" i="111"/>
  <c r="R73" i="105"/>
  <c r="S73" i="105"/>
  <c r="S74" i="105"/>
  <c r="R74" i="105"/>
  <c r="R103" i="101"/>
  <c r="S103" i="101"/>
  <c r="R104" i="101"/>
  <c r="S104" i="101"/>
  <c r="R103" i="99"/>
  <c r="S104" i="99"/>
  <c r="R104" i="99"/>
  <c r="S103" i="99"/>
  <c r="R103" i="105"/>
  <c r="S103" i="105"/>
  <c r="R104" i="105"/>
  <c r="S104" i="105"/>
  <c r="R87" i="117"/>
  <c r="S88" i="117"/>
  <c r="R88" i="117"/>
  <c r="S87" i="117"/>
  <c r="S88" i="99"/>
  <c r="S87" i="99"/>
  <c r="R88" i="99"/>
  <c r="R87" i="99"/>
  <c r="R101" i="100"/>
  <c r="S102" i="100"/>
  <c r="S101" i="100"/>
  <c r="R102" i="100"/>
  <c r="S102" i="109"/>
  <c r="S101" i="109"/>
  <c r="R101" i="109"/>
  <c r="R102" i="109"/>
  <c r="R102" i="99"/>
  <c r="S102" i="99"/>
  <c r="R101" i="99"/>
  <c r="S101" i="99"/>
  <c r="S86" i="109"/>
  <c r="R85" i="109"/>
  <c r="S85" i="109"/>
  <c r="R86" i="109"/>
  <c r="S86" i="108"/>
  <c r="R85" i="108"/>
  <c r="S85" i="108"/>
  <c r="R86" i="108"/>
  <c r="S83" i="108"/>
  <c r="R83" i="108"/>
  <c r="S84" i="108"/>
  <c r="R84" i="108"/>
  <c r="R83" i="98"/>
  <c r="S83" i="98"/>
  <c r="R84" i="98"/>
  <c r="S84" i="98"/>
  <c r="R81" i="97"/>
  <c r="R82" i="97"/>
  <c r="S82" i="97"/>
  <c r="S81" i="97"/>
  <c r="R81" i="99"/>
  <c r="S81" i="99"/>
  <c r="R82" i="99"/>
  <c r="S82" i="99"/>
  <c r="S82" i="117"/>
  <c r="R81" i="117"/>
  <c r="S81" i="117"/>
  <c r="R82" i="117"/>
  <c r="S96" i="97"/>
  <c r="S95" i="97"/>
  <c r="R96" i="97"/>
  <c r="R95" i="97"/>
  <c r="S96" i="100"/>
  <c r="S95" i="100"/>
  <c r="R96" i="100"/>
  <c r="R95" i="100"/>
  <c r="S96" i="109"/>
  <c r="R95" i="109"/>
  <c r="R96" i="109"/>
  <c r="S95" i="109"/>
  <c r="R79" i="117"/>
  <c r="S80" i="117"/>
  <c r="R80" i="117"/>
  <c r="S79" i="117"/>
  <c r="S80" i="99"/>
  <c r="R79" i="99"/>
  <c r="S79" i="99"/>
  <c r="R80" i="99"/>
  <c r="S94" i="103"/>
  <c r="S93" i="103"/>
  <c r="R94" i="103"/>
  <c r="R93" i="103"/>
  <c r="S94" i="104"/>
  <c r="S93" i="104"/>
  <c r="R94" i="104"/>
  <c r="R93" i="104"/>
  <c r="S94" i="117"/>
  <c r="S93" i="117"/>
  <c r="R94" i="117"/>
  <c r="R93" i="117"/>
  <c r="R77" i="100"/>
  <c r="S77" i="100"/>
  <c r="R78" i="100"/>
  <c r="S78" i="100"/>
  <c r="S78" i="108"/>
  <c r="R78" i="108"/>
  <c r="R77" i="108"/>
  <c r="S77" i="108"/>
  <c r="R71" i="110"/>
  <c r="S71" i="110"/>
  <c r="S72" i="110"/>
  <c r="R72" i="110"/>
  <c r="S72" i="100"/>
  <c r="S71" i="100"/>
  <c r="R72" i="100"/>
  <c r="R71" i="100"/>
  <c r="R71" i="116"/>
  <c r="S71" i="116"/>
  <c r="S72" i="116"/>
  <c r="R72" i="116"/>
  <c r="R91" i="117"/>
  <c r="S92" i="117"/>
  <c r="R92" i="117"/>
  <c r="S91" i="117"/>
  <c r="S92" i="97"/>
  <c r="S91" i="97"/>
  <c r="R92" i="97"/>
  <c r="R91" i="97"/>
  <c r="S76" i="97"/>
  <c r="S75" i="97"/>
  <c r="R76" i="97"/>
  <c r="R75" i="97"/>
  <c r="S76" i="99"/>
  <c r="R75" i="99"/>
  <c r="R76" i="99"/>
  <c r="S75" i="99"/>
  <c r="S76" i="116"/>
  <c r="R76" i="116"/>
  <c r="R75" i="116"/>
  <c r="S75" i="116"/>
  <c r="S90" i="104"/>
  <c r="S89" i="104"/>
  <c r="R90" i="104"/>
  <c r="R89" i="104"/>
  <c r="R90" i="105"/>
  <c r="R89" i="105"/>
  <c r="S89" i="105"/>
  <c r="S90" i="105"/>
  <c r="R73" i="98"/>
  <c r="S74" i="98"/>
  <c r="S73" i="98"/>
  <c r="R74" i="98"/>
  <c r="S74" i="110"/>
  <c r="S73" i="110"/>
  <c r="R73" i="110"/>
  <c r="R74" i="110"/>
  <c r="S74" i="115"/>
  <c r="S73" i="115"/>
  <c r="R73" i="115"/>
  <c r="R74" i="115"/>
  <c r="S104" i="109"/>
  <c r="S103" i="109"/>
  <c r="R103" i="109"/>
  <c r="R104" i="109"/>
  <c r="R104" i="97"/>
  <c r="S104" i="97"/>
  <c r="S103" i="97"/>
  <c r="R103" i="97"/>
  <c r="R103" i="110"/>
  <c r="S103" i="110"/>
  <c r="S104" i="110"/>
  <c r="R104" i="110"/>
  <c r="S88" i="100"/>
  <c r="R88" i="100"/>
  <c r="S87" i="100"/>
  <c r="R87" i="100"/>
  <c r="S88" i="109"/>
  <c r="S87" i="109"/>
  <c r="R87" i="109"/>
  <c r="R88" i="109"/>
  <c r="S102" i="115"/>
  <c r="S101" i="115"/>
  <c r="R102" i="115"/>
  <c r="R101" i="115"/>
  <c r="S102" i="111"/>
  <c r="S101" i="111"/>
  <c r="R101" i="111"/>
  <c r="R102" i="111"/>
  <c r="S102" i="117"/>
  <c r="R101" i="117"/>
  <c r="R102" i="117"/>
  <c r="S101" i="117"/>
  <c r="S86" i="104"/>
  <c r="R86" i="104"/>
  <c r="R85" i="104"/>
  <c r="S85" i="104"/>
  <c r="S86" i="111"/>
  <c r="R85" i="111"/>
  <c r="S85" i="111"/>
  <c r="R86" i="111"/>
  <c r="R83" i="111"/>
  <c r="S84" i="111"/>
  <c r="S83" i="111"/>
  <c r="R84" i="111"/>
  <c r="S84" i="109"/>
  <c r="S83" i="109"/>
  <c r="R84" i="109"/>
  <c r="R83" i="109"/>
  <c r="R82" i="98"/>
  <c r="R81" i="98"/>
  <c r="S81" i="98"/>
  <c r="S82" i="98"/>
  <c r="S82" i="101"/>
  <c r="R81" i="101"/>
  <c r="S81" i="101"/>
  <c r="R82" i="101"/>
  <c r="S82" i="103"/>
  <c r="R81" i="103"/>
  <c r="S81" i="103"/>
  <c r="R82" i="103"/>
  <c r="R95" i="99"/>
  <c r="R96" i="99"/>
  <c r="S96" i="99"/>
  <c r="S95" i="99"/>
  <c r="R96" i="103"/>
  <c r="S95" i="103"/>
  <c r="S96" i="103"/>
  <c r="R95" i="103"/>
  <c r="S80" i="107"/>
  <c r="R80" i="107"/>
  <c r="R79" i="107"/>
  <c r="S79" i="107"/>
  <c r="S80" i="97"/>
  <c r="S79" i="97"/>
  <c r="R80" i="97"/>
  <c r="R79" i="97"/>
  <c r="S80" i="104"/>
  <c r="S79" i="104"/>
  <c r="R80" i="104"/>
  <c r="R79" i="104"/>
  <c r="R94" i="107"/>
  <c r="R93" i="107"/>
  <c r="S93" i="107"/>
  <c r="S94" i="107"/>
  <c r="S94" i="110"/>
  <c r="S93" i="110"/>
  <c r="R94" i="110"/>
  <c r="R93" i="110"/>
  <c r="S78" i="115"/>
  <c r="S77" i="115"/>
  <c r="R78" i="115"/>
  <c r="R77" i="115"/>
  <c r="S78" i="116"/>
  <c r="R77" i="116"/>
  <c r="S77" i="116"/>
  <c r="R78" i="116"/>
  <c r="S78" i="117"/>
  <c r="R77" i="117"/>
  <c r="S77" i="117"/>
  <c r="R78" i="117"/>
  <c r="S72" i="99"/>
  <c r="R72" i="99"/>
  <c r="S71" i="99"/>
  <c r="R71" i="99"/>
  <c r="R71" i="98"/>
  <c r="S71" i="98"/>
  <c r="S72" i="98"/>
  <c r="R72" i="98"/>
  <c r="R92" i="106"/>
  <c r="S91" i="106"/>
  <c r="S92" i="106"/>
  <c r="R91" i="106"/>
  <c r="S92" i="100"/>
  <c r="S91" i="100"/>
  <c r="R92" i="100"/>
  <c r="R91" i="100"/>
  <c r="S92" i="104"/>
  <c r="S91" i="104"/>
  <c r="R92" i="104"/>
  <c r="R91" i="104"/>
  <c r="R75" i="108"/>
  <c r="S76" i="108"/>
  <c r="R76" i="108"/>
  <c r="S75" i="108"/>
  <c r="R76" i="109"/>
  <c r="R75" i="109"/>
  <c r="S76" i="109"/>
  <c r="S75" i="109"/>
  <c r="R90" i="102"/>
  <c r="S90" i="102"/>
  <c r="R89" i="102"/>
  <c r="S89" i="102"/>
  <c r="S90" i="109"/>
  <c r="R89" i="109"/>
  <c r="S89" i="109"/>
  <c r="R90" i="109"/>
  <c r="S90" i="108"/>
  <c r="R89" i="108"/>
  <c r="S89" i="108"/>
  <c r="R90" i="108"/>
  <c r="S74" i="103"/>
  <c r="R74" i="103"/>
  <c r="R73" i="103"/>
  <c r="S73" i="103"/>
  <c r="R74" i="102"/>
  <c r="S74" i="102"/>
  <c r="R73" i="102"/>
  <c r="S73" i="102"/>
  <c r="S104" i="111"/>
  <c r="R104" i="111"/>
  <c r="R103" i="111"/>
  <c r="S103" i="111"/>
  <c r="R103" i="102"/>
  <c r="S103" i="102"/>
  <c r="S104" i="102"/>
  <c r="R104" i="102"/>
  <c r="S88" i="106"/>
  <c r="S87" i="106"/>
  <c r="R88" i="106"/>
  <c r="R87" i="106"/>
  <c r="R87" i="103"/>
  <c r="R88" i="103"/>
  <c r="S88" i="103"/>
  <c r="S87" i="103"/>
  <c r="R87" i="110"/>
  <c r="S87" i="110"/>
  <c r="R88" i="110"/>
  <c r="S88" i="110"/>
  <c r="S102" i="97"/>
  <c r="R102" i="97"/>
  <c r="R101" i="97"/>
  <c r="S101" i="97"/>
  <c r="S102" i="113"/>
  <c r="S101" i="113"/>
  <c r="R101" i="113"/>
  <c r="R102" i="113"/>
  <c r="S86" i="113"/>
  <c r="R85" i="113"/>
  <c r="S85" i="113"/>
  <c r="R86" i="113"/>
  <c r="S86" i="115"/>
  <c r="R86" i="115"/>
  <c r="R85" i="115"/>
  <c r="S85" i="115"/>
  <c r="S86" i="117"/>
  <c r="R86" i="117"/>
  <c r="R85" i="117"/>
  <c r="S85" i="117"/>
  <c r="S84" i="102"/>
  <c r="R84" i="102"/>
  <c r="S83" i="102"/>
  <c r="R83" i="102"/>
  <c r="S84" i="117"/>
  <c r="R84" i="117"/>
  <c r="S83" i="117"/>
  <c r="R83" i="117"/>
  <c r="R83" i="105"/>
  <c r="S84" i="105"/>
  <c r="S83" i="105"/>
  <c r="R84" i="105"/>
  <c r="S82" i="110"/>
  <c r="R82" i="110"/>
  <c r="S81" i="110"/>
  <c r="R81" i="110"/>
  <c r="R82" i="102"/>
  <c r="S82" i="102"/>
  <c r="R81" i="102"/>
  <c r="S81" i="102"/>
  <c r="R95" i="108"/>
  <c r="S96" i="108"/>
  <c r="R96" i="108"/>
  <c r="S95" i="108"/>
  <c r="R95" i="105"/>
  <c r="R96" i="105"/>
  <c r="S96" i="105"/>
  <c r="S95" i="105"/>
  <c r="S80" i="106"/>
  <c r="R79" i="106"/>
  <c r="S79" i="106"/>
  <c r="R80" i="106"/>
  <c r="R80" i="98"/>
  <c r="R79" i="98"/>
  <c r="S79" i="98"/>
  <c r="S80" i="98"/>
  <c r="R80" i="115"/>
  <c r="S79" i="115"/>
  <c r="S80" i="115"/>
  <c r="R79" i="115"/>
  <c r="S94" i="113"/>
  <c r="S93" i="113"/>
  <c r="R94" i="113"/>
  <c r="R93" i="113"/>
  <c r="S94" i="115"/>
  <c r="R94" i="115"/>
  <c r="S93" i="115"/>
  <c r="R93" i="115"/>
  <c r="R77" i="99"/>
  <c r="S78" i="99"/>
  <c r="S77" i="99"/>
  <c r="R78" i="99"/>
  <c r="S78" i="101"/>
  <c r="R77" i="101"/>
  <c r="S77" i="101"/>
  <c r="R78" i="101"/>
  <c r="R77" i="97"/>
  <c r="S77" i="97"/>
  <c r="R78" i="97"/>
  <c r="S78" i="97"/>
  <c r="R72" i="102"/>
  <c r="S71" i="102"/>
  <c r="R71" i="102"/>
  <c r="S72" i="102"/>
  <c r="S72" i="104"/>
  <c r="S71" i="104"/>
  <c r="R72" i="104"/>
  <c r="R71" i="104"/>
  <c r="S92" i="99"/>
  <c r="R91" i="99"/>
  <c r="S91" i="99"/>
  <c r="R92" i="99"/>
  <c r="R91" i="103"/>
  <c r="S91" i="103"/>
  <c r="R92" i="103"/>
  <c r="S92" i="103"/>
  <c r="S91" i="109"/>
  <c r="R92" i="109"/>
  <c r="R91" i="109"/>
  <c r="S92" i="109"/>
  <c r="R75" i="110"/>
  <c r="S76" i="110"/>
  <c r="R76" i="110"/>
  <c r="S75" i="110"/>
  <c r="R75" i="115"/>
  <c r="S76" i="115"/>
  <c r="R76" i="115"/>
  <c r="S75" i="115"/>
  <c r="R89" i="97"/>
  <c r="R90" i="97"/>
  <c r="S89" i="97"/>
  <c r="S90" i="97"/>
  <c r="S90" i="110"/>
  <c r="R90" i="110"/>
  <c r="R89" i="110"/>
  <c r="S89" i="110"/>
  <c r="S90" i="117"/>
  <c r="S89" i="117"/>
  <c r="R90" i="117"/>
  <c r="R89" i="117"/>
  <c r="R74" i="107"/>
  <c r="S74" i="107"/>
  <c r="R73" i="107"/>
  <c r="S73" i="107"/>
  <c r="S74" i="108"/>
  <c r="R73" i="108"/>
  <c r="S73" i="108"/>
  <c r="R74" i="108"/>
  <c r="R103" i="113"/>
  <c r="S103" i="113"/>
  <c r="S104" i="113"/>
  <c r="R104" i="113"/>
  <c r="S103" i="103"/>
  <c r="R104" i="103"/>
  <c r="S104" i="103"/>
  <c r="R103" i="103"/>
  <c r="R87" i="101"/>
  <c r="S87" i="101"/>
  <c r="R88" i="101"/>
  <c r="S88" i="101"/>
  <c r="S88" i="107"/>
  <c r="R88" i="107"/>
  <c r="R87" i="107"/>
  <c r="S87" i="107"/>
  <c r="R87" i="98"/>
  <c r="S87" i="98"/>
  <c r="S88" i="98"/>
  <c r="R88" i="98"/>
  <c r="R102" i="102"/>
  <c r="S102" i="102"/>
  <c r="R101" i="102"/>
  <c r="S101" i="102"/>
  <c r="S102" i="104"/>
  <c r="R101" i="104"/>
  <c r="R102" i="104"/>
  <c r="S101" i="104"/>
  <c r="S86" i="110"/>
  <c r="S85" i="110"/>
  <c r="R85" i="110"/>
  <c r="R86" i="110"/>
  <c r="S86" i="101"/>
  <c r="R85" i="101"/>
  <c r="S85" i="101"/>
  <c r="R86" i="101"/>
  <c r="R86" i="102"/>
  <c r="S86" i="102"/>
  <c r="R85" i="102"/>
  <c r="S85" i="102"/>
  <c r="S84" i="100"/>
  <c r="S83" i="100"/>
  <c r="R84" i="100"/>
  <c r="R83" i="100"/>
  <c r="S84" i="103"/>
  <c r="R84" i="103"/>
  <c r="R83" i="103"/>
  <c r="S83" i="103"/>
  <c r="S84" i="104"/>
  <c r="S83" i="104"/>
  <c r="R84" i="104"/>
  <c r="R83" i="104"/>
  <c r="S82" i="113"/>
  <c r="R81" i="113"/>
  <c r="S81" i="113"/>
  <c r="R82" i="113"/>
  <c r="R81" i="100"/>
  <c r="R82" i="100"/>
  <c r="S81" i="100"/>
  <c r="S82" i="100"/>
  <c r="R96" i="110"/>
  <c r="R95" i="110"/>
  <c r="S95" i="110"/>
  <c r="S96" i="110"/>
  <c r="S96" i="98"/>
  <c r="R96" i="98"/>
  <c r="R95" i="98"/>
  <c r="S95" i="98"/>
  <c r="S80" i="100"/>
  <c r="S79" i="100"/>
  <c r="R80" i="100"/>
  <c r="R79" i="100"/>
  <c r="R79" i="110"/>
  <c r="S79" i="110"/>
  <c r="R80" i="110"/>
  <c r="S80" i="110"/>
  <c r="R80" i="102"/>
  <c r="S79" i="102"/>
  <c r="R79" i="102"/>
  <c r="S80" i="102"/>
  <c r="S94" i="109"/>
  <c r="R94" i="109"/>
  <c r="R93" i="109"/>
  <c r="S93" i="109"/>
  <c r="S94" i="116"/>
  <c r="S93" i="116"/>
  <c r="R94" i="116"/>
  <c r="R93" i="116"/>
  <c r="R77" i="105"/>
  <c r="S77" i="105"/>
  <c r="S78" i="105"/>
  <c r="R78" i="105"/>
  <c r="S78" i="103"/>
  <c r="R77" i="103"/>
  <c r="S77" i="103"/>
  <c r="R78" i="103"/>
  <c r="S78" i="110"/>
  <c r="S77" i="110"/>
  <c r="R77" i="110"/>
  <c r="R78" i="110"/>
  <c r="S72" i="106"/>
  <c r="R72" i="106"/>
  <c r="S71" i="106"/>
  <c r="R71" i="106"/>
  <c r="S72" i="107"/>
  <c r="S71" i="107"/>
  <c r="R72" i="107"/>
  <c r="R71" i="107"/>
  <c r="R91" i="101"/>
  <c r="S91" i="101"/>
  <c r="R92" i="101"/>
  <c r="S92" i="101"/>
  <c r="S92" i="107"/>
  <c r="S91" i="107"/>
  <c r="R92" i="107"/>
  <c r="R91" i="107"/>
  <c r="R91" i="110"/>
  <c r="S92" i="110"/>
  <c r="S91" i="110"/>
  <c r="R92" i="110"/>
  <c r="R75" i="113"/>
  <c r="S76" i="113"/>
  <c r="S75" i="113"/>
  <c r="R76" i="113"/>
  <c r="S76" i="104"/>
  <c r="S75" i="104"/>
  <c r="R76" i="104"/>
  <c r="R75" i="104"/>
  <c r="S90" i="113"/>
  <c r="R89" i="113"/>
  <c r="S89" i="113"/>
  <c r="R90" i="113"/>
  <c r="S90" i="115"/>
  <c r="R90" i="115"/>
  <c r="R89" i="115"/>
  <c r="S89" i="115"/>
  <c r="R89" i="100"/>
  <c r="R90" i="100"/>
  <c r="S90" i="100"/>
  <c r="S89" i="100"/>
  <c r="S74" i="101"/>
  <c r="R73" i="101"/>
  <c r="S73" i="101"/>
  <c r="R74" i="101"/>
  <c r="S74" i="113"/>
  <c r="R73" i="113"/>
  <c r="S73" i="113"/>
  <c r="R74" i="113"/>
  <c r="R103" i="108"/>
  <c r="S103" i="108"/>
  <c r="S104" i="108"/>
  <c r="R104" i="108"/>
  <c r="R103" i="106"/>
  <c r="R104" i="106"/>
  <c r="S103" i="106"/>
  <c r="S104" i="106"/>
  <c r="R87" i="105"/>
  <c r="S88" i="105"/>
  <c r="S87" i="105"/>
  <c r="R88" i="105"/>
  <c r="S88" i="97"/>
  <c r="S87" i="97"/>
  <c r="R88" i="97"/>
  <c r="R87" i="97"/>
  <c r="S88" i="104"/>
  <c r="R88" i="104"/>
  <c r="S87" i="104"/>
  <c r="R87" i="104"/>
  <c r="R101" i="98"/>
  <c r="S102" i="98"/>
  <c r="R102" i="98"/>
  <c r="S101" i="98"/>
  <c r="R102" i="107"/>
  <c r="S102" i="107"/>
  <c r="R101" i="107"/>
  <c r="S101" i="107"/>
  <c r="S85" i="97"/>
  <c r="R85" i="97"/>
  <c r="R86" i="97"/>
  <c r="S86" i="97"/>
  <c r="R85" i="105"/>
  <c r="R86" i="105"/>
  <c r="S85" i="105"/>
  <c r="S86" i="105"/>
  <c r="S86" i="103"/>
  <c r="R85" i="103"/>
  <c r="S85" i="103"/>
  <c r="R86" i="103"/>
  <c r="S84" i="106"/>
  <c r="R84" i="106"/>
  <c r="R83" i="106"/>
  <c r="S83" i="106"/>
  <c r="S84" i="97"/>
  <c r="S83" i="97"/>
  <c r="R84" i="97"/>
  <c r="R83" i="97"/>
  <c r="R83" i="115"/>
  <c r="R84" i="115"/>
  <c r="S84" i="115"/>
  <c r="S83" i="115"/>
  <c r="S82" i="114"/>
  <c r="R81" i="114"/>
  <c r="S81" i="114"/>
  <c r="R82" i="114"/>
  <c r="R82" i="106"/>
  <c r="S82" i="106"/>
  <c r="R81" i="106"/>
  <c r="S81" i="106"/>
  <c r="R95" i="115"/>
  <c r="S95" i="115"/>
  <c r="S96" i="115"/>
  <c r="R96" i="115"/>
  <c r="R95" i="111"/>
  <c r="S95" i="111"/>
  <c r="S96" i="111"/>
  <c r="R96" i="111"/>
  <c r="S80" i="101"/>
  <c r="R80" i="101"/>
  <c r="S79" i="101"/>
  <c r="R79" i="101"/>
  <c r="R79" i="114"/>
  <c r="S80" i="114"/>
  <c r="R80" i="114"/>
  <c r="S79" i="114"/>
  <c r="R80" i="116"/>
  <c r="R79" i="116"/>
  <c r="S79" i="116"/>
  <c r="S80" i="116"/>
  <c r="S93" i="97"/>
  <c r="R94" i="97"/>
  <c r="R93" i="97"/>
  <c r="S94" i="97"/>
  <c r="S94" i="108"/>
  <c r="R94" i="108"/>
  <c r="R93" i="108"/>
  <c r="S93" i="108"/>
  <c r="S78" i="109"/>
  <c r="R78" i="109"/>
  <c r="R77" i="109"/>
  <c r="S77" i="109"/>
  <c r="S78" i="111"/>
  <c r="R77" i="111"/>
  <c r="S77" i="111"/>
  <c r="R78" i="111"/>
  <c r="S78" i="114"/>
  <c r="S77" i="114"/>
  <c r="R78" i="114"/>
  <c r="R77" i="114"/>
  <c r="R71" i="108"/>
  <c r="S72" i="108"/>
  <c r="R72" i="108"/>
  <c r="S71" i="108"/>
  <c r="S72" i="103"/>
  <c r="R72" i="103"/>
  <c r="S71" i="103"/>
  <c r="R71" i="103"/>
  <c r="R91" i="116"/>
  <c r="S92" i="116"/>
  <c r="R92" i="116"/>
  <c r="S91" i="116"/>
  <c r="S92" i="111"/>
  <c r="R91" i="111"/>
  <c r="S91" i="111"/>
  <c r="R92" i="111"/>
  <c r="R91" i="115"/>
  <c r="S92" i="115"/>
  <c r="S91" i="115"/>
  <c r="R92" i="115"/>
  <c r="R75" i="114"/>
  <c r="S75" i="114"/>
  <c r="R76" i="114"/>
  <c r="S76" i="114"/>
  <c r="S76" i="103"/>
  <c r="R75" i="103"/>
  <c r="S75" i="103"/>
  <c r="R76" i="103"/>
  <c r="S90" i="103"/>
  <c r="R90" i="103"/>
  <c r="R89" i="103"/>
  <c r="S89" i="103"/>
  <c r="R89" i="98"/>
  <c r="S89" i="98"/>
  <c r="S90" i="98"/>
  <c r="R90" i="98"/>
  <c r="R90" i="107"/>
  <c r="S90" i="107"/>
  <c r="R89" i="107"/>
  <c r="S89" i="107"/>
  <c r="S74" i="116"/>
  <c r="R74" i="116"/>
  <c r="R73" i="116"/>
  <c r="S73" i="116"/>
  <c r="S74" i="114"/>
  <c r="R73" i="114"/>
  <c r="S73" i="114"/>
  <c r="R74" i="114"/>
  <c r="S104" i="116"/>
  <c r="R103" i="116"/>
  <c r="S103" i="116"/>
  <c r="R104" i="116"/>
  <c r="S104" i="100"/>
  <c r="S103" i="100"/>
  <c r="R104" i="100"/>
  <c r="R103" i="100"/>
  <c r="R87" i="116"/>
  <c r="S88" i="116"/>
  <c r="R88" i="116"/>
  <c r="S87" i="116"/>
  <c r="R87" i="102"/>
  <c r="S87" i="102"/>
  <c r="R88" i="102"/>
  <c r="S88" i="102"/>
  <c r="R87" i="115"/>
  <c r="R88" i="115"/>
  <c r="S88" i="115"/>
  <c r="S87" i="115"/>
  <c r="R102" i="110"/>
  <c r="R101" i="110"/>
  <c r="S102" i="110"/>
  <c r="S101" i="110"/>
  <c r="S102" i="114"/>
  <c r="S101" i="114"/>
  <c r="R101" i="114"/>
  <c r="R102" i="114"/>
  <c r="R85" i="99"/>
  <c r="S86" i="99"/>
  <c r="S85" i="99"/>
  <c r="R86" i="99"/>
  <c r="S86" i="116"/>
  <c r="R85" i="116"/>
  <c r="S85" i="116"/>
  <c r="R86" i="116"/>
  <c r="S86" i="107"/>
  <c r="R85" i="107"/>
  <c r="S85" i="107"/>
  <c r="R86" i="107"/>
  <c r="S84" i="99"/>
  <c r="R84" i="99"/>
  <c r="S83" i="99"/>
  <c r="R83" i="99"/>
  <c r="R83" i="110"/>
  <c r="S84" i="110"/>
  <c r="R84" i="110"/>
  <c r="S83" i="110"/>
  <c r="R83" i="116"/>
  <c r="S84" i="116"/>
  <c r="R84" i="116"/>
  <c r="S83" i="116"/>
  <c r="S82" i="104"/>
  <c r="R81" i="104"/>
  <c r="S81" i="104"/>
  <c r="R82" i="104"/>
  <c r="R82" i="107"/>
  <c r="S82" i="107"/>
  <c r="R81" i="107"/>
  <c r="S81" i="107"/>
  <c r="O68" i="117"/>
  <c r="O68" i="114"/>
  <c r="O68" i="115"/>
  <c r="O68" i="113"/>
  <c r="O68" i="111"/>
  <c r="O68" i="108"/>
  <c r="O68" i="109"/>
  <c r="O68" i="110"/>
  <c r="O68" i="106"/>
  <c r="O68" i="104"/>
  <c r="O68" i="103"/>
  <c r="O68" i="116"/>
  <c r="O68" i="105"/>
  <c r="O68" i="107"/>
  <c r="O68" i="102"/>
  <c r="O68" i="101"/>
  <c r="O68" i="99"/>
  <c r="O68" i="100"/>
  <c r="O68" i="98"/>
  <c r="O68" i="97"/>
  <c r="O76" i="117"/>
  <c r="O76" i="113"/>
  <c r="O76" i="114"/>
  <c r="O76" i="116"/>
  <c r="O76" i="115"/>
  <c r="O76" i="109"/>
  <c r="O76" i="110"/>
  <c r="O76" i="108"/>
  <c r="O76" i="107"/>
  <c r="O76" i="102"/>
  <c r="O76" i="106"/>
  <c r="O76" i="103"/>
  <c r="O76" i="111"/>
  <c r="O76" i="105"/>
  <c r="O76" i="104"/>
  <c r="O76" i="101"/>
  <c r="O76" i="100"/>
  <c r="O76" i="99"/>
  <c r="O76" i="98"/>
  <c r="O76" i="97"/>
  <c r="O84" i="115"/>
  <c r="O84" i="113"/>
  <c r="O84" i="116"/>
  <c r="O84" i="117"/>
  <c r="O84" i="111"/>
  <c r="O84" i="108"/>
  <c r="O84" i="109"/>
  <c r="O84" i="114"/>
  <c r="O84" i="110"/>
  <c r="O84" i="106"/>
  <c r="O84" i="102"/>
  <c r="O84" i="105"/>
  <c r="O84" i="104"/>
  <c r="O84" i="103"/>
  <c r="O84" i="101"/>
  <c r="O84" i="99"/>
  <c r="O84" i="98"/>
  <c r="O84" i="100"/>
  <c r="O84" i="107"/>
  <c r="O84" i="97"/>
  <c r="O92" i="114"/>
  <c r="O92" i="115"/>
  <c r="O92" i="116"/>
  <c r="O92" i="117"/>
  <c r="O92" i="113"/>
  <c r="O92" i="109"/>
  <c r="O92" i="111"/>
  <c r="O92" i="110"/>
  <c r="O92" i="108"/>
  <c r="O92" i="102"/>
  <c r="O92" i="103"/>
  <c r="O92" i="106"/>
  <c r="O92" i="105"/>
  <c r="O92" i="104"/>
  <c r="O92" i="107"/>
  <c r="O92" i="101"/>
  <c r="O92" i="99"/>
  <c r="O92" i="100"/>
  <c r="O92" i="98"/>
  <c r="O92" i="97"/>
  <c r="O100" i="116"/>
  <c r="R100" i="116" s="1"/>
  <c r="O100" i="114"/>
  <c r="R100" i="114" s="1"/>
  <c r="O100" i="117"/>
  <c r="R100" i="117" s="1"/>
  <c r="O100" i="115"/>
  <c r="R100" i="115" s="1"/>
  <c r="O100" i="113"/>
  <c r="R100" i="113" s="1"/>
  <c r="O100" i="110"/>
  <c r="R100" i="110" s="1"/>
  <c r="O100" i="109"/>
  <c r="R100" i="109" s="1"/>
  <c r="O100" i="111"/>
  <c r="R100" i="111" s="1"/>
  <c r="O100" i="102"/>
  <c r="R100" i="102" s="1"/>
  <c r="O100" i="105"/>
  <c r="R100" i="105" s="1"/>
  <c r="O100" i="104"/>
  <c r="R100" i="104" s="1"/>
  <c r="O100" i="106"/>
  <c r="R100" i="106" s="1"/>
  <c r="O100" i="103"/>
  <c r="R100" i="103" s="1"/>
  <c r="O100" i="101"/>
  <c r="R100" i="101" s="1"/>
  <c r="O100" i="99"/>
  <c r="R100" i="99" s="1"/>
  <c r="O100" i="108"/>
  <c r="R100" i="108" s="1"/>
  <c r="O100" i="100"/>
  <c r="R100" i="100" s="1"/>
  <c r="O100" i="98"/>
  <c r="R100" i="98" s="1"/>
  <c r="O100" i="107"/>
  <c r="R100" i="107" s="1"/>
  <c r="O100" i="97"/>
  <c r="R100" i="97" s="1"/>
  <c r="P68" i="115"/>
  <c r="P68" i="116"/>
  <c r="P68" i="117"/>
  <c r="P68" i="114"/>
  <c r="P68" i="111"/>
  <c r="P68" i="108"/>
  <c r="P68" i="109"/>
  <c r="P68" i="113"/>
  <c r="P68" i="107"/>
  <c r="P68" i="110"/>
  <c r="P68" i="105"/>
  <c r="P68" i="106"/>
  <c r="P68" i="104"/>
  <c r="P68" i="103"/>
  <c r="P68" i="102"/>
  <c r="P68" i="101"/>
  <c r="P68" i="99"/>
  <c r="P68" i="98"/>
  <c r="P68" i="97"/>
  <c r="P68" i="100"/>
  <c r="P76" i="113"/>
  <c r="P76" i="114"/>
  <c r="P76" i="116"/>
  <c r="P76" i="115"/>
  <c r="P76" i="117"/>
  <c r="P76" i="110"/>
  <c r="P76" i="108"/>
  <c r="P76" i="107"/>
  <c r="P76" i="111"/>
  <c r="P76" i="109"/>
  <c r="P76" i="106"/>
  <c r="P76" i="103"/>
  <c r="P76" i="105"/>
  <c r="P76" i="104"/>
  <c r="P76" i="102"/>
  <c r="P76" i="99"/>
  <c r="P76" i="101"/>
  <c r="P76" i="100"/>
  <c r="P76" i="98"/>
  <c r="P76" i="97"/>
  <c r="P84" i="115"/>
  <c r="P84" i="113"/>
  <c r="P84" i="116"/>
  <c r="P84" i="114"/>
  <c r="P84" i="109"/>
  <c r="P84" i="107"/>
  <c r="P84" i="106"/>
  <c r="P84" i="111"/>
  <c r="P84" i="108"/>
  <c r="P84" i="110"/>
  <c r="P84" i="105"/>
  <c r="P84" i="104"/>
  <c r="P84" i="117"/>
  <c r="P84" i="103"/>
  <c r="P84" i="102"/>
  <c r="P84" i="99"/>
  <c r="P84" i="98"/>
  <c r="P84" i="100"/>
  <c r="P84" i="101"/>
  <c r="P84" i="97"/>
  <c r="P92" i="115"/>
  <c r="P92" i="116"/>
  <c r="P92" i="117"/>
  <c r="P92" i="114"/>
  <c r="P92" i="111"/>
  <c r="P92" i="113"/>
  <c r="P92" i="110"/>
  <c r="P92" i="107"/>
  <c r="P92" i="109"/>
  <c r="P92" i="108"/>
  <c r="P92" i="103"/>
  <c r="P92" i="106"/>
  <c r="P92" i="105"/>
  <c r="P92" i="104"/>
  <c r="P92" i="102"/>
  <c r="P92" i="99"/>
  <c r="P92" i="100"/>
  <c r="P92" i="101"/>
  <c r="P92" i="98"/>
  <c r="P92" i="97"/>
  <c r="P100" i="116"/>
  <c r="S100" i="116" s="1"/>
  <c r="P100" i="114"/>
  <c r="S100" i="114" s="1"/>
  <c r="P100" i="111"/>
  <c r="S100" i="111" s="1"/>
  <c r="P100" i="117"/>
  <c r="S100" i="117" s="1"/>
  <c r="P100" i="110"/>
  <c r="S100" i="110" s="1"/>
  <c r="P100" i="109"/>
  <c r="S100" i="109" s="1"/>
  <c r="P100" i="115"/>
  <c r="S100" i="115" s="1"/>
  <c r="P100" i="113"/>
  <c r="S100" i="113" s="1"/>
  <c r="P100" i="108"/>
  <c r="S100" i="108" s="1"/>
  <c r="P100" i="107"/>
  <c r="S100" i="107" s="1"/>
  <c r="P100" i="105"/>
  <c r="S100" i="105" s="1"/>
  <c r="P100" i="104"/>
  <c r="S100" i="104" s="1"/>
  <c r="P100" i="106"/>
  <c r="S100" i="106" s="1"/>
  <c r="P100" i="103"/>
  <c r="S100" i="103" s="1"/>
  <c r="P100" i="102"/>
  <c r="S100" i="102" s="1"/>
  <c r="P100" i="99"/>
  <c r="S100" i="99" s="1"/>
  <c r="P100" i="100"/>
  <c r="S100" i="100" s="1"/>
  <c r="P100" i="98"/>
  <c r="S100" i="98" s="1"/>
  <c r="P100" i="101"/>
  <c r="S100" i="101" s="1"/>
  <c r="P100" i="97"/>
  <c r="S100" i="97" s="1"/>
  <c r="O70" i="117"/>
  <c r="O70" i="114"/>
  <c r="O70" i="115"/>
  <c r="O70" i="113"/>
  <c r="O70" i="116"/>
  <c r="O70" i="111"/>
  <c r="O70" i="108"/>
  <c r="O70" i="109"/>
  <c r="O70" i="110"/>
  <c r="O70" i="107"/>
  <c r="O70" i="106"/>
  <c r="O70" i="104"/>
  <c r="O70" i="103"/>
  <c r="O70" i="105"/>
  <c r="O70" i="101"/>
  <c r="O70" i="99"/>
  <c r="O70" i="102"/>
  <c r="O70" i="100"/>
  <c r="O70" i="98"/>
  <c r="O70" i="97"/>
  <c r="O78" i="117"/>
  <c r="O78" i="115"/>
  <c r="O78" i="114"/>
  <c r="O78" i="116"/>
  <c r="O78" i="113"/>
  <c r="O78" i="108"/>
  <c r="O78" i="107"/>
  <c r="O78" i="111"/>
  <c r="O78" i="109"/>
  <c r="O78" i="105"/>
  <c r="O78" i="103"/>
  <c r="O78" i="106"/>
  <c r="O78" i="104"/>
  <c r="O78" i="110"/>
  <c r="O78" i="101"/>
  <c r="O78" i="99"/>
  <c r="O78" i="100"/>
  <c r="O78" i="102"/>
  <c r="O78" i="98"/>
  <c r="O78" i="97"/>
  <c r="O86" i="115"/>
  <c r="O86" i="113"/>
  <c r="O86" i="116"/>
  <c r="O86" i="114"/>
  <c r="O86" i="117"/>
  <c r="O86" i="108"/>
  <c r="O86" i="109"/>
  <c r="O86" i="107"/>
  <c r="O86" i="110"/>
  <c r="O86" i="111"/>
  <c r="O86" i="104"/>
  <c r="O86" i="106"/>
  <c r="O86" i="103"/>
  <c r="O86" i="101"/>
  <c r="O86" i="99"/>
  <c r="O86" i="105"/>
  <c r="O86" i="98"/>
  <c r="O86" i="102"/>
  <c r="O86" i="100"/>
  <c r="O86" i="97"/>
  <c r="O94" i="116"/>
  <c r="O94" i="113"/>
  <c r="O94" i="117"/>
  <c r="O94" i="111"/>
  <c r="O94" i="110"/>
  <c r="O94" i="115"/>
  <c r="O94" i="107"/>
  <c r="O94" i="109"/>
  <c r="O94" i="108"/>
  <c r="O94" i="114"/>
  <c r="O94" i="105"/>
  <c r="O94" i="106"/>
  <c r="O94" i="103"/>
  <c r="O94" i="104"/>
  <c r="O94" i="101"/>
  <c r="O94" i="99"/>
  <c r="O94" i="100"/>
  <c r="O94" i="102"/>
  <c r="O94" i="97"/>
  <c r="O94" i="98"/>
  <c r="O102" i="114"/>
  <c r="O102" i="116"/>
  <c r="O102" i="115"/>
  <c r="O102" i="117"/>
  <c r="O102" i="113"/>
  <c r="O102" i="110"/>
  <c r="O102" i="109"/>
  <c r="O102" i="111"/>
  <c r="O102" i="107"/>
  <c r="O102" i="104"/>
  <c r="O102" i="108"/>
  <c r="O102" i="103"/>
  <c r="O102" i="106"/>
  <c r="O102" i="101"/>
  <c r="O102" i="100"/>
  <c r="O102" i="99"/>
  <c r="O102" i="98"/>
  <c r="O102" i="102"/>
  <c r="O102" i="105"/>
  <c r="O102" i="97"/>
  <c r="P70" i="115"/>
  <c r="P70" i="116"/>
  <c r="P70" i="117"/>
  <c r="P70" i="114"/>
  <c r="P70" i="111"/>
  <c r="P70" i="108"/>
  <c r="P70" i="109"/>
  <c r="P70" i="107"/>
  <c r="P70" i="113"/>
  <c r="P70" i="110"/>
  <c r="P70" i="105"/>
  <c r="P70" i="106"/>
  <c r="P70" i="104"/>
  <c r="P70" i="103"/>
  <c r="P70" i="101"/>
  <c r="P70" i="99"/>
  <c r="P70" i="102"/>
  <c r="P70" i="98"/>
  <c r="P70" i="97"/>
  <c r="P70" i="100"/>
  <c r="P78" i="115"/>
  <c r="P78" i="114"/>
  <c r="P78" i="116"/>
  <c r="P78" i="117"/>
  <c r="P78" i="113"/>
  <c r="P78" i="108"/>
  <c r="P78" i="111"/>
  <c r="P78" i="110"/>
  <c r="P78" i="105"/>
  <c r="P78" i="103"/>
  <c r="P78" i="106"/>
  <c r="P78" i="104"/>
  <c r="P78" i="109"/>
  <c r="P78" i="107"/>
  <c r="P78" i="99"/>
  <c r="P78" i="98"/>
  <c r="P78" i="102"/>
  <c r="P78" i="101"/>
  <c r="P78" i="100"/>
  <c r="P78" i="97"/>
  <c r="P86" i="113"/>
  <c r="P86" i="116"/>
  <c r="P86" i="114"/>
  <c r="P86" i="111"/>
  <c r="P86" i="115"/>
  <c r="P86" i="117"/>
  <c r="P86" i="109"/>
  <c r="P86" i="107"/>
  <c r="P86" i="110"/>
  <c r="P86" i="106"/>
  <c r="P86" i="108"/>
  <c r="P86" i="103"/>
  <c r="P86" i="105"/>
  <c r="P86" i="104"/>
  <c r="P86" i="102"/>
  <c r="P86" i="100"/>
  <c r="P86" i="101"/>
  <c r="P86" i="99"/>
  <c r="P86" i="97"/>
  <c r="P86" i="98"/>
  <c r="P94" i="116"/>
  <c r="P94" i="113"/>
  <c r="P94" i="117"/>
  <c r="P94" i="115"/>
  <c r="P94" i="114"/>
  <c r="P94" i="110"/>
  <c r="P94" i="111"/>
  <c r="P94" i="107"/>
  <c r="P94" i="105"/>
  <c r="P94" i="106"/>
  <c r="P94" i="103"/>
  <c r="P94" i="109"/>
  <c r="P94" i="104"/>
  <c r="P94" i="108"/>
  <c r="P94" i="100"/>
  <c r="P94" i="98"/>
  <c r="P94" i="102"/>
  <c r="P94" i="101"/>
  <c r="P94" i="99"/>
  <c r="P94" i="97"/>
  <c r="P102" i="116"/>
  <c r="P102" i="115"/>
  <c r="P102" i="117"/>
  <c r="P102" i="114"/>
  <c r="P102" i="109"/>
  <c r="P102" i="108"/>
  <c r="P102" i="110"/>
  <c r="P102" i="107"/>
  <c r="P102" i="113"/>
  <c r="P102" i="103"/>
  <c r="P102" i="106"/>
  <c r="P102" i="111"/>
  <c r="P102" i="105"/>
  <c r="P102" i="104"/>
  <c r="P102" i="99"/>
  <c r="P102" i="102"/>
  <c r="P102" i="97"/>
  <c r="P102" i="101"/>
  <c r="P102" i="100"/>
  <c r="P102" i="98"/>
  <c r="O72" i="117"/>
  <c r="O72" i="115"/>
  <c r="O72" i="116"/>
  <c r="O72" i="114"/>
  <c r="O72" i="113"/>
  <c r="O72" i="111"/>
  <c r="O72" i="108"/>
  <c r="O72" i="109"/>
  <c r="O72" i="107"/>
  <c r="O72" i="105"/>
  <c r="O72" i="104"/>
  <c r="O72" i="101"/>
  <c r="O72" i="106"/>
  <c r="O72" i="102"/>
  <c r="O72" i="103"/>
  <c r="O72" i="98"/>
  <c r="O72" i="110"/>
  <c r="O72" i="100"/>
  <c r="O72" i="97"/>
  <c r="O72" i="99"/>
  <c r="O80" i="115"/>
  <c r="O80" i="114"/>
  <c r="O80" i="116"/>
  <c r="O80" i="117"/>
  <c r="O80" i="108"/>
  <c r="O80" i="113"/>
  <c r="O80" i="111"/>
  <c r="O80" i="110"/>
  <c r="O80" i="103"/>
  <c r="O80" i="106"/>
  <c r="O80" i="104"/>
  <c r="O80" i="109"/>
  <c r="O80" i="105"/>
  <c r="O80" i="101"/>
  <c r="O80" i="107"/>
  <c r="O80" i="98"/>
  <c r="O80" i="100"/>
  <c r="O80" i="102"/>
  <c r="O80" i="99"/>
  <c r="O80" i="97"/>
  <c r="O88" i="113"/>
  <c r="O88" i="114"/>
  <c r="O88" i="116"/>
  <c r="O88" i="111"/>
  <c r="O88" i="107"/>
  <c r="O88" i="110"/>
  <c r="O88" i="109"/>
  <c r="O88" i="106"/>
  <c r="O88" i="117"/>
  <c r="O88" i="115"/>
  <c r="O88" i="108"/>
  <c r="O88" i="105"/>
  <c r="O88" i="103"/>
  <c r="O88" i="104"/>
  <c r="O88" i="101"/>
  <c r="O88" i="100"/>
  <c r="O88" i="102"/>
  <c r="O88" i="99"/>
  <c r="O88" i="98"/>
  <c r="O88" i="97"/>
  <c r="O96" i="116"/>
  <c r="O96" i="113"/>
  <c r="O96" i="115"/>
  <c r="O96" i="117"/>
  <c r="O96" i="114"/>
  <c r="O96" i="111"/>
  <c r="O96" i="110"/>
  <c r="O96" i="107"/>
  <c r="O96" i="108"/>
  <c r="O96" i="106"/>
  <c r="O96" i="104"/>
  <c r="O96" i="103"/>
  <c r="O96" i="105"/>
  <c r="O96" i="101"/>
  <c r="O96" i="109"/>
  <c r="O96" i="98"/>
  <c r="O96" i="97"/>
  <c r="O96" i="102"/>
  <c r="O96" i="100"/>
  <c r="O96" i="99"/>
  <c r="O104" i="116"/>
  <c r="O104" i="115"/>
  <c r="O104" i="117"/>
  <c r="O104" i="114"/>
  <c r="O104" i="113"/>
  <c r="O104" i="111"/>
  <c r="O104" i="109"/>
  <c r="O104" i="108"/>
  <c r="O104" i="107"/>
  <c r="O104" i="110"/>
  <c r="O104" i="106"/>
  <c r="O104" i="103"/>
  <c r="O104" i="105"/>
  <c r="O104" i="104"/>
  <c r="O104" i="101"/>
  <c r="O104" i="99"/>
  <c r="O104" i="102"/>
  <c r="O104" i="100"/>
  <c r="O104" i="98"/>
  <c r="O104" i="97"/>
  <c r="P72" i="115"/>
  <c r="P72" i="113"/>
  <c r="P72" i="116"/>
  <c r="P72" i="117"/>
  <c r="P72" i="111"/>
  <c r="P72" i="108"/>
  <c r="P72" i="109"/>
  <c r="P72" i="114"/>
  <c r="P72" i="110"/>
  <c r="P72" i="107"/>
  <c r="P72" i="105"/>
  <c r="P72" i="102"/>
  <c r="P72" i="106"/>
  <c r="P72" i="103"/>
  <c r="P72" i="101"/>
  <c r="P72" i="104"/>
  <c r="P72" i="100"/>
  <c r="P72" i="99"/>
  <c r="P72" i="97"/>
  <c r="P72" i="98"/>
  <c r="P80" i="114"/>
  <c r="P80" i="116"/>
  <c r="P80" i="113"/>
  <c r="P80" i="115"/>
  <c r="P80" i="117"/>
  <c r="P80" i="111"/>
  <c r="P80" i="110"/>
  <c r="P80" i="109"/>
  <c r="P80" i="108"/>
  <c r="P80" i="106"/>
  <c r="P80" i="104"/>
  <c r="P80" i="102"/>
  <c r="P80" i="107"/>
  <c r="P80" i="103"/>
  <c r="P80" i="105"/>
  <c r="P80" i="98"/>
  <c r="P80" i="100"/>
  <c r="P80" i="99"/>
  <c r="P80" i="101"/>
  <c r="P80" i="97"/>
  <c r="P88" i="114"/>
  <c r="P88" i="116"/>
  <c r="P88" i="117"/>
  <c r="P88" i="115"/>
  <c r="P88" i="113"/>
  <c r="P88" i="110"/>
  <c r="P88" i="109"/>
  <c r="P88" i="111"/>
  <c r="P88" i="106"/>
  <c r="P88" i="105"/>
  <c r="P88" i="103"/>
  <c r="P88" i="107"/>
  <c r="P88" i="102"/>
  <c r="P88" i="108"/>
  <c r="P88" i="100"/>
  <c r="P88" i="104"/>
  <c r="P88" i="101"/>
  <c r="P88" i="99"/>
  <c r="P88" i="98"/>
  <c r="P88" i="97"/>
  <c r="P96" i="116"/>
  <c r="P96" i="113"/>
  <c r="P96" i="115"/>
  <c r="P96" i="117"/>
  <c r="P96" i="114"/>
  <c r="P96" i="107"/>
  <c r="P96" i="106"/>
  <c r="P96" i="109"/>
  <c r="P96" i="108"/>
  <c r="P96" i="111"/>
  <c r="P96" i="110"/>
  <c r="P96" i="104"/>
  <c r="P96" i="103"/>
  <c r="P96" i="102"/>
  <c r="P96" i="98"/>
  <c r="P96" i="99"/>
  <c r="P96" i="105"/>
  <c r="P96" i="100"/>
  <c r="P96" i="101"/>
  <c r="P96" i="97"/>
  <c r="P104" i="116"/>
  <c r="P104" i="115"/>
  <c r="P104" i="113"/>
  <c r="P104" i="117"/>
  <c r="P104" i="109"/>
  <c r="P104" i="114"/>
  <c r="P104" i="110"/>
  <c r="P104" i="111"/>
  <c r="P104" i="107"/>
  <c r="P104" i="106"/>
  <c r="P104" i="103"/>
  <c r="P104" i="108"/>
  <c r="P104" i="105"/>
  <c r="P104" i="102"/>
  <c r="P104" i="100"/>
  <c r="P104" i="104"/>
  <c r="P104" i="101"/>
  <c r="P104" i="99"/>
  <c r="P104" i="98"/>
  <c r="P104" i="97"/>
  <c r="O66" i="117"/>
  <c r="O66" i="114"/>
  <c r="O66" i="115"/>
  <c r="O66" i="113"/>
  <c r="O66" i="111"/>
  <c r="O66" i="108"/>
  <c r="O66" i="116"/>
  <c r="O66" i="109"/>
  <c r="O66" i="110"/>
  <c r="O66" i="106"/>
  <c r="O66" i="104"/>
  <c r="O66" i="103"/>
  <c r="O66" i="107"/>
  <c r="O66" i="105"/>
  <c r="O66" i="102"/>
  <c r="O66" i="101"/>
  <c r="O66" i="99"/>
  <c r="O66" i="100"/>
  <c r="O66" i="98"/>
  <c r="O66" i="97"/>
  <c r="O74" i="117"/>
  <c r="O74" i="113"/>
  <c r="O74" i="116"/>
  <c r="O74" i="114"/>
  <c r="O74" i="115"/>
  <c r="O74" i="109"/>
  <c r="O74" i="108"/>
  <c r="O74" i="110"/>
  <c r="O74" i="111"/>
  <c r="O74" i="105"/>
  <c r="O74" i="107"/>
  <c r="O74" i="106"/>
  <c r="O74" i="103"/>
  <c r="O74" i="101"/>
  <c r="O74" i="100"/>
  <c r="O74" i="98"/>
  <c r="O74" i="104"/>
  <c r="O74" i="102"/>
  <c r="O74" i="99"/>
  <c r="O74" i="97"/>
  <c r="O82" i="116"/>
  <c r="O82" i="115"/>
  <c r="O82" i="117"/>
  <c r="O82" i="114"/>
  <c r="O82" i="108"/>
  <c r="O82" i="111"/>
  <c r="O82" i="110"/>
  <c r="O82" i="113"/>
  <c r="O82" i="109"/>
  <c r="O82" i="106"/>
  <c r="O82" i="104"/>
  <c r="O82" i="105"/>
  <c r="O82" i="107"/>
  <c r="O82" i="103"/>
  <c r="O82" i="101"/>
  <c r="O82" i="100"/>
  <c r="O82" i="99"/>
  <c r="O82" i="102"/>
  <c r="O82" i="98"/>
  <c r="O82" i="97"/>
  <c r="O90" i="114"/>
  <c r="O90" i="115"/>
  <c r="O90" i="111"/>
  <c r="O90" i="116"/>
  <c r="O90" i="109"/>
  <c r="O90" i="106"/>
  <c r="O90" i="117"/>
  <c r="O90" i="110"/>
  <c r="O90" i="108"/>
  <c r="O90" i="105"/>
  <c r="O90" i="102"/>
  <c r="O90" i="103"/>
  <c r="O90" i="113"/>
  <c r="O90" i="101"/>
  <c r="O90" i="107"/>
  <c r="O90" i="98"/>
  <c r="O90" i="104"/>
  <c r="O90" i="100"/>
  <c r="O90" i="99"/>
  <c r="O90" i="97"/>
  <c r="O98" i="113"/>
  <c r="R98" i="113" s="1"/>
  <c r="O98" i="115"/>
  <c r="R98" i="115" s="1"/>
  <c r="O98" i="116"/>
  <c r="R98" i="116" s="1"/>
  <c r="O98" i="114"/>
  <c r="R98" i="114" s="1"/>
  <c r="O98" i="117"/>
  <c r="R98" i="117" s="1"/>
  <c r="O98" i="111"/>
  <c r="R98" i="111" s="1"/>
  <c r="O98" i="107"/>
  <c r="R98" i="107" s="1"/>
  <c r="O98" i="110"/>
  <c r="R98" i="110" s="1"/>
  <c r="O98" i="109"/>
  <c r="R98" i="109" s="1"/>
  <c r="O98" i="106"/>
  <c r="R98" i="106" s="1"/>
  <c r="O98" i="104"/>
  <c r="R98" i="104" s="1"/>
  <c r="O98" i="102"/>
  <c r="R98" i="102" s="1"/>
  <c r="O98" i="108"/>
  <c r="R98" i="108" s="1"/>
  <c r="O98" i="103"/>
  <c r="R98" i="103" s="1"/>
  <c r="O98" i="105"/>
  <c r="R98" i="105" s="1"/>
  <c r="O98" i="101"/>
  <c r="R98" i="101" s="1"/>
  <c r="O98" i="99"/>
  <c r="R98" i="99" s="1"/>
  <c r="O98" i="100"/>
  <c r="R98" i="100" s="1"/>
  <c r="O98" i="98"/>
  <c r="R98" i="98" s="1"/>
  <c r="O98" i="97"/>
  <c r="R98" i="97" s="1"/>
  <c r="P66" i="115"/>
  <c r="P66" i="116"/>
  <c r="P66" i="117"/>
  <c r="P66" i="114"/>
  <c r="P66" i="113"/>
  <c r="P66" i="111"/>
  <c r="P66" i="108"/>
  <c r="P66" i="109"/>
  <c r="P66" i="107"/>
  <c r="P66" i="105"/>
  <c r="P66" i="110"/>
  <c r="P66" i="106"/>
  <c r="P66" i="104"/>
  <c r="P66" i="103"/>
  <c r="P66" i="101"/>
  <c r="P66" i="99"/>
  <c r="P66" i="98"/>
  <c r="P66" i="102"/>
  <c r="P66" i="100"/>
  <c r="P66" i="97"/>
  <c r="P74" i="113"/>
  <c r="P74" i="116"/>
  <c r="P74" i="114"/>
  <c r="P74" i="117"/>
  <c r="P74" i="109"/>
  <c r="P74" i="108"/>
  <c r="P74" i="110"/>
  <c r="P74" i="107"/>
  <c r="P74" i="115"/>
  <c r="P74" i="102"/>
  <c r="P74" i="111"/>
  <c r="P74" i="106"/>
  <c r="P74" i="103"/>
  <c r="P74" i="104"/>
  <c r="P74" i="105"/>
  <c r="P74" i="101"/>
  <c r="P74" i="100"/>
  <c r="P74" i="98"/>
  <c r="P74" i="99"/>
  <c r="P74" i="97"/>
  <c r="P82" i="113"/>
  <c r="P82" i="116"/>
  <c r="P82" i="115"/>
  <c r="P82" i="111"/>
  <c r="P82" i="110"/>
  <c r="P82" i="117"/>
  <c r="P82" i="114"/>
  <c r="P82" i="107"/>
  <c r="P82" i="108"/>
  <c r="P82" i="109"/>
  <c r="P82" i="104"/>
  <c r="P82" i="102"/>
  <c r="P82" i="105"/>
  <c r="P82" i="106"/>
  <c r="P82" i="100"/>
  <c r="P82" i="103"/>
  <c r="P82" i="98"/>
  <c r="P82" i="101"/>
  <c r="P82" i="99"/>
  <c r="P82" i="97"/>
  <c r="P90" i="114"/>
  <c r="P90" i="115"/>
  <c r="P90" i="116"/>
  <c r="P90" i="117"/>
  <c r="P90" i="113"/>
  <c r="P90" i="111"/>
  <c r="P90" i="109"/>
  <c r="P90" i="107"/>
  <c r="P90" i="102"/>
  <c r="P90" i="103"/>
  <c r="P90" i="106"/>
  <c r="P90" i="104"/>
  <c r="P90" i="110"/>
  <c r="P90" i="108"/>
  <c r="P90" i="105"/>
  <c r="P90" i="98"/>
  <c r="P90" i="99"/>
  <c r="P90" i="100"/>
  <c r="P90" i="101"/>
  <c r="P90" i="97"/>
  <c r="P98" i="115"/>
  <c r="S98" i="115" s="1"/>
  <c r="P98" i="116"/>
  <c r="S98" i="116" s="1"/>
  <c r="P98" i="114"/>
  <c r="S98" i="114" s="1"/>
  <c r="P98" i="117"/>
  <c r="S98" i="117" s="1"/>
  <c r="P98" i="113"/>
  <c r="S98" i="113" s="1"/>
  <c r="P98" i="107"/>
  <c r="S98" i="107" s="1"/>
  <c r="P98" i="106"/>
  <c r="S98" i="106" s="1"/>
  <c r="P98" i="110"/>
  <c r="S98" i="110" s="1"/>
  <c r="P98" i="109"/>
  <c r="S98" i="109" s="1"/>
  <c r="P98" i="108"/>
  <c r="S98" i="108" s="1"/>
  <c r="P98" i="111"/>
  <c r="S98" i="111" s="1"/>
  <c r="P98" i="104"/>
  <c r="S98" i="104" s="1"/>
  <c r="P98" i="102"/>
  <c r="S98" i="102" s="1"/>
  <c r="P98" i="103"/>
  <c r="S98" i="103" s="1"/>
  <c r="P98" i="105"/>
  <c r="S98" i="105" s="1"/>
  <c r="P98" i="99"/>
  <c r="S98" i="99" s="1"/>
  <c r="P98" i="100"/>
  <c r="S98" i="100" s="1"/>
  <c r="P98" i="98"/>
  <c r="S98" i="98" s="1"/>
  <c r="P98" i="101"/>
  <c r="S98" i="101" s="1"/>
  <c r="P98" i="97"/>
  <c r="S98" i="97" s="1"/>
  <c r="P78" i="88"/>
  <c r="P78" i="89"/>
  <c r="P78" i="91"/>
  <c r="P78" i="90"/>
  <c r="P78" i="86"/>
  <c r="P78" i="84"/>
  <c r="P78" i="92"/>
  <c r="P78" i="87"/>
  <c r="P78" i="85"/>
  <c r="P78" i="83"/>
  <c r="P78" i="82"/>
  <c r="O72" i="92"/>
  <c r="O72" i="90"/>
  <c r="O72" i="91"/>
  <c r="O72" i="89"/>
  <c r="O72" i="87"/>
  <c r="O72" i="85"/>
  <c r="O72" i="86"/>
  <c r="O72" i="83"/>
  <c r="O72" i="88"/>
  <c r="O72" i="84"/>
  <c r="O72" i="82"/>
  <c r="O80" i="89"/>
  <c r="O80" i="91"/>
  <c r="O80" i="90"/>
  <c r="O80" i="87"/>
  <c r="O80" i="86"/>
  <c r="O80" i="84"/>
  <c r="O80" i="85"/>
  <c r="O80" i="92"/>
  <c r="O80" i="88"/>
  <c r="O80" i="82"/>
  <c r="O80" i="83"/>
  <c r="O88" i="92"/>
  <c r="O88" i="91"/>
  <c r="O88" i="89"/>
  <c r="O88" i="90"/>
  <c r="O88" i="87"/>
  <c r="O88" i="86"/>
  <c r="O88" i="85"/>
  <c r="O88" i="88"/>
  <c r="O88" i="84"/>
  <c r="O88" i="83"/>
  <c r="O88" i="82"/>
  <c r="O96" i="91"/>
  <c r="O96" i="89"/>
  <c r="O96" i="90"/>
  <c r="O96" i="87"/>
  <c r="O96" i="86"/>
  <c r="O96" i="84"/>
  <c r="O96" i="92"/>
  <c r="O96" i="88"/>
  <c r="O96" i="85"/>
  <c r="O96" i="83"/>
  <c r="O96" i="82"/>
  <c r="O104" i="92"/>
  <c r="O104" i="90"/>
  <c r="O104" i="91"/>
  <c r="O104" i="85"/>
  <c r="O104" i="87"/>
  <c r="O104" i="86"/>
  <c r="O104" i="88"/>
  <c r="O104" i="89"/>
  <c r="O104" i="83"/>
  <c r="O104" i="84"/>
  <c r="O104" i="82"/>
  <c r="S78" i="83"/>
  <c r="R77" i="83"/>
  <c r="S77" i="83"/>
  <c r="R78" i="83"/>
  <c r="S78" i="91"/>
  <c r="S77" i="91"/>
  <c r="R78" i="91"/>
  <c r="R77" i="91"/>
  <c r="S96" i="83"/>
  <c r="R96" i="83"/>
  <c r="S95" i="83"/>
  <c r="R95" i="83"/>
  <c r="S94" i="88"/>
  <c r="R93" i="88"/>
  <c r="S93" i="88"/>
  <c r="R94" i="88"/>
  <c r="S92" i="92"/>
  <c r="S91" i="92"/>
  <c r="R92" i="92"/>
  <c r="R91" i="92"/>
  <c r="S90" i="83"/>
  <c r="R90" i="83"/>
  <c r="R89" i="83"/>
  <c r="S89" i="83"/>
  <c r="S90" i="90"/>
  <c r="S89" i="90"/>
  <c r="R90" i="90"/>
  <c r="R89" i="90"/>
  <c r="S74" i="92"/>
  <c r="R73" i="92"/>
  <c r="S73" i="92"/>
  <c r="R74" i="92"/>
  <c r="R87" i="87"/>
  <c r="S87" i="87"/>
  <c r="S88" i="87"/>
  <c r="R88" i="87"/>
  <c r="S88" i="89"/>
  <c r="R88" i="89"/>
  <c r="S87" i="89"/>
  <c r="R87" i="89"/>
  <c r="S72" i="88"/>
  <c r="R72" i="88"/>
  <c r="S71" i="88"/>
  <c r="R71" i="88"/>
  <c r="S76" i="92"/>
  <c r="S75" i="92"/>
  <c r="R76" i="92"/>
  <c r="R75" i="92"/>
  <c r="S104" i="84"/>
  <c r="R104" i="84"/>
  <c r="S103" i="84"/>
  <c r="R103" i="84"/>
  <c r="S86" i="83"/>
  <c r="R85" i="83"/>
  <c r="S85" i="83"/>
  <c r="R86" i="83"/>
  <c r="S86" i="90"/>
  <c r="S85" i="90"/>
  <c r="R86" i="90"/>
  <c r="R85" i="90"/>
  <c r="S102" i="87"/>
  <c r="R101" i="87"/>
  <c r="S101" i="87"/>
  <c r="R102" i="87"/>
  <c r="R83" i="91"/>
  <c r="S83" i="91"/>
  <c r="S84" i="91"/>
  <c r="R84" i="91"/>
  <c r="R82" i="87"/>
  <c r="S82" i="87"/>
  <c r="R81" i="87"/>
  <c r="S81" i="87"/>
  <c r="S82" i="90"/>
  <c r="R82" i="90"/>
  <c r="R81" i="90"/>
  <c r="S81" i="90"/>
  <c r="S80" i="84"/>
  <c r="S79" i="84"/>
  <c r="R80" i="84"/>
  <c r="R79" i="84"/>
  <c r="P72" i="88"/>
  <c r="P72" i="92"/>
  <c r="P72" i="90"/>
  <c r="P72" i="89"/>
  <c r="P72" i="91"/>
  <c r="P72" i="87"/>
  <c r="P72" i="82"/>
  <c r="P72" i="86"/>
  <c r="P72" i="85"/>
  <c r="P72" i="84"/>
  <c r="P72" i="83"/>
  <c r="P88" i="88"/>
  <c r="P88" i="92"/>
  <c r="P88" i="91"/>
  <c r="P88" i="89"/>
  <c r="P88" i="90"/>
  <c r="P88" i="87"/>
  <c r="P88" i="85"/>
  <c r="P88" i="86"/>
  <c r="P88" i="84"/>
  <c r="P88" i="82"/>
  <c r="P88" i="83"/>
  <c r="P96" i="88"/>
  <c r="P96" i="89"/>
  <c r="P96" i="92"/>
  <c r="P96" i="91"/>
  <c r="P96" i="90"/>
  <c r="P96" i="85"/>
  <c r="P96" i="87"/>
  <c r="P96" i="86"/>
  <c r="P96" i="83"/>
  <c r="P96" i="84"/>
  <c r="P96" i="82"/>
  <c r="P104" i="88"/>
  <c r="P104" i="92"/>
  <c r="P104" i="90"/>
  <c r="P104" i="87"/>
  <c r="P104" i="85"/>
  <c r="P104" i="84"/>
  <c r="P104" i="91"/>
  <c r="P104" i="82"/>
  <c r="P104" i="86"/>
  <c r="P104" i="89"/>
  <c r="P104" i="83"/>
  <c r="R77" i="84"/>
  <c r="R78" i="84"/>
  <c r="S78" i="84"/>
  <c r="S77" i="84"/>
  <c r="S78" i="92"/>
  <c r="R77" i="92"/>
  <c r="S77" i="92"/>
  <c r="R78" i="92"/>
  <c r="S96" i="84"/>
  <c r="S95" i="84"/>
  <c r="R96" i="84"/>
  <c r="R95" i="84"/>
  <c r="R94" i="85"/>
  <c r="S94" i="85"/>
  <c r="R93" i="85"/>
  <c r="S93" i="85"/>
  <c r="S92" i="85"/>
  <c r="R92" i="85"/>
  <c r="S91" i="85"/>
  <c r="R91" i="85"/>
  <c r="S92" i="90"/>
  <c r="S91" i="90"/>
  <c r="R92" i="90"/>
  <c r="R91" i="90"/>
  <c r="R90" i="87"/>
  <c r="S90" i="87"/>
  <c r="R89" i="87"/>
  <c r="S89" i="87"/>
  <c r="S90" i="91"/>
  <c r="S89" i="91"/>
  <c r="R90" i="91"/>
  <c r="R89" i="91"/>
  <c r="S74" i="86"/>
  <c r="R73" i="86"/>
  <c r="S73" i="86"/>
  <c r="R74" i="86"/>
  <c r="S88" i="82"/>
  <c r="S87" i="82"/>
  <c r="R88" i="82"/>
  <c r="R87" i="82"/>
  <c r="R87" i="91"/>
  <c r="R88" i="91"/>
  <c r="S87" i="91"/>
  <c r="S88" i="91"/>
  <c r="S72" i="86"/>
  <c r="R72" i="86"/>
  <c r="S71" i="86"/>
  <c r="R71" i="86"/>
  <c r="S76" i="82"/>
  <c r="S75" i="82"/>
  <c r="R76" i="82"/>
  <c r="R75" i="82"/>
  <c r="S76" i="90"/>
  <c r="S75" i="90"/>
  <c r="R76" i="90"/>
  <c r="R75" i="90"/>
  <c r="S104" i="86"/>
  <c r="R104" i="86"/>
  <c r="S103" i="86"/>
  <c r="R103" i="86"/>
  <c r="R85" i="82"/>
  <c r="S86" i="82"/>
  <c r="R86" i="82"/>
  <c r="S85" i="82"/>
  <c r="S86" i="92"/>
  <c r="S85" i="92"/>
  <c r="R86" i="92"/>
  <c r="R85" i="92"/>
  <c r="S102" i="88"/>
  <c r="S101" i="88"/>
  <c r="R101" i="88"/>
  <c r="R102" i="88"/>
  <c r="S84" i="82"/>
  <c r="R84" i="82"/>
  <c r="S83" i="82"/>
  <c r="R83" i="82"/>
  <c r="S84" i="89"/>
  <c r="R84" i="89"/>
  <c r="S83" i="89"/>
  <c r="R83" i="89"/>
  <c r="R82" i="85"/>
  <c r="S82" i="85"/>
  <c r="R81" i="85"/>
  <c r="S81" i="85"/>
  <c r="S82" i="92"/>
  <c r="R81" i="92"/>
  <c r="S81" i="92"/>
  <c r="R82" i="92"/>
  <c r="S80" i="82"/>
  <c r="R80" i="82"/>
  <c r="S79" i="82"/>
  <c r="R79" i="82"/>
  <c r="O68" i="91"/>
  <c r="O68" i="92"/>
  <c r="O68" i="90"/>
  <c r="O68" i="87"/>
  <c r="O68" i="85"/>
  <c r="O68" i="89"/>
  <c r="O68" i="88"/>
  <c r="O68" i="86"/>
  <c r="O68" i="83"/>
  <c r="O68" i="84"/>
  <c r="O68" i="82"/>
  <c r="P80" i="88"/>
  <c r="P80" i="91"/>
  <c r="P80" i="92"/>
  <c r="P80" i="85"/>
  <c r="P80" i="90"/>
  <c r="P80" i="87"/>
  <c r="P80" i="86"/>
  <c r="P80" i="82"/>
  <c r="P80" i="89"/>
  <c r="P80" i="83"/>
  <c r="P80" i="84"/>
  <c r="O66" i="91"/>
  <c r="O66" i="92"/>
  <c r="O66" i="90"/>
  <c r="O66" i="87"/>
  <c r="O66" i="85"/>
  <c r="O66" i="88"/>
  <c r="O66" i="86"/>
  <c r="O66" i="89"/>
  <c r="O66" i="83"/>
  <c r="O66" i="84"/>
  <c r="O66" i="82"/>
  <c r="O74" i="92"/>
  <c r="O74" i="90"/>
  <c r="O74" i="91"/>
  <c r="O74" i="89"/>
  <c r="O74" i="88"/>
  <c r="O74" i="82"/>
  <c r="O74" i="84"/>
  <c r="O74" i="87"/>
  <c r="O74" i="86"/>
  <c r="O74" i="85"/>
  <c r="O74" i="83"/>
  <c r="O82" i="91"/>
  <c r="O82" i="92"/>
  <c r="O82" i="89"/>
  <c r="O82" i="85"/>
  <c r="O82" i="90"/>
  <c r="O82" i="88"/>
  <c r="O82" i="86"/>
  <c r="O82" i="82"/>
  <c r="O82" i="87"/>
  <c r="O82" i="83"/>
  <c r="O82" i="84"/>
  <c r="O90" i="92"/>
  <c r="O90" i="89"/>
  <c r="O90" i="90"/>
  <c r="O90" i="91"/>
  <c r="O90" i="88"/>
  <c r="O90" i="85"/>
  <c r="O90" i="84"/>
  <c r="O90" i="86"/>
  <c r="O90" i="87"/>
  <c r="O90" i="82"/>
  <c r="O90" i="83"/>
  <c r="O98" i="89"/>
  <c r="O98" i="92"/>
  <c r="O98" i="91"/>
  <c r="O98" i="85"/>
  <c r="O98" i="90"/>
  <c r="O98" i="88"/>
  <c r="R98" i="88" s="1"/>
  <c r="O98" i="86"/>
  <c r="R98" i="86" s="1"/>
  <c r="O98" i="83"/>
  <c r="O98" i="87"/>
  <c r="O98" i="82"/>
  <c r="O98" i="84"/>
  <c r="R98" i="85"/>
  <c r="S78" i="86"/>
  <c r="R77" i="86"/>
  <c r="S77" i="86"/>
  <c r="R78" i="86"/>
  <c r="S96" i="85"/>
  <c r="S95" i="85"/>
  <c r="R96" i="85"/>
  <c r="R95" i="85"/>
  <c r="S94" i="90"/>
  <c r="R93" i="90"/>
  <c r="S93" i="90"/>
  <c r="R94" i="90"/>
  <c r="S92" i="83"/>
  <c r="S91" i="83"/>
  <c r="R92" i="83"/>
  <c r="R91" i="83"/>
  <c r="S92" i="89"/>
  <c r="S91" i="89"/>
  <c r="R92" i="89"/>
  <c r="R91" i="89"/>
  <c r="S90" i="92"/>
  <c r="S89" i="92"/>
  <c r="R90" i="92"/>
  <c r="R89" i="92"/>
  <c r="R74" i="87"/>
  <c r="S74" i="87"/>
  <c r="R73" i="87"/>
  <c r="S73" i="87"/>
  <c r="S74" i="90"/>
  <c r="R73" i="90"/>
  <c r="S73" i="90"/>
  <c r="R74" i="90"/>
  <c r="S88" i="83"/>
  <c r="S87" i="83"/>
  <c r="R88" i="83"/>
  <c r="R87" i="83"/>
  <c r="S88" i="92"/>
  <c r="R88" i="92"/>
  <c r="S87" i="92"/>
  <c r="R87" i="92"/>
  <c r="R71" i="91"/>
  <c r="S71" i="91"/>
  <c r="S72" i="91"/>
  <c r="R72" i="91"/>
  <c r="S76" i="83"/>
  <c r="S75" i="83"/>
  <c r="R76" i="83"/>
  <c r="R75" i="83"/>
  <c r="R75" i="91"/>
  <c r="S75" i="91"/>
  <c r="R76" i="91"/>
  <c r="S76" i="91"/>
  <c r="S104" i="88"/>
  <c r="S103" i="88"/>
  <c r="R104" i="88"/>
  <c r="R103" i="88"/>
  <c r="R86" i="87"/>
  <c r="S86" i="87"/>
  <c r="R85" i="87"/>
  <c r="S85" i="87"/>
  <c r="S102" i="91"/>
  <c r="S101" i="91"/>
  <c r="R101" i="91"/>
  <c r="R102" i="91"/>
  <c r="S84" i="84"/>
  <c r="S83" i="84"/>
  <c r="R84" i="84"/>
  <c r="R83" i="84"/>
  <c r="S84" i="90"/>
  <c r="R84" i="90"/>
  <c r="S83" i="90"/>
  <c r="R83" i="90"/>
  <c r="R81" i="84"/>
  <c r="S81" i="84"/>
  <c r="R82" i="84"/>
  <c r="S82" i="84"/>
  <c r="S80" i="88"/>
  <c r="R79" i="88"/>
  <c r="R80" i="88"/>
  <c r="S79" i="88"/>
  <c r="P74" i="92"/>
  <c r="P74" i="88"/>
  <c r="P74" i="90"/>
  <c r="P74" i="91"/>
  <c r="P74" i="89"/>
  <c r="P74" i="86"/>
  <c r="P74" i="87"/>
  <c r="P74" i="82"/>
  <c r="P74" i="84"/>
  <c r="P74" i="85"/>
  <c r="P74" i="83"/>
  <c r="P82" i="91"/>
  <c r="P82" i="88"/>
  <c r="P82" i="92"/>
  <c r="P82" i="90"/>
  <c r="P82" i="89"/>
  <c r="P82" i="85"/>
  <c r="P82" i="87"/>
  <c r="P82" i="83"/>
  <c r="P82" i="86"/>
  <c r="P82" i="84"/>
  <c r="P82" i="82"/>
  <c r="P90" i="92"/>
  <c r="P90" i="89"/>
  <c r="P90" i="88"/>
  <c r="P90" i="90"/>
  <c r="P90" i="91"/>
  <c r="P90" i="86"/>
  <c r="P90" i="85"/>
  <c r="P90" i="84"/>
  <c r="P90" i="87"/>
  <c r="P90" i="82"/>
  <c r="P90" i="83"/>
  <c r="P98" i="88"/>
  <c r="S98" i="88" s="1"/>
  <c r="P98" i="89"/>
  <c r="P98" i="92"/>
  <c r="P98" i="91"/>
  <c r="P98" i="90"/>
  <c r="P98" i="85"/>
  <c r="S98" i="85" s="1"/>
  <c r="P98" i="87"/>
  <c r="P98" i="83"/>
  <c r="P98" i="82"/>
  <c r="P98" i="84"/>
  <c r="P98" i="86"/>
  <c r="S98" i="86" s="1"/>
  <c r="S98" i="90"/>
  <c r="R98" i="90"/>
  <c r="R78" i="87"/>
  <c r="S78" i="87"/>
  <c r="R77" i="87"/>
  <c r="S77" i="87"/>
  <c r="S96" i="88"/>
  <c r="R95" i="88"/>
  <c r="R96" i="88"/>
  <c r="S95" i="88"/>
  <c r="R93" i="82"/>
  <c r="S93" i="82"/>
  <c r="S94" i="82"/>
  <c r="R94" i="82"/>
  <c r="S94" i="92"/>
  <c r="S93" i="92"/>
  <c r="R94" i="92"/>
  <c r="R93" i="92"/>
  <c r="S92" i="82"/>
  <c r="R92" i="82"/>
  <c r="S91" i="82"/>
  <c r="R91" i="82"/>
  <c r="R91" i="91"/>
  <c r="S92" i="91"/>
  <c r="R92" i="91"/>
  <c r="S91" i="91"/>
  <c r="S90" i="88"/>
  <c r="R89" i="88"/>
  <c r="S89" i="88"/>
  <c r="R90" i="88"/>
  <c r="S74" i="83"/>
  <c r="R74" i="83"/>
  <c r="R73" i="83"/>
  <c r="S73" i="83"/>
  <c r="R74" i="89"/>
  <c r="S74" i="89"/>
  <c r="R73" i="89"/>
  <c r="S73" i="89"/>
  <c r="S88" i="84"/>
  <c r="R88" i="84"/>
  <c r="S87" i="84"/>
  <c r="R87" i="84"/>
  <c r="S72" i="85"/>
  <c r="S71" i="85"/>
  <c r="R72" i="85"/>
  <c r="R71" i="85"/>
  <c r="S72" i="89"/>
  <c r="S71" i="89"/>
  <c r="R72" i="89"/>
  <c r="R71" i="89"/>
  <c r="S76" i="85"/>
  <c r="S75" i="85"/>
  <c r="R76" i="85"/>
  <c r="R75" i="85"/>
  <c r="S76" i="89"/>
  <c r="R76" i="89"/>
  <c r="S75" i="89"/>
  <c r="R75" i="89"/>
  <c r="S104" i="89"/>
  <c r="S103" i="89"/>
  <c r="R104" i="89"/>
  <c r="R103" i="89"/>
  <c r="S86" i="88"/>
  <c r="S85" i="88"/>
  <c r="R86" i="88"/>
  <c r="R85" i="88"/>
  <c r="R101" i="84"/>
  <c r="S101" i="84"/>
  <c r="R102" i="84"/>
  <c r="S102" i="84"/>
  <c r="S84" i="83"/>
  <c r="R84" i="83"/>
  <c r="S83" i="83"/>
  <c r="R83" i="83"/>
  <c r="S84" i="92"/>
  <c r="R84" i="92"/>
  <c r="S83" i="92"/>
  <c r="R83" i="92"/>
  <c r="S82" i="83"/>
  <c r="R81" i="83"/>
  <c r="S81" i="83"/>
  <c r="R82" i="83"/>
  <c r="S80" i="89"/>
  <c r="S79" i="89"/>
  <c r="R80" i="89"/>
  <c r="R79" i="89"/>
  <c r="O76" i="92"/>
  <c r="O76" i="91"/>
  <c r="O76" i="90"/>
  <c r="O76" i="89"/>
  <c r="O76" i="88"/>
  <c r="O76" i="86"/>
  <c r="O76" i="84"/>
  <c r="O76" i="87"/>
  <c r="O76" i="85"/>
  <c r="O76" i="83"/>
  <c r="O76" i="82"/>
  <c r="O84" i="92"/>
  <c r="O84" i="90"/>
  <c r="O84" i="89"/>
  <c r="O84" i="91"/>
  <c r="O84" i="88"/>
  <c r="O84" i="87"/>
  <c r="O84" i="85"/>
  <c r="O84" i="83"/>
  <c r="O84" i="82"/>
  <c r="O84" i="84"/>
  <c r="O84" i="86"/>
  <c r="O92" i="92"/>
  <c r="O92" i="90"/>
  <c r="O92" i="91"/>
  <c r="O92" i="88"/>
  <c r="O92" i="85"/>
  <c r="O92" i="89"/>
  <c r="O92" i="86"/>
  <c r="O92" i="84"/>
  <c r="O92" i="87"/>
  <c r="O92" i="82"/>
  <c r="O92" i="83"/>
  <c r="O100" i="89"/>
  <c r="O100" i="91"/>
  <c r="R100" i="91" s="1"/>
  <c r="O100" i="92"/>
  <c r="O100" i="90"/>
  <c r="R100" i="90" s="1"/>
  <c r="O100" i="88"/>
  <c r="R100" i="88" s="1"/>
  <c r="O100" i="87"/>
  <c r="R100" i="87" s="1"/>
  <c r="O100" i="82"/>
  <c r="O100" i="83"/>
  <c r="R100" i="83" s="1"/>
  <c r="O100" i="86"/>
  <c r="R100" i="86" s="1"/>
  <c r="O100" i="85"/>
  <c r="O100" i="84"/>
  <c r="R98" i="87"/>
  <c r="S98" i="87"/>
  <c r="S98" i="91"/>
  <c r="R98" i="91"/>
  <c r="S78" i="88"/>
  <c r="R77" i="88"/>
  <c r="R78" i="88"/>
  <c r="S77" i="88"/>
  <c r="R95" i="91"/>
  <c r="S95" i="91"/>
  <c r="S96" i="91"/>
  <c r="R96" i="91"/>
  <c r="S94" i="86"/>
  <c r="S93" i="86"/>
  <c r="R94" i="86"/>
  <c r="R93" i="86"/>
  <c r="R94" i="89"/>
  <c r="S94" i="89"/>
  <c r="R93" i="89"/>
  <c r="S93" i="89"/>
  <c r="S92" i="88"/>
  <c r="R91" i="88"/>
  <c r="S91" i="88"/>
  <c r="R92" i="88"/>
  <c r="R90" i="89"/>
  <c r="S90" i="89"/>
  <c r="R89" i="89"/>
  <c r="S89" i="89"/>
  <c r="R73" i="82"/>
  <c r="R74" i="82"/>
  <c r="S73" i="82"/>
  <c r="S74" i="82"/>
  <c r="R73" i="91"/>
  <c r="S74" i="91"/>
  <c r="R74" i="91"/>
  <c r="S73" i="91"/>
  <c r="S88" i="85"/>
  <c r="R88" i="85"/>
  <c r="S87" i="85"/>
  <c r="R87" i="85"/>
  <c r="S72" i="83"/>
  <c r="S71" i="83"/>
  <c r="R72" i="83"/>
  <c r="R71" i="83"/>
  <c r="S72" i="90"/>
  <c r="R72" i="90"/>
  <c r="S71" i="90"/>
  <c r="R71" i="90"/>
  <c r="S76" i="84"/>
  <c r="R76" i="84"/>
  <c r="S75" i="84"/>
  <c r="R75" i="84"/>
  <c r="S104" i="83"/>
  <c r="S103" i="83"/>
  <c r="R104" i="83"/>
  <c r="R103" i="83"/>
  <c r="R103" i="91"/>
  <c r="S103" i="91"/>
  <c r="S104" i="91"/>
  <c r="R104" i="91"/>
  <c r="S86" i="84"/>
  <c r="S85" i="84"/>
  <c r="R86" i="84"/>
  <c r="R85" i="84"/>
  <c r="S102" i="86"/>
  <c r="R101" i="86"/>
  <c r="R102" i="86"/>
  <c r="S101" i="86"/>
  <c r="R100" i="89"/>
  <c r="S84" i="85"/>
  <c r="S83" i="85"/>
  <c r="R84" i="85"/>
  <c r="R83" i="85"/>
  <c r="S82" i="86"/>
  <c r="R81" i="86"/>
  <c r="S81" i="86"/>
  <c r="R82" i="86"/>
  <c r="S80" i="85"/>
  <c r="R80" i="85"/>
  <c r="S79" i="85"/>
  <c r="R79" i="85"/>
  <c r="P76" i="91"/>
  <c r="P76" i="90"/>
  <c r="P76" i="88"/>
  <c r="P76" i="89"/>
  <c r="P76" i="92"/>
  <c r="P76" i="86"/>
  <c r="P76" i="85"/>
  <c r="P76" i="84"/>
  <c r="P76" i="83"/>
  <c r="P76" i="82"/>
  <c r="P76" i="87"/>
  <c r="P84" i="88"/>
  <c r="P84" i="92"/>
  <c r="P84" i="90"/>
  <c r="P84" i="89"/>
  <c r="P84" i="91"/>
  <c r="P84" i="86"/>
  <c r="P84" i="85"/>
  <c r="P84" i="83"/>
  <c r="P84" i="87"/>
  <c r="P84" i="82"/>
  <c r="P84" i="84"/>
  <c r="P92" i="90"/>
  <c r="P92" i="88"/>
  <c r="P92" i="91"/>
  <c r="P92" i="92"/>
  <c r="P92" i="85"/>
  <c r="P92" i="89"/>
  <c r="P92" i="86"/>
  <c r="P92" i="87"/>
  <c r="P92" i="84"/>
  <c r="P92" i="82"/>
  <c r="P92" i="83"/>
  <c r="P100" i="89"/>
  <c r="S100" i="89" s="1"/>
  <c r="P100" i="88"/>
  <c r="S100" i="88" s="1"/>
  <c r="P100" i="91"/>
  <c r="S100" i="91" s="1"/>
  <c r="P100" i="92"/>
  <c r="P100" i="90"/>
  <c r="P100" i="85"/>
  <c r="P100" i="86"/>
  <c r="S100" i="86" s="1"/>
  <c r="P100" i="82"/>
  <c r="P100" i="83"/>
  <c r="S100" i="83" s="1"/>
  <c r="P100" i="87"/>
  <c r="S100" i="87" s="1"/>
  <c r="P100" i="84"/>
  <c r="S98" i="82"/>
  <c r="R98" i="82"/>
  <c r="S98" i="92"/>
  <c r="R98" i="92"/>
  <c r="R78" i="89"/>
  <c r="S78" i="89"/>
  <c r="R77" i="89"/>
  <c r="S77" i="89"/>
  <c r="S96" i="86"/>
  <c r="S95" i="86"/>
  <c r="R96" i="86"/>
  <c r="R95" i="86"/>
  <c r="S96" i="90"/>
  <c r="S95" i="90"/>
  <c r="R96" i="90"/>
  <c r="R95" i="90"/>
  <c r="S94" i="83"/>
  <c r="S93" i="83"/>
  <c r="R94" i="83"/>
  <c r="R93" i="83"/>
  <c r="S94" i="91"/>
  <c r="R94" i="91"/>
  <c r="S93" i="91"/>
  <c r="R93" i="91"/>
  <c r="R91" i="87"/>
  <c r="S92" i="87"/>
  <c r="R92" i="87"/>
  <c r="S91" i="87"/>
  <c r="S90" i="84"/>
  <c r="S89" i="84"/>
  <c r="R90" i="84"/>
  <c r="R89" i="84"/>
  <c r="R73" i="84"/>
  <c r="S74" i="84"/>
  <c r="S73" i="84"/>
  <c r="R74" i="84"/>
  <c r="S88" i="86"/>
  <c r="R88" i="86"/>
  <c r="S87" i="86"/>
  <c r="R87" i="86"/>
  <c r="R71" i="87"/>
  <c r="S71" i="87"/>
  <c r="S72" i="87"/>
  <c r="R72" i="87"/>
  <c r="S72" i="92"/>
  <c r="R72" i="92"/>
  <c r="S71" i="92"/>
  <c r="R71" i="92"/>
  <c r="S76" i="88"/>
  <c r="S75" i="88"/>
  <c r="R75" i="88"/>
  <c r="R76" i="88"/>
  <c r="S104" i="82"/>
  <c r="R104" i="82"/>
  <c r="S103" i="82"/>
  <c r="R103" i="82"/>
  <c r="S104" i="90"/>
  <c r="R104" i="90"/>
  <c r="S103" i="90"/>
  <c r="R103" i="90"/>
  <c r="S86" i="86"/>
  <c r="R86" i="86"/>
  <c r="R85" i="86"/>
  <c r="S85" i="86"/>
  <c r="S102" i="83"/>
  <c r="S101" i="83"/>
  <c r="R101" i="83"/>
  <c r="R102" i="83"/>
  <c r="S102" i="89"/>
  <c r="R101" i="89"/>
  <c r="S101" i="89"/>
  <c r="R102" i="89"/>
  <c r="S100" i="85"/>
  <c r="R100" i="85"/>
  <c r="S84" i="88"/>
  <c r="S83" i="88"/>
  <c r="R84" i="88"/>
  <c r="R83" i="88"/>
  <c r="S82" i="88"/>
  <c r="S81" i="88"/>
  <c r="R82" i="88"/>
  <c r="R81" i="88"/>
  <c r="S80" i="86"/>
  <c r="S79" i="86"/>
  <c r="R80" i="86"/>
  <c r="R79" i="86"/>
  <c r="S80" i="90"/>
  <c r="S79" i="90"/>
  <c r="R80" i="90"/>
  <c r="R79" i="90"/>
  <c r="O78" i="90"/>
  <c r="O78" i="89"/>
  <c r="O78" i="92"/>
  <c r="O78" i="91"/>
  <c r="O78" i="86"/>
  <c r="O78" i="87"/>
  <c r="O78" i="88"/>
  <c r="O78" i="85"/>
  <c r="O78" i="84"/>
  <c r="O78" i="83"/>
  <c r="O78" i="82"/>
  <c r="O86" i="92"/>
  <c r="O86" i="91"/>
  <c r="O86" i="90"/>
  <c r="O86" i="89"/>
  <c r="O86" i="87"/>
  <c r="O86" i="88"/>
  <c r="O86" i="86"/>
  <c r="O86" i="83"/>
  <c r="O86" i="82"/>
  <c r="O86" i="85"/>
  <c r="O86" i="84"/>
  <c r="O94" i="90"/>
  <c r="O94" i="91"/>
  <c r="O94" i="92"/>
  <c r="O94" i="85"/>
  <c r="O94" i="86"/>
  <c r="O94" i="87"/>
  <c r="O94" i="88"/>
  <c r="O94" i="89"/>
  <c r="O94" i="82"/>
  <c r="O94" i="84"/>
  <c r="O94" i="83"/>
  <c r="O102" i="91"/>
  <c r="O102" i="89"/>
  <c r="O102" i="92"/>
  <c r="O102" i="90"/>
  <c r="O102" i="87"/>
  <c r="O102" i="85"/>
  <c r="O102" i="88"/>
  <c r="O102" i="86"/>
  <c r="O102" i="84"/>
  <c r="O102" i="83"/>
  <c r="O102" i="82"/>
  <c r="S98" i="84"/>
  <c r="R98" i="84"/>
  <c r="R98" i="89"/>
  <c r="S98" i="89"/>
  <c r="R78" i="85"/>
  <c r="S78" i="85"/>
  <c r="R77" i="85"/>
  <c r="S77" i="85"/>
  <c r="S96" i="82"/>
  <c r="S95" i="82"/>
  <c r="R96" i="82"/>
  <c r="R95" i="82"/>
  <c r="S96" i="92"/>
  <c r="S95" i="92"/>
  <c r="R96" i="92"/>
  <c r="R95" i="92"/>
  <c r="R93" i="84"/>
  <c r="R94" i="84"/>
  <c r="S94" i="84"/>
  <c r="S93" i="84"/>
  <c r="S92" i="84"/>
  <c r="R92" i="84"/>
  <c r="S91" i="84"/>
  <c r="R91" i="84"/>
  <c r="R90" i="85"/>
  <c r="S90" i="85"/>
  <c r="R89" i="85"/>
  <c r="S89" i="85"/>
  <c r="R74" i="85"/>
  <c r="S74" i="85"/>
  <c r="R73" i="85"/>
  <c r="S73" i="85"/>
  <c r="S88" i="88"/>
  <c r="S87" i="88"/>
  <c r="R88" i="88"/>
  <c r="R87" i="88"/>
  <c r="S72" i="82"/>
  <c r="R72" i="82"/>
  <c r="S71" i="82"/>
  <c r="R71" i="82"/>
  <c r="R75" i="87"/>
  <c r="S76" i="87"/>
  <c r="R76" i="87"/>
  <c r="S75" i="87"/>
  <c r="S104" i="85"/>
  <c r="S103" i="85"/>
  <c r="R104" i="85"/>
  <c r="R103" i="85"/>
  <c r="S104" i="92"/>
  <c r="R104" i="92"/>
  <c r="S103" i="92"/>
  <c r="R103" i="92"/>
  <c r="S86" i="91"/>
  <c r="R86" i="91"/>
  <c r="S85" i="91"/>
  <c r="R85" i="91"/>
  <c r="R101" i="82"/>
  <c r="S101" i="82"/>
  <c r="S102" i="82"/>
  <c r="R102" i="82"/>
  <c r="S102" i="90"/>
  <c r="S101" i="90"/>
  <c r="R101" i="90"/>
  <c r="R102" i="90"/>
  <c r="S100" i="82"/>
  <c r="R100" i="82"/>
  <c r="S100" i="90"/>
  <c r="S84" i="86"/>
  <c r="S83" i="86"/>
  <c r="R84" i="86"/>
  <c r="R83" i="86"/>
  <c r="S82" i="91"/>
  <c r="S81" i="91"/>
  <c r="R82" i="91"/>
  <c r="R81" i="91"/>
  <c r="S80" i="83"/>
  <c r="R80" i="83"/>
  <c r="S79" i="83"/>
  <c r="R79" i="83"/>
  <c r="S80" i="92"/>
  <c r="S79" i="92"/>
  <c r="R80" i="92"/>
  <c r="R79" i="92"/>
  <c r="P66" i="92"/>
  <c r="P66" i="90"/>
  <c r="P66" i="91"/>
  <c r="P66" i="87"/>
  <c r="P66" i="85"/>
  <c r="P66" i="88"/>
  <c r="P66" i="86"/>
  <c r="P66" i="89"/>
  <c r="P66" i="83"/>
  <c r="P66" i="84"/>
  <c r="P66" i="82"/>
  <c r="P68" i="92"/>
  <c r="P68" i="90"/>
  <c r="P68" i="91"/>
  <c r="P68" i="87"/>
  <c r="P68" i="85"/>
  <c r="P68" i="89"/>
  <c r="P68" i="88"/>
  <c r="P68" i="86"/>
  <c r="P68" i="83"/>
  <c r="P68" i="84"/>
  <c r="P68" i="82"/>
  <c r="O70" i="91"/>
  <c r="O70" i="92"/>
  <c r="O70" i="90"/>
  <c r="O70" i="87"/>
  <c r="O70" i="85"/>
  <c r="O70" i="89"/>
  <c r="O70" i="88"/>
  <c r="O70" i="86"/>
  <c r="O70" i="83"/>
  <c r="O70" i="84"/>
  <c r="O70" i="82"/>
  <c r="P70" i="88"/>
  <c r="P70" i="92"/>
  <c r="P70" i="90"/>
  <c r="P70" i="91"/>
  <c r="P70" i="87"/>
  <c r="P70" i="85"/>
  <c r="P70" i="89"/>
  <c r="P70" i="86"/>
  <c r="P70" i="83"/>
  <c r="P70" i="84"/>
  <c r="P70" i="82"/>
  <c r="P86" i="88"/>
  <c r="P86" i="92"/>
  <c r="P86" i="91"/>
  <c r="P86" i="90"/>
  <c r="P86" i="89"/>
  <c r="P86" i="87"/>
  <c r="P86" i="86"/>
  <c r="P86" i="85"/>
  <c r="P86" i="83"/>
  <c r="P86" i="82"/>
  <c r="P86" i="84"/>
  <c r="P94" i="88"/>
  <c r="P94" i="91"/>
  <c r="P94" i="89"/>
  <c r="P94" i="90"/>
  <c r="P94" i="86"/>
  <c r="P94" i="84"/>
  <c r="P94" i="92"/>
  <c r="P94" i="87"/>
  <c r="P94" i="82"/>
  <c r="P94" i="83"/>
  <c r="P94" i="85"/>
  <c r="P102" i="88"/>
  <c r="P102" i="92"/>
  <c r="P102" i="90"/>
  <c r="P102" i="91"/>
  <c r="P102" i="87"/>
  <c r="P102" i="85"/>
  <c r="P102" i="89"/>
  <c r="P102" i="86"/>
  <c r="P102" i="83"/>
  <c r="P102" i="82"/>
  <c r="P102" i="84"/>
  <c r="S98" i="83"/>
  <c r="R98" i="83"/>
  <c r="R77" i="82"/>
  <c r="S78" i="82"/>
  <c r="R78" i="82"/>
  <c r="S77" i="82"/>
  <c r="S78" i="90"/>
  <c r="R77" i="90"/>
  <c r="S77" i="90"/>
  <c r="R78" i="90"/>
  <c r="R95" i="87"/>
  <c r="S95" i="87"/>
  <c r="S96" i="87"/>
  <c r="R96" i="87"/>
  <c r="S96" i="89"/>
  <c r="R96" i="89"/>
  <c r="S95" i="89"/>
  <c r="R95" i="89"/>
  <c r="R94" i="87"/>
  <c r="S94" i="87"/>
  <c r="R93" i="87"/>
  <c r="S93" i="87"/>
  <c r="S92" i="86"/>
  <c r="R92" i="86"/>
  <c r="S91" i="86"/>
  <c r="R91" i="86"/>
  <c r="R89" i="82"/>
  <c r="S89" i="82"/>
  <c r="S90" i="82"/>
  <c r="R90" i="82"/>
  <c r="S90" i="86"/>
  <c r="S89" i="86"/>
  <c r="R90" i="86"/>
  <c r="R89" i="86"/>
  <c r="S74" i="88"/>
  <c r="R73" i="88"/>
  <c r="S73" i="88"/>
  <c r="R74" i="88"/>
  <c r="S88" i="90"/>
  <c r="R88" i="90"/>
  <c r="S87" i="90"/>
  <c r="R87" i="90"/>
  <c r="S72" i="84"/>
  <c r="R72" i="84"/>
  <c r="S71" i="84"/>
  <c r="R71" i="84"/>
  <c r="S76" i="86"/>
  <c r="R76" i="86"/>
  <c r="S75" i="86"/>
  <c r="R75" i="86"/>
  <c r="R103" i="87"/>
  <c r="R104" i="87"/>
  <c r="S103" i="87"/>
  <c r="S104" i="87"/>
  <c r="R86" i="85"/>
  <c r="S86" i="85"/>
  <c r="R85" i="85"/>
  <c r="S85" i="85"/>
  <c r="R86" i="89"/>
  <c r="S86" i="89"/>
  <c r="R85" i="89"/>
  <c r="S85" i="89"/>
  <c r="R102" i="85"/>
  <c r="S102" i="85"/>
  <c r="R101" i="85"/>
  <c r="S101" i="85"/>
  <c r="S102" i="92"/>
  <c r="S101" i="92"/>
  <c r="R101" i="92"/>
  <c r="R102" i="92"/>
  <c r="S100" i="84"/>
  <c r="R100" i="84"/>
  <c r="S100" i="92"/>
  <c r="R100" i="92"/>
  <c r="R83" i="87"/>
  <c r="S84" i="87"/>
  <c r="R84" i="87"/>
  <c r="S83" i="87"/>
  <c r="R81" i="82"/>
  <c r="S81" i="82"/>
  <c r="S82" i="82"/>
  <c r="R82" i="82"/>
  <c r="R82" i="89"/>
  <c r="S82" i="89"/>
  <c r="R81" i="89"/>
  <c r="S81" i="89"/>
  <c r="R79" i="87"/>
  <c r="S79" i="87"/>
  <c r="S80" i="87"/>
  <c r="R80" i="87"/>
  <c r="R79" i="91"/>
  <c r="S80" i="91"/>
  <c r="R80" i="91"/>
  <c r="S79" i="91"/>
  <c r="O66" i="81"/>
  <c r="O66" i="79"/>
  <c r="O66" i="77"/>
  <c r="O66" i="80"/>
  <c r="O66" i="78"/>
  <c r="O66" i="76"/>
  <c r="O66" i="75"/>
  <c r="O66" i="73"/>
  <c r="O66" i="65"/>
  <c r="O66" i="74"/>
  <c r="O66" i="71"/>
  <c r="O66" i="72"/>
  <c r="O76" i="80"/>
  <c r="O76" i="78"/>
  <c r="O76" i="81"/>
  <c r="O76" i="76"/>
  <c r="O76" i="79"/>
  <c r="O76" i="74"/>
  <c r="O76" i="75"/>
  <c r="O76" i="77"/>
  <c r="P76" i="80"/>
  <c r="P76" i="78"/>
  <c r="P76" i="81"/>
  <c r="P76" i="79"/>
  <c r="P76" i="77"/>
  <c r="P76" i="76"/>
  <c r="P76" i="74"/>
  <c r="P76" i="75"/>
  <c r="P92" i="77"/>
  <c r="P92" i="79"/>
  <c r="P92" i="80"/>
  <c r="P92" i="81"/>
  <c r="P92" i="78"/>
  <c r="P92" i="76"/>
  <c r="P92" i="74"/>
  <c r="P92" i="75"/>
  <c r="J69" i="59"/>
  <c r="O70" i="81"/>
  <c r="O70" i="79"/>
  <c r="O70" i="77"/>
  <c r="O70" i="80"/>
  <c r="O70" i="76"/>
  <c r="O70" i="78"/>
  <c r="O70" i="65"/>
  <c r="O70" i="73"/>
  <c r="O70" i="75"/>
  <c r="O70" i="71"/>
  <c r="O70" i="72"/>
  <c r="O70" i="74"/>
  <c r="O78" i="81"/>
  <c r="O78" i="80"/>
  <c r="O78" i="79"/>
  <c r="O78" i="78"/>
  <c r="O78" i="77"/>
  <c r="O78" i="76"/>
  <c r="O78" i="75"/>
  <c r="O78" i="74"/>
  <c r="O86" i="80"/>
  <c r="O86" i="79"/>
  <c r="O86" i="78"/>
  <c r="O86" i="81"/>
  <c r="O86" i="76"/>
  <c r="O86" i="77"/>
  <c r="O86" i="75"/>
  <c r="O86" i="74"/>
  <c r="O94" i="77"/>
  <c r="O94" i="79"/>
  <c r="O94" i="78"/>
  <c r="O94" i="80"/>
  <c r="O94" i="81"/>
  <c r="O94" i="76"/>
  <c r="O94" i="75"/>
  <c r="O94" i="74"/>
  <c r="O102" i="81"/>
  <c r="O102" i="79"/>
  <c r="O102" i="80"/>
  <c r="O102" i="78"/>
  <c r="O102" i="77"/>
  <c r="O102" i="76"/>
  <c r="O102" i="75"/>
  <c r="O102" i="74"/>
  <c r="S80" i="76"/>
  <c r="S79" i="76"/>
  <c r="R80" i="76"/>
  <c r="R79" i="76"/>
  <c r="R75" i="78"/>
  <c r="S75" i="78"/>
  <c r="S76" i="78"/>
  <c r="R76" i="78"/>
  <c r="S94" i="76"/>
  <c r="R93" i="76"/>
  <c r="R94" i="76"/>
  <c r="S93" i="76"/>
  <c r="R91" i="77"/>
  <c r="S91" i="77"/>
  <c r="R92" i="77"/>
  <c r="S92" i="77"/>
  <c r="S90" i="81"/>
  <c r="R89" i="81"/>
  <c r="S89" i="81"/>
  <c r="R90" i="81"/>
  <c r="S104" i="77"/>
  <c r="R103" i="77"/>
  <c r="S103" i="77"/>
  <c r="R104" i="77"/>
  <c r="S88" i="79"/>
  <c r="S87" i="79"/>
  <c r="R88" i="79"/>
  <c r="R87" i="79"/>
  <c r="S72" i="73"/>
  <c r="R72" i="73"/>
  <c r="S71" i="73"/>
  <c r="R71" i="73"/>
  <c r="R71" i="81"/>
  <c r="S71" i="81"/>
  <c r="S72" i="81"/>
  <c r="R72" i="81"/>
  <c r="S86" i="78"/>
  <c r="R86" i="78"/>
  <c r="R85" i="78"/>
  <c r="S85" i="78"/>
  <c r="R83" i="78"/>
  <c r="S84" i="78"/>
  <c r="R84" i="78"/>
  <c r="S83" i="78"/>
  <c r="R102" i="80"/>
  <c r="S102" i="80"/>
  <c r="R101" i="80"/>
  <c r="S101" i="80"/>
  <c r="S74" i="71"/>
  <c r="R74" i="71"/>
  <c r="S73" i="71"/>
  <c r="R73" i="71"/>
  <c r="S74" i="81"/>
  <c r="R73" i="81"/>
  <c r="S73" i="81"/>
  <c r="R74" i="81"/>
  <c r="R81" i="77"/>
  <c r="R82" i="77"/>
  <c r="S81" i="77"/>
  <c r="S82" i="77"/>
  <c r="S96" i="75"/>
  <c r="R96" i="75"/>
  <c r="S95" i="75"/>
  <c r="R95" i="75"/>
  <c r="R77" i="74"/>
  <c r="S78" i="74"/>
  <c r="R78" i="74"/>
  <c r="S77" i="74"/>
  <c r="P86" i="78"/>
  <c r="P86" i="81"/>
  <c r="P86" i="77"/>
  <c r="P86" i="80"/>
  <c r="P86" i="79"/>
  <c r="P86" i="76"/>
  <c r="P86" i="75"/>
  <c r="P86" i="74"/>
  <c r="P94" i="77"/>
  <c r="P94" i="79"/>
  <c r="P94" i="78"/>
  <c r="P94" i="81"/>
  <c r="P94" i="80"/>
  <c r="P94" i="75"/>
  <c r="P94" i="74"/>
  <c r="P94" i="76"/>
  <c r="P102" i="80"/>
  <c r="P102" i="81"/>
  <c r="P102" i="79"/>
  <c r="P102" i="77"/>
  <c r="P102" i="78"/>
  <c r="P102" i="75"/>
  <c r="P102" i="74"/>
  <c r="P102" i="76"/>
  <c r="R79" i="78"/>
  <c r="S79" i="78"/>
  <c r="S80" i="78"/>
  <c r="R80" i="78"/>
  <c r="R75" i="74"/>
  <c r="S76" i="74"/>
  <c r="R76" i="74"/>
  <c r="S75" i="74"/>
  <c r="R93" i="74"/>
  <c r="S94" i="74"/>
  <c r="R94" i="74"/>
  <c r="S93" i="74"/>
  <c r="S92" i="76"/>
  <c r="S91" i="76"/>
  <c r="R92" i="76"/>
  <c r="R91" i="76"/>
  <c r="S90" i="76"/>
  <c r="S89" i="76"/>
  <c r="R90" i="76"/>
  <c r="R89" i="76"/>
  <c r="R103" i="74"/>
  <c r="R104" i="74"/>
  <c r="S103" i="74"/>
  <c r="S104" i="74"/>
  <c r="R87" i="74"/>
  <c r="R88" i="74"/>
  <c r="S87" i="74"/>
  <c r="S88" i="74"/>
  <c r="S72" i="75"/>
  <c r="S71" i="75"/>
  <c r="R72" i="75"/>
  <c r="R71" i="75"/>
  <c r="R71" i="78"/>
  <c r="S72" i="78"/>
  <c r="R72" i="78"/>
  <c r="S71" i="78"/>
  <c r="R86" i="80"/>
  <c r="S86" i="80"/>
  <c r="R85" i="80"/>
  <c r="S85" i="80"/>
  <c r="R83" i="74"/>
  <c r="S83" i="74"/>
  <c r="S84" i="74"/>
  <c r="R84" i="74"/>
  <c r="R101" i="74"/>
  <c r="S101" i="74"/>
  <c r="S102" i="74"/>
  <c r="R102" i="74"/>
  <c r="S74" i="72"/>
  <c r="R73" i="72"/>
  <c r="S73" i="72"/>
  <c r="R74" i="72"/>
  <c r="R74" i="80"/>
  <c r="S74" i="80"/>
  <c r="R73" i="80"/>
  <c r="S73" i="80"/>
  <c r="S82" i="81"/>
  <c r="S81" i="81"/>
  <c r="R82" i="81"/>
  <c r="R81" i="81"/>
  <c r="S96" i="76"/>
  <c r="S95" i="76"/>
  <c r="R96" i="76"/>
  <c r="R95" i="76"/>
  <c r="S78" i="75"/>
  <c r="S77" i="75"/>
  <c r="R78" i="75"/>
  <c r="R77" i="75"/>
  <c r="P78" i="81"/>
  <c r="P78" i="80"/>
  <c r="P78" i="79"/>
  <c r="P78" i="78"/>
  <c r="P78" i="77"/>
  <c r="P78" i="75"/>
  <c r="P78" i="74"/>
  <c r="P78" i="76"/>
  <c r="O80" i="81"/>
  <c r="O80" i="80"/>
  <c r="O80" i="79"/>
  <c r="O80" i="78"/>
  <c r="O80" i="77"/>
  <c r="O80" i="75"/>
  <c r="O80" i="76"/>
  <c r="O80" i="74"/>
  <c r="O96" i="77"/>
  <c r="O96" i="79"/>
  <c r="O96" i="78"/>
  <c r="O96" i="81"/>
  <c r="O96" i="80"/>
  <c r="O96" i="75"/>
  <c r="O96" i="76"/>
  <c r="O96" i="74"/>
  <c r="O104" i="80"/>
  <c r="O104" i="81"/>
  <c r="O104" i="79"/>
  <c r="O104" i="78"/>
  <c r="O104" i="75"/>
  <c r="O104" i="76"/>
  <c r="O104" i="77"/>
  <c r="O104" i="74"/>
  <c r="R79" i="77"/>
  <c r="S80" i="77"/>
  <c r="R80" i="77"/>
  <c r="S79" i="77"/>
  <c r="S76" i="76"/>
  <c r="S75" i="76"/>
  <c r="R76" i="76"/>
  <c r="R75" i="76"/>
  <c r="R93" i="77"/>
  <c r="S94" i="77"/>
  <c r="R94" i="77"/>
  <c r="S93" i="77"/>
  <c r="S92" i="75"/>
  <c r="R92" i="75"/>
  <c r="S91" i="75"/>
  <c r="R91" i="75"/>
  <c r="S90" i="77"/>
  <c r="R90" i="77"/>
  <c r="S89" i="77"/>
  <c r="R89" i="77"/>
  <c r="S104" i="76"/>
  <c r="R104" i="76"/>
  <c r="S103" i="76"/>
  <c r="R103" i="76"/>
  <c r="S88" i="76"/>
  <c r="R88" i="76"/>
  <c r="S87" i="76"/>
  <c r="R87" i="76"/>
  <c r="R71" i="65"/>
  <c r="S71" i="65"/>
  <c r="S72" i="65"/>
  <c r="R72" i="65"/>
  <c r="S72" i="80"/>
  <c r="R72" i="80"/>
  <c r="S71" i="80"/>
  <c r="R71" i="80"/>
  <c r="R85" i="77"/>
  <c r="R86" i="77"/>
  <c r="S85" i="77"/>
  <c r="S86" i="77"/>
  <c r="S84" i="75"/>
  <c r="S83" i="75"/>
  <c r="R84" i="75"/>
  <c r="R83" i="75"/>
  <c r="S102" i="76"/>
  <c r="S101" i="76"/>
  <c r="R101" i="76"/>
  <c r="R102" i="76"/>
  <c r="S74" i="65"/>
  <c r="S73" i="65"/>
  <c r="R74" i="65"/>
  <c r="R73" i="65"/>
  <c r="S82" i="78"/>
  <c r="R81" i="78"/>
  <c r="S81" i="78"/>
  <c r="R82" i="78"/>
  <c r="R95" i="77"/>
  <c r="S95" i="77"/>
  <c r="R96" i="77"/>
  <c r="S96" i="77"/>
  <c r="S78" i="76"/>
  <c r="R77" i="76"/>
  <c r="S77" i="76"/>
  <c r="R78" i="76"/>
  <c r="K69" i="59"/>
  <c r="P70" i="80"/>
  <c r="P70" i="81"/>
  <c r="P70" i="79"/>
  <c r="P70" i="76"/>
  <c r="P70" i="78"/>
  <c r="P70" i="75"/>
  <c r="P70" i="73"/>
  <c r="P70" i="77"/>
  <c r="P70" i="71"/>
  <c r="P70" i="74"/>
  <c r="P70" i="72"/>
  <c r="P70" i="65"/>
  <c r="J71" i="59"/>
  <c r="O72" i="80"/>
  <c r="O72" i="81"/>
  <c r="O72" i="79"/>
  <c r="O72" i="76"/>
  <c r="O72" i="77"/>
  <c r="O72" i="75"/>
  <c r="O72" i="78"/>
  <c r="O72" i="73"/>
  <c r="O72" i="72"/>
  <c r="O72" i="71"/>
  <c r="O72" i="65"/>
  <c r="O72" i="74"/>
  <c r="O88" i="78"/>
  <c r="O88" i="81"/>
  <c r="O88" i="77"/>
  <c r="O88" i="80"/>
  <c r="O88" i="79"/>
  <c r="O88" i="76"/>
  <c r="O88" i="75"/>
  <c r="O88" i="74"/>
  <c r="K71" i="59"/>
  <c r="P72" i="80"/>
  <c r="P72" i="78"/>
  <c r="P72" i="77"/>
  <c r="P72" i="81"/>
  <c r="P72" i="73"/>
  <c r="P72" i="72"/>
  <c r="P72" i="79"/>
  <c r="P72" i="76"/>
  <c r="P72" i="71"/>
  <c r="P72" i="65"/>
  <c r="P72" i="75"/>
  <c r="P72" i="74"/>
  <c r="P80" i="81"/>
  <c r="P80" i="80"/>
  <c r="P80" i="79"/>
  <c r="P80" i="78"/>
  <c r="P80" i="76"/>
  <c r="P80" i="75"/>
  <c r="P80" i="74"/>
  <c r="P80" i="77"/>
  <c r="P88" i="81"/>
  <c r="P88" i="77"/>
  <c r="P88" i="80"/>
  <c r="P88" i="78"/>
  <c r="P88" i="79"/>
  <c r="P88" i="76"/>
  <c r="P88" i="75"/>
  <c r="P88" i="74"/>
  <c r="P96" i="79"/>
  <c r="P96" i="78"/>
  <c r="P96" i="81"/>
  <c r="P96" i="80"/>
  <c r="P96" i="77"/>
  <c r="P96" i="76"/>
  <c r="P96" i="75"/>
  <c r="P96" i="74"/>
  <c r="P104" i="80"/>
  <c r="P104" i="78"/>
  <c r="P104" i="77"/>
  <c r="P104" i="81"/>
  <c r="P104" i="75"/>
  <c r="P104" i="76"/>
  <c r="P104" i="74"/>
  <c r="P104" i="79"/>
  <c r="R79" i="74"/>
  <c r="S79" i="74"/>
  <c r="R80" i="74"/>
  <c r="S80" i="74"/>
  <c r="S76" i="75"/>
  <c r="R76" i="75"/>
  <c r="S75" i="75"/>
  <c r="R75" i="75"/>
  <c r="R94" i="80"/>
  <c r="S94" i="80"/>
  <c r="R93" i="80"/>
  <c r="S93" i="80"/>
  <c r="R91" i="81"/>
  <c r="S91" i="81"/>
  <c r="S92" i="81"/>
  <c r="R92" i="81"/>
  <c r="S90" i="75"/>
  <c r="S89" i="75"/>
  <c r="R90" i="75"/>
  <c r="R89" i="75"/>
  <c r="S104" i="79"/>
  <c r="S103" i="79"/>
  <c r="R104" i="79"/>
  <c r="R103" i="79"/>
  <c r="R87" i="78"/>
  <c r="S87" i="78"/>
  <c r="R88" i="78"/>
  <c r="S88" i="78"/>
  <c r="R71" i="71"/>
  <c r="R72" i="71"/>
  <c r="S71" i="71"/>
  <c r="S72" i="71"/>
  <c r="S86" i="81"/>
  <c r="R85" i="81"/>
  <c r="S85" i="81"/>
  <c r="R86" i="81"/>
  <c r="S84" i="76"/>
  <c r="R84" i="76"/>
  <c r="S83" i="76"/>
  <c r="R83" i="76"/>
  <c r="S102" i="75"/>
  <c r="S101" i="75"/>
  <c r="R101" i="75"/>
  <c r="R102" i="75"/>
  <c r="S74" i="78"/>
  <c r="R73" i="78"/>
  <c r="S73" i="78"/>
  <c r="R74" i="78"/>
  <c r="R81" i="74"/>
  <c r="S82" i="74"/>
  <c r="S81" i="74"/>
  <c r="R82" i="74"/>
  <c r="R95" i="74"/>
  <c r="S95" i="74"/>
  <c r="R96" i="74"/>
  <c r="S96" i="74"/>
  <c r="S78" i="77"/>
  <c r="R78" i="77"/>
  <c r="S77" i="77"/>
  <c r="R77" i="77"/>
  <c r="J73" i="59"/>
  <c r="O74" i="80"/>
  <c r="O74" i="78"/>
  <c r="O74" i="81"/>
  <c r="O74" i="79"/>
  <c r="O74" i="72"/>
  <c r="O74" i="73"/>
  <c r="O74" i="77"/>
  <c r="O74" i="71"/>
  <c r="O74" i="74"/>
  <c r="O74" i="76"/>
  <c r="O74" i="75"/>
  <c r="O74" i="65"/>
  <c r="O82" i="80"/>
  <c r="O82" i="79"/>
  <c r="O82" i="81"/>
  <c r="O82" i="77"/>
  <c r="O82" i="74"/>
  <c r="O82" i="78"/>
  <c r="O82" i="76"/>
  <c r="O82" i="75"/>
  <c r="O90" i="81"/>
  <c r="O90" i="77"/>
  <c r="O90" i="80"/>
  <c r="O90" i="78"/>
  <c r="O90" i="79"/>
  <c r="O90" i="74"/>
  <c r="O90" i="76"/>
  <c r="O90" i="75"/>
  <c r="O98" i="78"/>
  <c r="O98" i="79"/>
  <c r="R98" i="79" s="1"/>
  <c r="O98" i="81"/>
  <c r="R98" i="81" s="1"/>
  <c r="O98" i="80"/>
  <c r="R98" i="80" s="1"/>
  <c r="O98" i="75"/>
  <c r="O98" i="77"/>
  <c r="O98" i="74"/>
  <c r="R98" i="74" s="1"/>
  <c r="O98" i="76"/>
  <c r="S80" i="80"/>
  <c r="R80" i="80"/>
  <c r="R79" i="80"/>
  <c r="S79" i="80"/>
  <c r="S76" i="80"/>
  <c r="R75" i="80"/>
  <c r="S75" i="80"/>
  <c r="R76" i="80"/>
  <c r="S94" i="81"/>
  <c r="R94" i="81"/>
  <c r="R93" i="81"/>
  <c r="S93" i="81"/>
  <c r="R91" i="78"/>
  <c r="S92" i="78"/>
  <c r="R92" i="78"/>
  <c r="S91" i="78"/>
  <c r="S90" i="78"/>
  <c r="S89" i="78"/>
  <c r="R90" i="78"/>
  <c r="R89" i="78"/>
  <c r="R103" i="81"/>
  <c r="S103" i="81"/>
  <c r="S104" i="81"/>
  <c r="R104" i="81"/>
  <c r="S88" i="80"/>
  <c r="S87" i="80"/>
  <c r="R88" i="80"/>
  <c r="R87" i="80"/>
  <c r="R71" i="74"/>
  <c r="R72" i="74"/>
  <c r="S71" i="74"/>
  <c r="S72" i="74"/>
  <c r="R85" i="74"/>
  <c r="S85" i="74"/>
  <c r="S86" i="74"/>
  <c r="R86" i="74"/>
  <c r="S84" i="79"/>
  <c r="S83" i="79"/>
  <c r="R84" i="79"/>
  <c r="R83" i="79"/>
  <c r="S102" i="79"/>
  <c r="S101" i="79"/>
  <c r="R102" i="79"/>
  <c r="R101" i="79"/>
  <c r="S74" i="76"/>
  <c r="R73" i="76"/>
  <c r="S73" i="76"/>
  <c r="R74" i="76"/>
  <c r="R98" i="75"/>
  <c r="S82" i="75"/>
  <c r="R81" i="75"/>
  <c r="R82" i="75"/>
  <c r="S81" i="75"/>
  <c r="R95" i="81"/>
  <c r="S96" i="81"/>
  <c r="R96" i="81"/>
  <c r="S95" i="81"/>
  <c r="S78" i="78"/>
  <c r="R77" i="78"/>
  <c r="S77" i="78"/>
  <c r="R78" i="78"/>
  <c r="P82" i="80"/>
  <c r="P82" i="79"/>
  <c r="P82" i="78"/>
  <c r="P82" i="77"/>
  <c r="P82" i="76"/>
  <c r="P82" i="75"/>
  <c r="P82" i="81"/>
  <c r="P82" i="74"/>
  <c r="P90" i="81"/>
  <c r="P90" i="77"/>
  <c r="P90" i="76"/>
  <c r="P90" i="80"/>
  <c r="P90" i="79"/>
  <c r="P90" i="78"/>
  <c r="P90" i="74"/>
  <c r="P90" i="75"/>
  <c r="P98" i="79"/>
  <c r="S98" i="79" s="1"/>
  <c r="P98" i="81"/>
  <c r="S98" i="81" s="1"/>
  <c r="P98" i="80"/>
  <c r="S98" i="80" s="1"/>
  <c r="P98" i="77"/>
  <c r="P98" i="74"/>
  <c r="S98" i="74" s="1"/>
  <c r="P98" i="76"/>
  <c r="P98" i="78"/>
  <c r="P98" i="75"/>
  <c r="S98" i="75" s="1"/>
  <c r="R79" i="81"/>
  <c r="S79" i="81"/>
  <c r="R80" i="81"/>
  <c r="S80" i="81"/>
  <c r="S76" i="79"/>
  <c r="R76" i="79"/>
  <c r="S75" i="79"/>
  <c r="R75" i="79"/>
  <c r="S94" i="78"/>
  <c r="S93" i="78"/>
  <c r="R94" i="78"/>
  <c r="R93" i="78"/>
  <c r="S92" i="79"/>
  <c r="R92" i="79"/>
  <c r="S91" i="79"/>
  <c r="R91" i="79"/>
  <c r="R90" i="80"/>
  <c r="S90" i="80"/>
  <c r="R89" i="80"/>
  <c r="S89" i="80"/>
  <c r="R103" i="78"/>
  <c r="S104" i="78"/>
  <c r="R104" i="78"/>
  <c r="S103" i="78"/>
  <c r="R87" i="77"/>
  <c r="S88" i="77"/>
  <c r="R88" i="77"/>
  <c r="S87" i="77"/>
  <c r="S72" i="76"/>
  <c r="R72" i="76"/>
  <c r="S71" i="76"/>
  <c r="R71" i="76"/>
  <c r="S86" i="75"/>
  <c r="R85" i="75"/>
  <c r="S85" i="75"/>
  <c r="R86" i="75"/>
  <c r="S83" i="80"/>
  <c r="S84" i="80"/>
  <c r="R83" i="80"/>
  <c r="R84" i="80"/>
  <c r="R101" i="77"/>
  <c r="S102" i="77"/>
  <c r="R102" i="77"/>
  <c r="S101" i="77"/>
  <c r="S74" i="75"/>
  <c r="R73" i="75"/>
  <c r="R74" i="75"/>
  <c r="S73" i="75"/>
  <c r="S98" i="78"/>
  <c r="R98" i="78"/>
  <c r="R82" i="80"/>
  <c r="S82" i="80"/>
  <c r="R81" i="80"/>
  <c r="S81" i="80"/>
  <c r="R95" i="80"/>
  <c r="S96" i="80"/>
  <c r="S95" i="80"/>
  <c r="R96" i="80"/>
  <c r="R78" i="80"/>
  <c r="S78" i="80"/>
  <c r="R77" i="80"/>
  <c r="S77" i="80"/>
  <c r="K73" i="59"/>
  <c r="P74" i="80"/>
  <c r="P74" i="78"/>
  <c r="P74" i="81"/>
  <c r="P74" i="76"/>
  <c r="P74" i="77"/>
  <c r="P74" i="79"/>
  <c r="P74" i="71"/>
  <c r="P74" i="73"/>
  <c r="P74" i="74"/>
  <c r="P74" i="72"/>
  <c r="P74" i="75"/>
  <c r="P74" i="65"/>
  <c r="O68" i="81"/>
  <c r="O68" i="79"/>
  <c r="O68" i="77"/>
  <c r="O68" i="80"/>
  <c r="O68" i="76"/>
  <c r="O68" i="78"/>
  <c r="O68" i="73"/>
  <c r="O68" i="75"/>
  <c r="O68" i="74"/>
  <c r="O68" i="72"/>
  <c r="O68" i="65"/>
  <c r="O68" i="71"/>
  <c r="O92" i="81"/>
  <c r="O92" i="77"/>
  <c r="O92" i="76"/>
  <c r="O92" i="80"/>
  <c r="O92" i="79"/>
  <c r="O92" i="74"/>
  <c r="O92" i="75"/>
  <c r="O92" i="78"/>
  <c r="O100" i="79"/>
  <c r="R100" i="79" s="1"/>
  <c r="O100" i="81"/>
  <c r="R100" i="81" s="1"/>
  <c r="O100" i="80"/>
  <c r="R100" i="80" s="1"/>
  <c r="O100" i="74"/>
  <c r="O100" i="78"/>
  <c r="R100" i="78" s="1"/>
  <c r="O100" i="75"/>
  <c r="R100" i="75" s="1"/>
  <c r="O100" i="77"/>
  <c r="R100" i="77" s="1"/>
  <c r="O100" i="76"/>
  <c r="R100" i="76" s="1"/>
  <c r="S80" i="79"/>
  <c r="R80" i="79"/>
  <c r="S79" i="79"/>
  <c r="R79" i="79"/>
  <c r="R75" i="81"/>
  <c r="S76" i="81"/>
  <c r="R76" i="81"/>
  <c r="S75" i="81"/>
  <c r="S94" i="79"/>
  <c r="S93" i="79"/>
  <c r="R94" i="79"/>
  <c r="R93" i="79"/>
  <c r="R91" i="80"/>
  <c r="S91" i="80"/>
  <c r="R92" i="80"/>
  <c r="S92" i="80"/>
  <c r="S90" i="79"/>
  <c r="R90" i="79"/>
  <c r="R89" i="79"/>
  <c r="S89" i="79"/>
  <c r="S104" i="80"/>
  <c r="S103" i="80"/>
  <c r="R104" i="80"/>
  <c r="R103" i="80"/>
  <c r="R87" i="81"/>
  <c r="S88" i="81"/>
  <c r="R88" i="81"/>
  <c r="S87" i="81"/>
  <c r="S72" i="79"/>
  <c r="S71" i="79"/>
  <c r="R72" i="79"/>
  <c r="R71" i="79"/>
  <c r="S86" i="76"/>
  <c r="S85" i="76"/>
  <c r="R85" i="76"/>
  <c r="R86" i="76"/>
  <c r="R83" i="81"/>
  <c r="S83" i="81"/>
  <c r="S84" i="81"/>
  <c r="R84" i="81"/>
  <c r="S102" i="81"/>
  <c r="S101" i="81"/>
  <c r="R101" i="81"/>
  <c r="R102" i="81"/>
  <c r="R100" i="74"/>
  <c r="R73" i="73"/>
  <c r="S74" i="73"/>
  <c r="S73" i="73"/>
  <c r="R74" i="73"/>
  <c r="S74" i="77"/>
  <c r="R74" i="77"/>
  <c r="R73" i="77"/>
  <c r="S73" i="77"/>
  <c r="S98" i="76"/>
  <c r="R98" i="76"/>
  <c r="S82" i="76"/>
  <c r="R82" i="76"/>
  <c r="S81" i="76"/>
  <c r="R81" i="76"/>
  <c r="R95" i="78"/>
  <c r="R96" i="78"/>
  <c r="S95" i="78"/>
  <c r="S96" i="78"/>
  <c r="S78" i="81"/>
  <c r="R78" i="81"/>
  <c r="S77" i="81"/>
  <c r="R77" i="81"/>
  <c r="P66" i="80"/>
  <c r="P66" i="81"/>
  <c r="P66" i="79"/>
  <c r="P66" i="78"/>
  <c r="P66" i="76"/>
  <c r="P66" i="77"/>
  <c r="P66" i="75"/>
  <c r="P66" i="74"/>
  <c r="P66" i="71"/>
  <c r="P66" i="72"/>
  <c r="P66" i="73"/>
  <c r="P66" i="65"/>
  <c r="O84" i="80"/>
  <c r="O84" i="79"/>
  <c r="O84" i="78"/>
  <c r="O84" i="74"/>
  <c r="O84" i="81"/>
  <c r="O84" i="75"/>
  <c r="O84" i="77"/>
  <c r="O84" i="76"/>
  <c r="P68" i="80"/>
  <c r="P68" i="81"/>
  <c r="P68" i="79"/>
  <c r="P68" i="76"/>
  <c r="P68" i="77"/>
  <c r="P68" i="75"/>
  <c r="P68" i="78"/>
  <c r="P68" i="73"/>
  <c r="P68" i="74"/>
  <c r="P68" i="71"/>
  <c r="P68" i="72"/>
  <c r="P68" i="65"/>
  <c r="P84" i="79"/>
  <c r="P84" i="78"/>
  <c r="P84" i="81"/>
  <c r="P84" i="80"/>
  <c r="P84" i="77"/>
  <c r="P84" i="76"/>
  <c r="P84" i="75"/>
  <c r="P84" i="74"/>
  <c r="P100" i="79"/>
  <c r="S100" i="79" s="1"/>
  <c r="P100" i="81"/>
  <c r="S100" i="81" s="1"/>
  <c r="P100" i="80"/>
  <c r="S100" i="80" s="1"/>
  <c r="P100" i="78"/>
  <c r="S100" i="78" s="1"/>
  <c r="P100" i="74"/>
  <c r="S100" i="74" s="1"/>
  <c r="P100" i="75"/>
  <c r="P100" i="77"/>
  <c r="S100" i="77" s="1"/>
  <c r="P100" i="76"/>
  <c r="S100" i="76" s="1"/>
  <c r="S80" i="75"/>
  <c r="R80" i="75"/>
  <c r="S79" i="75"/>
  <c r="R79" i="75"/>
  <c r="R75" i="77"/>
  <c r="S76" i="77"/>
  <c r="R76" i="77"/>
  <c r="S75" i="77"/>
  <c r="S94" i="75"/>
  <c r="S93" i="75"/>
  <c r="R94" i="75"/>
  <c r="R93" i="75"/>
  <c r="R91" i="74"/>
  <c r="S92" i="74"/>
  <c r="R92" i="74"/>
  <c r="S91" i="74"/>
  <c r="R89" i="74"/>
  <c r="S90" i="74"/>
  <c r="R90" i="74"/>
  <c r="S89" i="74"/>
  <c r="S104" i="75"/>
  <c r="R104" i="75"/>
  <c r="S103" i="75"/>
  <c r="R103" i="75"/>
  <c r="S88" i="75"/>
  <c r="S87" i="75"/>
  <c r="R88" i="75"/>
  <c r="R87" i="75"/>
  <c r="S72" i="72"/>
  <c r="R72" i="72"/>
  <c r="S71" i="72"/>
  <c r="R71" i="72"/>
  <c r="R71" i="77"/>
  <c r="S72" i="77"/>
  <c r="R72" i="77"/>
  <c r="S71" i="77"/>
  <c r="S86" i="79"/>
  <c r="R85" i="79"/>
  <c r="S85" i="79"/>
  <c r="R86" i="79"/>
  <c r="R83" i="77"/>
  <c r="S84" i="77"/>
  <c r="R84" i="77"/>
  <c r="S83" i="77"/>
  <c r="S102" i="78"/>
  <c r="R101" i="78"/>
  <c r="R102" i="78"/>
  <c r="S101" i="78"/>
  <c r="S100" i="75"/>
  <c r="R73" i="74"/>
  <c r="S74" i="74"/>
  <c r="R74" i="74"/>
  <c r="S73" i="74"/>
  <c r="S74" i="79"/>
  <c r="R74" i="79"/>
  <c r="S73" i="79"/>
  <c r="R73" i="79"/>
  <c r="S98" i="77"/>
  <c r="R98" i="77"/>
  <c r="S82" i="79"/>
  <c r="R81" i="79"/>
  <c r="S81" i="79"/>
  <c r="R82" i="79"/>
  <c r="S96" i="79"/>
  <c r="R96" i="79"/>
  <c r="S95" i="79"/>
  <c r="R95" i="79"/>
  <c r="S78" i="79"/>
  <c r="R77" i="79"/>
  <c r="S77" i="79"/>
  <c r="R78" i="79"/>
  <c r="K75" i="59"/>
  <c r="P76" i="73"/>
  <c r="P76" i="72"/>
  <c r="P76" i="65"/>
  <c r="P76" i="71"/>
  <c r="K83" i="59"/>
  <c r="P84" i="71"/>
  <c r="P84" i="65"/>
  <c r="P84" i="72"/>
  <c r="P84" i="73"/>
  <c r="K91" i="59"/>
  <c r="P92" i="72"/>
  <c r="P92" i="65"/>
  <c r="P92" i="73"/>
  <c r="P92" i="71"/>
  <c r="K99" i="59"/>
  <c r="P100" i="71"/>
  <c r="P100" i="73"/>
  <c r="S100" i="73" s="1"/>
  <c r="P100" i="65"/>
  <c r="P100" i="72"/>
  <c r="S80" i="72"/>
  <c r="S79" i="72"/>
  <c r="R80" i="72"/>
  <c r="R79" i="72"/>
  <c r="R83" i="71"/>
  <c r="S84" i="71"/>
  <c r="R84" i="71"/>
  <c r="S83" i="71"/>
  <c r="S94" i="71"/>
  <c r="S93" i="71"/>
  <c r="R94" i="71"/>
  <c r="R93" i="71"/>
  <c r="R87" i="71"/>
  <c r="S88" i="71"/>
  <c r="R88" i="71"/>
  <c r="S87" i="71"/>
  <c r="S86" i="72"/>
  <c r="S85" i="72"/>
  <c r="R86" i="72"/>
  <c r="R85" i="72"/>
  <c r="J85" i="59"/>
  <c r="O86" i="65"/>
  <c r="O86" i="71"/>
  <c r="O86" i="72"/>
  <c r="O86" i="73"/>
  <c r="J93" i="59"/>
  <c r="O94" i="72"/>
  <c r="O94" i="65"/>
  <c r="O94" i="73"/>
  <c r="O94" i="71"/>
  <c r="J101" i="59"/>
  <c r="O102" i="73"/>
  <c r="O102" i="71"/>
  <c r="O102" i="65"/>
  <c r="O102" i="72"/>
  <c r="S80" i="65"/>
  <c r="R80" i="65"/>
  <c r="S79" i="65"/>
  <c r="R79" i="65"/>
  <c r="R93" i="73"/>
  <c r="S94" i="73"/>
  <c r="R94" i="73"/>
  <c r="S93" i="73"/>
  <c r="S76" i="72"/>
  <c r="S75" i="72"/>
  <c r="R76" i="72"/>
  <c r="R75" i="72"/>
  <c r="S88" i="65"/>
  <c r="R88" i="65"/>
  <c r="S87" i="65"/>
  <c r="R87" i="65"/>
  <c r="S102" i="65"/>
  <c r="R102" i="65"/>
  <c r="R101" i="65"/>
  <c r="S101" i="65"/>
  <c r="S86" i="71"/>
  <c r="R86" i="71"/>
  <c r="S85" i="71"/>
  <c r="R85" i="71"/>
  <c r="K77" i="59"/>
  <c r="P78" i="65"/>
  <c r="P78" i="71"/>
  <c r="P78" i="72"/>
  <c r="P78" i="73"/>
  <c r="K85" i="59"/>
  <c r="P86" i="65"/>
  <c r="P86" i="71"/>
  <c r="P86" i="72"/>
  <c r="P86" i="73"/>
  <c r="K93" i="59"/>
  <c r="P94" i="65"/>
  <c r="P94" i="73"/>
  <c r="P94" i="71"/>
  <c r="P94" i="72"/>
  <c r="K101" i="59"/>
  <c r="P102" i="73"/>
  <c r="P102" i="71"/>
  <c r="P102" i="65"/>
  <c r="P102" i="72"/>
  <c r="S82" i="72"/>
  <c r="R82" i="72"/>
  <c r="R81" i="72"/>
  <c r="S81" i="72"/>
  <c r="R79" i="71"/>
  <c r="S79" i="71"/>
  <c r="S80" i="71"/>
  <c r="R80" i="71"/>
  <c r="S76" i="73"/>
  <c r="S75" i="73"/>
  <c r="R76" i="73"/>
  <c r="R75" i="73"/>
  <c r="S90" i="71"/>
  <c r="S89" i="71"/>
  <c r="R90" i="71"/>
  <c r="R89" i="71"/>
  <c r="S88" i="72"/>
  <c r="R88" i="72"/>
  <c r="S87" i="72"/>
  <c r="R87" i="72"/>
  <c r="S102" i="71"/>
  <c r="S101" i="71"/>
  <c r="R102" i="71"/>
  <c r="R101" i="71"/>
  <c r="J87" i="59"/>
  <c r="O88" i="71"/>
  <c r="O88" i="73"/>
  <c r="O88" i="72"/>
  <c r="O88" i="65"/>
  <c r="J95" i="59"/>
  <c r="O96" i="73"/>
  <c r="O96" i="71"/>
  <c r="O96" i="65"/>
  <c r="O96" i="72"/>
  <c r="J103" i="59"/>
  <c r="O104" i="72"/>
  <c r="O104" i="73"/>
  <c r="O104" i="65"/>
  <c r="O104" i="71"/>
  <c r="S82" i="65"/>
  <c r="R82" i="65"/>
  <c r="R81" i="65"/>
  <c r="S81" i="65"/>
  <c r="S96" i="73"/>
  <c r="S95" i="73"/>
  <c r="R96" i="73"/>
  <c r="R95" i="73"/>
  <c r="S80" i="73"/>
  <c r="R80" i="73"/>
  <c r="S79" i="73"/>
  <c r="R79" i="73"/>
  <c r="S78" i="65"/>
  <c r="R78" i="65"/>
  <c r="R77" i="65"/>
  <c r="S77" i="65"/>
  <c r="R75" i="71"/>
  <c r="S76" i="71"/>
  <c r="R76" i="71"/>
  <c r="S75" i="71"/>
  <c r="R89" i="73"/>
  <c r="S89" i="73"/>
  <c r="S90" i="73"/>
  <c r="R90" i="73"/>
  <c r="R103" i="71"/>
  <c r="S104" i="71"/>
  <c r="R104" i="71"/>
  <c r="S103" i="71"/>
  <c r="S88" i="73"/>
  <c r="R88" i="73"/>
  <c r="S87" i="73"/>
  <c r="R87" i="73"/>
  <c r="R101" i="73"/>
  <c r="S101" i="73"/>
  <c r="S102" i="73"/>
  <c r="R102" i="73"/>
  <c r="S100" i="72"/>
  <c r="K79" i="59"/>
  <c r="P80" i="73"/>
  <c r="P80" i="71"/>
  <c r="P80" i="65"/>
  <c r="P80" i="72"/>
  <c r="K87" i="59"/>
  <c r="P88" i="71"/>
  <c r="P88" i="73"/>
  <c r="P88" i="72"/>
  <c r="P88" i="65"/>
  <c r="K95" i="59"/>
  <c r="P96" i="65"/>
  <c r="P96" i="71"/>
  <c r="P96" i="73"/>
  <c r="P96" i="72"/>
  <c r="K103" i="59"/>
  <c r="P104" i="72"/>
  <c r="P104" i="65"/>
  <c r="P104" i="73"/>
  <c r="P104" i="71"/>
  <c r="S82" i="71"/>
  <c r="R82" i="71"/>
  <c r="S81" i="71"/>
  <c r="R81" i="71"/>
  <c r="S96" i="72"/>
  <c r="S95" i="72"/>
  <c r="R96" i="72"/>
  <c r="R95" i="72"/>
  <c r="S78" i="72"/>
  <c r="R77" i="72"/>
  <c r="S77" i="72"/>
  <c r="R78" i="72"/>
  <c r="S92" i="72"/>
  <c r="S91" i="72"/>
  <c r="R92" i="72"/>
  <c r="R91" i="72"/>
  <c r="S76" i="65"/>
  <c r="R76" i="65"/>
  <c r="S75" i="65"/>
  <c r="R75" i="65"/>
  <c r="S90" i="72"/>
  <c r="S89" i="72"/>
  <c r="R90" i="72"/>
  <c r="R89" i="72"/>
  <c r="S104" i="73"/>
  <c r="S103" i="73"/>
  <c r="R104" i="73"/>
  <c r="R103" i="73"/>
  <c r="S102" i="72"/>
  <c r="S101" i="72"/>
  <c r="R101" i="72"/>
  <c r="R102" i="72"/>
  <c r="J77" i="59"/>
  <c r="O78" i="72"/>
  <c r="O78" i="65"/>
  <c r="O78" i="73"/>
  <c r="O78" i="71"/>
  <c r="J81" i="59"/>
  <c r="O82" i="65"/>
  <c r="O82" i="73"/>
  <c r="O82" i="71"/>
  <c r="O82" i="72"/>
  <c r="J89" i="59"/>
  <c r="O90" i="73"/>
  <c r="O90" i="71"/>
  <c r="O90" i="65"/>
  <c r="O90" i="72"/>
  <c r="J97" i="59"/>
  <c r="O98" i="65"/>
  <c r="O98" i="73"/>
  <c r="O98" i="71"/>
  <c r="R98" i="71" s="1"/>
  <c r="O98" i="72"/>
  <c r="R98" i="73"/>
  <c r="R81" i="73"/>
  <c r="R82" i="73"/>
  <c r="S81" i="73"/>
  <c r="S82" i="73"/>
  <c r="R95" i="65"/>
  <c r="S95" i="65"/>
  <c r="R96" i="65"/>
  <c r="S96" i="65"/>
  <c r="S84" i="73"/>
  <c r="S83" i="73"/>
  <c r="R84" i="73"/>
  <c r="R83" i="73"/>
  <c r="R77" i="73"/>
  <c r="S77" i="73"/>
  <c r="S78" i="73"/>
  <c r="R78" i="73"/>
  <c r="R91" i="71"/>
  <c r="S91" i="71"/>
  <c r="R92" i="71"/>
  <c r="S92" i="71"/>
  <c r="S90" i="65"/>
  <c r="R90" i="65"/>
  <c r="R89" i="65"/>
  <c r="S89" i="65"/>
  <c r="S104" i="65"/>
  <c r="R104" i="65"/>
  <c r="S103" i="65"/>
  <c r="R103" i="65"/>
  <c r="S100" i="65"/>
  <c r="J79" i="59"/>
  <c r="O80" i="73"/>
  <c r="O80" i="71"/>
  <c r="O80" i="65"/>
  <c r="O80" i="72"/>
  <c r="K81" i="59"/>
  <c r="P82" i="65"/>
  <c r="P82" i="73"/>
  <c r="P82" i="71"/>
  <c r="P82" i="72"/>
  <c r="K89" i="59"/>
  <c r="P90" i="65"/>
  <c r="P90" i="72"/>
  <c r="P90" i="73"/>
  <c r="P90" i="71"/>
  <c r="K97" i="59"/>
  <c r="P98" i="65"/>
  <c r="P98" i="71"/>
  <c r="S98" i="71" s="1"/>
  <c r="P98" i="73"/>
  <c r="S98" i="73" s="1"/>
  <c r="P98" i="72"/>
  <c r="S98" i="72"/>
  <c r="R98" i="72"/>
  <c r="S96" i="71"/>
  <c r="R96" i="71"/>
  <c r="S95" i="71"/>
  <c r="R95" i="71"/>
  <c r="S84" i="72"/>
  <c r="R84" i="72"/>
  <c r="S83" i="72"/>
  <c r="R83" i="72"/>
  <c r="S94" i="65"/>
  <c r="R94" i="65"/>
  <c r="R93" i="65"/>
  <c r="S93" i="65"/>
  <c r="S78" i="71"/>
  <c r="S77" i="71"/>
  <c r="R78" i="71"/>
  <c r="R77" i="71"/>
  <c r="S92" i="73"/>
  <c r="R92" i="73"/>
  <c r="S91" i="73"/>
  <c r="R91" i="73"/>
  <c r="S104" i="72"/>
  <c r="R104" i="72"/>
  <c r="S103" i="72"/>
  <c r="R103" i="72"/>
  <c r="S86" i="65"/>
  <c r="R86" i="65"/>
  <c r="R85" i="65"/>
  <c r="S85" i="65"/>
  <c r="S100" i="71"/>
  <c r="J75" i="59"/>
  <c r="O76" i="72"/>
  <c r="O76" i="73"/>
  <c r="O76" i="65"/>
  <c r="O76" i="71"/>
  <c r="J83" i="59"/>
  <c r="O84" i="71"/>
  <c r="O84" i="72"/>
  <c r="O84" i="65"/>
  <c r="O84" i="73"/>
  <c r="J91" i="59"/>
  <c r="O92" i="72"/>
  <c r="O92" i="73"/>
  <c r="O92" i="65"/>
  <c r="O92" i="71"/>
  <c r="J99" i="59"/>
  <c r="O100" i="71"/>
  <c r="R100" i="71" s="1"/>
  <c r="O100" i="73"/>
  <c r="R100" i="73" s="1"/>
  <c r="O100" i="72"/>
  <c r="R100" i="72" s="1"/>
  <c r="O100" i="65"/>
  <c r="R100" i="65" s="1"/>
  <c r="S98" i="65"/>
  <c r="R98" i="65"/>
  <c r="S84" i="65"/>
  <c r="R84" i="65"/>
  <c r="S83" i="65"/>
  <c r="R83" i="65"/>
  <c r="S94" i="72"/>
  <c r="R93" i="72"/>
  <c r="S93" i="72"/>
  <c r="R94" i="72"/>
  <c r="S92" i="65"/>
  <c r="R92" i="65"/>
  <c r="S91" i="65"/>
  <c r="R91" i="65"/>
  <c r="R85" i="73"/>
  <c r="S86" i="73"/>
  <c r="R86" i="73"/>
  <c r="S85" i="73"/>
  <c r="P751" i="48" l="1"/>
  <c r="Q776" i="48"/>
  <c r="Q426" i="93"/>
  <c r="P401" i="93"/>
  <c r="O75" i="116"/>
  <c r="O75" i="114"/>
  <c r="O75" i="115"/>
  <c r="O75" i="117"/>
  <c r="O75" i="113"/>
  <c r="O75" i="111"/>
  <c r="O75" i="110"/>
  <c r="O75" i="108"/>
  <c r="O75" i="103"/>
  <c r="O75" i="105"/>
  <c r="O75" i="104"/>
  <c r="O75" i="109"/>
  <c r="O75" i="107"/>
  <c r="O75" i="106"/>
  <c r="O75" i="102"/>
  <c r="O75" i="101"/>
  <c r="O75" i="100"/>
  <c r="O75" i="98"/>
  <c r="O75" i="99"/>
  <c r="O75" i="97"/>
  <c r="O79" i="116"/>
  <c r="O79" i="113"/>
  <c r="O79" i="117"/>
  <c r="O79" i="115"/>
  <c r="O79" i="114"/>
  <c r="O79" i="110"/>
  <c r="O79" i="109"/>
  <c r="O79" i="107"/>
  <c r="O79" i="111"/>
  <c r="O79" i="102"/>
  <c r="O79" i="105"/>
  <c r="O79" i="106"/>
  <c r="O79" i="103"/>
  <c r="O79" i="104"/>
  <c r="O79" i="101"/>
  <c r="O79" i="108"/>
  <c r="O79" i="99"/>
  <c r="O79" i="98"/>
  <c r="O79" i="100"/>
  <c r="O79" i="97"/>
  <c r="O77" i="116"/>
  <c r="O77" i="113"/>
  <c r="O77" i="117"/>
  <c r="O77" i="114"/>
  <c r="O77" i="110"/>
  <c r="O77" i="109"/>
  <c r="O77" i="106"/>
  <c r="O77" i="111"/>
  <c r="O77" i="115"/>
  <c r="O77" i="102"/>
  <c r="O77" i="108"/>
  <c r="O77" i="103"/>
  <c r="O77" i="104"/>
  <c r="O77" i="107"/>
  <c r="O77" i="105"/>
  <c r="O77" i="98"/>
  <c r="O77" i="100"/>
  <c r="O77" i="101"/>
  <c r="O77" i="99"/>
  <c r="O77" i="97"/>
  <c r="P79" i="113"/>
  <c r="P79" i="117"/>
  <c r="P79" i="115"/>
  <c r="P79" i="114"/>
  <c r="P79" i="116"/>
  <c r="P79" i="109"/>
  <c r="P79" i="107"/>
  <c r="P79" i="108"/>
  <c r="P79" i="110"/>
  <c r="P79" i="105"/>
  <c r="P79" i="111"/>
  <c r="P79" i="106"/>
  <c r="P79" i="103"/>
  <c r="P79" i="102"/>
  <c r="P79" i="101"/>
  <c r="P79" i="99"/>
  <c r="P79" i="100"/>
  <c r="P79" i="104"/>
  <c r="P79" i="97"/>
  <c r="P79" i="98"/>
  <c r="O101" i="117"/>
  <c r="O101" i="115"/>
  <c r="O101" i="113"/>
  <c r="O101" i="114"/>
  <c r="O101" i="116"/>
  <c r="O101" i="111"/>
  <c r="O101" i="108"/>
  <c r="O101" i="107"/>
  <c r="O101" i="110"/>
  <c r="O101" i="106"/>
  <c r="O101" i="109"/>
  <c r="O101" i="102"/>
  <c r="O101" i="105"/>
  <c r="O101" i="104"/>
  <c r="O101" i="103"/>
  <c r="O101" i="101"/>
  <c r="O101" i="100"/>
  <c r="O101" i="99"/>
  <c r="O101" i="98"/>
  <c r="O101" i="97"/>
  <c r="P73" i="117"/>
  <c r="P73" i="115"/>
  <c r="P73" i="116"/>
  <c r="P73" i="114"/>
  <c r="P73" i="111"/>
  <c r="P73" i="109"/>
  <c r="P73" i="108"/>
  <c r="P73" i="113"/>
  <c r="P73" i="104"/>
  <c r="P73" i="110"/>
  <c r="P73" i="105"/>
  <c r="P73" i="107"/>
  <c r="P73" i="106"/>
  <c r="P73" i="103"/>
  <c r="P73" i="99"/>
  <c r="P73" i="101"/>
  <c r="P73" i="100"/>
  <c r="P73" i="98"/>
  <c r="P73" i="102"/>
  <c r="P73" i="97"/>
  <c r="O73" i="116"/>
  <c r="O73" i="114"/>
  <c r="O73" i="117"/>
  <c r="O73" i="115"/>
  <c r="O73" i="113"/>
  <c r="O73" i="111"/>
  <c r="O73" i="110"/>
  <c r="O73" i="109"/>
  <c r="O73" i="106"/>
  <c r="O73" i="103"/>
  <c r="O73" i="104"/>
  <c r="O73" i="105"/>
  <c r="O73" i="108"/>
  <c r="O73" i="107"/>
  <c r="O73" i="102"/>
  <c r="O73" i="99"/>
  <c r="O73" i="101"/>
  <c r="O73" i="100"/>
  <c r="O73" i="98"/>
  <c r="O73" i="97"/>
  <c r="O99" i="117"/>
  <c r="R99" i="117" s="1"/>
  <c r="O99" i="115"/>
  <c r="R99" i="115" s="1"/>
  <c r="O99" i="113"/>
  <c r="R99" i="113" s="1"/>
  <c r="O99" i="116"/>
  <c r="R99" i="116" s="1"/>
  <c r="O99" i="109"/>
  <c r="R99" i="109" s="1"/>
  <c r="O99" i="108"/>
  <c r="R99" i="108" s="1"/>
  <c r="O99" i="111"/>
  <c r="R99" i="111" s="1"/>
  <c r="O99" i="114"/>
  <c r="R99" i="114" s="1"/>
  <c r="O99" i="110"/>
  <c r="R99" i="110" s="1"/>
  <c r="O99" i="107"/>
  <c r="R99" i="107" s="1"/>
  <c r="O99" i="106"/>
  <c r="R99" i="106" s="1"/>
  <c r="O99" i="105"/>
  <c r="R99" i="105" s="1"/>
  <c r="O99" i="104"/>
  <c r="R99" i="104" s="1"/>
  <c r="O99" i="103"/>
  <c r="R99" i="103" s="1"/>
  <c r="O99" i="101"/>
  <c r="R99" i="101" s="1"/>
  <c r="O99" i="102"/>
  <c r="R99" i="102" s="1"/>
  <c r="O99" i="100"/>
  <c r="R99" i="100" s="1"/>
  <c r="O99" i="99"/>
  <c r="R99" i="99" s="1"/>
  <c r="O99" i="98"/>
  <c r="R99" i="98" s="1"/>
  <c r="O99" i="97"/>
  <c r="R99" i="97" s="1"/>
  <c r="P97" i="113"/>
  <c r="S97" i="113" s="1"/>
  <c r="P97" i="116"/>
  <c r="S97" i="116" s="1"/>
  <c r="P97" i="115"/>
  <c r="S97" i="115" s="1"/>
  <c r="P97" i="114"/>
  <c r="S97" i="114" s="1"/>
  <c r="P97" i="117"/>
  <c r="S97" i="117" s="1"/>
  <c r="P97" i="110"/>
  <c r="S97" i="110" s="1"/>
  <c r="P97" i="108"/>
  <c r="S97" i="108" s="1"/>
  <c r="P97" i="111"/>
  <c r="S97" i="111" s="1"/>
  <c r="P97" i="109"/>
  <c r="S97" i="109" s="1"/>
  <c r="P97" i="106"/>
  <c r="S97" i="106" s="1"/>
  <c r="P97" i="104"/>
  <c r="S97" i="104" s="1"/>
  <c r="P97" i="103"/>
  <c r="S97" i="103" s="1"/>
  <c r="P97" i="105"/>
  <c r="S97" i="105" s="1"/>
  <c r="P97" i="100"/>
  <c r="S97" i="100" s="1"/>
  <c r="P97" i="102"/>
  <c r="S97" i="102" s="1"/>
  <c r="P97" i="101"/>
  <c r="S97" i="101" s="1"/>
  <c r="P97" i="98"/>
  <c r="S97" i="98" s="1"/>
  <c r="P97" i="107"/>
  <c r="S97" i="107" s="1"/>
  <c r="P97" i="99"/>
  <c r="S97" i="99" s="1"/>
  <c r="P97" i="97"/>
  <c r="S97" i="97" s="1"/>
  <c r="O97" i="117"/>
  <c r="R97" i="117" s="1"/>
  <c r="O97" i="113"/>
  <c r="R97" i="113" s="1"/>
  <c r="O97" i="116"/>
  <c r="R97" i="116" s="1"/>
  <c r="O97" i="115"/>
  <c r="R97" i="115" s="1"/>
  <c r="O97" i="109"/>
  <c r="R97" i="109" s="1"/>
  <c r="O97" i="110"/>
  <c r="R97" i="110" s="1"/>
  <c r="O97" i="108"/>
  <c r="R97" i="108" s="1"/>
  <c r="O97" i="111"/>
  <c r="R97" i="111" s="1"/>
  <c r="O97" i="114"/>
  <c r="R97" i="114" s="1"/>
  <c r="O97" i="107"/>
  <c r="R97" i="107" s="1"/>
  <c r="O97" i="105"/>
  <c r="R97" i="105" s="1"/>
  <c r="O97" i="106"/>
  <c r="R97" i="106" s="1"/>
  <c r="O97" i="104"/>
  <c r="R97" i="104" s="1"/>
  <c r="O97" i="99"/>
  <c r="R97" i="99" s="1"/>
  <c r="O97" i="100"/>
  <c r="R97" i="100" s="1"/>
  <c r="O97" i="102"/>
  <c r="R97" i="102" s="1"/>
  <c r="O97" i="101"/>
  <c r="R97" i="101" s="1"/>
  <c r="O97" i="98"/>
  <c r="R97" i="98" s="1"/>
  <c r="O97" i="103"/>
  <c r="R97" i="103" s="1"/>
  <c r="O97" i="97"/>
  <c r="R97" i="97" s="1"/>
  <c r="P103" i="114"/>
  <c r="P103" i="116"/>
  <c r="P103" i="115"/>
  <c r="P103" i="117"/>
  <c r="P103" i="113"/>
  <c r="P103" i="108"/>
  <c r="P103" i="110"/>
  <c r="P103" i="111"/>
  <c r="P103" i="106"/>
  <c r="P103" i="109"/>
  <c r="P103" i="104"/>
  <c r="P103" i="107"/>
  <c r="P103" i="103"/>
  <c r="P103" i="105"/>
  <c r="P103" i="102"/>
  <c r="P103" i="100"/>
  <c r="P103" i="98"/>
  <c r="P103" i="101"/>
  <c r="P103" i="99"/>
  <c r="P103" i="97"/>
  <c r="P93" i="114"/>
  <c r="P93" i="115"/>
  <c r="P93" i="116"/>
  <c r="P93" i="113"/>
  <c r="P93" i="117"/>
  <c r="P93" i="109"/>
  <c r="P93" i="108"/>
  <c r="P93" i="111"/>
  <c r="P93" i="110"/>
  <c r="P93" i="107"/>
  <c r="P93" i="102"/>
  <c r="P93" i="106"/>
  <c r="P93" i="105"/>
  <c r="P93" i="103"/>
  <c r="P93" i="101"/>
  <c r="P93" i="99"/>
  <c r="P93" i="100"/>
  <c r="P93" i="104"/>
  <c r="P93" i="98"/>
  <c r="P93" i="97"/>
  <c r="P83" i="117"/>
  <c r="P83" i="114"/>
  <c r="P83" i="116"/>
  <c r="P83" i="113"/>
  <c r="P83" i="110"/>
  <c r="P83" i="108"/>
  <c r="P83" i="111"/>
  <c r="P83" i="115"/>
  <c r="P83" i="109"/>
  <c r="P83" i="107"/>
  <c r="P83" i="103"/>
  <c r="P83" i="106"/>
  <c r="P83" i="102"/>
  <c r="P83" i="105"/>
  <c r="P83" i="104"/>
  <c r="P83" i="100"/>
  <c r="P83" i="101"/>
  <c r="P83" i="99"/>
  <c r="P83" i="98"/>
  <c r="P83" i="97"/>
  <c r="O95" i="117"/>
  <c r="O95" i="115"/>
  <c r="O95" i="114"/>
  <c r="O95" i="111"/>
  <c r="O95" i="109"/>
  <c r="O95" i="108"/>
  <c r="O95" i="110"/>
  <c r="O95" i="113"/>
  <c r="O95" i="107"/>
  <c r="O95" i="102"/>
  <c r="O95" i="105"/>
  <c r="O95" i="104"/>
  <c r="O95" i="99"/>
  <c r="O95" i="103"/>
  <c r="O95" i="101"/>
  <c r="O95" i="100"/>
  <c r="O95" i="116"/>
  <c r="O95" i="106"/>
  <c r="O95" i="98"/>
  <c r="O95" i="97"/>
  <c r="O85" i="117"/>
  <c r="O85" i="115"/>
  <c r="O85" i="116"/>
  <c r="O85" i="114"/>
  <c r="O85" i="110"/>
  <c r="O85" i="113"/>
  <c r="O85" i="111"/>
  <c r="O85" i="108"/>
  <c r="O85" i="109"/>
  <c r="O85" i="102"/>
  <c r="O85" i="107"/>
  <c r="O85" i="105"/>
  <c r="O85" i="104"/>
  <c r="O85" i="106"/>
  <c r="O85" i="103"/>
  <c r="O85" i="100"/>
  <c r="O85" i="101"/>
  <c r="O85" i="99"/>
  <c r="O85" i="98"/>
  <c r="O85" i="97"/>
  <c r="P71" i="116"/>
  <c r="P71" i="117"/>
  <c r="P71" i="114"/>
  <c r="P71" i="115"/>
  <c r="P71" i="113"/>
  <c r="P71" i="110"/>
  <c r="P71" i="111"/>
  <c r="P71" i="109"/>
  <c r="P71" i="108"/>
  <c r="P71" i="106"/>
  <c r="P71" i="104"/>
  <c r="P71" i="103"/>
  <c r="P71" i="107"/>
  <c r="P71" i="102"/>
  <c r="P71" i="100"/>
  <c r="P71" i="105"/>
  <c r="P71" i="98"/>
  <c r="P71" i="101"/>
  <c r="P71" i="99"/>
  <c r="P71" i="97"/>
  <c r="O69" i="113"/>
  <c r="O69" i="116"/>
  <c r="O69" i="117"/>
  <c r="O69" i="114"/>
  <c r="O69" i="107"/>
  <c r="O69" i="110"/>
  <c r="O69" i="115"/>
  <c r="O69" i="111"/>
  <c r="O69" i="108"/>
  <c r="O69" i="102"/>
  <c r="O69" i="109"/>
  <c r="O69" i="106"/>
  <c r="O69" i="104"/>
  <c r="O69" i="103"/>
  <c r="O69" i="105"/>
  <c r="O69" i="100"/>
  <c r="O69" i="98"/>
  <c r="O69" i="101"/>
  <c r="O69" i="99"/>
  <c r="O69" i="97"/>
  <c r="O83" i="116"/>
  <c r="O83" i="117"/>
  <c r="O83" i="114"/>
  <c r="O83" i="115"/>
  <c r="O83" i="113"/>
  <c r="O83" i="109"/>
  <c r="O83" i="110"/>
  <c r="O83" i="108"/>
  <c r="O83" i="111"/>
  <c r="O83" i="107"/>
  <c r="O83" i="103"/>
  <c r="O83" i="106"/>
  <c r="O83" i="105"/>
  <c r="O83" i="104"/>
  <c r="O83" i="102"/>
  <c r="O83" i="100"/>
  <c r="O83" i="101"/>
  <c r="O83" i="99"/>
  <c r="O83" i="97"/>
  <c r="O83" i="98"/>
  <c r="P81" i="115"/>
  <c r="P81" i="117"/>
  <c r="P81" i="114"/>
  <c r="P81" i="116"/>
  <c r="P81" i="108"/>
  <c r="P81" i="111"/>
  <c r="P81" i="110"/>
  <c r="P81" i="109"/>
  <c r="P81" i="113"/>
  <c r="P81" i="107"/>
  <c r="P81" i="103"/>
  <c r="P81" i="106"/>
  <c r="P81" i="104"/>
  <c r="P81" i="105"/>
  <c r="P81" i="102"/>
  <c r="P81" i="99"/>
  <c r="P81" i="101"/>
  <c r="P81" i="98"/>
  <c r="P81" i="100"/>
  <c r="P81" i="97"/>
  <c r="O81" i="116"/>
  <c r="O81" i="115"/>
  <c r="O81" i="117"/>
  <c r="O81" i="114"/>
  <c r="O81" i="113"/>
  <c r="O81" i="109"/>
  <c r="O81" i="107"/>
  <c r="O81" i="108"/>
  <c r="O81" i="111"/>
  <c r="O81" i="110"/>
  <c r="O81" i="105"/>
  <c r="O81" i="103"/>
  <c r="O81" i="106"/>
  <c r="O81" i="104"/>
  <c r="O81" i="102"/>
  <c r="O81" i="99"/>
  <c r="O81" i="101"/>
  <c r="O81" i="98"/>
  <c r="O81" i="100"/>
  <c r="O81" i="97"/>
  <c r="P87" i="117"/>
  <c r="P87" i="115"/>
  <c r="P87" i="113"/>
  <c r="P87" i="111"/>
  <c r="P87" i="108"/>
  <c r="P87" i="116"/>
  <c r="P87" i="110"/>
  <c r="P87" i="109"/>
  <c r="P87" i="106"/>
  <c r="P87" i="114"/>
  <c r="P87" i="104"/>
  <c r="P87" i="107"/>
  <c r="P87" i="102"/>
  <c r="P87" i="99"/>
  <c r="P87" i="98"/>
  <c r="P87" i="101"/>
  <c r="P87" i="100"/>
  <c r="P87" i="105"/>
  <c r="P87" i="103"/>
  <c r="P87" i="97"/>
  <c r="P77" i="113"/>
  <c r="P77" i="117"/>
  <c r="P77" i="114"/>
  <c r="P77" i="115"/>
  <c r="P77" i="116"/>
  <c r="P77" i="110"/>
  <c r="P77" i="109"/>
  <c r="P77" i="108"/>
  <c r="P77" i="107"/>
  <c r="P77" i="102"/>
  <c r="P77" i="111"/>
  <c r="P77" i="103"/>
  <c r="P77" i="106"/>
  <c r="P77" i="105"/>
  <c r="P77" i="100"/>
  <c r="P77" i="101"/>
  <c r="P77" i="104"/>
  <c r="P77" i="99"/>
  <c r="P77" i="98"/>
  <c r="P77" i="97"/>
  <c r="P101" i="114"/>
  <c r="P101" i="116"/>
  <c r="P101" i="117"/>
  <c r="P101" i="115"/>
  <c r="P101" i="113"/>
  <c r="P101" i="108"/>
  <c r="P101" i="111"/>
  <c r="P101" i="107"/>
  <c r="P101" i="110"/>
  <c r="P101" i="109"/>
  <c r="P101" i="102"/>
  <c r="P101" i="105"/>
  <c r="P101" i="104"/>
  <c r="P101" i="103"/>
  <c r="P101" i="106"/>
  <c r="P101" i="101"/>
  <c r="P101" i="100"/>
  <c r="P101" i="99"/>
  <c r="P101" i="98"/>
  <c r="P101" i="97"/>
  <c r="P91" i="117"/>
  <c r="P91" i="113"/>
  <c r="P91" i="114"/>
  <c r="P91" i="115"/>
  <c r="P91" i="111"/>
  <c r="P91" i="110"/>
  <c r="P91" i="116"/>
  <c r="P91" i="108"/>
  <c r="P91" i="107"/>
  <c r="P91" i="109"/>
  <c r="P91" i="105"/>
  <c r="P91" i="104"/>
  <c r="P91" i="102"/>
  <c r="P91" i="103"/>
  <c r="P91" i="106"/>
  <c r="P91" i="101"/>
  <c r="P91" i="98"/>
  <c r="P91" i="100"/>
  <c r="P91" i="99"/>
  <c r="P91" i="97"/>
  <c r="P69" i="116"/>
  <c r="P69" i="117"/>
  <c r="P69" i="114"/>
  <c r="P69" i="115"/>
  <c r="P69" i="113"/>
  <c r="P69" i="110"/>
  <c r="P69" i="111"/>
  <c r="P69" i="109"/>
  <c r="P69" i="107"/>
  <c r="P69" i="106"/>
  <c r="P69" i="104"/>
  <c r="P69" i="103"/>
  <c r="P69" i="108"/>
  <c r="P69" i="102"/>
  <c r="P69" i="100"/>
  <c r="P69" i="98"/>
  <c r="P69" i="101"/>
  <c r="P69" i="99"/>
  <c r="P69" i="105"/>
  <c r="P69" i="97"/>
  <c r="O103" i="117"/>
  <c r="O103" i="113"/>
  <c r="O103" i="114"/>
  <c r="O103" i="116"/>
  <c r="O103" i="111"/>
  <c r="O103" i="108"/>
  <c r="O103" i="107"/>
  <c r="O103" i="115"/>
  <c r="O103" i="110"/>
  <c r="O103" i="105"/>
  <c r="O103" i="102"/>
  <c r="O103" i="104"/>
  <c r="O103" i="109"/>
  <c r="O103" i="106"/>
  <c r="O103" i="103"/>
  <c r="O103" i="100"/>
  <c r="O103" i="98"/>
  <c r="O103" i="101"/>
  <c r="O103" i="99"/>
  <c r="O103" i="97"/>
  <c r="O93" i="117"/>
  <c r="O93" i="114"/>
  <c r="O93" i="115"/>
  <c r="O93" i="111"/>
  <c r="O93" i="109"/>
  <c r="O93" i="108"/>
  <c r="O93" i="116"/>
  <c r="O93" i="113"/>
  <c r="O93" i="102"/>
  <c r="O93" i="107"/>
  <c r="O93" i="110"/>
  <c r="O93" i="104"/>
  <c r="O93" i="98"/>
  <c r="O93" i="106"/>
  <c r="O93" i="101"/>
  <c r="O93" i="105"/>
  <c r="O93" i="99"/>
  <c r="O93" i="100"/>
  <c r="O93" i="103"/>
  <c r="O93" i="97"/>
  <c r="O91" i="117"/>
  <c r="O91" i="113"/>
  <c r="O91" i="114"/>
  <c r="O91" i="115"/>
  <c r="O91" i="116"/>
  <c r="O91" i="110"/>
  <c r="O91" i="108"/>
  <c r="O91" i="107"/>
  <c r="O91" i="111"/>
  <c r="O91" i="109"/>
  <c r="O91" i="106"/>
  <c r="O91" i="105"/>
  <c r="O91" i="104"/>
  <c r="O91" i="100"/>
  <c r="O91" i="101"/>
  <c r="O91" i="103"/>
  <c r="O91" i="98"/>
  <c r="O91" i="99"/>
  <c r="O91" i="102"/>
  <c r="O91" i="97"/>
  <c r="P89" i="117"/>
  <c r="P89" i="113"/>
  <c r="P89" i="114"/>
  <c r="P89" i="111"/>
  <c r="P89" i="115"/>
  <c r="P89" i="108"/>
  <c r="P89" i="110"/>
  <c r="P89" i="107"/>
  <c r="P89" i="109"/>
  <c r="P89" i="106"/>
  <c r="P89" i="104"/>
  <c r="P89" i="105"/>
  <c r="P89" i="116"/>
  <c r="P89" i="103"/>
  <c r="P89" i="99"/>
  <c r="P89" i="101"/>
  <c r="P89" i="100"/>
  <c r="P89" i="102"/>
  <c r="P89" i="98"/>
  <c r="P89" i="97"/>
  <c r="O89" i="117"/>
  <c r="O89" i="113"/>
  <c r="O89" i="114"/>
  <c r="O89" i="116"/>
  <c r="O89" i="115"/>
  <c r="O89" i="111"/>
  <c r="O89" i="108"/>
  <c r="O89" i="110"/>
  <c r="O89" i="107"/>
  <c r="O89" i="109"/>
  <c r="O89" i="104"/>
  <c r="O89" i="105"/>
  <c r="O89" i="103"/>
  <c r="O89" i="99"/>
  <c r="O89" i="101"/>
  <c r="O89" i="100"/>
  <c r="O89" i="106"/>
  <c r="O89" i="102"/>
  <c r="O89" i="98"/>
  <c r="O89" i="97"/>
  <c r="P95" i="114"/>
  <c r="P95" i="116"/>
  <c r="P95" i="113"/>
  <c r="P95" i="117"/>
  <c r="P95" i="115"/>
  <c r="P95" i="109"/>
  <c r="P95" i="108"/>
  <c r="P95" i="111"/>
  <c r="P95" i="110"/>
  <c r="P95" i="105"/>
  <c r="P95" i="107"/>
  <c r="P95" i="106"/>
  <c r="P95" i="103"/>
  <c r="P95" i="102"/>
  <c r="P95" i="99"/>
  <c r="P95" i="104"/>
  <c r="P95" i="101"/>
  <c r="P95" i="100"/>
  <c r="P95" i="97"/>
  <c r="P95" i="98"/>
  <c r="P85" i="117"/>
  <c r="P85" i="115"/>
  <c r="P85" i="113"/>
  <c r="P85" i="116"/>
  <c r="P85" i="111"/>
  <c r="P85" i="108"/>
  <c r="P85" i="114"/>
  <c r="P85" i="109"/>
  <c r="P85" i="107"/>
  <c r="P85" i="110"/>
  <c r="P85" i="102"/>
  <c r="P85" i="105"/>
  <c r="P85" i="104"/>
  <c r="P85" i="106"/>
  <c r="P85" i="101"/>
  <c r="P85" i="99"/>
  <c r="P85" i="103"/>
  <c r="P85" i="98"/>
  <c r="P85" i="100"/>
  <c r="P85" i="97"/>
  <c r="P75" i="115"/>
  <c r="P75" i="117"/>
  <c r="P75" i="116"/>
  <c r="P75" i="114"/>
  <c r="P75" i="113"/>
  <c r="P75" i="111"/>
  <c r="P75" i="109"/>
  <c r="P75" i="108"/>
  <c r="P75" i="110"/>
  <c r="P75" i="107"/>
  <c r="P75" i="105"/>
  <c r="P75" i="104"/>
  <c r="P75" i="102"/>
  <c r="P75" i="103"/>
  <c r="P75" i="101"/>
  <c r="P75" i="100"/>
  <c r="P75" i="98"/>
  <c r="P75" i="106"/>
  <c r="P75" i="99"/>
  <c r="P75" i="97"/>
  <c r="O87" i="117"/>
  <c r="O87" i="115"/>
  <c r="O87" i="116"/>
  <c r="O87" i="114"/>
  <c r="O87" i="111"/>
  <c r="O87" i="108"/>
  <c r="O87" i="113"/>
  <c r="O87" i="107"/>
  <c r="O87" i="102"/>
  <c r="O87" i="109"/>
  <c r="O87" i="104"/>
  <c r="O87" i="106"/>
  <c r="O87" i="105"/>
  <c r="O87" i="103"/>
  <c r="O87" i="110"/>
  <c r="O87" i="99"/>
  <c r="O87" i="98"/>
  <c r="O87" i="101"/>
  <c r="O87" i="100"/>
  <c r="O87" i="97"/>
  <c r="P99" i="115"/>
  <c r="S99" i="115" s="1"/>
  <c r="P99" i="113"/>
  <c r="S99" i="113" s="1"/>
  <c r="P99" i="116"/>
  <c r="S99" i="116" s="1"/>
  <c r="P99" i="114"/>
  <c r="S99" i="114" s="1"/>
  <c r="P99" i="117"/>
  <c r="S99" i="117" s="1"/>
  <c r="P99" i="108"/>
  <c r="S99" i="108" s="1"/>
  <c r="P99" i="111"/>
  <c r="S99" i="111" s="1"/>
  <c r="P99" i="107"/>
  <c r="S99" i="107" s="1"/>
  <c r="P99" i="106"/>
  <c r="S99" i="106" s="1"/>
  <c r="P99" i="109"/>
  <c r="S99" i="109" s="1"/>
  <c r="P99" i="102"/>
  <c r="S99" i="102" s="1"/>
  <c r="P99" i="105"/>
  <c r="S99" i="105" s="1"/>
  <c r="P99" i="104"/>
  <c r="S99" i="104" s="1"/>
  <c r="P99" i="110"/>
  <c r="S99" i="110" s="1"/>
  <c r="P99" i="103"/>
  <c r="S99" i="103" s="1"/>
  <c r="P99" i="101"/>
  <c r="S99" i="101" s="1"/>
  <c r="P99" i="99"/>
  <c r="S99" i="99" s="1"/>
  <c r="P99" i="100"/>
  <c r="S99" i="100" s="1"/>
  <c r="P99" i="98"/>
  <c r="S99" i="98" s="1"/>
  <c r="P99" i="97"/>
  <c r="S99" i="97" s="1"/>
  <c r="O71" i="113"/>
  <c r="O71" i="116"/>
  <c r="O71" i="117"/>
  <c r="O71" i="114"/>
  <c r="O71" i="107"/>
  <c r="O71" i="110"/>
  <c r="O71" i="111"/>
  <c r="O71" i="108"/>
  <c r="O71" i="115"/>
  <c r="O71" i="102"/>
  <c r="O71" i="106"/>
  <c r="O71" i="104"/>
  <c r="O71" i="103"/>
  <c r="O71" i="105"/>
  <c r="O71" i="109"/>
  <c r="O71" i="100"/>
  <c r="O71" i="98"/>
  <c r="O71" i="101"/>
  <c r="O71" i="99"/>
  <c r="O71" i="97"/>
  <c r="O83" i="92"/>
  <c r="O83" i="90"/>
  <c r="O83" i="89"/>
  <c r="O83" i="91"/>
  <c r="O83" i="88"/>
  <c r="O83" i="87"/>
  <c r="O83" i="86"/>
  <c r="O83" i="84"/>
  <c r="O83" i="82"/>
  <c r="O83" i="85"/>
  <c r="O83" i="83"/>
  <c r="P101" i="89"/>
  <c r="P101" i="91"/>
  <c r="P101" i="92"/>
  <c r="P101" i="90"/>
  <c r="P101" i="87"/>
  <c r="P101" i="85"/>
  <c r="P101" i="88"/>
  <c r="P101" i="86"/>
  <c r="P101" i="84"/>
  <c r="P101" i="82"/>
  <c r="P101" i="83"/>
  <c r="P91" i="91"/>
  <c r="P91" i="89"/>
  <c r="P91" i="92"/>
  <c r="P91" i="90"/>
  <c r="P91" i="88"/>
  <c r="P91" i="85"/>
  <c r="P91" i="86"/>
  <c r="P91" i="87"/>
  <c r="P91" i="83"/>
  <c r="P91" i="84"/>
  <c r="P91" i="82"/>
  <c r="O103" i="91"/>
  <c r="O103" i="89"/>
  <c r="O103" i="88"/>
  <c r="O103" i="90"/>
  <c r="O103" i="86"/>
  <c r="O103" i="84"/>
  <c r="O103" i="85"/>
  <c r="O103" i="87"/>
  <c r="O103" i="92"/>
  <c r="O103" i="82"/>
  <c r="O103" i="83"/>
  <c r="O93" i="89"/>
  <c r="O93" i="92"/>
  <c r="O93" i="90"/>
  <c r="O93" i="88"/>
  <c r="O93" i="91"/>
  <c r="O93" i="86"/>
  <c r="O93" i="87"/>
  <c r="O93" i="85"/>
  <c r="O93" i="83"/>
  <c r="O93" i="82"/>
  <c r="O93" i="84"/>
  <c r="O73" i="91"/>
  <c r="O73" i="89"/>
  <c r="O73" i="92"/>
  <c r="O73" i="90"/>
  <c r="O73" i="87"/>
  <c r="O73" i="88"/>
  <c r="O73" i="85"/>
  <c r="O73" i="86"/>
  <c r="O73" i="83"/>
  <c r="O73" i="84"/>
  <c r="O73" i="82"/>
  <c r="P89" i="91"/>
  <c r="P89" i="92"/>
  <c r="P89" i="89"/>
  <c r="P89" i="90"/>
  <c r="P89" i="87"/>
  <c r="P89" i="88"/>
  <c r="P89" i="86"/>
  <c r="P89" i="85"/>
  <c r="P89" i="83"/>
  <c r="P89" i="82"/>
  <c r="P89" i="84"/>
  <c r="O89" i="91"/>
  <c r="O89" i="92"/>
  <c r="O89" i="89"/>
  <c r="O89" i="88"/>
  <c r="O89" i="90"/>
  <c r="O89" i="87"/>
  <c r="O89" i="83"/>
  <c r="O89" i="82"/>
  <c r="O89" i="85"/>
  <c r="O89" i="86"/>
  <c r="O89" i="84"/>
  <c r="P95" i="92"/>
  <c r="P95" i="90"/>
  <c r="P95" i="91"/>
  <c r="P95" i="85"/>
  <c r="P95" i="89"/>
  <c r="P95" i="88"/>
  <c r="P95" i="82"/>
  <c r="P95" i="87"/>
  <c r="P95" i="86"/>
  <c r="P95" i="84"/>
  <c r="P95" i="83"/>
  <c r="P85" i="92"/>
  <c r="P85" i="91"/>
  <c r="P85" i="89"/>
  <c r="P85" i="85"/>
  <c r="P85" i="87"/>
  <c r="P85" i="90"/>
  <c r="P85" i="88"/>
  <c r="P85" i="86"/>
  <c r="P85" i="84"/>
  <c r="P85" i="83"/>
  <c r="P85" i="82"/>
  <c r="P75" i="92"/>
  <c r="P75" i="91"/>
  <c r="P75" i="90"/>
  <c r="P75" i="89"/>
  <c r="P75" i="85"/>
  <c r="P75" i="88"/>
  <c r="P75" i="86"/>
  <c r="P75" i="87"/>
  <c r="P75" i="83"/>
  <c r="P75" i="82"/>
  <c r="P75" i="84"/>
  <c r="O91" i="91"/>
  <c r="O91" i="89"/>
  <c r="O91" i="92"/>
  <c r="O91" i="88"/>
  <c r="O91" i="90"/>
  <c r="O91" i="87"/>
  <c r="O91" i="85"/>
  <c r="O91" i="83"/>
  <c r="O91" i="84"/>
  <c r="O91" i="82"/>
  <c r="O91" i="86"/>
  <c r="P99" i="90"/>
  <c r="S99" i="90" s="1"/>
  <c r="P99" i="89"/>
  <c r="S99" i="89" s="1"/>
  <c r="P99" i="92"/>
  <c r="S99" i="92" s="1"/>
  <c r="P99" i="86"/>
  <c r="S99" i="86" s="1"/>
  <c r="P99" i="84"/>
  <c r="S99" i="84" s="1"/>
  <c r="P99" i="88"/>
  <c r="S99" i="88" s="1"/>
  <c r="P99" i="91"/>
  <c r="S99" i="91" s="1"/>
  <c r="P99" i="87"/>
  <c r="S99" i="87" s="1"/>
  <c r="P99" i="85"/>
  <c r="S99" i="85" s="1"/>
  <c r="P99" i="82"/>
  <c r="S99" i="82" s="1"/>
  <c r="P99" i="83"/>
  <c r="S99" i="83" s="1"/>
  <c r="P71" i="89"/>
  <c r="P71" i="91"/>
  <c r="P71" i="92"/>
  <c r="P71" i="88"/>
  <c r="P71" i="90"/>
  <c r="P71" i="86"/>
  <c r="P71" i="83"/>
  <c r="P71" i="87"/>
  <c r="P71" i="85"/>
  <c r="P71" i="82"/>
  <c r="P71" i="84"/>
  <c r="O87" i="88"/>
  <c r="O87" i="90"/>
  <c r="O87" i="86"/>
  <c r="O87" i="85"/>
  <c r="O87" i="84"/>
  <c r="O87" i="89"/>
  <c r="O87" i="87"/>
  <c r="O87" i="92"/>
  <c r="O87" i="91"/>
  <c r="O87" i="83"/>
  <c r="O87" i="82"/>
  <c r="O75" i="92"/>
  <c r="O75" i="88"/>
  <c r="O75" i="91"/>
  <c r="O75" i="90"/>
  <c r="O75" i="87"/>
  <c r="O75" i="89"/>
  <c r="O75" i="85"/>
  <c r="O75" i="82"/>
  <c r="O75" i="83"/>
  <c r="O75" i="86"/>
  <c r="O75" i="84"/>
  <c r="O79" i="91"/>
  <c r="O79" i="92"/>
  <c r="O79" i="90"/>
  <c r="O79" i="89"/>
  <c r="O79" i="88"/>
  <c r="O79" i="87"/>
  <c r="O79" i="86"/>
  <c r="O79" i="83"/>
  <c r="O79" i="85"/>
  <c r="O79" i="82"/>
  <c r="O79" i="84"/>
  <c r="O77" i="92"/>
  <c r="O77" i="91"/>
  <c r="O77" i="90"/>
  <c r="O77" i="88"/>
  <c r="O77" i="89"/>
  <c r="O77" i="86"/>
  <c r="O77" i="87"/>
  <c r="O77" i="83"/>
  <c r="O77" i="82"/>
  <c r="O77" i="85"/>
  <c r="O77" i="84"/>
  <c r="P79" i="92"/>
  <c r="P79" i="90"/>
  <c r="P79" i="89"/>
  <c r="P79" i="91"/>
  <c r="P79" i="85"/>
  <c r="P79" i="88"/>
  <c r="P79" i="87"/>
  <c r="P79" i="86"/>
  <c r="P79" i="82"/>
  <c r="P79" i="84"/>
  <c r="P79" i="83"/>
  <c r="O101" i="89"/>
  <c r="O101" i="91"/>
  <c r="O101" i="88"/>
  <c r="O101" i="90"/>
  <c r="O101" i="86"/>
  <c r="O101" i="84"/>
  <c r="O101" i="92"/>
  <c r="O101" i="87"/>
  <c r="O101" i="85"/>
  <c r="O101" i="82"/>
  <c r="O101" i="83"/>
  <c r="O69" i="89"/>
  <c r="O69" i="91"/>
  <c r="O69" i="90"/>
  <c r="O69" i="88"/>
  <c r="O69" i="86"/>
  <c r="O69" i="92"/>
  <c r="O69" i="87"/>
  <c r="O69" i="85"/>
  <c r="O69" i="84"/>
  <c r="O69" i="82"/>
  <c r="O69" i="83"/>
  <c r="O99" i="92"/>
  <c r="R99" i="92" s="1"/>
  <c r="O99" i="90"/>
  <c r="R99" i="90" s="1"/>
  <c r="O99" i="88"/>
  <c r="R99" i="88" s="1"/>
  <c r="O99" i="89"/>
  <c r="R99" i="89" s="1"/>
  <c r="O99" i="91"/>
  <c r="R99" i="91" s="1"/>
  <c r="O99" i="87"/>
  <c r="R99" i="87" s="1"/>
  <c r="O99" i="86"/>
  <c r="R99" i="86" s="1"/>
  <c r="O99" i="84"/>
  <c r="R99" i="84" s="1"/>
  <c r="O99" i="85"/>
  <c r="R99" i="85" s="1"/>
  <c r="O99" i="82"/>
  <c r="R99" i="82" s="1"/>
  <c r="O99" i="83"/>
  <c r="R99" i="83" s="1"/>
  <c r="P97" i="91"/>
  <c r="S97" i="91" s="1"/>
  <c r="P97" i="90"/>
  <c r="S97" i="90" s="1"/>
  <c r="P97" i="89"/>
  <c r="S97" i="89" s="1"/>
  <c r="P97" i="92"/>
  <c r="S97" i="92" s="1"/>
  <c r="P97" i="87"/>
  <c r="S97" i="87" s="1"/>
  <c r="P97" i="88"/>
  <c r="S97" i="88" s="1"/>
  <c r="P97" i="86"/>
  <c r="S97" i="86" s="1"/>
  <c r="P97" i="83"/>
  <c r="S97" i="83" s="1"/>
  <c r="P97" i="85"/>
  <c r="S97" i="85" s="1"/>
  <c r="P97" i="84"/>
  <c r="S97" i="84" s="1"/>
  <c r="P97" i="82"/>
  <c r="S97" i="82" s="1"/>
  <c r="O97" i="92"/>
  <c r="R97" i="92" s="1"/>
  <c r="O97" i="91"/>
  <c r="R97" i="91" s="1"/>
  <c r="O97" i="90"/>
  <c r="R97" i="90" s="1"/>
  <c r="O97" i="88"/>
  <c r="R97" i="88" s="1"/>
  <c r="O97" i="85"/>
  <c r="R97" i="85" s="1"/>
  <c r="O97" i="87"/>
  <c r="R97" i="87" s="1"/>
  <c r="O97" i="86"/>
  <c r="R97" i="86" s="1"/>
  <c r="O97" i="84"/>
  <c r="R97" i="84" s="1"/>
  <c r="O97" i="89"/>
  <c r="R97" i="89" s="1"/>
  <c r="O97" i="82"/>
  <c r="R97" i="82" s="1"/>
  <c r="O97" i="83"/>
  <c r="R97" i="83" s="1"/>
  <c r="P103" i="91"/>
  <c r="P103" i="89"/>
  <c r="P103" i="92"/>
  <c r="P103" i="87"/>
  <c r="P103" i="90"/>
  <c r="P103" i="88"/>
  <c r="P103" i="86"/>
  <c r="P103" i="85"/>
  <c r="P103" i="83"/>
  <c r="P103" i="84"/>
  <c r="P103" i="82"/>
  <c r="P93" i="89"/>
  <c r="P93" i="92"/>
  <c r="P93" i="90"/>
  <c r="P93" i="91"/>
  <c r="P93" i="85"/>
  <c r="P93" i="87"/>
  <c r="P93" i="88"/>
  <c r="P93" i="86"/>
  <c r="P93" i="82"/>
  <c r="P93" i="84"/>
  <c r="P93" i="83"/>
  <c r="P83" i="90"/>
  <c r="P83" i="89"/>
  <c r="P83" i="91"/>
  <c r="P83" i="92"/>
  <c r="P83" i="86"/>
  <c r="P83" i="85"/>
  <c r="P83" i="88"/>
  <c r="P83" i="87"/>
  <c r="P83" i="84"/>
  <c r="P83" i="82"/>
  <c r="P83" i="83"/>
  <c r="P69" i="89"/>
  <c r="P69" i="91"/>
  <c r="P69" i="92"/>
  <c r="P69" i="90"/>
  <c r="P69" i="88"/>
  <c r="P69" i="86"/>
  <c r="P69" i="87"/>
  <c r="P69" i="85"/>
  <c r="P69" i="83"/>
  <c r="P69" i="84"/>
  <c r="P69" i="82"/>
  <c r="O95" i="89"/>
  <c r="O95" i="92"/>
  <c r="O95" i="90"/>
  <c r="O95" i="91"/>
  <c r="O95" i="88"/>
  <c r="O95" i="85"/>
  <c r="O95" i="87"/>
  <c r="O95" i="86"/>
  <c r="O95" i="83"/>
  <c r="O95" i="82"/>
  <c r="O95" i="84"/>
  <c r="O85" i="91"/>
  <c r="O85" i="88"/>
  <c r="O85" i="90"/>
  <c r="O85" i="86"/>
  <c r="O85" i="84"/>
  <c r="O85" i="89"/>
  <c r="O85" i="85"/>
  <c r="O85" i="92"/>
  <c r="O85" i="87"/>
  <c r="O85" i="83"/>
  <c r="O85" i="82"/>
  <c r="P81" i="90"/>
  <c r="P81" i="89"/>
  <c r="P81" i="91"/>
  <c r="P81" i="92"/>
  <c r="P81" i="87"/>
  <c r="P81" i="88"/>
  <c r="P81" i="86"/>
  <c r="P81" i="85"/>
  <c r="P81" i="82"/>
  <c r="P81" i="83"/>
  <c r="P81" i="84"/>
  <c r="O81" i="92"/>
  <c r="O81" i="90"/>
  <c r="O81" i="89"/>
  <c r="O81" i="88"/>
  <c r="O81" i="91"/>
  <c r="O81" i="87"/>
  <c r="O81" i="86"/>
  <c r="O81" i="84"/>
  <c r="O81" i="85"/>
  <c r="O81" i="82"/>
  <c r="O81" i="83"/>
  <c r="P87" i="92"/>
  <c r="P87" i="91"/>
  <c r="P87" i="89"/>
  <c r="P87" i="90"/>
  <c r="P87" i="88"/>
  <c r="P87" i="86"/>
  <c r="P87" i="85"/>
  <c r="P87" i="83"/>
  <c r="P87" i="82"/>
  <c r="P87" i="84"/>
  <c r="P87" i="87"/>
  <c r="P77" i="92"/>
  <c r="P77" i="91"/>
  <c r="P77" i="90"/>
  <c r="P77" i="89"/>
  <c r="P77" i="87"/>
  <c r="P77" i="88"/>
  <c r="P77" i="82"/>
  <c r="P77" i="85"/>
  <c r="P77" i="84"/>
  <c r="P77" i="86"/>
  <c r="P77" i="83"/>
  <c r="P73" i="92"/>
  <c r="P73" i="90"/>
  <c r="P73" i="91"/>
  <c r="P73" i="87"/>
  <c r="P73" i="88"/>
  <c r="P73" i="85"/>
  <c r="P73" i="89"/>
  <c r="P73" i="86"/>
  <c r="P73" i="83"/>
  <c r="P73" i="84"/>
  <c r="P73" i="82"/>
  <c r="O71" i="89"/>
  <c r="O71" i="91"/>
  <c r="O71" i="90"/>
  <c r="O71" i="86"/>
  <c r="O71" i="88"/>
  <c r="O71" i="87"/>
  <c r="O71" i="85"/>
  <c r="O71" i="92"/>
  <c r="O71" i="84"/>
  <c r="O71" i="82"/>
  <c r="O71" i="83"/>
  <c r="O103" i="78"/>
  <c r="O103" i="76"/>
  <c r="O103" i="81"/>
  <c r="O103" i="79"/>
  <c r="O103" i="77"/>
  <c r="O103" i="75"/>
  <c r="O103" i="74"/>
  <c r="O103" i="80"/>
  <c r="O93" i="81"/>
  <c r="O93" i="80"/>
  <c r="O93" i="79"/>
  <c r="O93" i="78"/>
  <c r="O93" i="76"/>
  <c r="O93" i="75"/>
  <c r="O93" i="77"/>
  <c r="O93" i="74"/>
  <c r="P71" i="81"/>
  <c r="P71" i="79"/>
  <c r="P71" i="77"/>
  <c r="P71" i="78"/>
  <c r="P71" i="73"/>
  <c r="P71" i="80"/>
  <c r="P71" i="75"/>
  <c r="P71" i="74"/>
  <c r="P71" i="76"/>
  <c r="P71" i="71"/>
  <c r="P71" i="65"/>
  <c r="P71" i="72"/>
  <c r="O91" i="80"/>
  <c r="O91" i="79"/>
  <c r="O91" i="78"/>
  <c r="O91" i="81"/>
  <c r="O91" i="77"/>
  <c r="O91" i="74"/>
  <c r="O91" i="75"/>
  <c r="O91" i="76"/>
  <c r="P89" i="79"/>
  <c r="P89" i="80"/>
  <c r="P89" i="78"/>
  <c r="P89" i="81"/>
  <c r="P89" i="76"/>
  <c r="P89" i="74"/>
  <c r="P89" i="75"/>
  <c r="P89" i="77"/>
  <c r="O89" i="79"/>
  <c r="O89" i="80"/>
  <c r="O89" i="78"/>
  <c r="O89" i="81"/>
  <c r="O89" i="77"/>
  <c r="O89" i="76"/>
  <c r="O89" i="74"/>
  <c r="O89" i="75"/>
  <c r="P95" i="81"/>
  <c r="P95" i="80"/>
  <c r="P95" i="79"/>
  <c r="P95" i="77"/>
  <c r="P95" i="78"/>
  <c r="P95" i="76"/>
  <c r="P95" i="74"/>
  <c r="P95" i="75"/>
  <c r="P85" i="80"/>
  <c r="P85" i="79"/>
  <c r="P85" i="78"/>
  <c r="P85" i="74"/>
  <c r="P85" i="81"/>
  <c r="P85" i="77"/>
  <c r="P85" i="76"/>
  <c r="P85" i="75"/>
  <c r="P75" i="79"/>
  <c r="P75" i="80"/>
  <c r="P75" i="81"/>
  <c r="P75" i="76"/>
  <c r="P75" i="78"/>
  <c r="P75" i="77"/>
  <c r="P75" i="75"/>
  <c r="P75" i="74"/>
  <c r="O87" i="80"/>
  <c r="O87" i="79"/>
  <c r="O87" i="81"/>
  <c r="O87" i="78"/>
  <c r="O87" i="77"/>
  <c r="O87" i="75"/>
  <c r="O87" i="76"/>
  <c r="O87" i="74"/>
  <c r="P99" i="78"/>
  <c r="S99" i="78" s="1"/>
  <c r="P99" i="77"/>
  <c r="S99" i="77" s="1"/>
  <c r="P99" i="79"/>
  <c r="S99" i="79" s="1"/>
  <c r="P99" i="81"/>
  <c r="S99" i="81" s="1"/>
  <c r="P99" i="76"/>
  <c r="S99" i="76" s="1"/>
  <c r="P99" i="74"/>
  <c r="S99" i="74" s="1"/>
  <c r="P99" i="80"/>
  <c r="S99" i="80" s="1"/>
  <c r="P99" i="75"/>
  <c r="S99" i="75" s="1"/>
  <c r="P73" i="79"/>
  <c r="P73" i="80"/>
  <c r="P73" i="81"/>
  <c r="P73" i="76"/>
  <c r="P73" i="77"/>
  <c r="P73" i="75"/>
  <c r="P73" i="65"/>
  <c r="P73" i="73"/>
  <c r="P73" i="78"/>
  <c r="P73" i="72"/>
  <c r="P73" i="71"/>
  <c r="P73" i="74"/>
  <c r="P69" i="81"/>
  <c r="P69" i="79"/>
  <c r="P69" i="77"/>
  <c r="P69" i="73"/>
  <c r="P69" i="76"/>
  <c r="P69" i="80"/>
  <c r="P69" i="65"/>
  <c r="P69" i="78"/>
  <c r="P69" i="75"/>
  <c r="P69" i="71"/>
  <c r="P69" i="74"/>
  <c r="P69" i="72"/>
  <c r="O75" i="81"/>
  <c r="O75" i="79"/>
  <c r="O75" i="77"/>
  <c r="O75" i="80"/>
  <c r="O75" i="74"/>
  <c r="O75" i="78"/>
  <c r="O75" i="75"/>
  <c r="O75" i="76"/>
  <c r="O79" i="78"/>
  <c r="O79" i="77"/>
  <c r="O79" i="80"/>
  <c r="O79" i="81"/>
  <c r="O79" i="79"/>
  <c r="O79" i="76"/>
  <c r="O79" i="75"/>
  <c r="O79" i="74"/>
  <c r="O77" i="78"/>
  <c r="O77" i="81"/>
  <c r="O77" i="80"/>
  <c r="O77" i="79"/>
  <c r="O77" i="76"/>
  <c r="O77" i="75"/>
  <c r="O77" i="77"/>
  <c r="O77" i="74"/>
  <c r="P79" i="78"/>
  <c r="P79" i="77"/>
  <c r="P79" i="80"/>
  <c r="P79" i="81"/>
  <c r="P79" i="79"/>
  <c r="P79" i="76"/>
  <c r="P79" i="74"/>
  <c r="P79" i="75"/>
  <c r="O101" i="78"/>
  <c r="O101" i="76"/>
  <c r="O101" i="81"/>
  <c r="O101" i="79"/>
  <c r="O101" i="77"/>
  <c r="O101" i="80"/>
  <c r="O101" i="75"/>
  <c r="O101" i="74"/>
  <c r="O73" i="81"/>
  <c r="O73" i="79"/>
  <c r="O73" i="77"/>
  <c r="O73" i="80"/>
  <c r="O73" i="71"/>
  <c r="O73" i="76"/>
  <c r="O73" i="74"/>
  <c r="O73" i="75"/>
  <c r="O73" i="65"/>
  <c r="O73" i="73"/>
  <c r="O73" i="78"/>
  <c r="O73" i="72"/>
  <c r="O69" i="78"/>
  <c r="O69" i="81"/>
  <c r="O69" i="79"/>
  <c r="O69" i="80"/>
  <c r="O69" i="77"/>
  <c r="O69" i="75"/>
  <c r="O69" i="76"/>
  <c r="O69" i="71"/>
  <c r="O69" i="74"/>
  <c r="O69" i="72"/>
  <c r="O69" i="65"/>
  <c r="O69" i="73"/>
  <c r="O99" i="78"/>
  <c r="R99" i="78" s="1"/>
  <c r="O99" i="77"/>
  <c r="R99" i="77" s="1"/>
  <c r="O99" i="80"/>
  <c r="R99" i="80" s="1"/>
  <c r="O99" i="76"/>
  <c r="R99" i="76" s="1"/>
  <c r="O99" i="81"/>
  <c r="R99" i="81" s="1"/>
  <c r="O99" i="79"/>
  <c r="R99" i="79" s="1"/>
  <c r="O99" i="74"/>
  <c r="R99" i="74" s="1"/>
  <c r="O99" i="75"/>
  <c r="R99" i="75" s="1"/>
  <c r="P97" i="78"/>
  <c r="S97" i="78" s="1"/>
  <c r="P97" i="79"/>
  <c r="S97" i="79" s="1"/>
  <c r="P97" i="77"/>
  <c r="S97" i="77" s="1"/>
  <c r="P97" i="81"/>
  <c r="S97" i="81" s="1"/>
  <c r="P97" i="80"/>
  <c r="S97" i="80" s="1"/>
  <c r="P97" i="76"/>
  <c r="S97" i="76" s="1"/>
  <c r="P97" i="74"/>
  <c r="S97" i="74" s="1"/>
  <c r="P97" i="75"/>
  <c r="S97" i="75" s="1"/>
  <c r="O97" i="80"/>
  <c r="R97" i="80" s="1"/>
  <c r="O97" i="78"/>
  <c r="R97" i="78" s="1"/>
  <c r="O97" i="76"/>
  <c r="R97" i="76" s="1"/>
  <c r="O97" i="79"/>
  <c r="R97" i="79" s="1"/>
  <c r="O97" i="81"/>
  <c r="R97" i="81" s="1"/>
  <c r="O97" i="77"/>
  <c r="R97" i="77" s="1"/>
  <c r="O97" i="74"/>
  <c r="R97" i="74" s="1"/>
  <c r="O97" i="75"/>
  <c r="R97" i="75" s="1"/>
  <c r="P103" i="81"/>
  <c r="P103" i="79"/>
  <c r="P103" i="77"/>
  <c r="P103" i="80"/>
  <c r="P103" i="76"/>
  <c r="P103" i="75"/>
  <c r="P103" i="78"/>
  <c r="P103" i="74"/>
  <c r="P93" i="81"/>
  <c r="P93" i="80"/>
  <c r="P93" i="78"/>
  <c r="P93" i="77"/>
  <c r="P93" i="79"/>
  <c r="P93" i="74"/>
  <c r="P93" i="75"/>
  <c r="P93" i="76"/>
  <c r="P83" i="81"/>
  <c r="P83" i="80"/>
  <c r="P83" i="79"/>
  <c r="P83" i="78"/>
  <c r="P83" i="77"/>
  <c r="P83" i="76"/>
  <c r="P83" i="74"/>
  <c r="P83" i="75"/>
  <c r="P91" i="80"/>
  <c r="P91" i="79"/>
  <c r="P91" i="78"/>
  <c r="P91" i="81"/>
  <c r="P91" i="76"/>
  <c r="P91" i="77"/>
  <c r="P91" i="75"/>
  <c r="P91" i="74"/>
  <c r="O95" i="80"/>
  <c r="O95" i="81"/>
  <c r="O95" i="79"/>
  <c r="O95" i="78"/>
  <c r="O95" i="76"/>
  <c r="O95" i="77"/>
  <c r="O95" i="75"/>
  <c r="O95" i="74"/>
  <c r="O85" i="80"/>
  <c r="O85" i="79"/>
  <c r="O85" i="81"/>
  <c r="O85" i="77"/>
  <c r="O85" i="75"/>
  <c r="O85" i="76"/>
  <c r="O85" i="74"/>
  <c r="O85" i="78"/>
  <c r="O71" i="78"/>
  <c r="O71" i="81"/>
  <c r="O71" i="79"/>
  <c r="O71" i="75"/>
  <c r="O71" i="77"/>
  <c r="O71" i="76"/>
  <c r="O71" i="80"/>
  <c r="O71" i="71"/>
  <c r="O71" i="72"/>
  <c r="O71" i="74"/>
  <c r="O71" i="73"/>
  <c r="O71" i="65"/>
  <c r="P101" i="81"/>
  <c r="P101" i="79"/>
  <c r="P101" i="77"/>
  <c r="P101" i="78"/>
  <c r="P101" i="75"/>
  <c r="P101" i="74"/>
  <c r="P101" i="76"/>
  <c r="P101" i="80"/>
  <c r="O83" i="81"/>
  <c r="O83" i="80"/>
  <c r="O83" i="76"/>
  <c r="O83" i="79"/>
  <c r="O83" i="77"/>
  <c r="O83" i="74"/>
  <c r="O83" i="78"/>
  <c r="O83" i="75"/>
  <c r="P81" i="81"/>
  <c r="P81" i="80"/>
  <c r="P81" i="79"/>
  <c r="P81" i="78"/>
  <c r="P81" i="77"/>
  <c r="P81" i="76"/>
  <c r="P81" i="74"/>
  <c r="P81" i="75"/>
  <c r="O81" i="81"/>
  <c r="O81" i="77"/>
  <c r="O81" i="80"/>
  <c r="O81" i="76"/>
  <c r="O81" i="78"/>
  <c r="O81" i="79"/>
  <c r="O81" i="74"/>
  <c r="O81" i="75"/>
  <c r="P87" i="80"/>
  <c r="P87" i="79"/>
  <c r="P87" i="78"/>
  <c r="P87" i="77"/>
  <c r="P87" i="81"/>
  <c r="P87" i="75"/>
  <c r="P87" i="74"/>
  <c r="P87" i="76"/>
  <c r="P77" i="78"/>
  <c r="P77" i="77"/>
  <c r="P77" i="81"/>
  <c r="P77" i="80"/>
  <c r="P77" i="79"/>
  <c r="P77" i="74"/>
  <c r="P77" i="75"/>
  <c r="P77" i="76"/>
  <c r="O87" i="71"/>
  <c r="O87" i="72"/>
  <c r="O87" i="65"/>
  <c r="O87" i="73"/>
  <c r="G100" i="61"/>
  <c r="P99" i="72"/>
  <c r="S99" i="72" s="1"/>
  <c r="P99" i="73"/>
  <c r="S99" i="73" s="1"/>
  <c r="P99" i="71"/>
  <c r="S99" i="71" s="1"/>
  <c r="P99" i="65"/>
  <c r="S99" i="65" s="1"/>
  <c r="O75" i="71"/>
  <c r="O75" i="73"/>
  <c r="O75" i="72"/>
  <c r="O75" i="65"/>
  <c r="O79" i="73"/>
  <c r="O79" i="71"/>
  <c r="O79" i="72"/>
  <c r="O79" i="65"/>
  <c r="O77" i="71"/>
  <c r="O77" i="73"/>
  <c r="O77" i="72"/>
  <c r="O77" i="65"/>
  <c r="P79" i="72"/>
  <c r="P79" i="73"/>
  <c r="P79" i="71"/>
  <c r="P79" i="65"/>
  <c r="F102" i="61"/>
  <c r="O101" i="65"/>
  <c r="O101" i="73"/>
  <c r="O101" i="71"/>
  <c r="O101" i="72"/>
  <c r="F100" i="61"/>
  <c r="O99" i="72"/>
  <c r="R99" i="72" s="1"/>
  <c r="O99" i="73"/>
  <c r="R99" i="73" s="1"/>
  <c r="O99" i="65"/>
  <c r="R99" i="65" s="1"/>
  <c r="O99" i="71"/>
  <c r="R99" i="71" s="1"/>
  <c r="G98" i="61"/>
  <c r="P97" i="72"/>
  <c r="S97" i="72" s="1"/>
  <c r="P97" i="73"/>
  <c r="S97" i="73" s="1"/>
  <c r="P97" i="65"/>
  <c r="S97" i="65" s="1"/>
  <c r="P97" i="71"/>
  <c r="S97" i="71" s="1"/>
  <c r="F98" i="61"/>
  <c r="O97" i="71"/>
  <c r="R97" i="71" s="1"/>
  <c r="O97" i="72"/>
  <c r="R97" i="72" s="1"/>
  <c r="O97" i="73"/>
  <c r="R97" i="73" s="1"/>
  <c r="O97" i="65"/>
  <c r="R97" i="65" s="1"/>
  <c r="G104" i="61"/>
  <c r="P103" i="73"/>
  <c r="P103" i="71"/>
  <c r="P103" i="72"/>
  <c r="P103" i="65"/>
  <c r="P93" i="71"/>
  <c r="P93" i="72"/>
  <c r="P93" i="65"/>
  <c r="P93" i="73"/>
  <c r="P83" i="72"/>
  <c r="P83" i="73"/>
  <c r="P83" i="71"/>
  <c r="P83" i="65"/>
  <c r="O95" i="71"/>
  <c r="O95" i="72"/>
  <c r="O95" i="73"/>
  <c r="O95" i="65"/>
  <c r="O85" i="73"/>
  <c r="O85" i="65"/>
  <c r="O85" i="72"/>
  <c r="O85" i="71"/>
  <c r="O83" i="72"/>
  <c r="O83" i="73"/>
  <c r="O83" i="65"/>
  <c r="O83" i="71"/>
  <c r="P81" i="72"/>
  <c r="P81" i="65"/>
  <c r="P81" i="73"/>
  <c r="P81" i="71"/>
  <c r="O81" i="71"/>
  <c r="O81" i="72"/>
  <c r="O81" i="65"/>
  <c r="O81" i="73"/>
  <c r="P87" i="71"/>
  <c r="P87" i="73"/>
  <c r="P87" i="72"/>
  <c r="P87" i="65"/>
  <c r="P77" i="71"/>
  <c r="P77" i="73"/>
  <c r="P77" i="72"/>
  <c r="P77" i="65"/>
  <c r="G102" i="61"/>
  <c r="P101" i="65"/>
  <c r="P101" i="73"/>
  <c r="P101" i="71"/>
  <c r="P101" i="72"/>
  <c r="P91" i="73"/>
  <c r="P91" i="71"/>
  <c r="P91" i="72"/>
  <c r="P91" i="65"/>
  <c r="F104" i="61"/>
  <c r="O103" i="73"/>
  <c r="O103" i="71"/>
  <c r="O103" i="72"/>
  <c r="O103" i="65"/>
  <c r="O93" i="71"/>
  <c r="O93" i="72"/>
  <c r="O93" i="65"/>
  <c r="O93" i="73"/>
  <c r="O91" i="73"/>
  <c r="O91" i="71"/>
  <c r="O91" i="72"/>
  <c r="O91" i="65"/>
  <c r="P89" i="65"/>
  <c r="P89" i="73"/>
  <c r="P89" i="71"/>
  <c r="P89" i="72"/>
  <c r="O89" i="65"/>
  <c r="O89" i="73"/>
  <c r="O89" i="71"/>
  <c r="O89" i="72"/>
  <c r="P95" i="72"/>
  <c r="P95" i="73"/>
  <c r="P95" i="71"/>
  <c r="P95" i="65"/>
  <c r="P85" i="73"/>
  <c r="P85" i="65"/>
  <c r="P85" i="71"/>
  <c r="P85" i="72"/>
  <c r="P75" i="71"/>
  <c r="P75" i="73"/>
  <c r="P75" i="72"/>
  <c r="P75" i="65"/>
  <c r="V111" i="61"/>
  <c r="U111" i="61"/>
  <c r="T111" i="61"/>
  <c r="S111" i="61"/>
  <c r="R111" i="61"/>
  <c r="Q111" i="61"/>
  <c r="P111" i="61"/>
  <c r="O111" i="61"/>
  <c r="N111" i="61"/>
  <c r="M111" i="61"/>
  <c r="L111" i="61"/>
  <c r="K111" i="61"/>
  <c r="V63" i="61"/>
  <c r="U63" i="61"/>
  <c r="T63" i="61"/>
  <c r="S63" i="61"/>
  <c r="R63" i="61"/>
  <c r="Q63" i="61"/>
  <c r="P63" i="61"/>
  <c r="O63" i="61"/>
  <c r="N63" i="61"/>
  <c r="M63" i="61"/>
  <c r="L63" i="61"/>
  <c r="K63" i="61"/>
  <c r="O106" i="59"/>
  <c r="N106" i="59"/>
  <c r="M106" i="59"/>
  <c r="O104" i="59"/>
  <c r="N104" i="59"/>
  <c r="M104" i="59"/>
  <c r="O103" i="59"/>
  <c r="N103" i="59"/>
  <c r="M103" i="59"/>
  <c r="O102" i="59"/>
  <c r="N102" i="59"/>
  <c r="M101" i="59"/>
  <c r="O101" i="59"/>
  <c r="O100" i="59"/>
  <c r="N99" i="59"/>
  <c r="M99" i="59"/>
  <c r="O99" i="59"/>
  <c r="O98" i="59"/>
  <c r="N97" i="59"/>
  <c r="M97" i="59"/>
  <c r="O97" i="59"/>
  <c r="O96" i="59"/>
  <c r="N96" i="59"/>
  <c r="M96" i="59"/>
  <c r="O95" i="59"/>
  <c r="N95" i="59"/>
  <c r="O94" i="59"/>
  <c r="N94" i="59"/>
  <c r="M93" i="59"/>
  <c r="O93" i="59"/>
  <c r="N93" i="59"/>
  <c r="O92" i="59"/>
  <c r="N92" i="59"/>
  <c r="M91" i="59"/>
  <c r="O91" i="59"/>
  <c r="O90" i="59"/>
  <c r="N89" i="59"/>
  <c r="M89" i="59"/>
  <c r="O89" i="59"/>
  <c r="O88" i="59"/>
  <c r="N87" i="59"/>
  <c r="M88" i="59"/>
  <c r="O87" i="59"/>
  <c r="M87" i="59"/>
  <c r="O86" i="59"/>
  <c r="N86" i="59"/>
  <c r="M85" i="59"/>
  <c r="O85" i="59"/>
  <c r="N85" i="59"/>
  <c r="O84" i="59"/>
  <c r="N84" i="59"/>
  <c r="M83" i="59"/>
  <c r="O83" i="59"/>
  <c r="O82" i="59"/>
  <c r="N81" i="59"/>
  <c r="M81" i="59"/>
  <c r="O81" i="59"/>
  <c r="O80" i="59"/>
  <c r="N80" i="59"/>
  <c r="M79" i="59"/>
  <c r="O79" i="59"/>
  <c r="N79" i="59"/>
  <c r="O78" i="59"/>
  <c r="N78" i="59"/>
  <c r="M77" i="59"/>
  <c r="O77" i="59"/>
  <c r="N77" i="59"/>
  <c r="O76" i="59"/>
  <c r="N76" i="59"/>
  <c r="M75" i="59"/>
  <c r="O75" i="59"/>
  <c r="N75" i="59"/>
  <c r="O74" i="59"/>
  <c r="N73" i="59"/>
  <c r="M74" i="59"/>
  <c r="O73" i="59"/>
  <c r="O72" i="59"/>
  <c r="N72" i="59"/>
  <c r="M72" i="59"/>
  <c r="O71" i="59"/>
  <c r="N71" i="59"/>
  <c r="M71" i="59"/>
  <c r="O70" i="59"/>
  <c r="N70" i="59"/>
  <c r="M69" i="59"/>
  <c r="O69" i="59"/>
  <c r="N69" i="59"/>
  <c r="O68" i="59"/>
  <c r="K67" i="59"/>
  <c r="J67" i="59"/>
  <c r="O67" i="59"/>
  <c r="O66" i="59"/>
  <c r="K65" i="59"/>
  <c r="J65" i="59"/>
  <c r="O65" i="59"/>
  <c r="O62" i="59"/>
  <c r="M62" i="59"/>
  <c r="K62" i="59"/>
  <c r="H62" i="59"/>
  <c r="O61" i="59"/>
  <c r="M61" i="59"/>
  <c r="K61" i="59"/>
  <c r="H61" i="59"/>
  <c r="O60" i="59"/>
  <c r="M60" i="59"/>
  <c r="K60" i="59"/>
  <c r="H60" i="59"/>
  <c r="O59" i="59"/>
  <c r="M59" i="59"/>
  <c r="K59" i="59"/>
  <c r="H59" i="59"/>
  <c r="O57" i="59"/>
  <c r="N57" i="59"/>
  <c r="M57" i="59"/>
  <c r="H57" i="59"/>
  <c r="O56" i="59"/>
  <c r="N56" i="59"/>
  <c r="M56" i="59"/>
  <c r="H56" i="59"/>
  <c r="O55" i="59"/>
  <c r="N55" i="59"/>
  <c r="M55" i="59"/>
  <c r="H55" i="59"/>
  <c r="K54" i="59"/>
  <c r="H54" i="59"/>
  <c r="M54" i="59"/>
  <c r="M53" i="59"/>
  <c r="K53" i="59"/>
  <c r="H53" i="59"/>
  <c r="M52" i="59"/>
  <c r="K52" i="59"/>
  <c r="H52" i="59"/>
  <c r="M51" i="59"/>
  <c r="K51" i="59"/>
  <c r="H51" i="59"/>
  <c r="M50" i="59"/>
  <c r="K50" i="59"/>
  <c r="H50" i="59"/>
  <c r="M49" i="59"/>
  <c r="K49" i="59"/>
  <c r="H49" i="59"/>
  <c r="M48" i="59"/>
  <c r="K48" i="59"/>
  <c r="H48" i="59"/>
  <c r="M47" i="59"/>
  <c r="K47" i="59"/>
  <c r="H47" i="59"/>
  <c r="M46" i="59"/>
  <c r="K46" i="59"/>
  <c r="H46" i="59"/>
  <c r="M45" i="59"/>
  <c r="K45" i="59"/>
  <c r="H45" i="59"/>
  <c r="M44" i="59"/>
  <c r="K44" i="59"/>
  <c r="H44" i="59"/>
  <c r="M43" i="59"/>
  <c r="K43" i="59"/>
  <c r="H43" i="59"/>
  <c r="M42" i="59"/>
  <c r="K42" i="59"/>
  <c r="H42" i="59"/>
  <c r="M41" i="59"/>
  <c r="K41" i="59"/>
  <c r="H41" i="59"/>
  <c r="M40" i="59"/>
  <c r="K40" i="59"/>
  <c r="H40" i="59"/>
  <c r="M39" i="59"/>
  <c r="K39" i="59"/>
  <c r="H39" i="59"/>
  <c r="M38" i="59"/>
  <c r="K38" i="59"/>
  <c r="H38" i="59"/>
  <c r="M37" i="59"/>
  <c r="K37" i="59"/>
  <c r="H37" i="59"/>
  <c r="M36" i="59"/>
  <c r="K36" i="59"/>
  <c r="H36" i="59"/>
  <c r="M35" i="59"/>
  <c r="K35" i="59"/>
  <c r="H35" i="59"/>
  <c r="M34" i="59"/>
  <c r="K34" i="59"/>
  <c r="H34" i="59"/>
  <c r="M33" i="59"/>
  <c r="K33" i="59"/>
  <c r="H33" i="59"/>
  <c r="M32" i="59"/>
  <c r="K32" i="59"/>
  <c r="H32" i="59"/>
  <c r="P53" i="117" l="1"/>
  <c r="P53" i="113"/>
  <c r="P53" i="108"/>
  <c r="P53" i="104"/>
  <c r="P53" i="116"/>
  <c r="P53" i="111"/>
  <c r="P53" i="107"/>
  <c r="P53" i="115"/>
  <c r="P53" i="110"/>
  <c r="P53" i="106"/>
  <c r="P53" i="114"/>
  <c r="P53" i="109"/>
  <c r="P53" i="105"/>
  <c r="P53" i="101"/>
  <c r="P53" i="97"/>
  <c r="P53" i="102"/>
  <c r="P53" i="100"/>
  <c r="P53" i="99"/>
  <c r="P53" i="98"/>
  <c r="P53" i="103"/>
  <c r="P53" i="89"/>
  <c r="P53" i="85"/>
  <c r="P53" i="82"/>
  <c r="P53" i="92"/>
  <c r="P53" i="88"/>
  <c r="P53" i="84"/>
  <c r="P53" i="91"/>
  <c r="P53" i="87"/>
  <c r="P53" i="83"/>
  <c r="P53" i="90"/>
  <c r="P53" i="86"/>
  <c r="P40" i="115"/>
  <c r="P40" i="110"/>
  <c r="P40" i="106"/>
  <c r="P40" i="114"/>
  <c r="P40" i="109"/>
  <c r="P40" i="105"/>
  <c r="P40" i="117"/>
  <c r="P40" i="113"/>
  <c r="P40" i="108"/>
  <c r="P40" i="104"/>
  <c r="P40" i="116"/>
  <c r="P40" i="111"/>
  <c r="P40" i="107"/>
  <c r="P40" i="103"/>
  <c r="P40" i="98"/>
  <c r="P40" i="97"/>
  <c r="P40" i="99"/>
  <c r="P40" i="102"/>
  <c r="P40" i="100"/>
  <c r="P40" i="101"/>
  <c r="P40" i="91"/>
  <c r="P40" i="87"/>
  <c r="P40" i="83"/>
  <c r="P40" i="82"/>
  <c r="P40" i="90"/>
  <c r="P40" i="86"/>
  <c r="P40" i="84"/>
  <c r="P40" i="89"/>
  <c r="P40" i="85"/>
  <c r="P40" i="92"/>
  <c r="P40" i="88"/>
  <c r="P48" i="115"/>
  <c r="P48" i="110"/>
  <c r="P48" i="106"/>
  <c r="P48" i="114"/>
  <c r="P48" i="109"/>
  <c r="P48" i="105"/>
  <c r="P48" i="117"/>
  <c r="P48" i="113"/>
  <c r="P48" i="108"/>
  <c r="P48" i="104"/>
  <c r="P48" i="116"/>
  <c r="P48" i="111"/>
  <c r="P48" i="107"/>
  <c r="P48" i="103"/>
  <c r="P48" i="101"/>
  <c r="P48" i="98"/>
  <c r="P48" i="97"/>
  <c r="P48" i="102"/>
  <c r="P48" i="100"/>
  <c r="P48" i="99"/>
  <c r="P48" i="91"/>
  <c r="P48" i="87"/>
  <c r="P48" i="83"/>
  <c r="P48" i="82"/>
  <c r="P48" i="90"/>
  <c r="P48" i="86"/>
  <c r="P48" i="89"/>
  <c r="P48" i="85"/>
  <c r="P48" i="84"/>
  <c r="P48" i="92"/>
  <c r="P48" i="88"/>
  <c r="P32" i="115"/>
  <c r="P32" i="110"/>
  <c r="P32" i="106"/>
  <c r="P32" i="114"/>
  <c r="P32" i="109"/>
  <c r="P32" i="105"/>
  <c r="P32" i="117"/>
  <c r="P32" i="113"/>
  <c r="P32" i="108"/>
  <c r="P32" i="104"/>
  <c r="P32" i="116"/>
  <c r="P32" i="111"/>
  <c r="P32" i="107"/>
  <c r="P32" i="103"/>
  <c r="P32" i="98"/>
  <c r="P32" i="97"/>
  <c r="P32" i="101"/>
  <c r="P32" i="102"/>
  <c r="P32" i="100"/>
  <c r="P32" i="99"/>
  <c r="P32" i="91"/>
  <c r="P32" i="87"/>
  <c r="P32" i="83"/>
  <c r="P32" i="82"/>
  <c r="P32" i="90"/>
  <c r="P32" i="86"/>
  <c r="P32" i="89"/>
  <c r="P32" i="85"/>
  <c r="P32" i="84"/>
  <c r="P32" i="92"/>
  <c r="P32" i="88"/>
  <c r="P35" i="117"/>
  <c r="P35" i="113"/>
  <c r="P35" i="108"/>
  <c r="P35" i="104"/>
  <c r="P35" i="116"/>
  <c r="P35" i="111"/>
  <c r="P35" i="107"/>
  <c r="P35" i="115"/>
  <c r="P35" i="110"/>
  <c r="P35" i="106"/>
  <c r="P35" i="114"/>
  <c r="P35" i="109"/>
  <c r="P35" i="105"/>
  <c r="P35" i="102"/>
  <c r="P35" i="100"/>
  <c r="P35" i="97"/>
  <c r="P35" i="101"/>
  <c r="P35" i="99"/>
  <c r="P35" i="103"/>
  <c r="P35" i="98"/>
  <c r="P35" i="89"/>
  <c r="P35" i="85"/>
  <c r="P35" i="82"/>
  <c r="P35" i="92"/>
  <c r="P35" i="88"/>
  <c r="P35" i="84"/>
  <c r="P35" i="91"/>
  <c r="P35" i="87"/>
  <c r="P35" i="83"/>
  <c r="P35" i="90"/>
  <c r="P35" i="86"/>
  <c r="P43" i="117"/>
  <c r="P43" i="113"/>
  <c r="P43" i="108"/>
  <c r="P43" i="104"/>
  <c r="P43" i="116"/>
  <c r="P43" i="111"/>
  <c r="P43" i="107"/>
  <c r="P43" i="115"/>
  <c r="P43" i="110"/>
  <c r="P43" i="106"/>
  <c r="P43" i="114"/>
  <c r="P43" i="109"/>
  <c r="P43" i="105"/>
  <c r="P43" i="103"/>
  <c r="P43" i="102"/>
  <c r="P43" i="100"/>
  <c r="P43" i="101"/>
  <c r="P43" i="99"/>
  <c r="P43" i="98"/>
  <c r="P43" i="97"/>
  <c r="P43" i="89"/>
  <c r="P43" i="85"/>
  <c r="P43" i="82"/>
  <c r="P43" i="92"/>
  <c r="P43" i="88"/>
  <c r="P43" i="84"/>
  <c r="P43" i="91"/>
  <c r="P43" i="87"/>
  <c r="P43" i="83"/>
  <c r="P43" i="90"/>
  <c r="P43" i="86"/>
  <c r="P51" i="117"/>
  <c r="P51" i="113"/>
  <c r="P51" i="108"/>
  <c r="P51" i="104"/>
  <c r="P51" i="116"/>
  <c r="P51" i="111"/>
  <c r="P51" i="107"/>
  <c r="P51" i="115"/>
  <c r="P51" i="110"/>
  <c r="P51" i="106"/>
  <c r="P51" i="114"/>
  <c r="P51" i="109"/>
  <c r="P51" i="105"/>
  <c r="P51" i="101"/>
  <c r="P51" i="102"/>
  <c r="P51" i="100"/>
  <c r="P51" i="99"/>
  <c r="P51" i="103"/>
  <c r="P51" i="98"/>
  <c r="P51" i="97"/>
  <c r="P51" i="89"/>
  <c r="P51" i="85"/>
  <c r="P51" i="92"/>
  <c r="P51" i="88"/>
  <c r="P51" i="84"/>
  <c r="P51" i="86"/>
  <c r="P51" i="91"/>
  <c r="P51" i="87"/>
  <c r="P51" i="83"/>
  <c r="P51" i="82"/>
  <c r="P51" i="90"/>
  <c r="P59" i="117"/>
  <c r="P59" i="113"/>
  <c r="P59" i="108"/>
  <c r="P59" i="104"/>
  <c r="P59" i="100"/>
  <c r="P59" i="116"/>
  <c r="P59" i="111"/>
  <c r="P59" i="107"/>
  <c r="P59" i="103"/>
  <c r="P59" i="115"/>
  <c r="P59" i="110"/>
  <c r="P59" i="106"/>
  <c r="P59" i="102"/>
  <c r="P59" i="114"/>
  <c r="P59" i="109"/>
  <c r="P59" i="105"/>
  <c r="P59" i="101"/>
  <c r="P59" i="97"/>
  <c r="P59" i="99"/>
  <c r="P59" i="98"/>
  <c r="P59" i="89"/>
  <c r="P59" i="85"/>
  <c r="P59" i="92"/>
  <c r="P59" i="88"/>
  <c r="P59" i="84"/>
  <c r="P59" i="91"/>
  <c r="P59" i="87"/>
  <c r="P59" i="83"/>
  <c r="P59" i="90"/>
  <c r="P59" i="86"/>
  <c r="P59" i="82"/>
  <c r="P61" i="117"/>
  <c r="P61" i="113"/>
  <c r="P61" i="108"/>
  <c r="P61" i="104"/>
  <c r="P61" i="100"/>
  <c r="P61" i="116"/>
  <c r="P61" i="111"/>
  <c r="P61" i="107"/>
  <c r="P61" i="103"/>
  <c r="P61" i="115"/>
  <c r="P61" i="110"/>
  <c r="P61" i="106"/>
  <c r="P61" i="102"/>
  <c r="P61" i="114"/>
  <c r="P61" i="109"/>
  <c r="P61" i="105"/>
  <c r="P61" i="101"/>
  <c r="P61" i="97"/>
  <c r="P61" i="99"/>
  <c r="P61" i="98"/>
  <c r="P61" i="89"/>
  <c r="P61" i="85"/>
  <c r="P61" i="92"/>
  <c r="P61" i="88"/>
  <c r="P61" i="84"/>
  <c r="P61" i="91"/>
  <c r="P61" i="87"/>
  <c r="P61" i="83"/>
  <c r="P61" i="90"/>
  <c r="P61" i="86"/>
  <c r="P61" i="82"/>
  <c r="P45" i="117"/>
  <c r="P45" i="113"/>
  <c r="P45" i="108"/>
  <c r="P45" i="104"/>
  <c r="P45" i="116"/>
  <c r="P45" i="111"/>
  <c r="P45" i="107"/>
  <c r="P45" i="115"/>
  <c r="P45" i="110"/>
  <c r="P45" i="106"/>
  <c r="P45" i="114"/>
  <c r="P45" i="109"/>
  <c r="P45" i="105"/>
  <c r="P45" i="102"/>
  <c r="P45" i="100"/>
  <c r="P45" i="97"/>
  <c r="P45" i="103"/>
  <c r="P45" i="101"/>
  <c r="P45" i="99"/>
  <c r="P45" i="98"/>
  <c r="P45" i="89"/>
  <c r="P45" i="85"/>
  <c r="P45" i="92"/>
  <c r="P45" i="88"/>
  <c r="P45" i="84"/>
  <c r="P45" i="91"/>
  <c r="P45" i="87"/>
  <c r="P45" i="83"/>
  <c r="P45" i="86"/>
  <c r="P45" i="90"/>
  <c r="P45" i="82"/>
  <c r="P46" i="115"/>
  <c r="P46" i="110"/>
  <c r="P46" i="106"/>
  <c r="P46" i="114"/>
  <c r="P46" i="109"/>
  <c r="P46" i="105"/>
  <c r="P46" i="117"/>
  <c r="P46" i="113"/>
  <c r="P46" i="108"/>
  <c r="P46" i="104"/>
  <c r="P46" i="116"/>
  <c r="P46" i="111"/>
  <c r="P46" i="107"/>
  <c r="P46" i="103"/>
  <c r="P46" i="98"/>
  <c r="P46" i="97"/>
  <c r="P46" i="99"/>
  <c r="P46" i="102"/>
  <c r="P46" i="100"/>
  <c r="P46" i="101"/>
  <c r="P46" i="91"/>
  <c r="P46" i="87"/>
  <c r="P46" i="83"/>
  <c r="P46" i="82"/>
  <c r="P46" i="90"/>
  <c r="P46" i="86"/>
  <c r="P46" i="84"/>
  <c r="P46" i="89"/>
  <c r="P46" i="85"/>
  <c r="P46" i="92"/>
  <c r="P46" i="88"/>
  <c r="P37" i="117"/>
  <c r="P37" i="113"/>
  <c r="P37" i="108"/>
  <c r="P37" i="104"/>
  <c r="P37" i="116"/>
  <c r="P37" i="111"/>
  <c r="P37" i="107"/>
  <c r="P37" i="115"/>
  <c r="P37" i="110"/>
  <c r="P37" i="106"/>
  <c r="P37" i="114"/>
  <c r="P37" i="109"/>
  <c r="P37" i="105"/>
  <c r="P37" i="102"/>
  <c r="P37" i="100"/>
  <c r="P37" i="97"/>
  <c r="P37" i="101"/>
  <c r="P37" i="99"/>
  <c r="P37" i="98"/>
  <c r="P37" i="103"/>
  <c r="P37" i="89"/>
  <c r="P37" i="85"/>
  <c r="P37" i="92"/>
  <c r="P37" i="88"/>
  <c r="P37" i="84"/>
  <c r="P37" i="82"/>
  <c r="P37" i="91"/>
  <c r="P37" i="87"/>
  <c r="P37" i="83"/>
  <c r="P37" i="90"/>
  <c r="P37" i="86"/>
  <c r="P33" i="117"/>
  <c r="P33" i="113"/>
  <c r="P33" i="108"/>
  <c r="P33" i="104"/>
  <c r="P33" i="116"/>
  <c r="P33" i="111"/>
  <c r="P33" i="107"/>
  <c r="P33" i="115"/>
  <c r="P33" i="110"/>
  <c r="P33" i="106"/>
  <c r="P33" i="114"/>
  <c r="P33" i="109"/>
  <c r="P33" i="105"/>
  <c r="P33" i="102"/>
  <c r="P33" i="100"/>
  <c r="P33" i="101"/>
  <c r="P33" i="99"/>
  <c r="P33" i="97"/>
  <c r="P33" i="103"/>
  <c r="P33" i="98"/>
  <c r="P33" i="89"/>
  <c r="P33" i="85"/>
  <c r="P33" i="92"/>
  <c r="P33" i="88"/>
  <c r="P33" i="84"/>
  <c r="P33" i="91"/>
  <c r="P33" i="87"/>
  <c r="P33" i="83"/>
  <c r="P33" i="82"/>
  <c r="P33" i="90"/>
  <c r="P33" i="86"/>
  <c r="P41" i="117"/>
  <c r="P41" i="113"/>
  <c r="P41" i="108"/>
  <c r="P41" i="104"/>
  <c r="P41" i="116"/>
  <c r="P41" i="111"/>
  <c r="P41" i="107"/>
  <c r="P41" i="115"/>
  <c r="P41" i="110"/>
  <c r="P41" i="106"/>
  <c r="P41" i="114"/>
  <c r="P41" i="109"/>
  <c r="P41" i="105"/>
  <c r="P41" i="103"/>
  <c r="P41" i="102"/>
  <c r="P41" i="100"/>
  <c r="P41" i="101"/>
  <c r="P41" i="99"/>
  <c r="P41" i="97"/>
  <c r="P41" i="98"/>
  <c r="P41" i="89"/>
  <c r="P41" i="85"/>
  <c r="P41" i="92"/>
  <c r="P41" i="88"/>
  <c r="P41" i="84"/>
  <c r="P41" i="91"/>
  <c r="P41" i="87"/>
  <c r="P41" i="83"/>
  <c r="P41" i="90"/>
  <c r="P41" i="86"/>
  <c r="P41" i="82"/>
  <c r="P49" i="117"/>
  <c r="P49" i="113"/>
  <c r="P49" i="108"/>
  <c r="P49" i="104"/>
  <c r="P49" i="116"/>
  <c r="P49" i="111"/>
  <c r="P49" i="107"/>
  <c r="P49" i="115"/>
  <c r="P49" i="110"/>
  <c r="P49" i="106"/>
  <c r="P49" i="114"/>
  <c r="P49" i="109"/>
  <c r="P49" i="105"/>
  <c r="P49" i="101"/>
  <c r="P49" i="102"/>
  <c r="P49" i="100"/>
  <c r="P49" i="97"/>
  <c r="P49" i="99"/>
  <c r="P49" i="103"/>
  <c r="P49" i="98"/>
  <c r="P49" i="89"/>
  <c r="P49" i="85"/>
  <c r="P49" i="92"/>
  <c r="P49" i="88"/>
  <c r="P49" i="84"/>
  <c r="P49" i="91"/>
  <c r="P49" i="87"/>
  <c r="P49" i="83"/>
  <c r="P49" i="82"/>
  <c r="P49" i="90"/>
  <c r="P49" i="86"/>
  <c r="P54" i="115"/>
  <c r="P54" i="110"/>
  <c r="P54" i="106"/>
  <c r="P54" i="114"/>
  <c r="P54" i="109"/>
  <c r="P54" i="105"/>
  <c r="P54" i="117"/>
  <c r="P54" i="113"/>
  <c r="P54" i="108"/>
  <c r="P54" i="104"/>
  <c r="P54" i="116"/>
  <c r="P54" i="111"/>
  <c r="P54" i="107"/>
  <c r="P54" i="103"/>
  <c r="P54" i="98"/>
  <c r="P54" i="97"/>
  <c r="P54" i="101"/>
  <c r="P54" i="102"/>
  <c r="P54" i="100"/>
  <c r="P54" i="99"/>
  <c r="P54" i="91"/>
  <c r="P54" i="87"/>
  <c r="P54" i="83"/>
  <c r="P54" i="82"/>
  <c r="P54" i="90"/>
  <c r="P54" i="86"/>
  <c r="P54" i="84"/>
  <c r="P54" i="89"/>
  <c r="P54" i="85"/>
  <c r="P54" i="92"/>
  <c r="P54" i="88"/>
  <c r="P38" i="115"/>
  <c r="P38" i="110"/>
  <c r="P38" i="106"/>
  <c r="P38" i="114"/>
  <c r="P38" i="109"/>
  <c r="P38" i="105"/>
  <c r="P38" i="117"/>
  <c r="P38" i="113"/>
  <c r="P38" i="108"/>
  <c r="P38" i="104"/>
  <c r="P38" i="116"/>
  <c r="P38" i="111"/>
  <c r="P38" i="107"/>
  <c r="P38" i="103"/>
  <c r="P38" i="98"/>
  <c r="P38" i="97"/>
  <c r="P38" i="102"/>
  <c r="P38" i="100"/>
  <c r="P38" i="101"/>
  <c r="P38" i="99"/>
  <c r="P38" i="91"/>
  <c r="P38" i="87"/>
  <c r="P38" i="82"/>
  <c r="P38" i="90"/>
  <c r="P38" i="86"/>
  <c r="P38" i="89"/>
  <c r="P38" i="85"/>
  <c r="P38" i="84"/>
  <c r="P38" i="92"/>
  <c r="P38" i="88"/>
  <c r="P38" i="83"/>
  <c r="P36" i="115"/>
  <c r="P36" i="110"/>
  <c r="P36" i="106"/>
  <c r="P36" i="114"/>
  <c r="P36" i="109"/>
  <c r="P36" i="105"/>
  <c r="P36" i="117"/>
  <c r="P36" i="113"/>
  <c r="P36" i="108"/>
  <c r="P36" i="104"/>
  <c r="P36" i="116"/>
  <c r="P36" i="111"/>
  <c r="P36" i="107"/>
  <c r="P36" i="103"/>
  <c r="P36" i="98"/>
  <c r="P36" i="97"/>
  <c r="P36" i="99"/>
  <c r="P36" i="102"/>
  <c r="P36" i="100"/>
  <c r="P36" i="101"/>
  <c r="P36" i="91"/>
  <c r="P36" i="87"/>
  <c r="P36" i="83"/>
  <c r="P36" i="82"/>
  <c r="P36" i="90"/>
  <c r="P36" i="86"/>
  <c r="P36" i="84"/>
  <c r="P36" i="89"/>
  <c r="P36" i="85"/>
  <c r="P36" i="92"/>
  <c r="P36" i="88"/>
  <c r="P44" i="115"/>
  <c r="P44" i="110"/>
  <c r="P44" i="106"/>
  <c r="P44" i="114"/>
  <c r="P44" i="109"/>
  <c r="P44" i="105"/>
  <c r="P44" i="117"/>
  <c r="P44" i="113"/>
  <c r="P44" i="108"/>
  <c r="P44" i="104"/>
  <c r="P44" i="116"/>
  <c r="P44" i="111"/>
  <c r="P44" i="107"/>
  <c r="P44" i="103"/>
  <c r="P44" i="98"/>
  <c r="P44" i="97"/>
  <c r="P44" i="99"/>
  <c r="P44" i="102"/>
  <c r="P44" i="100"/>
  <c r="P44" i="101"/>
  <c r="P44" i="91"/>
  <c r="P44" i="87"/>
  <c r="P44" i="83"/>
  <c r="P44" i="82"/>
  <c r="P44" i="90"/>
  <c r="P44" i="86"/>
  <c r="P44" i="89"/>
  <c r="P44" i="85"/>
  <c r="P44" i="84"/>
  <c r="P44" i="92"/>
  <c r="P44" i="88"/>
  <c r="P52" i="115"/>
  <c r="P52" i="110"/>
  <c r="P52" i="106"/>
  <c r="P52" i="114"/>
  <c r="P52" i="109"/>
  <c r="P52" i="105"/>
  <c r="P52" i="117"/>
  <c r="P52" i="113"/>
  <c r="P52" i="108"/>
  <c r="P52" i="104"/>
  <c r="P52" i="116"/>
  <c r="P52" i="111"/>
  <c r="P52" i="107"/>
  <c r="P52" i="103"/>
  <c r="P52" i="98"/>
  <c r="P52" i="101"/>
  <c r="P52" i="97"/>
  <c r="P52" i="102"/>
  <c r="P52" i="100"/>
  <c r="P52" i="99"/>
  <c r="P52" i="91"/>
  <c r="P52" i="87"/>
  <c r="P52" i="83"/>
  <c r="P52" i="82"/>
  <c r="P52" i="90"/>
  <c r="P52" i="86"/>
  <c r="P52" i="89"/>
  <c r="P52" i="85"/>
  <c r="P52" i="84"/>
  <c r="P52" i="92"/>
  <c r="P52" i="88"/>
  <c r="P39" i="117"/>
  <c r="P39" i="113"/>
  <c r="P39" i="108"/>
  <c r="P39" i="104"/>
  <c r="P39" i="116"/>
  <c r="P39" i="111"/>
  <c r="P39" i="107"/>
  <c r="P39" i="115"/>
  <c r="P39" i="110"/>
  <c r="P39" i="106"/>
  <c r="P39" i="114"/>
  <c r="P39" i="109"/>
  <c r="P39" i="105"/>
  <c r="P39" i="102"/>
  <c r="P39" i="100"/>
  <c r="P39" i="101"/>
  <c r="P39" i="99"/>
  <c r="P39" i="98"/>
  <c r="P39" i="103"/>
  <c r="P39" i="97"/>
  <c r="P39" i="89"/>
  <c r="P39" i="85"/>
  <c r="P39" i="92"/>
  <c r="P39" i="88"/>
  <c r="P39" i="84"/>
  <c r="P39" i="82"/>
  <c r="P39" i="91"/>
  <c r="P39" i="87"/>
  <c r="P39" i="83"/>
  <c r="P39" i="90"/>
  <c r="P39" i="86"/>
  <c r="P47" i="117"/>
  <c r="P47" i="113"/>
  <c r="P47" i="108"/>
  <c r="P47" i="104"/>
  <c r="P47" i="116"/>
  <c r="P47" i="111"/>
  <c r="P47" i="107"/>
  <c r="P47" i="115"/>
  <c r="P47" i="110"/>
  <c r="P47" i="106"/>
  <c r="P47" i="114"/>
  <c r="P47" i="109"/>
  <c r="P47" i="105"/>
  <c r="P47" i="101"/>
  <c r="P47" i="102"/>
  <c r="P47" i="100"/>
  <c r="P47" i="103"/>
  <c r="P47" i="99"/>
  <c r="P47" i="97"/>
  <c r="P47" i="98"/>
  <c r="P47" i="89"/>
  <c r="P47" i="85"/>
  <c r="P47" i="82"/>
  <c r="P47" i="92"/>
  <c r="P47" i="88"/>
  <c r="P47" i="84"/>
  <c r="P47" i="91"/>
  <c r="P47" i="87"/>
  <c r="P47" i="83"/>
  <c r="P47" i="90"/>
  <c r="P47" i="86"/>
  <c r="P60" i="115"/>
  <c r="P60" i="110"/>
  <c r="P60" i="106"/>
  <c r="P60" i="102"/>
  <c r="P60" i="114"/>
  <c r="P60" i="109"/>
  <c r="P60" i="105"/>
  <c r="P60" i="101"/>
  <c r="P60" i="117"/>
  <c r="P60" i="113"/>
  <c r="P60" i="108"/>
  <c r="P60" i="104"/>
  <c r="P60" i="100"/>
  <c r="P60" i="116"/>
  <c r="P60" i="111"/>
  <c r="P60" i="107"/>
  <c r="P60" i="103"/>
  <c r="P60" i="99"/>
  <c r="P60" i="98"/>
  <c r="P60" i="97"/>
  <c r="P60" i="91"/>
  <c r="P60" i="87"/>
  <c r="P60" i="83"/>
  <c r="P60" i="90"/>
  <c r="P60" i="86"/>
  <c r="P60" i="82"/>
  <c r="P60" i="89"/>
  <c r="P60" i="85"/>
  <c r="P60" i="92"/>
  <c r="P60" i="88"/>
  <c r="P60" i="84"/>
  <c r="P62" i="115"/>
  <c r="P62" i="110"/>
  <c r="P62" i="106"/>
  <c r="P62" i="102"/>
  <c r="P62" i="114"/>
  <c r="P62" i="109"/>
  <c r="P62" i="105"/>
  <c r="P62" i="101"/>
  <c r="P62" i="117"/>
  <c r="P62" i="113"/>
  <c r="P62" i="108"/>
  <c r="P62" i="104"/>
  <c r="P62" i="100"/>
  <c r="P62" i="116"/>
  <c r="P62" i="111"/>
  <c r="P62" i="107"/>
  <c r="P62" i="103"/>
  <c r="P62" i="99"/>
  <c r="P62" i="98"/>
  <c r="P62" i="97"/>
  <c r="P62" i="91"/>
  <c r="P62" i="87"/>
  <c r="P62" i="83"/>
  <c r="P62" i="90"/>
  <c r="P62" i="86"/>
  <c r="P62" i="82"/>
  <c r="P62" i="89"/>
  <c r="P62" i="85"/>
  <c r="P62" i="92"/>
  <c r="P62" i="88"/>
  <c r="P62" i="84"/>
  <c r="P776" i="48"/>
  <c r="Q801" i="48"/>
  <c r="P34" i="115"/>
  <c r="P34" i="110"/>
  <c r="P34" i="106"/>
  <c r="P34" i="114"/>
  <c r="P34" i="109"/>
  <c r="P34" i="105"/>
  <c r="P34" i="117"/>
  <c r="P34" i="113"/>
  <c r="P34" i="108"/>
  <c r="P34" i="104"/>
  <c r="P34" i="116"/>
  <c r="P34" i="111"/>
  <c r="P34" i="107"/>
  <c r="P34" i="103"/>
  <c r="P34" i="98"/>
  <c r="P34" i="97"/>
  <c r="P34" i="99"/>
  <c r="P34" i="102"/>
  <c r="P34" i="100"/>
  <c r="P34" i="101"/>
  <c r="P34" i="91"/>
  <c r="P34" i="87"/>
  <c r="P34" i="83"/>
  <c r="P34" i="90"/>
  <c r="P34" i="86"/>
  <c r="P34" i="89"/>
  <c r="P34" i="85"/>
  <c r="P34" i="84"/>
  <c r="P34" i="92"/>
  <c r="P34" i="88"/>
  <c r="P34" i="82"/>
  <c r="P42" i="115"/>
  <c r="P42" i="110"/>
  <c r="P42" i="106"/>
  <c r="P42" i="114"/>
  <c r="P42" i="109"/>
  <c r="P42" i="105"/>
  <c r="P42" i="117"/>
  <c r="P42" i="113"/>
  <c r="P42" i="108"/>
  <c r="P42" i="104"/>
  <c r="P42" i="116"/>
  <c r="P42" i="111"/>
  <c r="P42" i="107"/>
  <c r="P42" i="103"/>
  <c r="P42" i="98"/>
  <c r="P42" i="97"/>
  <c r="P42" i="102"/>
  <c r="P42" i="100"/>
  <c r="P42" i="101"/>
  <c r="P42" i="99"/>
  <c r="P42" i="91"/>
  <c r="P42" i="87"/>
  <c r="P42" i="83"/>
  <c r="P42" i="90"/>
  <c r="P42" i="86"/>
  <c r="P42" i="89"/>
  <c r="P42" i="85"/>
  <c r="P42" i="84"/>
  <c r="P42" i="92"/>
  <c r="P42" i="88"/>
  <c r="P42" i="82"/>
  <c r="P50" i="115"/>
  <c r="P50" i="110"/>
  <c r="P50" i="106"/>
  <c r="P50" i="114"/>
  <c r="P50" i="109"/>
  <c r="P50" i="105"/>
  <c r="P50" i="117"/>
  <c r="P50" i="113"/>
  <c r="P50" i="108"/>
  <c r="P50" i="104"/>
  <c r="P50" i="116"/>
  <c r="P50" i="111"/>
  <c r="P50" i="107"/>
  <c r="P50" i="103"/>
  <c r="P50" i="98"/>
  <c r="P50" i="101"/>
  <c r="P50" i="97"/>
  <c r="P50" i="99"/>
  <c r="P50" i="102"/>
  <c r="P50" i="100"/>
  <c r="P50" i="91"/>
  <c r="P50" i="87"/>
  <c r="P50" i="83"/>
  <c r="P50" i="90"/>
  <c r="P50" i="86"/>
  <c r="P50" i="89"/>
  <c r="P50" i="85"/>
  <c r="P50" i="84"/>
  <c r="P50" i="92"/>
  <c r="P50" i="88"/>
  <c r="P50" i="82"/>
  <c r="Q451" i="93"/>
  <c r="P426" i="93"/>
  <c r="O65" i="113"/>
  <c r="O65" i="116"/>
  <c r="O65" i="117"/>
  <c r="O65" i="114"/>
  <c r="O65" i="107"/>
  <c r="O65" i="110"/>
  <c r="O65" i="111"/>
  <c r="O65" i="108"/>
  <c r="O65" i="102"/>
  <c r="O65" i="106"/>
  <c r="O65" i="104"/>
  <c r="O65" i="103"/>
  <c r="O65" i="115"/>
  <c r="O65" i="109"/>
  <c r="O65" i="105"/>
  <c r="O65" i="100"/>
  <c r="O65" i="98"/>
  <c r="O65" i="101"/>
  <c r="O65" i="99"/>
  <c r="O65" i="97"/>
  <c r="P65" i="116"/>
  <c r="P65" i="117"/>
  <c r="P65" i="114"/>
  <c r="P65" i="115"/>
  <c r="P65" i="113"/>
  <c r="P65" i="110"/>
  <c r="P65" i="111"/>
  <c r="P65" i="109"/>
  <c r="P65" i="108"/>
  <c r="P65" i="106"/>
  <c r="P65" i="104"/>
  <c r="P65" i="103"/>
  <c r="P65" i="102"/>
  <c r="P65" i="105"/>
  <c r="P65" i="100"/>
  <c r="P65" i="98"/>
  <c r="P65" i="101"/>
  <c r="P65" i="99"/>
  <c r="P65" i="107"/>
  <c r="P65" i="97"/>
  <c r="P67" i="116"/>
  <c r="P67" i="117"/>
  <c r="P67" i="114"/>
  <c r="P67" i="115"/>
  <c r="P67" i="113"/>
  <c r="P67" i="110"/>
  <c r="P67" i="111"/>
  <c r="P67" i="109"/>
  <c r="P67" i="107"/>
  <c r="P67" i="106"/>
  <c r="P67" i="104"/>
  <c r="P67" i="103"/>
  <c r="P67" i="108"/>
  <c r="P67" i="102"/>
  <c r="P67" i="100"/>
  <c r="P67" i="98"/>
  <c r="P67" i="105"/>
  <c r="P67" i="101"/>
  <c r="P67" i="99"/>
  <c r="P67" i="97"/>
  <c r="O67" i="113"/>
  <c r="O67" i="116"/>
  <c r="O67" i="117"/>
  <c r="O67" i="114"/>
  <c r="O67" i="115"/>
  <c r="O67" i="107"/>
  <c r="O67" i="110"/>
  <c r="O67" i="111"/>
  <c r="O67" i="108"/>
  <c r="O67" i="109"/>
  <c r="O67" i="102"/>
  <c r="O67" i="106"/>
  <c r="O67" i="104"/>
  <c r="O67" i="103"/>
  <c r="O67" i="105"/>
  <c r="O67" i="100"/>
  <c r="O67" i="98"/>
  <c r="O67" i="101"/>
  <c r="O67" i="99"/>
  <c r="O67" i="97"/>
  <c r="O65" i="89"/>
  <c r="O65" i="91"/>
  <c r="O65" i="90"/>
  <c r="O65" i="88"/>
  <c r="O65" i="86"/>
  <c r="O65" i="92"/>
  <c r="O65" i="87"/>
  <c r="O65" i="85"/>
  <c r="O65" i="84"/>
  <c r="O65" i="82"/>
  <c r="O65" i="83"/>
  <c r="O67" i="89"/>
  <c r="O67" i="91"/>
  <c r="O67" i="90"/>
  <c r="O67" i="88"/>
  <c r="O67" i="86"/>
  <c r="O67" i="87"/>
  <c r="O67" i="85"/>
  <c r="O67" i="92"/>
  <c r="O67" i="84"/>
  <c r="O67" i="82"/>
  <c r="O67" i="83"/>
  <c r="P67" i="89"/>
  <c r="P67" i="91"/>
  <c r="P67" i="92"/>
  <c r="P67" i="90"/>
  <c r="P67" i="88"/>
  <c r="P67" i="86"/>
  <c r="P67" i="83"/>
  <c r="P67" i="87"/>
  <c r="P67" i="85"/>
  <c r="P67" i="84"/>
  <c r="P67" i="82"/>
  <c r="P65" i="89"/>
  <c r="P65" i="91"/>
  <c r="P65" i="92"/>
  <c r="P65" i="90"/>
  <c r="P65" i="88"/>
  <c r="P65" i="86"/>
  <c r="P65" i="87"/>
  <c r="P65" i="83"/>
  <c r="P65" i="85"/>
  <c r="P65" i="84"/>
  <c r="P65" i="82"/>
  <c r="J111" i="60"/>
  <c r="N35" i="59"/>
  <c r="P35" i="78"/>
  <c r="P35" i="80"/>
  <c r="P35" i="72"/>
  <c r="P35" i="81"/>
  <c r="P35" i="73"/>
  <c r="P35" i="77"/>
  <c r="P35" i="76"/>
  <c r="P35" i="79"/>
  <c r="P35" i="71"/>
  <c r="P35" i="74"/>
  <c r="P35" i="75"/>
  <c r="P35" i="65"/>
  <c r="N43" i="59"/>
  <c r="P43" i="78"/>
  <c r="P43" i="80"/>
  <c r="P43" i="81"/>
  <c r="P43" i="73"/>
  <c r="P43" i="77"/>
  <c r="P43" i="76"/>
  <c r="P43" i="72"/>
  <c r="P43" i="79"/>
  <c r="P43" i="71"/>
  <c r="P43" i="74"/>
  <c r="P43" i="75"/>
  <c r="P43" i="65"/>
  <c r="N51" i="59"/>
  <c r="P51" i="78"/>
  <c r="P51" i="77"/>
  <c r="P51" i="72"/>
  <c r="P51" i="65"/>
  <c r="P51" i="81"/>
  <c r="P51" i="73"/>
  <c r="P51" i="76"/>
  <c r="P51" i="79"/>
  <c r="P51" i="71"/>
  <c r="P51" i="80"/>
  <c r="P51" i="74"/>
  <c r="P51" i="75"/>
  <c r="N59" i="59"/>
  <c r="P59" i="75"/>
  <c r="P59" i="65"/>
  <c r="P59" i="78"/>
  <c r="P59" i="81"/>
  <c r="P59" i="73"/>
  <c r="P59" i="76"/>
  <c r="P59" i="71"/>
  <c r="P59" i="77"/>
  <c r="P59" i="79"/>
  <c r="P59" i="80"/>
  <c r="P59" i="72"/>
  <c r="P59" i="74"/>
  <c r="N61" i="59"/>
  <c r="P61" i="75"/>
  <c r="P61" i="78"/>
  <c r="P61" i="81"/>
  <c r="P61" i="73"/>
  <c r="P61" i="77"/>
  <c r="P61" i="76"/>
  <c r="P61" i="65"/>
  <c r="P61" i="79"/>
  <c r="P61" i="80"/>
  <c r="P61" i="72"/>
  <c r="P61" i="71"/>
  <c r="P61" i="74"/>
  <c r="N38" i="59"/>
  <c r="P38" i="74"/>
  <c r="P38" i="65"/>
  <c r="P38" i="81"/>
  <c r="P38" i="77"/>
  <c r="P38" i="73"/>
  <c r="P38" i="80"/>
  <c r="P38" i="72"/>
  <c r="P38" i="75"/>
  <c r="P38" i="76"/>
  <c r="P38" i="78"/>
  <c r="P38" i="79"/>
  <c r="P38" i="71"/>
  <c r="N46" i="59"/>
  <c r="P46" i="74"/>
  <c r="P46" i="65"/>
  <c r="P46" i="77"/>
  <c r="P46" i="81"/>
  <c r="P46" i="80"/>
  <c r="P46" i="72"/>
  <c r="P46" i="75"/>
  <c r="P46" i="76"/>
  <c r="P46" i="78"/>
  <c r="P46" i="79"/>
  <c r="P46" i="71"/>
  <c r="P46" i="73"/>
  <c r="N49" i="59"/>
  <c r="P49" i="78"/>
  <c r="P49" i="80"/>
  <c r="P49" i="81"/>
  <c r="P49" i="73"/>
  <c r="P49" i="77"/>
  <c r="P49" i="76"/>
  <c r="P49" i="65"/>
  <c r="P49" i="79"/>
  <c r="P49" i="71"/>
  <c r="P49" i="72"/>
  <c r="P49" i="74"/>
  <c r="P49" i="75"/>
  <c r="N36" i="59"/>
  <c r="P36" i="74"/>
  <c r="P36" i="77"/>
  <c r="P36" i="65"/>
  <c r="P36" i="81"/>
  <c r="P36" i="80"/>
  <c r="P36" i="72"/>
  <c r="P36" i="76"/>
  <c r="P36" i="75"/>
  <c r="P36" i="78"/>
  <c r="P36" i="79"/>
  <c r="P36" i="71"/>
  <c r="P36" i="73"/>
  <c r="N52" i="59"/>
  <c r="P52" i="74"/>
  <c r="P52" i="81"/>
  <c r="P52" i="77"/>
  <c r="P52" i="65"/>
  <c r="P52" i="80"/>
  <c r="P52" i="72"/>
  <c r="P52" i="76"/>
  <c r="P52" i="75"/>
  <c r="P52" i="78"/>
  <c r="P52" i="79"/>
  <c r="P52" i="71"/>
  <c r="P52" i="73"/>
  <c r="N33" i="59"/>
  <c r="P33" i="78"/>
  <c r="P33" i="81"/>
  <c r="P33" i="73"/>
  <c r="P33" i="76"/>
  <c r="P33" i="65"/>
  <c r="P33" i="72"/>
  <c r="P33" i="79"/>
  <c r="P33" i="71"/>
  <c r="P33" i="80"/>
  <c r="P33" i="74"/>
  <c r="P33" i="75"/>
  <c r="P33" i="77"/>
  <c r="N44" i="59"/>
  <c r="P44" i="74"/>
  <c r="P44" i="65"/>
  <c r="P44" i="77"/>
  <c r="P44" i="81"/>
  <c r="P44" i="80"/>
  <c r="P44" i="72"/>
  <c r="P44" i="75"/>
  <c r="P44" i="76"/>
  <c r="P44" i="78"/>
  <c r="P44" i="79"/>
  <c r="P44" i="71"/>
  <c r="P44" i="73"/>
  <c r="N39" i="59"/>
  <c r="P39" i="78"/>
  <c r="P39" i="72"/>
  <c r="P39" i="81"/>
  <c r="P39" i="73"/>
  <c r="P39" i="77"/>
  <c r="P39" i="76"/>
  <c r="P39" i="79"/>
  <c r="P39" i="71"/>
  <c r="P39" i="65"/>
  <c r="P39" i="74"/>
  <c r="P39" i="75"/>
  <c r="P39" i="80"/>
  <c r="N47" i="59"/>
  <c r="P47" i="78"/>
  <c r="P47" i="77"/>
  <c r="P47" i="72"/>
  <c r="P47" i="81"/>
  <c r="P47" i="73"/>
  <c r="P47" i="76"/>
  <c r="P47" i="79"/>
  <c r="P47" i="71"/>
  <c r="P47" i="65"/>
  <c r="P47" i="74"/>
  <c r="P47" i="75"/>
  <c r="P47" i="80"/>
  <c r="N60" i="59"/>
  <c r="P60" i="79"/>
  <c r="P60" i="71"/>
  <c r="P60" i="78"/>
  <c r="P60" i="74"/>
  <c r="P60" i="73"/>
  <c r="P60" i="77"/>
  <c r="P60" i="80"/>
  <c r="P60" i="72"/>
  <c r="P60" i="65"/>
  <c r="P60" i="75"/>
  <c r="P60" i="76"/>
  <c r="P60" i="81"/>
  <c r="N62" i="59"/>
  <c r="P62" i="79"/>
  <c r="P62" i="71"/>
  <c r="P62" i="74"/>
  <c r="P62" i="78"/>
  <c r="P62" i="77"/>
  <c r="P62" i="65"/>
  <c r="P62" i="80"/>
  <c r="P62" i="72"/>
  <c r="P62" i="81"/>
  <c r="P62" i="73"/>
  <c r="P62" i="75"/>
  <c r="P62" i="76"/>
  <c r="N34" i="59"/>
  <c r="P34" i="74"/>
  <c r="P34" i="65"/>
  <c r="P34" i="81"/>
  <c r="P34" i="77"/>
  <c r="P34" i="73"/>
  <c r="P34" i="80"/>
  <c r="P34" i="72"/>
  <c r="P34" i="75"/>
  <c r="P34" i="76"/>
  <c r="P34" i="78"/>
  <c r="P34" i="79"/>
  <c r="P34" i="71"/>
  <c r="N50" i="59"/>
  <c r="P50" i="74"/>
  <c r="P50" i="65"/>
  <c r="P50" i="77"/>
  <c r="P50" i="81"/>
  <c r="P50" i="80"/>
  <c r="P50" i="72"/>
  <c r="P50" i="75"/>
  <c r="P50" i="76"/>
  <c r="P50" i="78"/>
  <c r="P50" i="79"/>
  <c r="P50" i="71"/>
  <c r="P50" i="73"/>
  <c r="N37" i="59"/>
  <c r="P37" i="78"/>
  <c r="P37" i="77"/>
  <c r="P37" i="81"/>
  <c r="P37" i="73"/>
  <c r="P37" i="80"/>
  <c r="P37" i="76"/>
  <c r="P37" i="65"/>
  <c r="P37" i="79"/>
  <c r="P37" i="71"/>
  <c r="P37" i="72"/>
  <c r="P37" i="74"/>
  <c r="P37" i="75"/>
  <c r="N45" i="59"/>
  <c r="P45" i="78"/>
  <c r="P45" i="81"/>
  <c r="P45" i="73"/>
  <c r="P45" i="76"/>
  <c r="P45" i="65"/>
  <c r="P45" i="77"/>
  <c r="P45" i="79"/>
  <c r="P45" i="71"/>
  <c r="P45" i="80"/>
  <c r="P45" i="72"/>
  <c r="P45" i="74"/>
  <c r="P45" i="75"/>
  <c r="N53" i="59"/>
  <c r="P53" i="78"/>
  <c r="P53" i="81"/>
  <c r="P53" i="73"/>
  <c r="P53" i="77"/>
  <c r="P53" i="80"/>
  <c r="P53" i="76"/>
  <c r="P53" i="65"/>
  <c r="P53" i="72"/>
  <c r="P53" i="79"/>
  <c r="P53" i="71"/>
  <c r="P53" i="74"/>
  <c r="P53" i="75"/>
  <c r="N41" i="59"/>
  <c r="P41" i="78"/>
  <c r="P41" i="77"/>
  <c r="P41" i="81"/>
  <c r="P41" i="73"/>
  <c r="P41" i="80"/>
  <c r="P41" i="76"/>
  <c r="P41" i="65"/>
  <c r="P41" i="79"/>
  <c r="P41" i="71"/>
  <c r="P41" i="74"/>
  <c r="P41" i="75"/>
  <c r="P41" i="72"/>
  <c r="N42" i="59"/>
  <c r="P42" i="74"/>
  <c r="P42" i="65"/>
  <c r="P42" i="81"/>
  <c r="P42" i="77"/>
  <c r="P42" i="73"/>
  <c r="P42" i="80"/>
  <c r="P42" i="72"/>
  <c r="P42" i="76"/>
  <c r="P42" i="75"/>
  <c r="P42" i="78"/>
  <c r="P42" i="79"/>
  <c r="P42" i="71"/>
  <c r="N32" i="59"/>
  <c r="P32" i="74"/>
  <c r="P32" i="77"/>
  <c r="P32" i="81"/>
  <c r="P32" i="80"/>
  <c r="P32" i="72"/>
  <c r="P32" i="76"/>
  <c r="P32" i="75"/>
  <c r="P32" i="65"/>
  <c r="P32" i="78"/>
  <c r="P32" i="79"/>
  <c r="P32" i="71"/>
  <c r="P32" i="73"/>
  <c r="N40" i="59"/>
  <c r="P40" i="74"/>
  <c r="P40" i="77"/>
  <c r="P40" i="81"/>
  <c r="P40" i="80"/>
  <c r="P40" i="72"/>
  <c r="P40" i="65"/>
  <c r="P40" i="75"/>
  <c r="P40" i="78"/>
  <c r="P40" i="76"/>
  <c r="P40" i="79"/>
  <c r="P40" i="71"/>
  <c r="P40" i="73"/>
  <c r="N48" i="59"/>
  <c r="P48" i="74"/>
  <c r="P48" i="81"/>
  <c r="P48" i="77"/>
  <c r="P48" i="73"/>
  <c r="P48" i="80"/>
  <c r="P48" i="72"/>
  <c r="P48" i="76"/>
  <c r="P48" i="75"/>
  <c r="P48" i="65"/>
  <c r="P48" i="78"/>
  <c r="P48" i="79"/>
  <c r="P48" i="71"/>
  <c r="P54" i="74"/>
  <c r="P54" i="65"/>
  <c r="P54" i="76"/>
  <c r="P54" i="77"/>
  <c r="P54" i="81"/>
  <c r="P54" i="80"/>
  <c r="P54" i="72"/>
  <c r="P54" i="75"/>
  <c r="P54" i="78"/>
  <c r="P54" i="79"/>
  <c r="P54" i="71"/>
  <c r="P54" i="73"/>
  <c r="P65" i="81"/>
  <c r="P65" i="79"/>
  <c r="P65" i="77"/>
  <c r="P65" i="80"/>
  <c r="P65" i="73"/>
  <c r="P65" i="75"/>
  <c r="P65" i="76"/>
  <c r="P65" i="65"/>
  <c r="P65" i="74"/>
  <c r="P65" i="78"/>
  <c r="P65" i="71"/>
  <c r="P65" i="72"/>
  <c r="O67" i="78"/>
  <c r="O67" i="81"/>
  <c r="O67" i="79"/>
  <c r="O67" i="77"/>
  <c r="O67" i="75"/>
  <c r="O67" i="76"/>
  <c r="O67" i="80"/>
  <c r="O67" i="71"/>
  <c r="O67" i="72"/>
  <c r="O67" i="73"/>
  <c r="O67" i="74"/>
  <c r="O67" i="65"/>
  <c r="P67" i="81"/>
  <c r="P67" i="79"/>
  <c r="P67" i="77"/>
  <c r="P67" i="73"/>
  <c r="P67" i="80"/>
  <c r="P67" i="78"/>
  <c r="P67" i="75"/>
  <c r="P67" i="76"/>
  <c r="P67" i="74"/>
  <c r="P67" i="71"/>
  <c r="P67" i="65"/>
  <c r="P67" i="72"/>
  <c r="O65" i="78"/>
  <c r="O65" i="81"/>
  <c r="O65" i="79"/>
  <c r="O65" i="75"/>
  <c r="O65" i="80"/>
  <c r="O65" i="76"/>
  <c r="O65" i="71"/>
  <c r="O65" i="72"/>
  <c r="O65" i="73"/>
  <c r="O65" i="77"/>
  <c r="O65" i="65"/>
  <c r="O65" i="74"/>
  <c r="M67" i="59"/>
  <c r="N67" i="59"/>
  <c r="M65" i="59"/>
  <c r="N65" i="59"/>
  <c r="N54" i="59"/>
  <c r="M95" i="59"/>
  <c r="M80" i="59"/>
  <c r="N88" i="59"/>
  <c r="M98" i="59"/>
  <c r="N91" i="59"/>
  <c r="N101" i="59"/>
  <c r="N83" i="59"/>
  <c r="M66" i="59"/>
  <c r="M82" i="59"/>
  <c r="M90" i="59"/>
  <c r="N66" i="59"/>
  <c r="M73" i="59"/>
  <c r="N74" i="59"/>
  <c r="N82" i="59"/>
  <c r="N90" i="59"/>
  <c r="N98" i="59"/>
  <c r="M68" i="59"/>
  <c r="M76" i="59"/>
  <c r="M92" i="59"/>
  <c r="M100" i="59"/>
  <c r="M84" i="59"/>
  <c r="N68" i="59"/>
  <c r="N100" i="59"/>
  <c r="M70" i="59"/>
  <c r="M78" i="59"/>
  <c r="M86" i="59"/>
  <c r="M94" i="59"/>
  <c r="M102" i="59"/>
  <c r="P801" i="48" l="1"/>
  <c r="Q826" i="48"/>
  <c r="Q476" i="93"/>
  <c r="P451" i="93"/>
  <c r="P826" i="48" l="1"/>
  <c r="Q851" i="48"/>
  <c r="P119" i="60"/>
  <c r="P124" i="60" s="1"/>
  <c r="P130" i="60" s="1"/>
  <c r="P120" i="60"/>
  <c r="P476" i="93"/>
  <c r="Q501" i="93"/>
  <c r="L120" i="60"/>
  <c r="EE7" i="54"/>
  <c r="ED7" i="54"/>
  <c r="EC7" i="54"/>
  <c r="EB7" i="54"/>
  <c r="EA7" i="54"/>
  <c r="DZ7" i="54"/>
  <c r="DY7" i="54"/>
  <c r="DX7" i="54"/>
  <c r="DW7" i="54"/>
  <c r="DV7" i="54"/>
  <c r="DU7" i="54"/>
  <c r="DT7" i="54"/>
  <c r="DS7" i="54"/>
  <c r="DR7" i="54"/>
  <c r="DQ7" i="54"/>
  <c r="DP7" i="54"/>
  <c r="DO7" i="54"/>
  <c r="DN7" i="54"/>
  <c r="DM7" i="54"/>
  <c r="DL7" i="54"/>
  <c r="DK7" i="54"/>
  <c r="DJ7" i="54"/>
  <c r="DI7" i="54"/>
  <c r="DH7" i="54"/>
  <c r="DG7" i="54"/>
  <c r="DF7" i="54"/>
  <c r="DE7" i="54"/>
  <c r="DD7" i="54"/>
  <c r="AE7" i="54"/>
  <c r="P851" i="48" l="1"/>
  <c r="Q876" i="48"/>
  <c r="F7" i="119"/>
  <c r="I65" i="93" s="1"/>
  <c r="P501" i="93"/>
  <c r="Q526" i="93"/>
  <c r="I65" i="48" l="1"/>
  <c r="P8" i="123"/>
  <c r="P876" i="48"/>
  <c r="Q901" i="48"/>
  <c r="P526" i="93"/>
  <c r="Q551" i="93"/>
  <c r="ED14" i="54"/>
  <c r="EE14" i="54"/>
  <c r="CW14" i="54"/>
  <c r="CI14" i="54"/>
  <c r="CH14" i="54"/>
  <c r="G25" i="32"/>
  <c r="CE14" i="54"/>
  <c r="AE14" i="54"/>
  <c r="AF14" i="54"/>
  <c r="EB14" i="54"/>
  <c r="C14" i="54"/>
  <c r="B8" i="51" s="1"/>
  <c r="H14" i="54"/>
  <c r="CG14" i="54"/>
  <c r="EN14" i="54"/>
  <c r="P33" i="32" s="1"/>
  <c r="CF14" i="54"/>
  <c r="EC14" i="54"/>
  <c r="J69" i="48" l="1"/>
  <c r="W8" i="125" s="1"/>
  <c r="P8" i="125"/>
  <c r="AI5" i="122"/>
  <c r="AA15" i="54"/>
  <c r="Y5" i="122"/>
  <c r="EL14" i="54"/>
  <c r="P31" i="32" s="1"/>
  <c r="AC5" i="122" s="1"/>
  <c r="P901" i="48"/>
  <c r="Q926" i="48"/>
  <c r="P551" i="93"/>
  <c r="Q576" i="93"/>
  <c r="P12" i="32"/>
  <c r="P12" i="45" s="1"/>
  <c r="F32" i="32"/>
  <c r="E5" i="127" s="1"/>
  <c r="AF6" i="124" s="1"/>
  <c r="B14" i="54"/>
  <c r="G14" i="54"/>
  <c r="F33" i="32"/>
  <c r="E6" i="127" s="1"/>
  <c r="AG6" i="124" s="1"/>
  <c r="F14" i="54"/>
  <c r="M2" i="45" s="1"/>
  <c r="F6" i="124" s="1"/>
  <c r="P8" i="32"/>
  <c r="G1" i="54"/>
  <c r="F31" i="32"/>
  <c r="E4" i="127" s="1"/>
  <c r="AD6" i="124" s="1"/>
  <c r="D28" i="32"/>
  <c r="D5" i="126" s="1"/>
  <c r="F34" i="32"/>
  <c r="E7" i="127" s="1"/>
  <c r="AH6" i="124" s="1"/>
  <c r="D35" i="32"/>
  <c r="D8" i="127" s="1"/>
  <c r="AJ6" i="124" s="1"/>
  <c r="P15" i="54"/>
  <c r="G5" i="122" l="1"/>
  <c r="C5" i="122"/>
  <c r="P8" i="45"/>
  <c r="R6" i="124" s="1"/>
  <c r="R5" i="122"/>
  <c r="DB10" i="54"/>
  <c r="CX10" i="54"/>
  <c r="DA10" i="54"/>
  <c r="CZ10" i="54"/>
  <c r="CY10" i="54"/>
  <c r="D16" i="45"/>
  <c r="N6" i="124" s="1"/>
  <c r="I7" i="32"/>
  <c r="I7" i="45" s="1"/>
  <c r="M6" i="124"/>
  <c r="I9" i="32"/>
  <c r="K15" i="54" s="1"/>
  <c r="C6" i="124"/>
  <c r="I8" i="32"/>
  <c r="I8" i="45" s="1"/>
  <c r="D7" i="126"/>
  <c r="D8" i="126"/>
  <c r="D9" i="126"/>
  <c r="D10" i="126"/>
  <c r="D11" i="126"/>
  <c r="D12" i="126"/>
  <c r="D13" i="126"/>
  <c r="D14" i="126"/>
  <c r="D15" i="126"/>
  <c r="D16" i="126"/>
  <c r="D17" i="126"/>
  <c r="D18" i="126"/>
  <c r="D19" i="126"/>
  <c r="D20" i="126"/>
  <c r="D21" i="126"/>
  <c r="D22" i="126"/>
  <c r="D23" i="126"/>
  <c r="D24" i="126"/>
  <c r="D25" i="126"/>
  <c r="D26" i="126"/>
  <c r="D27" i="126"/>
  <c r="D28" i="126"/>
  <c r="D29" i="126"/>
  <c r="D30" i="126"/>
  <c r="D31" i="126"/>
  <c r="D32" i="126"/>
  <c r="D33" i="126"/>
  <c r="D34" i="126"/>
  <c r="D6" i="126"/>
  <c r="F6" i="125"/>
  <c r="E6" i="125" s="1"/>
  <c r="L5" i="122"/>
  <c r="N5" i="122"/>
  <c r="AC15" i="54"/>
  <c r="D5" i="122"/>
  <c r="Z5" i="122"/>
  <c r="AM15" i="54"/>
  <c r="AJ5" i="122"/>
  <c r="M5" i="122"/>
  <c r="AK15" i="54"/>
  <c r="AH5" i="122"/>
  <c r="AG15" i="54"/>
  <c r="AD5" i="122"/>
  <c r="AI15" i="54"/>
  <c r="AF5" i="122"/>
  <c r="AJ15" i="54"/>
  <c r="AG5" i="122"/>
  <c r="M2" i="32"/>
  <c r="F5" i="122" s="1"/>
  <c r="P9" i="32"/>
  <c r="P11" i="32"/>
  <c r="P926" i="48"/>
  <c r="Q951" i="48"/>
  <c r="EA10" i="54"/>
  <c r="EA14" i="54" s="1"/>
  <c r="DZ10" i="54"/>
  <c r="DZ14" i="54" s="1"/>
  <c r="DY10" i="54"/>
  <c r="DY14" i="54" s="1"/>
  <c r="DX10" i="54"/>
  <c r="DX14" i="54" s="1"/>
  <c r="DP10" i="54"/>
  <c r="DP14" i="54" s="1"/>
  <c r="DU10" i="54"/>
  <c r="DU14" i="54" s="1"/>
  <c r="DT10" i="54"/>
  <c r="DT14" i="54" s="1"/>
  <c r="DL10" i="54"/>
  <c r="DL14" i="54" s="1"/>
  <c r="DI10" i="54"/>
  <c r="DI14" i="54" s="1"/>
  <c r="DK10" i="54"/>
  <c r="DK14" i="54" s="1"/>
  <c r="DW10" i="54"/>
  <c r="DW14" i="54" s="1"/>
  <c r="DO10" i="54"/>
  <c r="DO14" i="54" s="1"/>
  <c r="DN10" i="54"/>
  <c r="DN14" i="54" s="1"/>
  <c r="DM10" i="54"/>
  <c r="DM14" i="54" s="1"/>
  <c r="DS10" i="54"/>
  <c r="DS14" i="54" s="1"/>
  <c r="DR10" i="54"/>
  <c r="DR14" i="54" s="1"/>
  <c r="DQ10" i="54"/>
  <c r="DQ14" i="54" s="1"/>
  <c r="DV10" i="54"/>
  <c r="DV14" i="54" s="1"/>
  <c r="DE10" i="54"/>
  <c r="DE14" i="54" s="1"/>
  <c r="DJ10" i="54"/>
  <c r="DJ14" i="54" s="1"/>
  <c r="DG10" i="54"/>
  <c r="DG14" i="54" s="1"/>
  <c r="CC10" i="54"/>
  <c r="CC14" i="54" s="1"/>
  <c r="BV10" i="54"/>
  <c r="BV14" i="54" s="1"/>
  <c r="BU10" i="54"/>
  <c r="BU14" i="54" s="1"/>
  <c r="BM10" i="54"/>
  <c r="BM14" i="54" s="1"/>
  <c r="P576" i="93"/>
  <c r="Q601" i="93"/>
  <c r="DV15" i="54"/>
  <c r="L15" i="54"/>
  <c r="N15" i="54"/>
  <c r="M15" i="54"/>
  <c r="BW10" i="54"/>
  <c r="BW14" i="54" s="1"/>
  <c r="BO10" i="54"/>
  <c r="BO14" i="54" s="1"/>
  <c r="BG10" i="54"/>
  <c r="BG14" i="54" s="1"/>
  <c r="DD10" i="54"/>
  <c r="DD14" i="54" s="1"/>
  <c r="E19" i="116"/>
  <c r="E19" i="111"/>
  <c r="E19" i="107"/>
  <c r="E19" i="105"/>
  <c r="E19" i="98"/>
  <c r="E19" i="117"/>
  <c r="E19" i="101"/>
  <c r="E19" i="113"/>
  <c r="E19" i="109"/>
  <c r="E19" i="108"/>
  <c r="E19" i="106"/>
  <c r="E19" i="99"/>
  <c r="E19" i="114"/>
  <c r="E19" i="102"/>
  <c r="E19" i="104"/>
  <c r="E19" i="115"/>
  <c r="E19" i="110"/>
  <c r="E19" i="103"/>
  <c r="E19" i="100"/>
  <c r="E19" i="97"/>
  <c r="E19" i="85"/>
  <c r="E19" i="89"/>
  <c r="E19" i="88"/>
  <c r="E19" i="90"/>
  <c r="E19" i="83"/>
  <c r="E19" i="87"/>
  <c r="E19" i="91"/>
  <c r="E19" i="84"/>
  <c r="E19" i="92"/>
  <c r="E19" i="82"/>
  <c r="E19" i="86"/>
  <c r="E19" i="80"/>
  <c r="E19" i="76"/>
  <c r="E19" i="72"/>
  <c r="E19" i="73"/>
  <c r="E19" i="79"/>
  <c r="E19" i="75"/>
  <c r="E19" i="71"/>
  <c r="E19" i="78"/>
  <c r="E19" i="74"/>
  <c r="E19" i="81"/>
  <c r="E19" i="77"/>
  <c r="E19" i="65"/>
  <c r="EM14" i="54"/>
  <c r="P32" i="32" s="1"/>
  <c r="DT15" i="54"/>
  <c r="DU15" i="54"/>
  <c r="R32" i="32"/>
  <c r="O15" i="54"/>
  <c r="C35" i="51"/>
  <c r="J26" i="49"/>
  <c r="E26" i="49"/>
  <c r="E25" i="49"/>
  <c r="I25" i="49"/>
  <c r="I8" i="49"/>
  <c r="P9" i="45" l="1"/>
  <c r="S5" i="122"/>
  <c r="L6" i="124"/>
  <c r="G6" i="124"/>
  <c r="P11" i="45"/>
  <c r="U6" i="124" s="1"/>
  <c r="U5" i="122"/>
  <c r="I5" i="122"/>
  <c r="I15" i="54"/>
  <c r="J10" i="121"/>
  <c r="C43" i="125"/>
  <c r="C35" i="125"/>
  <c r="C27" i="125"/>
  <c r="C19" i="125"/>
  <c r="C11" i="125"/>
  <c r="C15" i="125"/>
  <c r="C14" i="125"/>
  <c r="C29" i="125"/>
  <c r="C28" i="125"/>
  <c r="C42" i="125"/>
  <c r="C34" i="125"/>
  <c r="C26" i="125"/>
  <c r="C18" i="125"/>
  <c r="C10" i="125"/>
  <c r="C23" i="125"/>
  <c r="C38" i="125"/>
  <c r="C6" i="125"/>
  <c r="C21" i="125"/>
  <c r="C36" i="125"/>
  <c r="C41" i="125"/>
  <c r="C33" i="125"/>
  <c r="C25" i="125"/>
  <c r="C17" i="125"/>
  <c r="C9" i="125"/>
  <c r="C31" i="125"/>
  <c r="C7" i="125"/>
  <c r="C22" i="125"/>
  <c r="C37" i="125"/>
  <c r="C13" i="125"/>
  <c r="C20" i="125"/>
  <c r="C40" i="125"/>
  <c r="C32" i="125"/>
  <c r="C24" i="125"/>
  <c r="C16" i="125"/>
  <c r="C8" i="125"/>
  <c r="C39" i="125"/>
  <c r="C30" i="125"/>
  <c r="C45" i="125"/>
  <c r="C44" i="125"/>
  <c r="C12" i="125"/>
  <c r="I9" i="45"/>
  <c r="J11" i="121" s="1"/>
  <c r="J15" i="54"/>
  <c r="J5" i="122"/>
  <c r="J9" i="121"/>
  <c r="K5" i="122"/>
  <c r="C5" i="126"/>
  <c r="C6" i="126" s="1"/>
  <c r="C6" i="123"/>
  <c r="C37" i="123" s="1"/>
  <c r="I6" i="124"/>
  <c r="J6" i="124"/>
  <c r="F5" i="126"/>
  <c r="F10" i="126" s="1"/>
  <c r="F6" i="123"/>
  <c r="F8" i="125"/>
  <c r="E8" i="125" s="1"/>
  <c r="F12" i="125"/>
  <c r="E12" i="125" s="1"/>
  <c r="F16" i="125"/>
  <c r="E16" i="125" s="1"/>
  <c r="F20" i="125"/>
  <c r="E20" i="125" s="1"/>
  <c r="F24" i="125"/>
  <c r="E24" i="125" s="1"/>
  <c r="F28" i="125"/>
  <c r="E28" i="125" s="1"/>
  <c r="F32" i="125"/>
  <c r="E32" i="125" s="1"/>
  <c r="F36" i="125"/>
  <c r="E36" i="125" s="1"/>
  <c r="F40" i="125"/>
  <c r="E40" i="125" s="1"/>
  <c r="F44" i="125"/>
  <c r="E44" i="125" s="1"/>
  <c r="F11" i="125"/>
  <c r="E11" i="125" s="1"/>
  <c r="F19" i="125"/>
  <c r="E19" i="125" s="1"/>
  <c r="F27" i="125"/>
  <c r="E27" i="125" s="1"/>
  <c r="F35" i="125"/>
  <c r="E35" i="125" s="1"/>
  <c r="F43" i="125"/>
  <c r="E43" i="125" s="1"/>
  <c r="F9" i="125"/>
  <c r="E9" i="125" s="1"/>
  <c r="F13" i="125"/>
  <c r="E13" i="125" s="1"/>
  <c r="F17" i="125"/>
  <c r="E17" i="125" s="1"/>
  <c r="F21" i="125"/>
  <c r="E21" i="125" s="1"/>
  <c r="F25" i="125"/>
  <c r="E25" i="125" s="1"/>
  <c r="F29" i="125"/>
  <c r="E29" i="125" s="1"/>
  <c r="F33" i="125"/>
  <c r="E33" i="125" s="1"/>
  <c r="F37" i="125"/>
  <c r="E37" i="125" s="1"/>
  <c r="F41" i="125"/>
  <c r="E41" i="125" s="1"/>
  <c r="F45" i="125"/>
  <c r="E45" i="125" s="1"/>
  <c r="F15" i="125"/>
  <c r="E15" i="125" s="1"/>
  <c r="F23" i="125"/>
  <c r="E23" i="125" s="1"/>
  <c r="F31" i="125"/>
  <c r="E31" i="125" s="1"/>
  <c r="F39" i="125"/>
  <c r="E39" i="125" s="1"/>
  <c r="F10" i="125"/>
  <c r="E10" i="125" s="1"/>
  <c r="F14" i="125"/>
  <c r="E14" i="125" s="1"/>
  <c r="F18" i="125"/>
  <c r="E18" i="125" s="1"/>
  <c r="F22" i="125"/>
  <c r="E22" i="125" s="1"/>
  <c r="F26" i="125"/>
  <c r="E26" i="125" s="1"/>
  <c r="F30" i="125"/>
  <c r="E30" i="125" s="1"/>
  <c r="F34" i="125"/>
  <c r="E34" i="125" s="1"/>
  <c r="F38" i="125"/>
  <c r="E38" i="125" s="1"/>
  <c r="F42" i="125"/>
  <c r="E42" i="125" s="1"/>
  <c r="F7" i="125"/>
  <c r="E7" i="125" s="1"/>
  <c r="F15" i="54"/>
  <c r="AE5" i="122"/>
  <c r="DX15" i="54"/>
  <c r="P10" i="32"/>
  <c r="P7" i="32"/>
  <c r="P7" i="45" s="1"/>
  <c r="P951" i="48"/>
  <c r="Q976" i="48"/>
  <c r="P976" i="48" s="1"/>
  <c r="P601" i="93"/>
  <c r="Q626" i="93"/>
  <c r="E31" i="49"/>
  <c r="I31" i="49"/>
  <c r="DA14" i="54"/>
  <c r="J23" i="127" s="1"/>
  <c r="DH10" i="54"/>
  <c r="DH14" i="54" s="1"/>
  <c r="CY14" i="54"/>
  <c r="C23" i="127" s="1"/>
  <c r="CX14" i="54"/>
  <c r="DF10" i="54"/>
  <c r="DF14" i="54" s="1"/>
  <c r="E27" i="49"/>
  <c r="DB14" i="54"/>
  <c r="BS10" i="54"/>
  <c r="BS14" i="54" s="1"/>
  <c r="BA14" i="54"/>
  <c r="I27" i="49"/>
  <c r="BQ10" i="54"/>
  <c r="BQ14" i="54" s="1"/>
  <c r="K8" i="49"/>
  <c r="E29" i="49"/>
  <c r="CA10" i="54"/>
  <c r="CA14" i="54" s="1"/>
  <c r="BK10" i="54"/>
  <c r="BK14" i="54" s="1"/>
  <c r="I29" i="49"/>
  <c r="CZ14" i="54"/>
  <c r="BY10" i="54"/>
  <c r="BY14" i="54" s="1"/>
  <c r="BI10" i="54"/>
  <c r="BI14" i="54" s="1"/>
  <c r="E7" i="49"/>
  <c r="E8" i="49"/>
  <c r="P10" i="45" l="1"/>
  <c r="T6" i="124" s="1"/>
  <c r="T5" i="122"/>
  <c r="CF5" i="122"/>
  <c r="CN5" i="122"/>
  <c r="CL5" i="122"/>
  <c r="CJ5" i="122"/>
  <c r="CV5" i="122"/>
  <c r="DL5" i="122"/>
  <c r="CR5" i="122"/>
  <c r="DD5" i="122"/>
  <c r="DM5" i="122"/>
  <c r="CZ5" i="122"/>
  <c r="DK5" i="122"/>
  <c r="DH5" i="122"/>
  <c r="CH5" i="122"/>
  <c r="DN5" i="122"/>
  <c r="F23" i="127"/>
  <c r="Q5" i="122"/>
  <c r="K6" i="124"/>
  <c r="C23" i="123"/>
  <c r="C15" i="123"/>
  <c r="C41" i="123"/>
  <c r="C30" i="123"/>
  <c r="C38" i="123"/>
  <c r="C34" i="123"/>
  <c r="C35" i="123"/>
  <c r="C18" i="123"/>
  <c r="C21" i="123"/>
  <c r="C14" i="123"/>
  <c r="C17" i="123"/>
  <c r="C19" i="123"/>
  <c r="C39" i="123"/>
  <c r="C11" i="123"/>
  <c r="C29" i="123"/>
  <c r="C40" i="123"/>
  <c r="C27" i="126"/>
  <c r="C31" i="123"/>
  <c r="C32" i="123"/>
  <c r="C16" i="123"/>
  <c r="C25" i="123"/>
  <c r="C9" i="123"/>
  <c r="C44" i="123"/>
  <c r="C28" i="123"/>
  <c r="C12" i="123"/>
  <c r="C13" i="123"/>
  <c r="C45" i="123"/>
  <c r="C42" i="123"/>
  <c r="C26" i="123"/>
  <c r="C10" i="123"/>
  <c r="C7" i="123"/>
  <c r="C24" i="123"/>
  <c r="C8" i="123"/>
  <c r="C22" i="123"/>
  <c r="C43" i="123"/>
  <c r="C33" i="123"/>
  <c r="C27" i="123"/>
  <c r="C36" i="123"/>
  <c r="C20" i="123"/>
  <c r="C26" i="126"/>
  <c r="G9" i="49"/>
  <c r="C14" i="126"/>
  <c r="G8" i="49"/>
  <c r="C11" i="126"/>
  <c r="C32" i="126"/>
  <c r="C25" i="126"/>
  <c r="C30" i="126"/>
  <c r="C23" i="126"/>
  <c r="C28" i="126"/>
  <c r="C21" i="126"/>
  <c r="C16" i="126"/>
  <c r="C10" i="126"/>
  <c r="C9" i="126"/>
  <c r="C12" i="126"/>
  <c r="C8" i="126"/>
  <c r="C24" i="126"/>
  <c r="C7" i="126"/>
  <c r="C19" i="126"/>
  <c r="C22" i="126"/>
  <c r="C33" i="126"/>
  <c r="C17" i="126"/>
  <c r="C20" i="126"/>
  <c r="C31" i="126"/>
  <c r="C15" i="126"/>
  <c r="C34" i="126"/>
  <c r="C18" i="126"/>
  <c r="C29" i="126"/>
  <c r="C13" i="126"/>
  <c r="D27" i="127"/>
  <c r="F34" i="126"/>
  <c r="F30" i="126"/>
  <c r="F18" i="126"/>
  <c r="F22" i="126"/>
  <c r="F12" i="126"/>
  <c r="F26" i="126"/>
  <c r="F33" i="126"/>
  <c r="F29" i="126"/>
  <c r="F25" i="126"/>
  <c r="F21" i="126"/>
  <c r="F17" i="126"/>
  <c r="F9" i="126"/>
  <c r="F32" i="126"/>
  <c r="F28" i="126"/>
  <c r="F24" i="126"/>
  <c r="F20" i="126"/>
  <c r="F16" i="126"/>
  <c r="F8" i="126"/>
  <c r="F6" i="126"/>
  <c r="F31" i="126"/>
  <c r="F27" i="126"/>
  <c r="F23" i="126"/>
  <c r="F19" i="126"/>
  <c r="F13" i="126"/>
  <c r="F15" i="126"/>
  <c r="F11" i="126"/>
  <c r="F7" i="126"/>
  <c r="F14" i="126"/>
  <c r="F8" i="123"/>
  <c r="E8" i="123" s="1"/>
  <c r="F12" i="123"/>
  <c r="E12" i="123" s="1"/>
  <c r="F16" i="123"/>
  <c r="E16" i="123" s="1"/>
  <c r="F20" i="123"/>
  <c r="E20" i="123" s="1"/>
  <c r="F24" i="123"/>
  <c r="E24" i="123" s="1"/>
  <c r="F28" i="123"/>
  <c r="E28" i="123" s="1"/>
  <c r="F32" i="123"/>
  <c r="E32" i="123" s="1"/>
  <c r="F36" i="123"/>
  <c r="E36" i="123" s="1"/>
  <c r="F40" i="123"/>
  <c r="E40" i="123" s="1"/>
  <c r="F44" i="123"/>
  <c r="E44" i="123" s="1"/>
  <c r="F13" i="123"/>
  <c r="E13" i="123" s="1"/>
  <c r="F17" i="123"/>
  <c r="E17" i="123" s="1"/>
  <c r="F21" i="123"/>
  <c r="E21" i="123" s="1"/>
  <c r="F25" i="123"/>
  <c r="E25" i="123" s="1"/>
  <c r="F29" i="123"/>
  <c r="E29" i="123" s="1"/>
  <c r="F37" i="123"/>
  <c r="E37" i="123" s="1"/>
  <c r="F41" i="123"/>
  <c r="E41" i="123" s="1"/>
  <c r="F10" i="123"/>
  <c r="E10" i="123" s="1"/>
  <c r="F18" i="123"/>
  <c r="E18" i="123" s="1"/>
  <c r="F22" i="123"/>
  <c r="E22" i="123" s="1"/>
  <c r="F26" i="123"/>
  <c r="E26" i="123" s="1"/>
  <c r="F34" i="123"/>
  <c r="E34" i="123" s="1"/>
  <c r="F7" i="123"/>
  <c r="E7" i="123" s="1"/>
  <c r="F19" i="123"/>
  <c r="E19" i="123" s="1"/>
  <c r="F31" i="123"/>
  <c r="E31" i="123" s="1"/>
  <c r="F43" i="123"/>
  <c r="E43" i="123" s="1"/>
  <c r="F9" i="123"/>
  <c r="E9" i="123" s="1"/>
  <c r="F33" i="123"/>
  <c r="E33" i="123" s="1"/>
  <c r="F45" i="123"/>
  <c r="E45" i="123" s="1"/>
  <c r="F14" i="123"/>
  <c r="E14" i="123" s="1"/>
  <c r="F30" i="123"/>
  <c r="E30" i="123" s="1"/>
  <c r="F38" i="123"/>
  <c r="E38" i="123" s="1"/>
  <c r="F11" i="123"/>
  <c r="E11" i="123" s="1"/>
  <c r="F15" i="123"/>
  <c r="E15" i="123" s="1"/>
  <c r="F23" i="123"/>
  <c r="E23" i="123" s="1"/>
  <c r="F35" i="123"/>
  <c r="E35" i="123" s="1"/>
  <c r="F42" i="123"/>
  <c r="E42" i="123" s="1"/>
  <c r="F27" i="123"/>
  <c r="E27" i="123" s="1"/>
  <c r="F39" i="123"/>
  <c r="E39" i="123" s="1"/>
  <c r="E6" i="123"/>
  <c r="DW15" i="54"/>
  <c r="DS15" i="54"/>
  <c r="D28" i="45"/>
  <c r="D6" i="124" s="1"/>
  <c r="V103" i="63"/>
  <c r="B127" i="60"/>
  <c r="P626" i="93"/>
  <c r="Q651" i="93"/>
  <c r="E24" i="49"/>
  <c r="CB5" i="122" s="1"/>
  <c r="K23" i="49"/>
  <c r="CD5" i="122" s="1"/>
  <c r="I23" i="49"/>
  <c r="CC5" i="122" s="1"/>
  <c r="E23" i="49"/>
  <c r="CA5" i="122" s="1"/>
  <c r="I6" i="49"/>
  <c r="E5" i="122" l="1"/>
  <c r="BV5" i="122"/>
  <c r="BX5" i="122"/>
  <c r="AU5" i="122"/>
  <c r="BY5" i="122"/>
  <c r="AQ5" i="122"/>
  <c r="AL5" i="122"/>
  <c r="AO5" i="122"/>
  <c r="AM5" i="122"/>
  <c r="AS5" i="122"/>
  <c r="AT5" i="122"/>
  <c r="AW5" i="122"/>
  <c r="AN5" i="122"/>
  <c r="BW5" i="122"/>
  <c r="AV5" i="122"/>
  <c r="AR5" i="122"/>
  <c r="S6" i="124"/>
  <c r="Q6" i="124"/>
  <c r="G26" i="49"/>
  <c r="CI5" i="122" s="1"/>
  <c r="G29" i="49"/>
  <c r="CW5" i="122" s="1"/>
  <c r="G27" i="49"/>
  <c r="CO5" i="122" s="1"/>
  <c r="G25" i="49"/>
  <c r="CG5" i="122" s="1"/>
  <c r="G31" i="49"/>
  <c r="DE5" i="122" s="1"/>
  <c r="Z6" i="124"/>
  <c r="A24" i="127"/>
  <c r="A14" i="127"/>
  <c r="J28" i="49"/>
  <c r="CT5" i="122" s="1"/>
  <c r="K25" i="49"/>
  <c r="CK5" i="122" s="1"/>
  <c r="A891" i="48"/>
  <c r="N41" i="125" s="1"/>
  <c r="A691" i="48"/>
  <c r="N33" i="125" s="1"/>
  <c r="A591" i="48"/>
  <c r="N29" i="125" s="1"/>
  <c r="A916" i="48"/>
  <c r="N42" i="125" s="1"/>
  <c r="A766" i="48"/>
  <c r="N36" i="125" s="1"/>
  <c r="A841" i="48"/>
  <c r="N39" i="125" s="1"/>
  <c r="A716" i="48"/>
  <c r="N34" i="125" s="1"/>
  <c r="A641" i="48"/>
  <c r="N31" i="125" s="1"/>
  <c r="A991" i="48"/>
  <c r="N45" i="125" s="1"/>
  <c r="A441" i="48"/>
  <c r="N23" i="125" s="1"/>
  <c r="A391" i="48"/>
  <c r="N21" i="125" s="1"/>
  <c r="A341" i="48"/>
  <c r="N19" i="125" s="1"/>
  <c r="A366" i="48"/>
  <c r="N20" i="125" s="1"/>
  <c r="A816" i="48"/>
  <c r="N38" i="125" s="1"/>
  <c r="A541" i="48"/>
  <c r="N27" i="125" s="1"/>
  <c r="A416" i="48"/>
  <c r="N22" i="125" s="1"/>
  <c r="A966" i="48"/>
  <c r="N44" i="125" s="1"/>
  <c r="A941" i="48"/>
  <c r="N43" i="125" s="1"/>
  <c r="A866" i="48"/>
  <c r="N40" i="125" s="1"/>
  <c r="A791" i="48"/>
  <c r="N37" i="125" s="1"/>
  <c r="A666" i="48"/>
  <c r="N32" i="125" s="1"/>
  <c r="A741" i="48"/>
  <c r="N35" i="125" s="1"/>
  <c r="A616" i="48"/>
  <c r="N30" i="125" s="1"/>
  <c r="A566" i="48"/>
  <c r="N28" i="125" s="1"/>
  <c r="A516" i="48"/>
  <c r="N26" i="125" s="1"/>
  <c r="A466" i="48"/>
  <c r="N24" i="125" s="1"/>
  <c r="A491" i="48"/>
  <c r="N25" i="125" s="1"/>
  <c r="A316" i="48"/>
  <c r="N18" i="125" s="1"/>
  <c r="A266" i="48"/>
  <c r="N16" i="125" s="1"/>
  <c r="A291" i="48"/>
  <c r="N17" i="125" s="1"/>
  <c r="A116" i="48"/>
  <c r="N10" i="125" s="1"/>
  <c r="A241" i="48"/>
  <c r="N15" i="125" s="1"/>
  <c r="A191" i="48"/>
  <c r="N13" i="125" s="1"/>
  <c r="A141" i="48"/>
  <c r="N11" i="125" s="1"/>
  <c r="A216" i="48"/>
  <c r="N14" i="125" s="1"/>
  <c r="A166" i="48"/>
  <c r="N12" i="125" s="1"/>
  <c r="J30" i="49"/>
  <c r="DB5" i="122" s="1"/>
  <c r="J32" i="49"/>
  <c r="DJ5" i="122" s="1"/>
  <c r="A91" i="48"/>
  <c r="N9" i="125" s="1"/>
  <c r="A66" i="48"/>
  <c r="N8" i="125" s="1"/>
  <c r="Q676" i="93"/>
  <c r="P651" i="93"/>
  <c r="K29" i="49"/>
  <c r="DA5" i="122" s="1"/>
  <c r="K31" i="49"/>
  <c r="DI5" i="122" s="1"/>
  <c r="K27" i="49"/>
  <c r="CS5" i="122" s="1"/>
  <c r="E6" i="124" l="1"/>
  <c r="AU6" i="124"/>
  <c r="AS6" i="124"/>
  <c r="AN6" i="124"/>
  <c r="AO6" i="124"/>
  <c r="AV6" i="124"/>
  <c r="AP6" i="124"/>
  <c r="AK6" i="124"/>
  <c r="AX6" i="124"/>
  <c r="AQ6" i="124"/>
  <c r="BE6" i="124"/>
  <c r="BI6" i="124"/>
  <c r="BJ6" i="124"/>
  <c r="BF6" i="124"/>
  <c r="BB6" i="124"/>
  <c r="AY6" i="124"/>
  <c r="BA6" i="124"/>
  <c r="BC6" i="124"/>
  <c r="BD6" i="124"/>
  <c r="BG6" i="124"/>
  <c r="BK6" i="124"/>
  <c r="AZ6" i="124"/>
  <c r="BL6" i="124"/>
  <c r="E34" i="126"/>
  <c r="E26" i="126"/>
  <c r="E18" i="126"/>
  <c r="E10" i="126"/>
  <c r="E13" i="126"/>
  <c r="E12" i="126"/>
  <c r="E33" i="126"/>
  <c r="E25" i="126"/>
  <c r="E17" i="126"/>
  <c r="E9" i="126"/>
  <c r="E5" i="126"/>
  <c r="E19" i="126"/>
  <c r="E32" i="126"/>
  <c r="E24" i="126"/>
  <c r="E16" i="126"/>
  <c r="E8" i="126"/>
  <c r="E20" i="126"/>
  <c r="E31" i="126"/>
  <c r="E23" i="126"/>
  <c r="E15" i="126"/>
  <c r="E7" i="126"/>
  <c r="E29" i="126"/>
  <c r="E30" i="126"/>
  <c r="E22" i="126"/>
  <c r="E14" i="126"/>
  <c r="E6" i="126"/>
  <c r="E28" i="126"/>
  <c r="E11" i="126"/>
  <c r="E21" i="126"/>
  <c r="E27" i="126"/>
  <c r="Q701" i="93"/>
  <c r="P676" i="93"/>
  <c r="AZ125" i="60" l="1"/>
  <c r="AQ125" i="60"/>
  <c r="AJ125" i="60"/>
  <c r="AU125" i="60"/>
  <c r="AR125" i="60"/>
  <c r="AI125" i="60"/>
  <c r="AY125" i="60"/>
  <c r="AT125" i="60"/>
  <c r="AL125" i="60"/>
  <c r="AM125" i="60"/>
  <c r="AO125" i="60"/>
  <c r="AX125" i="60"/>
  <c r="AH125" i="60"/>
  <c r="AK125" i="60"/>
  <c r="AN125" i="60"/>
  <c r="AV125" i="60"/>
  <c r="BA125" i="60"/>
  <c r="AP125" i="60"/>
  <c r="AW125" i="60"/>
  <c r="AS125" i="60"/>
  <c r="Q726" i="93"/>
  <c r="P701" i="93"/>
  <c r="T88" i="50"/>
  <c r="S88" i="50"/>
  <c r="T87" i="50"/>
  <c r="HL5" i="122" s="1"/>
  <c r="S87" i="50"/>
  <c r="HK5" i="122" s="1"/>
  <c r="T83" i="50"/>
  <c r="HI5" i="122" s="1"/>
  <c r="S83" i="50"/>
  <c r="HH5" i="122" s="1"/>
  <c r="T79" i="50"/>
  <c r="HF5" i="122" s="1"/>
  <c r="S79" i="50"/>
  <c r="HE5" i="122" s="1"/>
  <c r="T75" i="50"/>
  <c r="HC5" i="122" s="1"/>
  <c r="S75" i="50"/>
  <c r="HB5" i="122" s="1"/>
  <c r="T71" i="50"/>
  <c r="GZ5" i="122" s="1"/>
  <c r="S71" i="50"/>
  <c r="GY5" i="122" s="1"/>
  <c r="T62" i="50"/>
  <c r="GW5" i="122" s="1"/>
  <c r="S62" i="50"/>
  <c r="GV5" i="122" s="1"/>
  <c r="T58" i="50"/>
  <c r="GT5" i="122" s="1"/>
  <c r="S58" i="50"/>
  <c r="GS5" i="122" s="1"/>
  <c r="T54" i="50"/>
  <c r="GQ5" i="122" s="1"/>
  <c r="S54" i="50"/>
  <c r="GP5" i="122" s="1"/>
  <c r="T45" i="50"/>
  <c r="GN5" i="122" s="1"/>
  <c r="S45" i="50"/>
  <c r="GM5" i="122" s="1"/>
  <c r="T41" i="50"/>
  <c r="GK5" i="122" s="1"/>
  <c r="S41" i="50"/>
  <c r="GJ5" i="122" s="1"/>
  <c r="T37" i="50"/>
  <c r="GH5" i="122" s="1"/>
  <c r="S37" i="50"/>
  <c r="GG5" i="122" s="1"/>
  <c r="T33" i="50"/>
  <c r="GE5" i="122" s="1"/>
  <c r="S33" i="50"/>
  <c r="GD5" i="122" s="1"/>
  <c r="T29" i="50"/>
  <c r="GB5" i="122" s="1"/>
  <c r="S29" i="50"/>
  <c r="GA5" i="122" s="1"/>
  <c r="T25" i="50"/>
  <c r="FY5" i="122" s="1"/>
  <c r="S25" i="50"/>
  <c r="FX5" i="122" s="1"/>
  <c r="T21" i="50"/>
  <c r="FV5" i="122" s="1"/>
  <c r="S21" i="50"/>
  <c r="FU5" i="122" s="1"/>
  <c r="T17" i="50"/>
  <c r="FS5" i="122" s="1"/>
  <c r="S17" i="50"/>
  <c r="FR5" i="122" s="1"/>
  <c r="T13" i="50"/>
  <c r="FP5" i="122" s="1"/>
  <c r="S13" i="50"/>
  <c r="FO5" i="122" s="1"/>
  <c r="T9" i="50"/>
  <c r="FM5" i="122" s="1"/>
  <c r="S9" i="50"/>
  <c r="FL5" i="122" s="1"/>
  <c r="P726" i="93" l="1"/>
  <c r="Q751" i="93"/>
  <c r="R67" i="107" l="1"/>
  <c r="S67" i="107"/>
  <c r="S69" i="106"/>
  <c r="R69" i="106"/>
  <c r="R67" i="115"/>
  <c r="S67" i="115"/>
  <c r="R68" i="113"/>
  <c r="S68" i="113"/>
  <c r="S67" i="109"/>
  <c r="R67" i="109"/>
  <c r="S70" i="106"/>
  <c r="R70" i="106"/>
  <c r="S67" i="114"/>
  <c r="R67" i="114"/>
  <c r="S67" i="116"/>
  <c r="R67" i="116"/>
  <c r="R70" i="97"/>
  <c r="S70" i="97"/>
  <c r="S67" i="100"/>
  <c r="R67" i="100"/>
  <c r="R69" i="99"/>
  <c r="S69" i="99"/>
  <c r="S67" i="110"/>
  <c r="R67" i="110"/>
  <c r="S69" i="97"/>
  <c r="R69" i="97"/>
  <c r="R69" i="115"/>
  <c r="S69" i="115"/>
  <c r="R67" i="101"/>
  <c r="S67" i="101"/>
  <c r="R68" i="104"/>
  <c r="S68" i="104"/>
  <c r="S70" i="116"/>
  <c r="R70" i="116"/>
  <c r="S68" i="115"/>
  <c r="R68" i="115"/>
  <c r="R70" i="104"/>
  <c r="S70" i="104"/>
  <c r="R69" i="98"/>
  <c r="S69" i="98"/>
  <c r="S67" i="99"/>
  <c r="R67" i="99"/>
  <c r="S70" i="101"/>
  <c r="R70" i="101"/>
  <c r="R69" i="102"/>
  <c r="S69" i="102"/>
  <c r="R70" i="113"/>
  <c r="S70" i="113"/>
  <c r="S68" i="110"/>
  <c r="R68" i="110"/>
  <c r="R69" i="107"/>
  <c r="S69" i="107"/>
  <c r="R68" i="97"/>
  <c r="S68" i="97"/>
  <c r="S68" i="111"/>
  <c r="R68" i="111"/>
  <c r="S67" i="98"/>
  <c r="R67" i="98"/>
  <c r="R70" i="110"/>
  <c r="S70" i="110"/>
  <c r="S68" i="102"/>
  <c r="R68" i="102"/>
  <c r="R69" i="113"/>
  <c r="S69" i="113"/>
  <c r="S70" i="108"/>
  <c r="R70" i="108"/>
  <c r="R69" i="111"/>
  <c r="S69" i="111"/>
  <c r="R70" i="115"/>
  <c r="S70" i="115"/>
  <c r="R70" i="109"/>
  <c r="S70" i="109"/>
  <c r="S68" i="101"/>
  <c r="R68" i="101"/>
  <c r="R69" i="117"/>
  <c r="S69" i="117"/>
  <c r="S68" i="100"/>
  <c r="R68" i="100"/>
  <c r="S68" i="99"/>
  <c r="R68" i="99"/>
  <c r="R70" i="107"/>
  <c r="S70" i="107"/>
  <c r="R67" i="113"/>
  <c r="S67" i="113"/>
  <c r="S68" i="106"/>
  <c r="R68" i="106"/>
  <c r="S67" i="104"/>
  <c r="R67" i="104"/>
  <c r="R69" i="109"/>
  <c r="S69" i="109"/>
  <c r="S70" i="105"/>
  <c r="R70" i="105"/>
  <c r="S70" i="117"/>
  <c r="R70" i="117"/>
  <c r="S70" i="98"/>
  <c r="R70" i="98"/>
  <c r="R67" i="111"/>
  <c r="S67" i="111"/>
  <c r="S69" i="101"/>
  <c r="R69" i="101"/>
  <c r="S70" i="111"/>
  <c r="R70" i="111"/>
  <c r="R69" i="103"/>
  <c r="S69" i="103"/>
  <c r="R68" i="114"/>
  <c r="S68" i="114"/>
  <c r="S68" i="108"/>
  <c r="R68" i="108"/>
  <c r="S67" i="102"/>
  <c r="R67" i="102"/>
  <c r="S68" i="103"/>
  <c r="R68" i="103"/>
  <c r="S70" i="102"/>
  <c r="R70" i="102"/>
  <c r="R69" i="108"/>
  <c r="S69" i="108"/>
  <c r="S69" i="114"/>
  <c r="R69" i="114"/>
  <c r="S68" i="98"/>
  <c r="R68" i="98"/>
  <c r="S67" i="97"/>
  <c r="R67" i="97"/>
  <c r="R69" i="105"/>
  <c r="S69" i="105"/>
  <c r="S70" i="114"/>
  <c r="R70" i="114"/>
  <c r="R67" i="105"/>
  <c r="S67" i="105"/>
  <c r="S69" i="116"/>
  <c r="R69" i="116"/>
  <c r="S67" i="103"/>
  <c r="R67" i="103"/>
  <c r="R69" i="110"/>
  <c r="S69" i="110"/>
  <c r="R67" i="108"/>
  <c r="S67" i="108"/>
  <c r="R68" i="117"/>
  <c r="S68" i="117"/>
  <c r="R70" i="99"/>
  <c r="S70" i="99"/>
  <c r="S70" i="100"/>
  <c r="R70" i="100"/>
  <c r="S67" i="106"/>
  <c r="R67" i="106"/>
  <c r="S69" i="104"/>
  <c r="R69" i="104"/>
  <c r="R70" i="103"/>
  <c r="S70" i="103"/>
  <c r="S68" i="116"/>
  <c r="R68" i="116"/>
  <c r="R69" i="100"/>
  <c r="S69" i="100"/>
  <c r="R68" i="109"/>
  <c r="S68" i="109"/>
  <c r="S68" i="105"/>
  <c r="R68" i="105"/>
  <c r="R67" i="117"/>
  <c r="S67" i="117"/>
  <c r="R68" i="107"/>
  <c r="S68" i="107"/>
  <c r="S125" i="60"/>
  <c r="U125" i="60"/>
  <c r="R125" i="60"/>
  <c r="AE125" i="60"/>
  <c r="Q125" i="60"/>
  <c r="P125" i="60"/>
  <c r="P751" i="93"/>
  <c r="Q776" i="93"/>
  <c r="Z125" i="60" l="1"/>
  <c r="T125" i="60"/>
  <c r="AF125" i="60"/>
  <c r="AG125" i="60"/>
  <c r="V125" i="60"/>
  <c r="Y125" i="60"/>
  <c r="W125" i="60"/>
  <c r="AC125" i="60"/>
  <c r="X125" i="60"/>
  <c r="AB125" i="60"/>
  <c r="AD125" i="60"/>
  <c r="AA125" i="60"/>
  <c r="P776" i="93"/>
  <c r="Q801" i="93"/>
  <c r="A35" i="49"/>
  <c r="A32" i="49"/>
  <c r="A30" i="49"/>
  <c r="A28" i="49"/>
  <c r="A26" i="49"/>
  <c r="CE5" i="122" s="1"/>
  <c r="A24" i="49"/>
  <c r="BZ5" i="122" s="1"/>
  <c r="A18" i="49"/>
  <c r="A15" i="49"/>
  <c r="BN5" i="122" s="1"/>
  <c r="A13" i="49"/>
  <c r="BF5" i="122" s="1"/>
  <c r="A11" i="49"/>
  <c r="AX5" i="122" s="1"/>
  <c r="A9" i="49"/>
  <c r="AP5" i="122" s="1"/>
  <c r="A7" i="49"/>
  <c r="AK5" i="122" s="1"/>
  <c r="DC5" i="122" l="1"/>
  <c r="E32" i="49"/>
  <c r="DF5" i="122" s="1"/>
  <c r="E28" i="49"/>
  <c r="CP5" i="122" s="1"/>
  <c r="CM5" i="122"/>
  <c r="E30" i="49"/>
  <c r="CU5" i="122"/>
  <c r="Q826" i="93"/>
  <c r="P801" i="93"/>
  <c r="V11" i="34"/>
  <c r="CX5" i="122" l="1"/>
  <c r="G30" i="49"/>
  <c r="CY5" i="122" s="1"/>
  <c r="ED5" i="122"/>
  <c r="Q851" i="93"/>
  <c r="P826" i="93"/>
  <c r="U35" i="49"/>
  <c r="U34" i="49"/>
  <c r="U33" i="49"/>
  <c r="U18" i="49"/>
  <c r="U17" i="49"/>
  <c r="U16" i="49"/>
  <c r="G28" i="49" l="1"/>
  <c r="CQ5" i="122" s="1"/>
  <c r="G32" i="49"/>
  <c r="DG5" i="122" s="1"/>
  <c r="Q876" i="93"/>
  <c r="P851" i="93"/>
  <c r="Q901" i="93" l="1"/>
  <c r="P876" i="93"/>
  <c r="S5" i="32"/>
  <c r="H5" i="122" s="1"/>
  <c r="F8" i="120" l="1"/>
  <c r="P901" i="93"/>
  <c r="Q926" i="93"/>
  <c r="R12" i="45"/>
  <c r="R13" i="45"/>
  <c r="R14" i="45"/>
  <c r="R15" i="45"/>
  <c r="R16" i="45"/>
  <c r="R17" i="45"/>
  <c r="R18" i="45"/>
  <c r="R19" i="45"/>
  <c r="R20" i="45"/>
  <c r="R21" i="45"/>
  <c r="R22" i="45"/>
  <c r="R23" i="45"/>
  <c r="R24" i="45"/>
  <c r="R25" i="45"/>
  <c r="R26" i="45"/>
  <c r="R27" i="45"/>
  <c r="R28" i="45"/>
  <c r="R29" i="45"/>
  <c r="R30" i="45"/>
  <c r="R11" i="45"/>
  <c r="J8" i="120" l="1"/>
  <c r="HP5" i="122" s="1"/>
  <c r="HN5" i="122"/>
  <c r="Q951" i="93"/>
  <c r="P926" i="93"/>
  <c r="Y6" i="124"/>
  <c r="P951" i="93" l="1"/>
  <c r="Q976" i="93"/>
  <c r="P976" i="93" s="1"/>
  <c r="R68" i="84" l="1"/>
  <c r="S68" i="84"/>
  <c r="R68" i="88"/>
  <c r="S68" i="88"/>
  <c r="R68" i="87"/>
  <c r="S68" i="87"/>
  <c r="S67" i="85"/>
  <c r="R67" i="85"/>
  <c r="R68" i="79"/>
  <c r="S68" i="79"/>
  <c r="R69" i="77"/>
  <c r="S69" i="77"/>
  <c r="R69" i="88"/>
  <c r="S69" i="88"/>
  <c r="S68" i="74"/>
  <c r="R68" i="74"/>
  <c r="S70" i="88"/>
  <c r="R70" i="88"/>
  <c r="R69" i="80"/>
  <c r="S69" i="80"/>
  <c r="S69" i="82"/>
  <c r="R69" i="82"/>
  <c r="R68" i="83"/>
  <c r="S68" i="83"/>
  <c r="R67" i="79"/>
  <c r="S67" i="79"/>
  <c r="S70" i="87"/>
  <c r="R70" i="87"/>
  <c r="S68" i="77"/>
  <c r="R68" i="77"/>
  <c r="S69" i="92"/>
  <c r="R69" i="92"/>
  <c r="R70" i="90"/>
  <c r="S70" i="90"/>
  <c r="S67" i="90"/>
  <c r="R67" i="90"/>
  <c r="S70" i="76"/>
  <c r="R70" i="76"/>
  <c r="R67" i="82"/>
  <c r="S67" i="82"/>
  <c r="R67" i="87"/>
  <c r="S67" i="87"/>
  <c r="S70" i="77"/>
  <c r="R70" i="77"/>
  <c r="R70" i="72"/>
  <c r="S70" i="72"/>
  <c r="R69" i="78"/>
  <c r="S69" i="78"/>
  <c r="R67" i="77"/>
  <c r="S67" i="77"/>
  <c r="R67" i="89"/>
  <c r="S67" i="89"/>
  <c r="S70" i="89"/>
  <c r="R70" i="89"/>
  <c r="R67" i="91"/>
  <c r="S67" i="91"/>
  <c r="R70" i="74"/>
  <c r="S70" i="74"/>
  <c r="R69" i="91"/>
  <c r="S69" i="91"/>
  <c r="S68" i="89"/>
  <c r="R68" i="89"/>
  <c r="S68" i="91"/>
  <c r="R68" i="91"/>
  <c r="R67" i="73"/>
  <c r="S67" i="73"/>
  <c r="R70" i="91"/>
  <c r="S70" i="91"/>
  <c r="S69" i="85"/>
  <c r="R69" i="85"/>
  <c r="R69" i="90"/>
  <c r="S69" i="90"/>
  <c r="S67" i="72"/>
  <c r="R67" i="72"/>
  <c r="S70" i="80"/>
  <c r="R70" i="80"/>
  <c r="S70" i="82"/>
  <c r="R70" i="82"/>
  <c r="S70" i="65"/>
  <c r="R70" i="65"/>
  <c r="S67" i="75"/>
  <c r="R67" i="75"/>
  <c r="R70" i="85"/>
  <c r="S70" i="85"/>
  <c r="R68" i="73"/>
  <c r="S68" i="73"/>
  <c r="R67" i="71"/>
  <c r="S67" i="71"/>
  <c r="R70" i="81"/>
  <c r="S70" i="81"/>
  <c r="R69" i="87"/>
  <c r="S69" i="87"/>
  <c r="R70" i="79"/>
  <c r="S70" i="79"/>
  <c r="S69" i="74"/>
  <c r="R69" i="74"/>
  <c r="S69" i="81"/>
  <c r="R69" i="81"/>
  <c r="R68" i="92"/>
  <c r="S68" i="92"/>
  <c r="R70" i="71"/>
  <c r="S70" i="71"/>
  <c r="S70" i="75"/>
  <c r="R70" i="75"/>
  <c r="R68" i="80"/>
  <c r="S68" i="80"/>
  <c r="R69" i="73"/>
  <c r="S69" i="73"/>
  <c r="R67" i="76"/>
  <c r="S67" i="76"/>
  <c r="S70" i="84"/>
  <c r="R70" i="84"/>
  <c r="R68" i="86"/>
  <c r="S68" i="86"/>
  <c r="R68" i="85"/>
  <c r="S68" i="85"/>
  <c r="S68" i="72"/>
  <c r="R68" i="72"/>
  <c r="S68" i="76"/>
  <c r="R68" i="76"/>
  <c r="R69" i="76"/>
  <c r="S69" i="76"/>
  <c r="S69" i="75"/>
  <c r="R69" i="75"/>
  <c r="R70" i="92"/>
  <c r="S70" i="92"/>
  <c r="R70" i="73"/>
  <c r="S70" i="73"/>
  <c r="S70" i="78"/>
  <c r="R70" i="78"/>
  <c r="R70" i="83"/>
  <c r="S70" i="83"/>
  <c r="S68" i="82"/>
  <c r="R68" i="82"/>
  <c r="R68" i="71"/>
  <c r="S68" i="71"/>
  <c r="R68" i="75"/>
  <c r="S68" i="75"/>
  <c r="R69" i="65"/>
  <c r="S69" i="65"/>
  <c r="R68" i="81"/>
  <c r="S68" i="81"/>
  <c r="R67" i="78"/>
  <c r="S67" i="78"/>
  <c r="S67" i="88"/>
  <c r="R67" i="88"/>
  <c r="S69" i="71"/>
  <c r="R69" i="71"/>
  <c r="R69" i="83"/>
  <c r="S69" i="83"/>
  <c r="S68" i="78"/>
  <c r="R68" i="78"/>
  <c r="R69" i="72"/>
  <c r="S69" i="72"/>
  <c r="S67" i="83"/>
  <c r="R67" i="83"/>
  <c r="R67" i="81"/>
  <c r="S67" i="81"/>
  <c r="S69" i="84"/>
  <c r="R69" i="84"/>
  <c r="R70" i="86"/>
  <c r="S70" i="86"/>
  <c r="R69" i="86"/>
  <c r="S69" i="86"/>
  <c r="R67" i="86"/>
  <c r="S67" i="86"/>
  <c r="S68" i="90"/>
  <c r="R68" i="90"/>
  <c r="S67" i="92"/>
  <c r="R67" i="92"/>
  <c r="S68" i="65"/>
  <c r="R68" i="65"/>
  <c r="S67" i="84"/>
  <c r="R67" i="84"/>
  <c r="R69" i="79"/>
  <c r="S69" i="79"/>
  <c r="S67" i="74"/>
  <c r="R67" i="74"/>
  <c r="R69" i="89"/>
  <c r="S69" i="89"/>
  <c r="S67" i="65"/>
  <c r="R67" i="65"/>
  <c r="S67" i="80"/>
  <c r="R67" i="80"/>
  <c r="A41" i="48" l="1"/>
  <c r="N7" i="125" s="1"/>
  <c r="A16" i="48"/>
  <c r="N6" i="125" s="1"/>
  <c r="AA11" i="46"/>
  <c r="CB6" i="124" s="1"/>
  <c r="G28" i="32"/>
  <c r="AD15" i="54" l="1"/>
  <c r="AA5" i="122"/>
  <c r="K119" i="60"/>
  <c r="K124" i="60" s="1"/>
  <c r="S34" i="45"/>
  <c r="S9" i="47"/>
  <c r="T9" i="47"/>
  <c r="S13" i="47"/>
  <c r="T13" i="47"/>
  <c r="S17" i="47"/>
  <c r="T17" i="47"/>
  <c r="S21" i="47"/>
  <c r="T21" i="47"/>
  <c r="S25" i="47"/>
  <c r="T25" i="47"/>
  <c r="S29" i="47"/>
  <c r="T29" i="47"/>
  <c r="S33" i="47"/>
  <c r="T33" i="47"/>
  <c r="S37" i="47"/>
  <c r="T37" i="47"/>
  <c r="S41" i="47"/>
  <c r="T41" i="47"/>
  <c r="S45" i="47"/>
  <c r="T45" i="47"/>
  <c r="S54" i="47"/>
  <c r="T54" i="47"/>
  <c r="S58" i="47"/>
  <c r="T58" i="47"/>
  <c r="S62" i="47"/>
  <c r="T62" i="47"/>
  <c r="S71" i="47"/>
  <c r="T71" i="47"/>
  <c r="S75" i="47"/>
  <c r="T75" i="47"/>
  <c r="S79" i="47"/>
  <c r="T79" i="47"/>
  <c r="S83" i="47"/>
  <c r="T83" i="47"/>
  <c r="S87" i="47"/>
  <c r="T87" i="47"/>
  <c r="S88" i="47"/>
  <c r="U88" i="47" s="1"/>
  <c r="W88" i="47" s="1"/>
  <c r="Y88" i="47" s="1"/>
  <c r="T88" i="47"/>
  <c r="V88" i="47" s="1"/>
  <c r="X88" i="47" s="1"/>
  <c r="Z88" i="47" s="1"/>
  <c r="V14" i="46"/>
  <c r="CC6" i="124" s="1"/>
  <c r="V16" i="46"/>
  <c r="CE6" i="124" s="1"/>
  <c r="V20" i="46"/>
  <c r="CL6" i="124" s="1"/>
  <c r="CN6" i="124"/>
  <c r="P28" i="46"/>
  <c r="CU6" i="124" s="1"/>
  <c r="P29" i="46"/>
  <c r="CV6" i="124" s="1"/>
  <c r="G28" i="45"/>
  <c r="AA6" i="124" l="1"/>
  <c r="A26" i="127"/>
  <c r="A16" i="127"/>
  <c r="V58" i="47"/>
  <c r="X58" i="47" s="1"/>
  <c r="Z58" i="47" s="1"/>
  <c r="EE6" i="124"/>
  <c r="V83" i="47"/>
  <c r="X83" i="47" s="1"/>
  <c r="Z83" i="47" s="1"/>
  <c r="ET6" i="124"/>
  <c r="V62" i="47"/>
  <c r="X62" i="47" s="1"/>
  <c r="Z62" i="47" s="1"/>
  <c r="EH6" i="124"/>
  <c r="V41" i="47"/>
  <c r="X41" i="47" s="1"/>
  <c r="Z41" i="47" s="1"/>
  <c r="DV6" i="124"/>
  <c r="V25" i="47"/>
  <c r="X25" i="47" s="1"/>
  <c r="Z25" i="47" s="1"/>
  <c r="DJ6" i="124"/>
  <c r="V9" i="47"/>
  <c r="X9" i="47" s="1"/>
  <c r="Z9" i="47" s="1"/>
  <c r="CX6" i="124"/>
  <c r="V37" i="47"/>
  <c r="X37" i="47" s="1"/>
  <c r="Z37" i="47" s="1"/>
  <c r="DS6" i="124"/>
  <c r="U83" i="47"/>
  <c r="W83" i="47" s="1"/>
  <c r="Y83" i="47" s="1"/>
  <c r="ES6" i="124"/>
  <c r="U62" i="47"/>
  <c r="W62" i="47" s="1"/>
  <c r="Y62" i="47" s="1"/>
  <c r="EG6" i="124"/>
  <c r="U41" i="47"/>
  <c r="W41" i="47" s="1"/>
  <c r="Y41" i="47" s="1"/>
  <c r="DU6" i="124"/>
  <c r="U25" i="47"/>
  <c r="W25" i="47" s="1"/>
  <c r="Y25" i="47" s="1"/>
  <c r="DI6" i="124"/>
  <c r="U9" i="47"/>
  <c r="W9" i="47" s="1"/>
  <c r="Y9" i="47" s="1"/>
  <c r="CW6" i="124"/>
  <c r="U79" i="47"/>
  <c r="W79" i="47" s="1"/>
  <c r="Y79" i="47" s="1"/>
  <c r="EP6" i="124"/>
  <c r="U58" i="47"/>
  <c r="W58" i="47" s="1"/>
  <c r="Y58" i="47" s="1"/>
  <c r="ED6" i="124"/>
  <c r="U37" i="47"/>
  <c r="W37" i="47" s="1"/>
  <c r="Y37" i="47" s="1"/>
  <c r="DR6" i="124"/>
  <c r="U21" i="47"/>
  <c r="W21" i="47" s="1"/>
  <c r="Y21" i="47" s="1"/>
  <c r="DF6" i="124"/>
  <c r="V75" i="47"/>
  <c r="X75" i="47" s="1"/>
  <c r="Z75" i="47" s="1"/>
  <c r="EN6" i="124"/>
  <c r="V54" i="47"/>
  <c r="X54" i="47" s="1"/>
  <c r="Z54" i="47" s="1"/>
  <c r="EB6" i="124"/>
  <c r="V33" i="47"/>
  <c r="X33" i="47" s="1"/>
  <c r="Z33" i="47" s="1"/>
  <c r="DP6" i="124"/>
  <c r="V17" i="47"/>
  <c r="X17" i="47" s="1"/>
  <c r="Z17" i="47" s="1"/>
  <c r="DD6" i="124"/>
  <c r="U75" i="47"/>
  <c r="W75" i="47" s="1"/>
  <c r="Y75" i="47" s="1"/>
  <c r="EM6" i="124"/>
  <c r="U54" i="47"/>
  <c r="W54" i="47" s="1"/>
  <c r="Y54" i="47" s="1"/>
  <c r="EA6" i="124"/>
  <c r="U33" i="47"/>
  <c r="W33" i="47" s="1"/>
  <c r="Y33" i="47" s="1"/>
  <c r="DO6" i="124"/>
  <c r="U17" i="47"/>
  <c r="W17" i="47" s="1"/>
  <c r="Y17" i="47" s="1"/>
  <c r="DC6" i="124"/>
  <c r="V79" i="47"/>
  <c r="X79" i="47" s="1"/>
  <c r="Z79" i="47" s="1"/>
  <c r="EQ6" i="124"/>
  <c r="V87" i="47"/>
  <c r="X87" i="47" s="1"/>
  <c r="Z87" i="47" s="1"/>
  <c r="EW6" i="124"/>
  <c r="V71" i="47"/>
  <c r="X71" i="47" s="1"/>
  <c r="Z71" i="47" s="1"/>
  <c r="EK6" i="124"/>
  <c r="V45" i="47"/>
  <c r="X45" i="47" s="1"/>
  <c r="Z45" i="47" s="1"/>
  <c r="DY6" i="124"/>
  <c r="V29" i="47"/>
  <c r="X29" i="47" s="1"/>
  <c r="Z29" i="47" s="1"/>
  <c r="DM6" i="124"/>
  <c r="V13" i="47"/>
  <c r="X13" i="47" s="1"/>
  <c r="Z13" i="47" s="1"/>
  <c r="DA6" i="124"/>
  <c r="V21" i="47"/>
  <c r="X21" i="47" s="1"/>
  <c r="Z21" i="47" s="1"/>
  <c r="DG6" i="124"/>
  <c r="U87" i="47"/>
  <c r="W87" i="47" s="1"/>
  <c r="Y87" i="47" s="1"/>
  <c r="EV6" i="124"/>
  <c r="U71" i="47"/>
  <c r="W71" i="47" s="1"/>
  <c r="Y71" i="47" s="1"/>
  <c r="EJ6" i="124"/>
  <c r="U45" i="47"/>
  <c r="W45" i="47" s="1"/>
  <c r="Y45" i="47" s="1"/>
  <c r="DX6" i="124"/>
  <c r="U29" i="47"/>
  <c r="W29" i="47" s="1"/>
  <c r="Y29" i="47" s="1"/>
  <c r="DL6" i="124"/>
  <c r="U13" i="47"/>
  <c r="W13" i="47" s="1"/>
  <c r="Y13" i="47" s="1"/>
  <c r="CZ6" i="124"/>
  <c r="K120" i="60"/>
  <c r="O119" i="60"/>
  <c r="O124" i="60" s="1"/>
  <c r="O120" i="60"/>
  <c r="K125" i="60"/>
  <c r="K130" i="60"/>
  <c r="A493" i="48"/>
  <c r="R25" i="125" s="1"/>
  <c r="A568" i="48"/>
  <c r="R28" i="125" s="1"/>
  <c r="A893" i="48"/>
  <c r="R41" i="125" s="1"/>
  <c r="A543" i="48"/>
  <c r="R27" i="125" s="1"/>
  <c r="A843" i="48"/>
  <c r="R39" i="125" s="1"/>
  <c r="A243" i="48"/>
  <c r="R15" i="125" s="1"/>
  <c r="A168" i="48"/>
  <c r="R12" i="125" s="1"/>
  <c r="A518" i="48"/>
  <c r="R26" i="125" s="1"/>
  <c r="A968" i="48"/>
  <c r="R44" i="125" s="1"/>
  <c r="A193" i="48"/>
  <c r="R13" i="125" s="1"/>
  <c r="A118" i="48"/>
  <c r="R10" i="125" s="1"/>
  <c r="A993" i="48"/>
  <c r="R45" i="125" s="1"/>
  <c r="A468" i="48"/>
  <c r="R24" i="125" s="1"/>
  <c r="A818" i="48"/>
  <c r="R38" i="125" s="1"/>
  <c r="A318" i="48"/>
  <c r="R18" i="125" s="1"/>
  <c r="A693" i="48"/>
  <c r="R33" i="125" s="1"/>
  <c r="A268" i="48"/>
  <c r="R16" i="125" s="1"/>
  <c r="A918" i="48"/>
  <c r="R42" i="125" s="1"/>
  <c r="A943" i="48"/>
  <c r="R43" i="125" s="1"/>
  <c r="A443" i="48"/>
  <c r="R23" i="125" s="1"/>
  <c r="A868" i="48"/>
  <c r="R40" i="125" s="1"/>
  <c r="A718" i="48"/>
  <c r="R34" i="125" s="1"/>
  <c r="A418" i="48"/>
  <c r="R22" i="125" s="1"/>
  <c r="A143" i="48"/>
  <c r="R11" i="125" s="1"/>
  <c r="A768" i="48"/>
  <c r="R36" i="125" s="1"/>
  <c r="A393" i="48"/>
  <c r="R21" i="125" s="1"/>
  <c r="A793" i="48"/>
  <c r="R37" i="125" s="1"/>
  <c r="A743" i="48"/>
  <c r="R35" i="125" s="1"/>
  <c r="A593" i="48"/>
  <c r="R29" i="125" s="1"/>
  <c r="A368" i="48"/>
  <c r="R20" i="125" s="1"/>
  <c r="A218" i="48"/>
  <c r="R14" i="125" s="1"/>
  <c r="A343" i="48"/>
  <c r="R19" i="125" s="1"/>
  <c r="A668" i="48"/>
  <c r="R32" i="125" s="1"/>
  <c r="A618" i="48"/>
  <c r="R30" i="125" s="1"/>
  <c r="A643" i="48"/>
  <c r="R31" i="125" s="1"/>
  <c r="A293" i="48"/>
  <c r="R17" i="125" s="1"/>
  <c r="A93" i="48"/>
  <c r="R9" i="125" s="1"/>
  <c r="A68" i="48"/>
  <c r="R8" i="125" s="1"/>
  <c r="A43" i="48"/>
  <c r="R7" i="125" s="1"/>
  <c r="A18" i="48"/>
  <c r="R6" i="125" s="1"/>
  <c r="W33" i="32"/>
  <c r="F6" i="119" l="1"/>
  <c r="I40" i="93" s="1"/>
  <c r="O125" i="60"/>
  <c r="O130" i="60"/>
  <c r="M24" i="34"/>
  <c r="FK5" i="122" s="1"/>
  <c r="M23" i="34"/>
  <c r="FJ5" i="122" s="1"/>
  <c r="I40" i="48" l="1"/>
  <c r="P7" i="123"/>
  <c r="J44" i="48" l="1"/>
  <c r="W7" i="125" s="1"/>
  <c r="P7" i="125"/>
  <c r="R30" i="32"/>
  <c r="R29" i="32"/>
  <c r="R28" i="32"/>
  <c r="R27" i="32"/>
  <c r="R26" i="32"/>
  <c r="R25" i="32"/>
  <c r="R24" i="32"/>
  <c r="R23" i="32"/>
  <c r="R22" i="32"/>
  <c r="R21" i="32"/>
  <c r="R20" i="32"/>
  <c r="R19" i="32"/>
  <c r="R18" i="32"/>
  <c r="R17" i="32"/>
  <c r="R16" i="32"/>
  <c r="R15" i="32"/>
  <c r="R14" i="32"/>
  <c r="R13" i="32"/>
  <c r="R12" i="32"/>
  <c r="R11" i="32"/>
  <c r="BT10" i="54" l="1"/>
  <c r="BL10" i="54"/>
  <c r="BL14" i="54" l="1"/>
  <c r="I10" i="49" s="1"/>
  <c r="BT14" i="54"/>
  <c r="I12" i="49" s="1"/>
  <c r="BK5" i="122" l="1"/>
  <c r="K12" i="49"/>
  <c r="BL5" i="122" s="1"/>
  <c r="J13" i="49"/>
  <c r="BM5" i="122" s="1"/>
  <c r="BC5" i="122"/>
  <c r="K10" i="49"/>
  <c r="BD5" i="122" s="1"/>
  <c r="N123" i="60"/>
  <c r="AB123" i="60"/>
  <c r="AZ123" i="60"/>
  <c r="AA123" i="60"/>
  <c r="AW123" i="60"/>
  <c r="AF123" i="60"/>
  <c r="AD123" i="60"/>
  <c r="AO123" i="60"/>
  <c r="AV123" i="60"/>
  <c r="AC123" i="60"/>
  <c r="K123" i="60"/>
  <c r="Z123" i="60"/>
  <c r="AH123" i="60"/>
  <c r="T123" i="60"/>
  <c r="AQ123" i="60"/>
  <c r="AK123" i="60"/>
  <c r="U123" i="60"/>
  <c r="P123" i="60"/>
  <c r="AN123" i="60"/>
  <c r="AY123" i="60"/>
  <c r="AJ123" i="60"/>
  <c r="M123" i="60"/>
  <c r="AT123" i="60"/>
  <c r="Q123" i="60"/>
  <c r="AE123" i="60"/>
  <c r="L123" i="60"/>
  <c r="AP123" i="60"/>
  <c r="AL123" i="60"/>
  <c r="Y123" i="60"/>
  <c r="AI123" i="60"/>
  <c r="AM123" i="60"/>
  <c r="AX123" i="60"/>
  <c r="AR123" i="60"/>
  <c r="W123" i="60"/>
  <c r="AG123" i="60"/>
  <c r="X123" i="60"/>
  <c r="V123" i="60"/>
  <c r="O123" i="60"/>
  <c r="BA123" i="60"/>
  <c r="S123" i="60"/>
  <c r="AU123" i="60"/>
  <c r="R123" i="60"/>
  <c r="AS123" i="60"/>
  <c r="N119" i="60"/>
  <c r="N120" i="60"/>
  <c r="J120" i="60" l="1"/>
  <c r="J119" i="60"/>
  <c r="N124" i="60"/>
  <c r="F5" i="119"/>
  <c r="AM118" i="60"/>
  <c r="G30" i="119" s="1"/>
  <c r="N640" i="93" s="1"/>
  <c r="AY118" i="60"/>
  <c r="G42" i="119" s="1"/>
  <c r="N940" i="93" s="1"/>
  <c r="O940" i="48" s="1"/>
  <c r="P118" i="60"/>
  <c r="G7" i="119" s="1"/>
  <c r="N65" i="93" s="1"/>
  <c r="AN118" i="60"/>
  <c r="G31" i="119" s="1"/>
  <c r="N665" i="93" s="1"/>
  <c r="Q32" i="123" s="1"/>
  <c r="AB118" i="60"/>
  <c r="G19" i="119" s="1"/>
  <c r="N365" i="93" s="1"/>
  <c r="AA118" i="60"/>
  <c r="G18" i="119" s="1"/>
  <c r="N340" i="93" s="1"/>
  <c r="O340" i="48" s="1"/>
  <c r="AI118" i="60"/>
  <c r="G26" i="119" s="1"/>
  <c r="N540" i="93" s="1"/>
  <c r="S118" i="60"/>
  <c r="G10" i="119" s="1"/>
  <c r="N140" i="93" s="1"/>
  <c r="Q11" i="123" s="1"/>
  <c r="AO118" i="60"/>
  <c r="G32" i="119" s="1"/>
  <c r="N690" i="93" s="1"/>
  <c r="AW118" i="60"/>
  <c r="G40" i="119" s="1"/>
  <c r="N890" i="93" s="1"/>
  <c r="O890" i="48" s="1"/>
  <c r="Z118" i="60"/>
  <c r="G17" i="119" s="1"/>
  <c r="N315" i="93" s="1"/>
  <c r="AD118" i="60"/>
  <c r="G21" i="119" s="1"/>
  <c r="N415" i="93" s="1"/>
  <c r="Q22" i="123" s="1"/>
  <c r="AH118" i="60"/>
  <c r="G25" i="119" s="1"/>
  <c r="N515" i="93" s="1"/>
  <c r="AL118" i="60"/>
  <c r="G29" i="119" s="1"/>
  <c r="N615" i="93" s="1"/>
  <c r="Q30" i="123" s="1"/>
  <c r="AT118" i="60"/>
  <c r="G37" i="119" s="1"/>
  <c r="N815" i="93" s="1"/>
  <c r="U118" i="60"/>
  <c r="G12" i="119" s="1"/>
  <c r="N190" i="93" s="1"/>
  <c r="O190" i="48" s="1"/>
  <c r="Q118" i="60"/>
  <c r="G8" i="119" s="1"/>
  <c r="N90" i="93" s="1"/>
  <c r="AF118" i="60"/>
  <c r="G23" i="119" s="1"/>
  <c r="N465" i="93" s="1"/>
  <c r="O465" i="48" s="1"/>
  <c r="AP118" i="60"/>
  <c r="G33" i="119" s="1"/>
  <c r="N715" i="93" s="1"/>
  <c r="X118" i="60"/>
  <c r="G15" i="119" s="1"/>
  <c r="N265" i="93" s="1"/>
  <c r="O265" i="48" s="1"/>
  <c r="AS118" i="60"/>
  <c r="G36" i="119" s="1"/>
  <c r="N790" i="93" s="1"/>
  <c r="AR118" i="60"/>
  <c r="G35" i="119" s="1"/>
  <c r="N765" i="93" s="1"/>
  <c r="O765" i="48" s="1"/>
  <c r="Y118" i="60"/>
  <c r="G16" i="119" s="1"/>
  <c r="N290" i="93" s="1"/>
  <c r="AG118" i="60"/>
  <c r="G24" i="119" s="1"/>
  <c r="N490" i="93" s="1"/>
  <c r="O490" i="48" s="1"/>
  <c r="AX118" i="60"/>
  <c r="G41" i="119" s="1"/>
  <c r="N915" i="93" s="1"/>
  <c r="AE118" i="60"/>
  <c r="G22" i="119" s="1"/>
  <c r="N440" i="93" s="1"/>
  <c r="Q23" i="123" s="1"/>
  <c r="AJ118" i="60"/>
  <c r="G27" i="119" s="1"/>
  <c r="N565" i="93" s="1"/>
  <c r="AV118" i="60"/>
  <c r="G39" i="119" s="1"/>
  <c r="N865" i="93" s="1"/>
  <c r="Q40" i="123" s="1"/>
  <c r="AQ118" i="60"/>
  <c r="G34" i="119" s="1"/>
  <c r="N740" i="93" s="1"/>
  <c r="AC118" i="60"/>
  <c r="G20" i="119" s="1"/>
  <c r="N390" i="93" s="1"/>
  <c r="Q21" i="123" s="1"/>
  <c r="T118" i="60"/>
  <c r="G11" i="119" s="1"/>
  <c r="N165" i="93" s="1"/>
  <c r="AU118" i="60"/>
  <c r="G38" i="119" s="1"/>
  <c r="N840" i="93" s="1"/>
  <c r="O840" i="48" s="1"/>
  <c r="R118" i="60"/>
  <c r="G9" i="119" s="1"/>
  <c r="N115" i="93" s="1"/>
  <c r="AK118" i="60"/>
  <c r="G28" i="119" s="1"/>
  <c r="N590" i="93" s="1"/>
  <c r="O590" i="48" s="1"/>
  <c r="V118" i="60"/>
  <c r="G13" i="119" s="1"/>
  <c r="N215" i="93" s="1"/>
  <c r="W118" i="60"/>
  <c r="G14" i="119" s="1"/>
  <c r="N240" i="93" s="1"/>
  <c r="Q15" i="123" s="1"/>
  <c r="O118" i="60"/>
  <c r="G6" i="119" s="1"/>
  <c r="N40" i="93" s="1"/>
  <c r="BA118" i="60"/>
  <c r="G44" i="119" s="1"/>
  <c r="N990" i="93" s="1"/>
  <c r="O990" i="48" s="1"/>
  <c r="AZ118" i="60"/>
  <c r="G43" i="119" s="1"/>
  <c r="N965" i="93" s="1"/>
  <c r="N118" i="60"/>
  <c r="G5" i="119" s="1"/>
  <c r="AB116" i="60"/>
  <c r="AU116" i="60"/>
  <c r="AM116" i="60"/>
  <c r="AT116" i="60"/>
  <c r="X116" i="60"/>
  <c r="S116" i="60"/>
  <c r="N116" i="60"/>
  <c r="AK116" i="60"/>
  <c r="AD116" i="60"/>
  <c r="AJ116" i="60"/>
  <c r="K118" i="60"/>
  <c r="T116" i="60"/>
  <c r="AW116" i="60"/>
  <c r="R116" i="60"/>
  <c r="Z116" i="60"/>
  <c r="AC116" i="60"/>
  <c r="AE116" i="60"/>
  <c r="AY116" i="60"/>
  <c r="AL116" i="60"/>
  <c r="V116" i="60"/>
  <c r="AX116" i="60"/>
  <c r="O116" i="60"/>
  <c r="AH116" i="60"/>
  <c r="AA116" i="60"/>
  <c r="W116" i="60"/>
  <c r="AV116" i="60"/>
  <c r="Q116" i="60"/>
  <c r="AP116" i="60"/>
  <c r="BA116" i="60"/>
  <c r="AF116" i="60"/>
  <c r="P116" i="60"/>
  <c r="Y116" i="60"/>
  <c r="AI116" i="60"/>
  <c r="AO116" i="60"/>
  <c r="AQ116" i="60"/>
  <c r="K116" i="60"/>
  <c r="AN116" i="60"/>
  <c r="AZ116" i="60"/>
  <c r="AR116" i="60"/>
  <c r="AG116" i="60"/>
  <c r="U116" i="60"/>
  <c r="AS116" i="60"/>
  <c r="Q16" i="125" l="1"/>
  <c r="O267" i="48"/>
  <c r="V16" i="125" s="1"/>
  <c r="Q29" i="125"/>
  <c r="O592" i="48"/>
  <c r="V29" i="125" s="1"/>
  <c r="Q24" i="125"/>
  <c r="O467" i="48"/>
  <c r="V24" i="125" s="1"/>
  <c r="Q41" i="125"/>
  <c r="O892" i="48"/>
  <c r="V41" i="125" s="1"/>
  <c r="Q43" i="125"/>
  <c r="O942" i="48"/>
  <c r="V43" i="125" s="1"/>
  <c r="Q39" i="125"/>
  <c r="O842" i="48"/>
  <c r="V39" i="125" s="1"/>
  <c r="Q25" i="125"/>
  <c r="O492" i="48"/>
  <c r="V25" i="125" s="1"/>
  <c r="Q13" i="125"/>
  <c r="O192" i="48"/>
  <c r="V13" i="125" s="1"/>
  <c r="Q45" i="125"/>
  <c r="O992" i="48"/>
  <c r="V45" i="125" s="1"/>
  <c r="Q36" i="125"/>
  <c r="O767" i="48"/>
  <c r="V36" i="125" s="1"/>
  <c r="Q19" i="125"/>
  <c r="O342" i="48"/>
  <c r="V19" i="125" s="1"/>
  <c r="BD10" i="54"/>
  <c r="BD14" i="54" s="1"/>
  <c r="J13" i="127" s="1"/>
  <c r="CB10" i="54"/>
  <c r="O165" i="48"/>
  <c r="Q12" i="123"/>
  <c r="Q34" i="123"/>
  <c r="O715" i="48"/>
  <c r="O540" i="48"/>
  <c r="Q27" i="123"/>
  <c r="O215" i="48"/>
  <c r="Q14" i="123"/>
  <c r="Q17" i="123"/>
  <c r="O290" i="48"/>
  <c r="O315" i="48"/>
  <c r="Q18" i="123"/>
  <c r="O965" i="48"/>
  <c r="Q44" i="123"/>
  <c r="Q28" i="123"/>
  <c r="O565" i="48"/>
  <c r="O815" i="48"/>
  <c r="Q38" i="123"/>
  <c r="O65" i="48"/>
  <c r="Q8" i="123"/>
  <c r="Q7" i="123"/>
  <c r="O40" i="48"/>
  <c r="Q35" i="123"/>
  <c r="O740" i="48"/>
  <c r="Q37" i="123"/>
  <c r="O790" i="48"/>
  <c r="Q33" i="123"/>
  <c r="O690" i="48"/>
  <c r="Q31" i="123"/>
  <c r="O640" i="48"/>
  <c r="Q10" i="123"/>
  <c r="O115" i="48"/>
  <c r="O915" i="48"/>
  <c r="Q42" i="123"/>
  <c r="Q9" i="123"/>
  <c r="O90" i="48"/>
  <c r="Q26" i="123"/>
  <c r="O515" i="48"/>
  <c r="O365" i="48"/>
  <c r="Q20" i="123"/>
  <c r="Q29" i="123"/>
  <c r="Q36" i="123"/>
  <c r="Q24" i="123"/>
  <c r="Q41" i="123"/>
  <c r="Q19" i="123"/>
  <c r="Q43" i="123"/>
  <c r="Q45" i="123"/>
  <c r="O390" i="48"/>
  <c r="O440" i="48"/>
  <c r="O615" i="48"/>
  <c r="Q39" i="123"/>
  <c r="Q25" i="123"/>
  <c r="Q16" i="123"/>
  <c r="Q13" i="123"/>
  <c r="O240" i="48"/>
  <c r="O865" i="48"/>
  <c r="O415" i="48"/>
  <c r="O140" i="48"/>
  <c r="O665" i="48"/>
  <c r="N130" i="60"/>
  <c r="J130" i="60" s="1"/>
  <c r="BF10" i="54" s="1"/>
  <c r="BF14" i="54" s="1"/>
  <c r="K17" i="127" s="1"/>
  <c r="AW6" i="124" s="1"/>
  <c r="N125" i="60"/>
  <c r="J125" i="60" s="1"/>
  <c r="CB14" i="54" l="1"/>
  <c r="I14" i="49" s="1"/>
  <c r="Q10" i="125"/>
  <c r="O117" i="48"/>
  <c r="V10" i="125" s="1"/>
  <c r="Q9" i="125"/>
  <c r="O92" i="48"/>
  <c r="V9" i="125" s="1"/>
  <c r="Q33" i="125"/>
  <c r="O692" i="48"/>
  <c r="V33" i="125" s="1"/>
  <c r="Q34" i="125"/>
  <c r="O717" i="48"/>
  <c r="V34" i="125" s="1"/>
  <c r="Q15" i="125"/>
  <c r="O242" i="48"/>
  <c r="V15" i="125" s="1"/>
  <c r="Q32" i="125"/>
  <c r="O667" i="48"/>
  <c r="V32" i="125" s="1"/>
  <c r="Q8" i="125"/>
  <c r="O67" i="48"/>
  <c r="V8" i="125" s="1"/>
  <c r="Q18" i="125"/>
  <c r="O317" i="48"/>
  <c r="Q11" i="125"/>
  <c r="O142" i="48"/>
  <c r="V11" i="125" s="1"/>
  <c r="Q30" i="125"/>
  <c r="O617" i="48"/>
  <c r="V30" i="125" s="1"/>
  <c r="Q37" i="125"/>
  <c r="O792" i="48"/>
  <c r="V37" i="125" s="1"/>
  <c r="Q17" i="125"/>
  <c r="O292" i="48"/>
  <c r="V17" i="125" s="1"/>
  <c r="Q22" i="125"/>
  <c r="O417" i="48"/>
  <c r="V22" i="125" s="1"/>
  <c r="Q23" i="125"/>
  <c r="O442" i="48"/>
  <c r="V23" i="125" s="1"/>
  <c r="Q42" i="125"/>
  <c r="O917" i="48"/>
  <c r="V42" i="125" s="1"/>
  <c r="Q38" i="125"/>
  <c r="O817" i="48"/>
  <c r="V38" i="125" s="1"/>
  <c r="Q12" i="125"/>
  <c r="O167" i="48"/>
  <c r="V12" i="125" s="1"/>
  <c r="Q21" i="125"/>
  <c r="O392" i="48"/>
  <c r="V21" i="125" s="1"/>
  <c r="Q35" i="125"/>
  <c r="O742" i="48"/>
  <c r="V35" i="125" s="1"/>
  <c r="Q20" i="125"/>
  <c r="O367" i="48"/>
  <c r="V20" i="125" s="1"/>
  <c r="Q26" i="125"/>
  <c r="O517" i="48"/>
  <c r="V26" i="125" s="1"/>
  <c r="Q31" i="125"/>
  <c r="O642" i="48"/>
  <c r="V31" i="125" s="1"/>
  <c r="Q7" i="125"/>
  <c r="O42" i="48"/>
  <c r="V7" i="125" s="1"/>
  <c r="Q40" i="125"/>
  <c r="O867" i="48"/>
  <c r="V40" i="125" s="1"/>
  <c r="Q28" i="125"/>
  <c r="O567" i="48"/>
  <c r="V28" i="125" s="1"/>
  <c r="Q14" i="125"/>
  <c r="O217" i="48"/>
  <c r="V14" i="125" s="1"/>
  <c r="Q44" i="125"/>
  <c r="O967" i="48"/>
  <c r="V44" i="125" s="1"/>
  <c r="Q27" i="125"/>
  <c r="O542" i="48"/>
  <c r="V27" i="125" s="1"/>
  <c r="S66" i="117"/>
  <c r="R66" i="117"/>
  <c r="S66" i="99"/>
  <c r="R66" i="99"/>
  <c r="S65" i="72"/>
  <c r="R65" i="72"/>
  <c r="S66" i="97"/>
  <c r="R66" i="97"/>
  <c r="R65" i="87"/>
  <c r="S65" i="87"/>
  <c r="R65" i="82"/>
  <c r="S65" i="82"/>
  <c r="R65" i="111"/>
  <c r="S65" i="111"/>
  <c r="S65" i="84"/>
  <c r="R65" i="84"/>
  <c r="R66" i="82"/>
  <c r="S66" i="82"/>
  <c r="S65" i="83"/>
  <c r="R65" i="83"/>
  <c r="R65" i="73"/>
  <c r="S65" i="73"/>
  <c r="S66" i="83"/>
  <c r="R66" i="83"/>
  <c r="R65" i="85"/>
  <c r="S65" i="85"/>
  <c r="R66" i="115"/>
  <c r="S66" i="115"/>
  <c r="S66" i="77"/>
  <c r="R66" i="77"/>
  <c r="R66" i="102"/>
  <c r="S66" i="102"/>
  <c r="S65" i="75"/>
  <c r="R65" i="75"/>
  <c r="R66" i="78"/>
  <c r="S66" i="78"/>
  <c r="S65" i="106"/>
  <c r="R65" i="106"/>
  <c r="R66" i="109"/>
  <c r="S66" i="109"/>
  <c r="S65" i="99"/>
  <c r="R65" i="99"/>
  <c r="S65" i="71"/>
  <c r="R65" i="71"/>
  <c r="S66" i="108"/>
  <c r="R66" i="108"/>
  <c r="R66" i="92"/>
  <c r="S66" i="92"/>
  <c r="S65" i="81"/>
  <c r="R65" i="81"/>
  <c r="S66" i="75"/>
  <c r="R66" i="75"/>
  <c r="S66" i="74"/>
  <c r="R66" i="74"/>
  <c r="R65" i="89"/>
  <c r="S65" i="89"/>
  <c r="R66" i="86"/>
  <c r="S66" i="86"/>
  <c r="S66" i="85"/>
  <c r="R66" i="85"/>
  <c r="R66" i="100"/>
  <c r="S66" i="100"/>
  <c r="S65" i="80"/>
  <c r="R65" i="80"/>
  <c r="R66" i="101"/>
  <c r="S66" i="101"/>
  <c r="S65" i="76"/>
  <c r="R65" i="76"/>
  <c r="R65" i="110"/>
  <c r="S65" i="110"/>
  <c r="R65" i="116"/>
  <c r="S65" i="116"/>
  <c r="S66" i="114"/>
  <c r="R66" i="114"/>
  <c r="S66" i="76"/>
  <c r="R66" i="76"/>
  <c r="S65" i="74"/>
  <c r="R65" i="74"/>
  <c r="R65" i="113"/>
  <c r="S65" i="113"/>
  <c r="S65" i="109"/>
  <c r="R65" i="109"/>
  <c r="R65" i="102"/>
  <c r="S65" i="102"/>
  <c r="S65" i="77"/>
  <c r="R65" i="77"/>
  <c r="R65" i="98"/>
  <c r="S65" i="98"/>
  <c r="R66" i="105"/>
  <c r="S66" i="105"/>
  <c r="S66" i="84"/>
  <c r="R66" i="84"/>
  <c r="S65" i="100"/>
  <c r="R65" i="100"/>
  <c r="S65" i="91"/>
  <c r="R65" i="91"/>
  <c r="R66" i="87"/>
  <c r="S66" i="87"/>
  <c r="R65" i="78"/>
  <c r="S65" i="78"/>
  <c r="S65" i="101"/>
  <c r="R65" i="101"/>
  <c r="R66" i="90"/>
  <c r="S66" i="90"/>
  <c r="R66" i="88"/>
  <c r="S66" i="88"/>
  <c r="S66" i="79"/>
  <c r="R66" i="79"/>
  <c r="S65" i="114"/>
  <c r="R65" i="114"/>
  <c r="S66" i="116"/>
  <c r="R66" i="116"/>
  <c r="S65" i="65"/>
  <c r="R65" i="65"/>
  <c r="R66" i="104"/>
  <c r="S66" i="104"/>
  <c r="S66" i="110"/>
  <c r="R66" i="110"/>
  <c r="S65" i="115"/>
  <c r="R65" i="115"/>
  <c r="R66" i="65"/>
  <c r="S66" i="65"/>
  <c r="R66" i="80"/>
  <c r="S66" i="80"/>
  <c r="R65" i="105"/>
  <c r="S65" i="105"/>
  <c r="R65" i="88"/>
  <c r="S65" i="88"/>
  <c r="S66" i="71"/>
  <c r="R66" i="71"/>
  <c r="S66" i="113"/>
  <c r="R66" i="113"/>
  <c r="S66" i="72"/>
  <c r="R66" i="72"/>
  <c r="R66" i="103"/>
  <c r="S66" i="103"/>
  <c r="R65" i="104"/>
  <c r="S65" i="104"/>
  <c r="R65" i="92"/>
  <c r="S65" i="92"/>
  <c r="S65" i="90"/>
  <c r="R65" i="90"/>
  <c r="R65" i="79"/>
  <c r="S65" i="79"/>
  <c r="S66" i="81"/>
  <c r="R66" i="81"/>
  <c r="R65" i="86"/>
  <c r="S65" i="86"/>
  <c r="S65" i="107"/>
  <c r="R65" i="107"/>
  <c r="R66" i="98"/>
  <c r="S66" i="98"/>
  <c r="R65" i="117"/>
  <c r="S65" i="117"/>
  <c r="S66" i="89"/>
  <c r="R66" i="89"/>
  <c r="S66" i="73"/>
  <c r="R66" i="73"/>
  <c r="R65" i="108"/>
  <c r="S65" i="108"/>
  <c r="R65" i="97"/>
  <c r="S65" i="97"/>
  <c r="R66" i="107"/>
  <c r="S66" i="107"/>
  <c r="S66" i="91"/>
  <c r="R66" i="91"/>
  <c r="S66" i="111"/>
  <c r="R66" i="111"/>
  <c r="R66" i="106"/>
  <c r="S66" i="106"/>
  <c r="R65" i="103"/>
  <c r="S65" i="103"/>
  <c r="J123" i="60"/>
  <c r="J128" i="60" s="1"/>
  <c r="BN10" i="54"/>
  <c r="CD10" i="54"/>
  <c r="BS5" i="122" l="1"/>
  <c r="K14" i="49"/>
  <c r="BT5" i="122" s="1"/>
  <c r="BN14" i="54"/>
  <c r="J11" i="49" s="1"/>
  <c r="BE5" i="122" s="1"/>
  <c r="CD14" i="54"/>
  <c r="J15" i="49" s="1"/>
  <c r="BU5" i="122" s="1"/>
  <c r="G27" i="127" l="1"/>
  <c r="BH6" i="124" s="1"/>
  <c r="BZ10" i="54" l="1"/>
  <c r="BZ14" i="54" s="1"/>
  <c r="E15" i="49" s="1"/>
  <c r="BX10" i="54"/>
  <c r="BX14" i="54" s="1"/>
  <c r="E14" i="49" s="1"/>
  <c r="G15" i="49" l="1"/>
  <c r="BR5" i="122" s="1"/>
  <c r="BQ5" i="122"/>
  <c r="AM6" i="124"/>
  <c r="AL6" i="124"/>
  <c r="G14" i="49"/>
  <c r="BP5" i="122" s="1"/>
  <c r="BO5" i="122"/>
  <c r="BR10" i="54" l="1"/>
  <c r="BR14" i="54" s="1"/>
  <c r="E13" i="49" s="1"/>
  <c r="BP10" i="54"/>
  <c r="BP14" i="54" s="1"/>
  <c r="E12" i="49" s="1"/>
  <c r="K95" i="115"/>
  <c r="G47" i="110"/>
  <c r="K110" i="71"/>
  <c r="G84" i="111"/>
  <c r="K43" i="89"/>
  <c r="K110" i="91"/>
  <c r="K78" i="83"/>
  <c r="G71" i="115"/>
  <c r="K74" i="103"/>
  <c r="G97" i="71"/>
  <c r="G51" i="77"/>
  <c r="K67" i="106"/>
  <c r="K32" i="88"/>
  <c r="K74" i="78"/>
  <c r="G36" i="91"/>
  <c r="G71" i="113"/>
  <c r="G46" i="105"/>
  <c r="K37" i="73"/>
  <c r="G97" i="80"/>
  <c r="K36" i="74"/>
  <c r="G81" i="100"/>
  <c r="G86" i="97"/>
  <c r="G109" i="114"/>
  <c r="G57" i="73"/>
  <c r="G60" i="105"/>
  <c r="K73" i="84"/>
  <c r="G66" i="76"/>
  <c r="K54" i="114"/>
  <c r="G51" i="79"/>
  <c r="K104" i="76"/>
  <c r="G46" i="72"/>
  <c r="G42" i="105"/>
  <c r="K43" i="80"/>
  <c r="G82" i="91"/>
  <c r="K72" i="105"/>
  <c r="G37" i="113"/>
  <c r="G68" i="107"/>
  <c r="K90" i="84"/>
  <c r="K96" i="92"/>
  <c r="K42" i="114"/>
  <c r="G98" i="65"/>
  <c r="G66" i="84"/>
  <c r="G48" i="97"/>
  <c r="G90" i="117"/>
  <c r="G52" i="73"/>
  <c r="K71" i="98"/>
  <c r="G43" i="103"/>
  <c r="K78" i="102"/>
  <c r="K54" i="79"/>
  <c r="K34" i="80"/>
  <c r="G65" i="73"/>
  <c r="K45" i="106"/>
  <c r="G69" i="109"/>
  <c r="G35" i="108"/>
  <c r="G87" i="113"/>
  <c r="G88" i="65"/>
  <c r="K101" i="100"/>
  <c r="G83" i="65"/>
  <c r="G96" i="116"/>
  <c r="G41" i="81"/>
  <c r="K78" i="98"/>
  <c r="K61" i="78"/>
  <c r="K108" i="99"/>
  <c r="G37" i="117"/>
  <c r="K46" i="114"/>
  <c r="K38" i="106"/>
  <c r="K70" i="72"/>
  <c r="K92" i="77"/>
  <c r="K106" i="73"/>
  <c r="G53" i="114"/>
  <c r="K66" i="78"/>
  <c r="K97" i="77"/>
  <c r="G95" i="98"/>
  <c r="K94" i="74"/>
  <c r="G53" i="85"/>
  <c r="K88" i="90"/>
  <c r="G86" i="81"/>
  <c r="G99" i="65"/>
  <c r="K34" i="65"/>
  <c r="K33" i="77"/>
  <c r="K103" i="73"/>
  <c r="G82" i="79"/>
  <c r="G68" i="114"/>
  <c r="K108" i="87"/>
  <c r="K51" i="103"/>
  <c r="K90" i="103"/>
  <c r="G50" i="117"/>
  <c r="G80" i="97"/>
  <c r="K104" i="84"/>
  <c r="K99" i="72"/>
  <c r="G50" i="82"/>
  <c r="G89" i="101"/>
  <c r="G106" i="107"/>
  <c r="G88" i="109"/>
  <c r="G71" i="74"/>
  <c r="K78" i="77"/>
  <c r="G90" i="77"/>
  <c r="K79" i="74"/>
  <c r="G94" i="90"/>
  <c r="G39" i="116"/>
  <c r="G50" i="114"/>
  <c r="G109" i="65"/>
  <c r="K75" i="109"/>
  <c r="K106" i="77"/>
  <c r="K95" i="73"/>
  <c r="G92" i="81"/>
  <c r="G80" i="103"/>
  <c r="G103" i="110"/>
  <c r="G92" i="111"/>
  <c r="K87" i="72"/>
  <c r="K36" i="111"/>
  <c r="G52" i="105"/>
  <c r="K86" i="78"/>
  <c r="K90" i="108"/>
  <c r="K103" i="111"/>
  <c r="AC16" i="54"/>
  <c r="K65" i="104"/>
  <c r="K100" i="113"/>
  <c r="K70" i="83"/>
  <c r="K97" i="92"/>
  <c r="K96" i="76"/>
  <c r="K104" i="106"/>
  <c r="G107" i="76"/>
  <c r="K67" i="72"/>
  <c r="G99" i="100"/>
  <c r="K35" i="83"/>
  <c r="K85" i="80"/>
  <c r="K72" i="78"/>
  <c r="G97" i="108"/>
  <c r="G47" i="107"/>
  <c r="G97" i="91"/>
  <c r="K76" i="82"/>
  <c r="G57" i="81"/>
  <c r="G95" i="85"/>
  <c r="G57" i="87"/>
  <c r="K61" i="90"/>
  <c r="K73" i="90"/>
  <c r="K104" i="98"/>
  <c r="G83" i="89"/>
  <c r="K82" i="117"/>
  <c r="K32" i="72"/>
  <c r="G35" i="110"/>
  <c r="K76" i="108"/>
  <c r="G90" i="92"/>
  <c r="G65" i="90"/>
  <c r="G90" i="72"/>
  <c r="K101" i="86"/>
  <c r="G76" i="73"/>
  <c r="K65" i="113"/>
  <c r="K99" i="99"/>
  <c r="G52" i="107"/>
  <c r="K82" i="89"/>
  <c r="K47" i="107"/>
  <c r="G32" i="78"/>
  <c r="K103" i="72"/>
  <c r="K81" i="75"/>
  <c r="K68" i="113"/>
  <c r="G92" i="117"/>
  <c r="G65" i="85"/>
  <c r="K43" i="106"/>
  <c r="G86" i="76"/>
  <c r="G33" i="92"/>
  <c r="G94" i="103"/>
  <c r="K89" i="113"/>
  <c r="G73" i="114"/>
  <c r="K70" i="97"/>
  <c r="G62" i="87"/>
  <c r="G53" i="89"/>
  <c r="K110" i="86"/>
  <c r="K38" i="77"/>
  <c r="G76" i="111"/>
  <c r="K75" i="107"/>
  <c r="G40" i="102"/>
  <c r="G109" i="80"/>
  <c r="K87" i="107"/>
  <c r="G101" i="104"/>
  <c r="G52" i="92"/>
  <c r="G77" i="84"/>
  <c r="G84" i="76"/>
  <c r="K56" i="100"/>
  <c r="G43" i="65"/>
  <c r="K108" i="116"/>
  <c r="K94" i="110"/>
  <c r="G70" i="117"/>
  <c r="K33" i="108"/>
  <c r="G48" i="99"/>
  <c r="G38" i="105"/>
  <c r="G40" i="81"/>
  <c r="K34" i="91"/>
  <c r="K45" i="115"/>
  <c r="K93" i="97"/>
  <c r="K91" i="74"/>
  <c r="G40" i="109"/>
  <c r="G66" i="104"/>
  <c r="K93" i="99"/>
  <c r="G101" i="113"/>
  <c r="K55" i="114"/>
  <c r="G72" i="89"/>
  <c r="G33" i="111"/>
  <c r="K40" i="82"/>
  <c r="K49" i="81"/>
  <c r="G73" i="80"/>
  <c r="G39" i="104"/>
  <c r="K86" i="84"/>
  <c r="G87" i="97"/>
  <c r="K60" i="100"/>
  <c r="G93" i="77"/>
  <c r="G89" i="74"/>
  <c r="G88" i="105"/>
  <c r="G79" i="97"/>
  <c r="K67" i="97"/>
  <c r="K82" i="75"/>
  <c r="G95" i="104"/>
  <c r="G101" i="100"/>
  <c r="G61" i="100"/>
  <c r="K106" i="101"/>
  <c r="G53" i="100"/>
  <c r="G34" i="65"/>
  <c r="K92" i="83"/>
  <c r="G57" i="89"/>
  <c r="K38" i="110"/>
  <c r="K92" i="76"/>
  <c r="K89" i="109"/>
  <c r="K67" i="102"/>
  <c r="K84" i="65"/>
  <c r="G57" i="110"/>
  <c r="G32" i="114"/>
  <c r="K77" i="103"/>
  <c r="K33" i="111"/>
  <c r="G76" i="82"/>
  <c r="K93" i="89"/>
  <c r="K78" i="105"/>
  <c r="G57" i="92"/>
  <c r="K60" i="74"/>
  <c r="K52" i="73"/>
  <c r="G38" i="72"/>
  <c r="G106" i="78"/>
  <c r="G61" i="77"/>
  <c r="G79" i="110"/>
  <c r="K48" i="109"/>
  <c r="G92" i="104"/>
  <c r="G44" i="86"/>
  <c r="K80" i="97"/>
  <c r="K56" i="106"/>
  <c r="K69" i="81"/>
  <c r="K103" i="109"/>
  <c r="G90" i="103"/>
  <c r="G84" i="109"/>
  <c r="K78" i="103"/>
  <c r="K48" i="78"/>
  <c r="G65" i="86"/>
  <c r="G34" i="111"/>
  <c r="K89" i="79"/>
  <c r="G43" i="106"/>
  <c r="G59" i="65"/>
  <c r="K38" i="99"/>
  <c r="G85" i="99"/>
  <c r="K46" i="97"/>
  <c r="K62" i="90"/>
  <c r="K59" i="100"/>
  <c r="K51" i="105"/>
  <c r="K84" i="99"/>
  <c r="K52" i="99"/>
  <c r="K87" i="91"/>
  <c r="G100" i="77"/>
  <c r="K55" i="107"/>
  <c r="G86" i="65"/>
  <c r="K94" i="107"/>
  <c r="K36" i="114"/>
  <c r="K42" i="111"/>
  <c r="G81" i="83"/>
  <c r="K99" i="113"/>
  <c r="K34" i="103"/>
  <c r="G50" i="103"/>
  <c r="G78" i="98"/>
  <c r="G62" i="88"/>
  <c r="G57" i="99"/>
  <c r="G59" i="87"/>
  <c r="G87" i="78"/>
  <c r="K65" i="97"/>
  <c r="G85" i="80"/>
  <c r="G110" i="84"/>
  <c r="K65" i="86"/>
  <c r="G90" i="110"/>
  <c r="K61" i="85"/>
  <c r="K103" i="81"/>
  <c r="G37" i="109"/>
  <c r="K88" i="85"/>
  <c r="K97" i="88"/>
  <c r="K33" i="98"/>
  <c r="G104" i="75"/>
  <c r="G69" i="113"/>
  <c r="K78" i="72"/>
  <c r="G55" i="117"/>
  <c r="K69" i="87"/>
  <c r="K102" i="65"/>
  <c r="G50" i="81"/>
  <c r="G43" i="74"/>
  <c r="G48" i="77"/>
  <c r="K77" i="99"/>
  <c r="G109" i="86"/>
  <c r="G49" i="116"/>
  <c r="G46" i="104"/>
  <c r="K86" i="83"/>
  <c r="G46" i="83"/>
  <c r="K91" i="78"/>
  <c r="G93" i="83"/>
  <c r="K32" i="113"/>
  <c r="G68" i="105"/>
  <c r="K101" i="106"/>
  <c r="G36" i="115"/>
  <c r="G43" i="92"/>
  <c r="G53" i="116"/>
  <c r="G86" i="89"/>
  <c r="K76" i="107"/>
  <c r="G102" i="110"/>
  <c r="G68" i="78"/>
  <c r="K109" i="113"/>
  <c r="G71" i="117"/>
  <c r="K77" i="111"/>
  <c r="K93" i="71"/>
  <c r="K109" i="108"/>
  <c r="K78" i="84"/>
  <c r="K48" i="105"/>
  <c r="K86" i="115"/>
  <c r="G103" i="87"/>
  <c r="G33" i="106"/>
  <c r="K88" i="117"/>
  <c r="G39" i="117"/>
  <c r="K80" i="65"/>
  <c r="G91" i="105"/>
  <c r="K84" i="114"/>
  <c r="G102" i="73"/>
  <c r="G54" i="104"/>
  <c r="G36" i="110"/>
  <c r="G80" i="115"/>
  <c r="K65" i="74"/>
  <c r="K85" i="91"/>
  <c r="K42" i="105"/>
  <c r="G53" i="81"/>
  <c r="K61" i="65"/>
  <c r="G66" i="81"/>
  <c r="K75" i="116"/>
  <c r="G35" i="111"/>
  <c r="G50" i="102"/>
  <c r="G91" i="104"/>
  <c r="K44" i="113"/>
  <c r="K103" i="91"/>
  <c r="G92" i="73"/>
  <c r="G101" i="72"/>
  <c r="G47" i="85"/>
  <c r="K36" i="105"/>
  <c r="K106" i="91"/>
  <c r="G95" i="99"/>
  <c r="K50" i="113"/>
  <c r="G78" i="113"/>
  <c r="K52" i="100"/>
  <c r="K53" i="86"/>
  <c r="K82" i="109"/>
  <c r="K51" i="108"/>
  <c r="G85" i="105"/>
  <c r="G85" i="72"/>
  <c r="G71" i="80"/>
  <c r="G34" i="114"/>
  <c r="K41" i="75"/>
  <c r="G88" i="82"/>
  <c r="G42" i="91"/>
  <c r="G46" i="81"/>
  <c r="G109" i="105"/>
  <c r="G54" i="113"/>
  <c r="G98" i="113"/>
  <c r="K46" i="105"/>
  <c r="G106" i="116"/>
  <c r="G66" i="108"/>
  <c r="G39" i="101"/>
  <c r="K75" i="80"/>
  <c r="G47" i="80"/>
  <c r="K82" i="98"/>
  <c r="G85" i="71"/>
  <c r="G47" i="117"/>
  <c r="K37" i="71"/>
  <c r="K83" i="82"/>
  <c r="K53" i="88"/>
  <c r="K96" i="84"/>
  <c r="K109" i="103"/>
  <c r="G87" i="71"/>
  <c r="K32" i="102"/>
  <c r="K72" i="79"/>
  <c r="G33" i="75"/>
  <c r="K62" i="83"/>
  <c r="G94" i="92"/>
  <c r="G65" i="88"/>
  <c r="K59" i="85"/>
  <c r="G32" i="102"/>
  <c r="K80" i="113"/>
  <c r="G84" i="90"/>
  <c r="K110" i="98"/>
  <c r="G77" i="100"/>
  <c r="G65" i="92"/>
  <c r="K77" i="89"/>
  <c r="G32" i="105"/>
  <c r="K85" i="86"/>
  <c r="K91" i="92"/>
  <c r="K54" i="106"/>
  <c r="K48" i="65"/>
  <c r="G36" i="102"/>
  <c r="G86" i="103"/>
  <c r="G68" i="117"/>
  <c r="K99" i="104"/>
  <c r="G79" i="78"/>
  <c r="K91" i="81"/>
  <c r="K100" i="102"/>
  <c r="G52" i="74"/>
  <c r="K76" i="101"/>
  <c r="G36" i="74"/>
  <c r="K98" i="100"/>
  <c r="G59" i="76"/>
  <c r="G75" i="114"/>
  <c r="K104" i="74"/>
  <c r="G60" i="74"/>
  <c r="G72" i="71"/>
  <c r="K41" i="114"/>
  <c r="G55" i="87"/>
  <c r="K73" i="92"/>
  <c r="G50" i="115"/>
  <c r="G69" i="98"/>
  <c r="G87" i="114"/>
  <c r="G69" i="88"/>
  <c r="G70" i="81"/>
  <c r="K107" i="106"/>
  <c r="K73" i="102"/>
  <c r="K104" i="97"/>
  <c r="K100" i="108"/>
  <c r="G67" i="80"/>
  <c r="K79" i="81"/>
  <c r="K82" i="76"/>
  <c r="K95" i="80"/>
  <c r="K88" i="113"/>
  <c r="G79" i="75"/>
  <c r="G46" i="97"/>
  <c r="G39" i="77"/>
  <c r="K84" i="86"/>
  <c r="K50" i="102"/>
  <c r="G44" i="88"/>
  <c r="G104" i="98"/>
  <c r="G89" i="109"/>
  <c r="K98" i="73"/>
  <c r="K66" i="101"/>
  <c r="K79" i="89"/>
  <c r="G48" i="113"/>
  <c r="G66" i="103"/>
  <c r="K95" i="109"/>
  <c r="G51" i="76"/>
  <c r="K43" i="85"/>
  <c r="K73" i="73"/>
  <c r="G55" i="116"/>
  <c r="G75" i="97"/>
  <c r="K51" i="77"/>
  <c r="K74" i="107"/>
  <c r="G70" i="87"/>
  <c r="K35" i="97"/>
  <c r="K70" i="82"/>
  <c r="K33" i="109"/>
  <c r="K73" i="72"/>
  <c r="G49" i="110"/>
  <c r="K98" i="109"/>
  <c r="G38" i="84"/>
  <c r="G82" i="98"/>
  <c r="K82" i="72"/>
  <c r="K93" i="102"/>
  <c r="G55" i="78"/>
  <c r="K94" i="75"/>
  <c r="G44" i="74"/>
  <c r="G110" i="100"/>
  <c r="G49" i="105"/>
  <c r="G33" i="116"/>
  <c r="K40" i="85"/>
  <c r="G68" i="91"/>
  <c r="K42" i="74"/>
  <c r="G32" i="86"/>
  <c r="G91" i="90"/>
  <c r="K84" i="97"/>
  <c r="G103" i="101"/>
  <c r="G103" i="103"/>
  <c r="K93" i="82"/>
  <c r="K33" i="90"/>
  <c r="G106" i="73"/>
  <c r="G83" i="99"/>
  <c r="G56" i="83"/>
  <c r="K99" i="85"/>
  <c r="K57" i="87"/>
  <c r="G49" i="80"/>
  <c r="K66" i="73"/>
  <c r="G106" i="71"/>
  <c r="G83" i="77"/>
  <c r="G87" i="103"/>
  <c r="K60" i="71"/>
  <c r="G54" i="111"/>
  <c r="G65" i="87"/>
  <c r="K70" i="117"/>
  <c r="K110" i="101"/>
  <c r="G106" i="91"/>
  <c r="G37" i="105"/>
  <c r="G53" i="82"/>
  <c r="K34" i="109"/>
  <c r="K52" i="104"/>
  <c r="K89" i="107"/>
  <c r="G42" i="101"/>
  <c r="G65" i="116"/>
  <c r="K67" i="80"/>
  <c r="K96" i="71"/>
  <c r="K54" i="107"/>
  <c r="G48" i="103"/>
  <c r="G32" i="101"/>
  <c r="K61" i="115"/>
  <c r="K39" i="74"/>
  <c r="G98" i="117"/>
  <c r="K102" i="74"/>
  <c r="K88" i="115"/>
  <c r="G79" i="73"/>
  <c r="G72" i="83"/>
  <c r="K74" i="113"/>
  <c r="G61" i="78"/>
  <c r="K83" i="89"/>
  <c r="G82" i="89"/>
  <c r="K37" i="105"/>
  <c r="K110" i="107"/>
  <c r="K41" i="65"/>
  <c r="K97" i="100"/>
  <c r="G103" i="81"/>
  <c r="K35" i="103"/>
  <c r="G50" i="75"/>
  <c r="K100" i="89"/>
  <c r="K100" i="71"/>
  <c r="K76" i="65"/>
  <c r="G86" i="73"/>
  <c r="G45" i="91"/>
  <c r="K80" i="101"/>
  <c r="K35" i="101"/>
  <c r="G102" i="104"/>
  <c r="G50" i="92"/>
  <c r="G98" i="78"/>
  <c r="G85" i="117"/>
  <c r="G66" i="98"/>
  <c r="K103" i="77"/>
  <c r="G73" i="77"/>
  <c r="G72" i="105"/>
  <c r="G100" i="100"/>
  <c r="G54" i="86"/>
  <c r="G45" i="105"/>
  <c r="G49" i="113"/>
  <c r="K32" i="76"/>
  <c r="G106" i="99"/>
  <c r="K41" i="84"/>
  <c r="K100" i="103"/>
  <c r="K109" i="105"/>
  <c r="K107" i="74"/>
  <c r="K78" i="81"/>
  <c r="G38" i="115"/>
  <c r="G99" i="99"/>
  <c r="K95" i="107"/>
  <c r="G54" i="114"/>
  <c r="G60" i="87"/>
  <c r="K48" i="104"/>
  <c r="G107" i="75"/>
  <c r="G89" i="80"/>
  <c r="K43" i="102"/>
  <c r="G60" i="73"/>
  <c r="K32" i="90"/>
  <c r="G109" i="78"/>
  <c r="G86" i="116"/>
  <c r="G41" i="79"/>
  <c r="K101" i="91"/>
  <c r="G41" i="98"/>
  <c r="G98" i="71"/>
  <c r="G44" i="89"/>
  <c r="G54" i="115"/>
  <c r="G54" i="109"/>
  <c r="K69" i="80"/>
  <c r="K48" i="116"/>
  <c r="G52" i="102"/>
  <c r="G69" i="87"/>
  <c r="K46" i="85"/>
  <c r="G61" i="111"/>
  <c r="K35" i="114"/>
  <c r="G73" i="83"/>
  <c r="G93" i="97"/>
  <c r="G73" i="65"/>
  <c r="G34" i="113"/>
  <c r="G36" i="103"/>
  <c r="G41" i="111"/>
  <c r="K40" i="75"/>
  <c r="G85" i="106"/>
  <c r="G106" i="88"/>
  <c r="G34" i="83"/>
  <c r="K90" i="78"/>
  <c r="K41" i="91"/>
  <c r="K53" i="98"/>
  <c r="G75" i="89"/>
  <c r="G49" i="106"/>
  <c r="K104" i="80"/>
  <c r="K88" i="82"/>
  <c r="K89" i="98"/>
  <c r="G96" i="73"/>
  <c r="K79" i="71"/>
  <c r="G80" i="105"/>
  <c r="K86" i="80"/>
  <c r="K45" i="98"/>
  <c r="K54" i="90"/>
  <c r="K51" i="82"/>
  <c r="K99" i="78"/>
  <c r="K92" i="89"/>
  <c r="G66" i="109"/>
  <c r="G98" i="92"/>
  <c r="G92" i="109"/>
  <c r="K87" i="88"/>
  <c r="G52" i="82"/>
  <c r="K92" i="82"/>
  <c r="G59" i="74"/>
  <c r="K72" i="88"/>
  <c r="G95" i="97"/>
  <c r="G34" i="71"/>
  <c r="K61" i="105"/>
  <c r="K80" i="79"/>
  <c r="G53" i="98"/>
  <c r="K79" i="103"/>
  <c r="G109" i="111"/>
  <c r="G37" i="83"/>
  <c r="G55" i="104"/>
  <c r="K90" i="72"/>
  <c r="K66" i="108"/>
  <c r="K101" i="105"/>
  <c r="K82" i="113"/>
  <c r="K106" i="90"/>
  <c r="G77" i="116"/>
  <c r="K93" i="77"/>
  <c r="K110" i="83"/>
  <c r="K50" i="65"/>
  <c r="K92" i="104"/>
  <c r="G47" i="109"/>
  <c r="K97" i="108"/>
  <c r="G79" i="76"/>
  <c r="K49" i="76"/>
  <c r="K71" i="110"/>
  <c r="K49" i="80"/>
  <c r="K32" i="110"/>
  <c r="K61" i="87"/>
  <c r="G40" i="111"/>
  <c r="G74" i="71"/>
  <c r="K34" i="86"/>
  <c r="G32" i="117"/>
  <c r="K47" i="100"/>
  <c r="K51" i="115"/>
  <c r="G57" i="97"/>
  <c r="G44" i="117"/>
  <c r="G49" i="79"/>
  <c r="K88" i="65"/>
  <c r="G62" i="83"/>
  <c r="K62" i="80"/>
  <c r="K73" i="117"/>
  <c r="G92" i="106"/>
  <c r="K79" i="104"/>
  <c r="G48" i="86"/>
  <c r="G101" i="109"/>
  <c r="K74" i="105"/>
  <c r="K92" i="107"/>
  <c r="G79" i="81"/>
  <c r="G56" i="111"/>
  <c r="K103" i="114"/>
  <c r="K43" i="104"/>
  <c r="K36" i="99"/>
  <c r="K72" i="83"/>
  <c r="G102" i="79"/>
  <c r="G87" i="88"/>
  <c r="K75" i="85"/>
  <c r="K72" i="80"/>
  <c r="K74" i="72"/>
  <c r="K103" i="113"/>
  <c r="G94" i="116"/>
  <c r="G44" i="101"/>
  <c r="K101" i="74"/>
  <c r="G59" i="97"/>
  <c r="K36" i="97"/>
  <c r="K85" i="105"/>
  <c r="K98" i="79"/>
  <c r="G71" i="116"/>
  <c r="K87" i="92"/>
  <c r="K86" i="86"/>
  <c r="G101" i="73"/>
  <c r="G104" i="84"/>
  <c r="K91" i="75"/>
  <c r="K40" i="79"/>
  <c r="G33" i="101"/>
  <c r="K36" i="86"/>
  <c r="G47" i="108"/>
  <c r="K55" i="110"/>
  <c r="G53" i="65"/>
  <c r="K37" i="86"/>
  <c r="K106" i="84"/>
  <c r="K82" i="106"/>
  <c r="G41" i="74"/>
  <c r="G48" i="72"/>
  <c r="K97" i="87"/>
  <c r="G62" i="114"/>
  <c r="G106" i="105"/>
  <c r="K42" i="86"/>
  <c r="G41" i="116"/>
  <c r="G67" i="98"/>
  <c r="K77" i="107"/>
  <c r="G84" i="106"/>
  <c r="G108" i="82"/>
  <c r="K90" i="87"/>
  <c r="K75" i="98"/>
  <c r="G62" i="74"/>
  <c r="G102" i="71"/>
  <c r="K40" i="92"/>
  <c r="G68" i="100"/>
  <c r="K88" i="106"/>
  <c r="G45" i="86"/>
  <c r="K35" i="87"/>
  <c r="G83" i="108"/>
  <c r="G65" i="115"/>
  <c r="K94" i="84"/>
  <c r="K65" i="117"/>
  <c r="G93" i="75"/>
  <c r="G71" i="78"/>
  <c r="G46" i="88"/>
  <c r="K76" i="89"/>
  <c r="G83" i="83"/>
  <c r="K108" i="103"/>
  <c r="G69" i="108"/>
  <c r="G88" i="81"/>
  <c r="K76" i="98"/>
  <c r="G72" i="91"/>
  <c r="G35" i="104"/>
  <c r="G91" i="116"/>
  <c r="K90" i="97"/>
  <c r="G72" i="72"/>
  <c r="G94" i="117"/>
  <c r="G76" i="84"/>
  <c r="K49" i="74"/>
  <c r="G32" i="98"/>
  <c r="K81" i="87"/>
  <c r="K65" i="109"/>
  <c r="K103" i="90"/>
  <c r="G38" i="107"/>
  <c r="K46" i="117"/>
  <c r="G55" i="65"/>
  <c r="K96" i="116"/>
  <c r="G103" i="90"/>
  <c r="G70" i="105"/>
  <c r="K78" i="65"/>
  <c r="K36" i="73"/>
  <c r="K103" i="98"/>
  <c r="G98" i="110"/>
  <c r="K51" i="97"/>
  <c r="G49" i="100"/>
  <c r="G35" i="83"/>
  <c r="K42" i="89"/>
  <c r="K34" i="105"/>
  <c r="G74" i="110"/>
  <c r="G73" i="91"/>
  <c r="G88" i="113"/>
  <c r="K95" i="105"/>
  <c r="G86" i="115"/>
  <c r="G78" i="111"/>
  <c r="G104" i="92"/>
  <c r="G41" i="115"/>
  <c r="G46" i="113"/>
  <c r="G67" i="83"/>
  <c r="K32" i="117"/>
  <c r="G34" i="108"/>
  <c r="G83" i="80"/>
  <c r="K49" i="84"/>
  <c r="K44" i="105"/>
  <c r="K39" i="88"/>
  <c r="G43" i="104"/>
  <c r="K83" i="84"/>
  <c r="G89" i="104"/>
  <c r="K45" i="78"/>
  <c r="K48" i="117"/>
  <c r="K104" i="88"/>
  <c r="G61" i="92"/>
  <c r="G36" i="92"/>
  <c r="G88" i="90"/>
  <c r="G55" i="99"/>
  <c r="G104" i="79"/>
  <c r="G87" i="110"/>
  <c r="K107" i="108"/>
  <c r="G92" i="78"/>
  <c r="G93" i="85"/>
  <c r="G49" i="83"/>
  <c r="K68" i="71"/>
  <c r="K108" i="110"/>
  <c r="K83" i="115"/>
  <c r="G38" i="111"/>
  <c r="G95" i="115"/>
  <c r="G42" i="103"/>
  <c r="G42" i="71"/>
  <c r="K38" i="76"/>
  <c r="K99" i="80"/>
  <c r="G43" i="115"/>
  <c r="G75" i="101"/>
  <c r="K44" i="73"/>
  <c r="G76" i="116"/>
  <c r="G50" i="85"/>
  <c r="K76" i="84"/>
  <c r="G59" i="98"/>
  <c r="K33" i="82"/>
  <c r="G47" i="106"/>
  <c r="K65" i="77"/>
  <c r="K48" i="99"/>
  <c r="K101" i="107"/>
  <c r="K71" i="84"/>
  <c r="G59" i="73"/>
  <c r="G92" i="97"/>
  <c r="K51" i="88"/>
  <c r="G67" i="75"/>
  <c r="K42" i="106"/>
  <c r="G66" i="101"/>
  <c r="K49" i="82"/>
  <c r="K66" i="110"/>
  <c r="K90" i="75"/>
  <c r="G35" i="116"/>
  <c r="G91" i="79"/>
  <c r="G110" i="89"/>
  <c r="G60" i="113"/>
  <c r="G57" i="83"/>
  <c r="G45" i="115"/>
  <c r="K36" i="89"/>
  <c r="G73" i="113"/>
  <c r="G39" i="65"/>
  <c r="K40" i="86"/>
  <c r="G74" i="80"/>
  <c r="G104" i="77"/>
  <c r="K96" i="65"/>
  <c r="G84" i="78"/>
  <c r="G91" i="74"/>
  <c r="G69" i="79"/>
  <c r="K69" i="82"/>
  <c r="K35" i="82"/>
  <c r="G36" i="97"/>
  <c r="G40" i="110"/>
  <c r="G43" i="83"/>
  <c r="K93" i="108"/>
  <c r="G65" i="81"/>
  <c r="K52" i="98"/>
  <c r="G52" i="103"/>
  <c r="K42" i="76"/>
  <c r="K85" i="79"/>
  <c r="G86" i="106"/>
  <c r="G51" i="104"/>
  <c r="K78" i="80"/>
  <c r="G71" i="76"/>
  <c r="K59" i="117"/>
  <c r="K85" i="90"/>
  <c r="K56" i="87"/>
  <c r="K90" i="115"/>
  <c r="G39" i="78"/>
  <c r="G87" i="102"/>
  <c r="G72" i="103"/>
  <c r="G107" i="105"/>
  <c r="G43" i="84"/>
  <c r="G77" i="97"/>
  <c r="G69" i="107"/>
  <c r="K38" i="102"/>
  <c r="K36" i="83"/>
  <c r="K65" i="88"/>
  <c r="K32" i="107"/>
  <c r="K62" i="98"/>
  <c r="G97" i="79"/>
  <c r="K73" i="91"/>
  <c r="G44" i="91"/>
  <c r="G68" i="80"/>
  <c r="K100" i="99"/>
  <c r="K55" i="86"/>
  <c r="K39" i="77"/>
  <c r="G39" i="85"/>
  <c r="K61" i="110"/>
  <c r="K97" i="89"/>
  <c r="K79" i="117"/>
  <c r="K100" i="101"/>
  <c r="G68" i="113"/>
  <c r="K103" i="75"/>
  <c r="K87" i="114"/>
  <c r="K59" i="73"/>
  <c r="K68" i="81"/>
  <c r="K97" i="111"/>
  <c r="K75" i="82"/>
  <c r="K100" i="65"/>
  <c r="G87" i="117"/>
  <c r="G54" i="99"/>
  <c r="G52" i="83"/>
  <c r="G84" i="75"/>
  <c r="G103" i="82"/>
  <c r="K96" i="114"/>
  <c r="K54" i="110"/>
  <c r="K110" i="102"/>
  <c r="K71" i="88"/>
  <c r="K78" i="74"/>
  <c r="K51" i="116"/>
  <c r="G73" i="106"/>
  <c r="K43" i="111"/>
  <c r="G86" i="90"/>
  <c r="G37" i="82"/>
  <c r="G42" i="76"/>
  <c r="G40" i="65"/>
  <c r="K39" i="87"/>
  <c r="G53" i="77"/>
  <c r="G99" i="87"/>
  <c r="K52" i="103"/>
  <c r="K74" i="98"/>
  <c r="G79" i="106"/>
  <c r="K98" i="86"/>
  <c r="K75" i="88"/>
  <c r="K66" i="102"/>
  <c r="G100" i="85"/>
  <c r="K108" i="76"/>
  <c r="G33" i="98"/>
  <c r="G108" i="101"/>
  <c r="G77" i="80"/>
  <c r="G49" i="114"/>
  <c r="G86" i="74"/>
  <c r="K77" i="65"/>
  <c r="K107" i="92"/>
  <c r="G52" i="108"/>
  <c r="K32" i="111"/>
  <c r="G33" i="115"/>
  <c r="K60" i="80"/>
  <c r="K109" i="86"/>
  <c r="G80" i="71"/>
  <c r="K38" i="116"/>
  <c r="G53" i="86"/>
  <c r="K88" i="71"/>
  <c r="G51" i="100"/>
  <c r="K98" i="89"/>
  <c r="G41" i="78"/>
  <c r="K54" i="87"/>
  <c r="G57" i="98"/>
  <c r="G47" i="115"/>
  <c r="K76" i="80"/>
  <c r="G41" i="113"/>
  <c r="G61" i="84"/>
  <c r="G48" i="84"/>
  <c r="K109" i="104"/>
  <c r="K61" i="82"/>
  <c r="K102" i="73"/>
  <c r="G37" i="90"/>
  <c r="K99" i="83"/>
  <c r="K71" i="71"/>
  <c r="G71" i="111"/>
  <c r="K109" i="91"/>
  <c r="K80" i="117"/>
  <c r="G36" i="79"/>
  <c r="G81" i="115"/>
  <c r="G42" i="88"/>
  <c r="G76" i="89"/>
  <c r="G52" i="89"/>
  <c r="K72" i="113"/>
  <c r="G71" i="98"/>
  <c r="K88" i="83"/>
  <c r="G80" i="108"/>
  <c r="K67" i="83"/>
  <c r="G49" i="78"/>
  <c r="G81" i="97"/>
  <c r="G33" i="65"/>
  <c r="G73" i="109"/>
  <c r="G90" i="78"/>
  <c r="G48" i="105"/>
  <c r="K90" i="82"/>
  <c r="G95" i="75"/>
  <c r="K81" i="97"/>
  <c r="K35" i="102"/>
  <c r="K44" i="117"/>
  <c r="G79" i="72"/>
  <c r="G102" i="116"/>
  <c r="K59" i="105"/>
  <c r="K90" i="110"/>
  <c r="K45" i="82"/>
  <c r="K52" i="108"/>
  <c r="K59" i="106"/>
  <c r="G92" i="99"/>
  <c r="G68" i="102"/>
  <c r="G78" i="92"/>
  <c r="G38" i="81"/>
  <c r="G82" i="74"/>
  <c r="G77" i="77"/>
  <c r="G87" i="84"/>
  <c r="G32" i="106"/>
  <c r="G41" i="117"/>
  <c r="G79" i="91"/>
  <c r="G89" i="76"/>
  <c r="K103" i="106"/>
  <c r="K79" i="98"/>
  <c r="K106" i="113"/>
  <c r="G56" i="81"/>
  <c r="K48" i="106"/>
  <c r="G44" i="72"/>
  <c r="K59" i="92"/>
  <c r="G85" i="73"/>
  <c r="G88" i="72"/>
  <c r="K79" i="90"/>
  <c r="K77" i="83"/>
  <c r="G100" i="103"/>
  <c r="G107" i="87"/>
  <c r="K102" i="102"/>
  <c r="G41" i="87"/>
  <c r="G82" i="107"/>
  <c r="K108" i="79"/>
  <c r="G60" i="100"/>
  <c r="G32" i="73"/>
  <c r="K73" i="106"/>
  <c r="K81" i="102"/>
  <c r="G90" i="115"/>
  <c r="K48" i="81"/>
  <c r="G40" i="79"/>
  <c r="G81" i="72"/>
  <c r="G51" i="115"/>
  <c r="K85" i="72"/>
  <c r="G62" i="71"/>
  <c r="G80" i="100"/>
  <c r="G102" i="82"/>
  <c r="G110" i="88"/>
  <c r="G54" i="78"/>
  <c r="K56" i="71"/>
  <c r="G87" i="106"/>
  <c r="K46" i="88"/>
  <c r="G96" i="103"/>
  <c r="G40" i="92"/>
  <c r="G94" i="89"/>
  <c r="K41" i="102"/>
  <c r="G54" i="103"/>
  <c r="K86" i="89"/>
  <c r="G45" i="77"/>
  <c r="K40" i="108"/>
  <c r="K95" i="74"/>
  <c r="K50" i="72"/>
  <c r="I16" i="54"/>
  <c r="K57" i="74"/>
  <c r="G66" i="113"/>
  <c r="G52" i="111"/>
  <c r="G103" i="97"/>
  <c r="G33" i="73"/>
  <c r="G42" i="106"/>
  <c r="K104" i="65"/>
  <c r="K74" i="83"/>
  <c r="G91" i="92"/>
  <c r="G34" i="115"/>
  <c r="G57" i="107"/>
  <c r="K85" i="102"/>
  <c r="G92" i="75"/>
  <c r="K40" i="88"/>
  <c r="G65" i="117"/>
  <c r="K43" i="71"/>
  <c r="G53" i="72"/>
  <c r="G44" i="81"/>
  <c r="G86" i="107"/>
  <c r="K66" i="92"/>
  <c r="K62" i="89"/>
  <c r="K69" i="75"/>
  <c r="G78" i="105"/>
  <c r="G61" i="99"/>
  <c r="G75" i="107"/>
  <c r="G79" i="116"/>
  <c r="K88" i="77"/>
  <c r="K35" i="109"/>
  <c r="AJ16" i="54"/>
  <c r="G34" i="72"/>
  <c r="K41" i="99"/>
  <c r="K59" i="82"/>
  <c r="G90" i="91"/>
  <c r="K41" i="85"/>
  <c r="K53" i="116"/>
  <c r="K53" i="83"/>
  <c r="K94" i="80"/>
  <c r="K107" i="86"/>
  <c r="K95" i="111"/>
  <c r="G77" i="114"/>
  <c r="K44" i="88"/>
  <c r="K61" i="108"/>
  <c r="G88" i="106"/>
  <c r="G44" i="97"/>
  <c r="G71" i="65"/>
  <c r="G92" i="74"/>
  <c r="K98" i="88"/>
  <c r="G36" i="98"/>
  <c r="K73" i="74"/>
  <c r="G101" i="108"/>
  <c r="G43" i="71"/>
  <c r="K33" i="78"/>
  <c r="G71" i="92"/>
  <c r="G77" i="104"/>
  <c r="K33" i="71"/>
  <c r="G97" i="116"/>
  <c r="K32" i="101"/>
  <c r="K68" i="110"/>
  <c r="G37" i="99"/>
  <c r="K67" i="77"/>
  <c r="G87" i="80"/>
  <c r="K77" i="84"/>
  <c r="G49" i="115"/>
  <c r="K67" i="116"/>
  <c r="G69" i="76"/>
  <c r="G78" i="76"/>
  <c r="K53" i="117"/>
  <c r="G66" i="85"/>
  <c r="G70" i="109"/>
  <c r="G56" i="114"/>
  <c r="G101" i="75"/>
  <c r="G82" i="84"/>
  <c r="G88" i="84"/>
  <c r="K80" i="91"/>
  <c r="K48" i="100"/>
  <c r="G55" i="108"/>
  <c r="K35" i="74"/>
  <c r="G35" i="84"/>
  <c r="K68" i="97"/>
  <c r="G70" i="116"/>
  <c r="K77" i="72"/>
  <c r="G79" i="109"/>
  <c r="K96" i="106"/>
  <c r="K94" i="109"/>
  <c r="G42" i="117"/>
  <c r="G71" i="90"/>
  <c r="G39" i="73"/>
  <c r="G99" i="82"/>
  <c r="K77" i="82"/>
  <c r="K80" i="90"/>
  <c r="G68" i="111"/>
  <c r="K74" i="90"/>
  <c r="K52" i="76"/>
  <c r="G78" i="117"/>
  <c r="G70" i="90"/>
  <c r="K108" i="88"/>
  <c r="K70" i="79"/>
  <c r="G104" i="80"/>
  <c r="G90" i="87"/>
  <c r="G35" i="99"/>
  <c r="K95" i="78"/>
  <c r="G100" i="86"/>
  <c r="G102" i="86"/>
  <c r="K50" i="74"/>
  <c r="G57" i="116"/>
  <c r="K47" i="91"/>
  <c r="G106" i="77"/>
  <c r="K60" i="75"/>
  <c r="K80" i="74"/>
  <c r="K102" i="77"/>
  <c r="K46" i="65"/>
  <c r="K103" i="110"/>
  <c r="G74" i="91"/>
  <c r="G36" i="81"/>
  <c r="G35" i="76"/>
  <c r="K34" i="92"/>
  <c r="G84" i="102"/>
  <c r="G59" i="71"/>
  <c r="G110" i="117"/>
  <c r="K43" i="76"/>
  <c r="K110" i="103"/>
  <c r="K48" i="89"/>
  <c r="G51" i="88"/>
  <c r="K60" i="103"/>
  <c r="G38" i="90"/>
  <c r="K99" i="88"/>
  <c r="K94" i="79"/>
  <c r="G47" i="116"/>
  <c r="K71" i="75"/>
  <c r="K72" i="65"/>
  <c r="K81" i="79"/>
  <c r="K50" i="99"/>
  <c r="G70" i="75"/>
  <c r="K84" i="78"/>
  <c r="G44" i="99"/>
  <c r="G96" i="113"/>
  <c r="G39" i="100"/>
  <c r="K39" i="82"/>
  <c r="K69" i="84"/>
  <c r="K36" i="87"/>
  <c r="G75" i="88"/>
  <c r="G109" i="101"/>
  <c r="K89" i="76"/>
  <c r="K85" i="97"/>
  <c r="K65" i="110"/>
  <c r="K89" i="74"/>
  <c r="G88" i="103"/>
  <c r="G79" i="90"/>
  <c r="K48" i="92"/>
  <c r="K60" i="113"/>
  <c r="G107" i="85"/>
  <c r="K82" i="85"/>
  <c r="K53" i="99"/>
  <c r="K41" i="103"/>
  <c r="G84" i="91"/>
  <c r="K70" i="89"/>
  <c r="G101" i="99"/>
  <c r="G75" i="104"/>
  <c r="K102" i="113"/>
  <c r="K48" i="72"/>
  <c r="G44" i="113"/>
  <c r="K37" i="97"/>
  <c r="G98" i="76"/>
  <c r="K82" i="107"/>
  <c r="K60" i="88"/>
  <c r="K62" i="92"/>
  <c r="K43" i="74"/>
  <c r="G68" i="116"/>
  <c r="K44" i="98"/>
  <c r="G62" i="86"/>
  <c r="G82" i="108"/>
  <c r="G104" i="103"/>
  <c r="G50" i="77"/>
  <c r="G79" i="115"/>
  <c r="K49" i="106"/>
  <c r="K62" i="116"/>
  <c r="K98" i="114"/>
  <c r="K109" i="81"/>
  <c r="G56" i="110"/>
  <c r="K85" i="98"/>
  <c r="G56" i="109"/>
  <c r="K107" i="107"/>
  <c r="G110" i="97"/>
  <c r="K76" i="103"/>
  <c r="K81" i="117"/>
  <c r="G52" i="113"/>
  <c r="K78" i="115"/>
  <c r="K51" i="114"/>
  <c r="K72" i="104"/>
  <c r="K83" i="100"/>
  <c r="K35" i="89"/>
  <c r="G35" i="88"/>
  <c r="K35" i="111"/>
  <c r="K89" i="73"/>
  <c r="K49" i="107"/>
  <c r="G91" i="88"/>
  <c r="K72" i="73"/>
  <c r="G45" i="109"/>
  <c r="K45" i="77"/>
  <c r="G61" i="71"/>
  <c r="K87" i="113"/>
  <c r="K103" i="88"/>
  <c r="K108" i="81"/>
  <c r="G93" i="79"/>
  <c r="K83" i="105"/>
  <c r="G73" i="87"/>
  <c r="G37" i="73"/>
  <c r="K110" i="81"/>
  <c r="K92" i="86"/>
  <c r="G67" i="114"/>
  <c r="K55" i="99"/>
  <c r="K73" i="98"/>
  <c r="G48" i="117"/>
  <c r="G62" i="89"/>
  <c r="G59" i="108"/>
  <c r="G41" i="77"/>
  <c r="G96" i="115"/>
  <c r="K84" i="103"/>
  <c r="G90" i="107"/>
  <c r="G73" i="99"/>
  <c r="G85" i="109"/>
  <c r="G74" i="89"/>
  <c r="G77" i="99"/>
  <c r="G90" i="86"/>
  <c r="K85" i="103"/>
  <c r="K89" i="115"/>
  <c r="K71" i="82"/>
  <c r="K109" i="117"/>
  <c r="G54" i="77"/>
  <c r="K61" i="100"/>
  <c r="G38" i="80"/>
  <c r="K89" i="80"/>
  <c r="G89" i="110"/>
  <c r="G51" i="110"/>
  <c r="K46" i="78"/>
  <c r="G75" i="86"/>
  <c r="K101" i="79"/>
  <c r="K43" i="75"/>
  <c r="G37" i="81"/>
  <c r="G39" i="80"/>
  <c r="G55" i="81"/>
  <c r="G90" i="97"/>
  <c r="G65" i="82"/>
  <c r="G83" i="84"/>
  <c r="K53" i="82"/>
  <c r="G83" i="74"/>
  <c r="G42" i="108"/>
  <c r="G84" i="83"/>
  <c r="G88" i="102"/>
  <c r="K33" i="86"/>
  <c r="G87" i="90"/>
  <c r="G73" i="86"/>
  <c r="K77" i="88"/>
  <c r="G101" i="85"/>
  <c r="K77" i="114"/>
  <c r="K98" i="106"/>
  <c r="G84" i="65"/>
  <c r="K79" i="79"/>
  <c r="G40" i="114"/>
  <c r="K48" i="76"/>
  <c r="K69" i="99"/>
  <c r="K43" i="72"/>
  <c r="G73" i="98"/>
  <c r="K110" i="99"/>
  <c r="K107" i="75"/>
  <c r="K77" i="92"/>
  <c r="K99" i="82"/>
  <c r="K33" i="116"/>
  <c r="G109" i="91"/>
  <c r="K67" i="85"/>
  <c r="K102" i="110"/>
  <c r="G47" i="78"/>
  <c r="G38" i="85"/>
  <c r="G50" i="91"/>
  <c r="G38" i="89"/>
  <c r="G50" i="86"/>
  <c r="K34" i="88"/>
  <c r="K60" i="89"/>
  <c r="G96" i="107"/>
  <c r="G48" i="109"/>
  <c r="G53" i="97"/>
  <c r="K92" i="87"/>
  <c r="G53" i="109"/>
  <c r="K76" i="97"/>
  <c r="G36" i="101"/>
  <c r="K74" i="114"/>
  <c r="K41" i="116"/>
  <c r="K39" i="65"/>
  <c r="G44" i="78"/>
  <c r="K81" i="101"/>
  <c r="K33" i="87"/>
  <c r="K59" i="98"/>
  <c r="K36" i="65"/>
  <c r="G55" i="101"/>
  <c r="K32" i="103"/>
  <c r="K110" i="100"/>
  <c r="K103" i="108"/>
  <c r="G68" i="81"/>
  <c r="K60" i="78"/>
  <c r="K84" i="104"/>
  <c r="K46" i="75"/>
  <c r="K80" i="106"/>
  <c r="K47" i="81"/>
  <c r="G71" i="104"/>
  <c r="G104" i="106"/>
  <c r="G41" i="114"/>
  <c r="K85" i="81"/>
  <c r="G60" i="109"/>
  <c r="G66" i="78"/>
  <c r="G43" i="100"/>
  <c r="K107" i="80"/>
  <c r="G78" i="65"/>
  <c r="K89" i="84"/>
  <c r="K74" i="84"/>
  <c r="G74" i="92"/>
  <c r="G52" i="76"/>
  <c r="K85" i="117"/>
  <c r="K79" i="113"/>
  <c r="G45" i="104"/>
  <c r="G91" i="102"/>
  <c r="K101" i="73"/>
  <c r="G101" i="83"/>
  <c r="K86" i="77"/>
  <c r="G43" i="78"/>
  <c r="G107" i="65"/>
  <c r="K35" i="72"/>
  <c r="K106" i="71"/>
  <c r="K38" i="80"/>
  <c r="G32" i="88"/>
  <c r="G96" i="106"/>
  <c r="K45" i="116"/>
  <c r="K54" i="116"/>
  <c r="G43" i="116"/>
  <c r="K79" i="78"/>
  <c r="K85" i="104"/>
  <c r="G65" i="103"/>
  <c r="G71" i="83"/>
  <c r="G89" i="87"/>
  <c r="G82" i="102"/>
  <c r="G56" i="79"/>
  <c r="G36" i="113"/>
  <c r="K42" i="84"/>
  <c r="K51" i="102"/>
  <c r="K75" i="111"/>
  <c r="K93" i="113"/>
  <c r="K37" i="84"/>
  <c r="G85" i="92"/>
  <c r="K95" i="98"/>
  <c r="G87" i="74"/>
  <c r="G48" i="115"/>
  <c r="G59" i="81"/>
  <c r="G36" i="89"/>
  <c r="K49" i="87"/>
  <c r="G43" i="87"/>
  <c r="G62" i="113"/>
  <c r="K80" i="75"/>
  <c r="G56" i="92"/>
  <c r="K94" i="104"/>
  <c r="K78" i="91"/>
  <c r="G59" i="103"/>
  <c r="K101" i="109"/>
  <c r="G89" i="88"/>
  <c r="G89" i="84"/>
  <c r="K86" i="97"/>
  <c r="K88" i="116"/>
  <c r="G79" i="113"/>
  <c r="K71" i="83"/>
  <c r="K39" i="85"/>
  <c r="G106" i="109"/>
  <c r="G103" i="106"/>
  <c r="K82" i="71"/>
  <c r="G51" i="102"/>
  <c r="K99" i="107"/>
  <c r="G51" i="106"/>
  <c r="K110" i="92"/>
  <c r="G101" i="84"/>
  <c r="K85" i="74"/>
  <c r="K90" i="101"/>
  <c r="G81" i="77"/>
  <c r="G74" i="107"/>
  <c r="G66" i="88"/>
  <c r="G68" i="84"/>
  <c r="G33" i="72"/>
  <c r="K42" i="87"/>
  <c r="G95" i="117"/>
  <c r="K61" i="80"/>
  <c r="G71" i="72"/>
  <c r="K34" i="89"/>
  <c r="K104" i="92"/>
  <c r="G36" i="114"/>
  <c r="G66" i="65"/>
  <c r="G67" i="115"/>
  <c r="K89" i="116"/>
  <c r="K40" i="65"/>
  <c r="G61" i="89"/>
  <c r="G95" i="110"/>
  <c r="K42" i="97"/>
  <c r="G83" i="72"/>
  <c r="G55" i="89"/>
  <c r="G72" i="115"/>
  <c r="K92" i="117"/>
  <c r="K80" i="88"/>
  <c r="G51" i="90"/>
  <c r="K93" i="109"/>
  <c r="K75" i="101"/>
  <c r="K32" i="83"/>
  <c r="K72" i="90"/>
  <c r="K68" i="103"/>
  <c r="K47" i="84"/>
  <c r="K42" i="113"/>
  <c r="K35" i="104"/>
  <c r="K65" i="108"/>
  <c r="G75" i="116"/>
  <c r="K62" i="79"/>
  <c r="G110" i="87"/>
  <c r="K110" i="78"/>
  <c r="G107" i="108"/>
  <c r="G89" i="89"/>
  <c r="K34" i="85"/>
  <c r="K42" i="108"/>
  <c r="G100" i="65"/>
  <c r="K90" i="104"/>
  <c r="K54" i="91"/>
  <c r="G35" i="85"/>
  <c r="K91" i="82"/>
  <c r="K97" i="106"/>
  <c r="K35" i="71"/>
  <c r="G76" i="71"/>
  <c r="K65" i="79"/>
  <c r="K49" i="92"/>
  <c r="G98" i="115"/>
  <c r="K38" i="82"/>
  <c r="K77" i="115"/>
  <c r="K82" i="65"/>
  <c r="G61" i="90"/>
  <c r="G69" i="80"/>
  <c r="K96" i="77"/>
  <c r="G56" i="76"/>
  <c r="K85" i="76"/>
  <c r="G83" i="90"/>
  <c r="G46" i="78"/>
  <c r="G37" i="88"/>
  <c r="G102" i="99"/>
  <c r="G103" i="111"/>
  <c r="G106" i="76"/>
  <c r="G32" i="97"/>
  <c r="G48" i="92"/>
  <c r="K68" i="102"/>
  <c r="G76" i="106"/>
  <c r="K35" i="79"/>
  <c r="G102" i="107"/>
  <c r="K82" i="92"/>
  <c r="G66" i="110"/>
  <c r="G45" i="88"/>
  <c r="K61" i="79"/>
  <c r="K89" i="82"/>
  <c r="G54" i="72"/>
  <c r="K73" i="89"/>
  <c r="K91" i="111"/>
  <c r="K84" i="113"/>
  <c r="G65" i="99"/>
  <c r="G48" i="75"/>
  <c r="G56" i="113"/>
  <c r="G66" i="100"/>
  <c r="K89" i="81"/>
  <c r="K57" i="108"/>
  <c r="K61" i="74"/>
  <c r="G72" i="77"/>
  <c r="K49" i="100"/>
  <c r="G73" i="71"/>
  <c r="G83" i="103"/>
  <c r="G42" i="87"/>
  <c r="G42" i="72"/>
  <c r="K34" i="108"/>
  <c r="K52" i="114"/>
  <c r="K37" i="114"/>
  <c r="K33" i="104"/>
  <c r="G42" i="97"/>
  <c r="G94" i="100"/>
  <c r="G106" i="117"/>
  <c r="G71" i="103"/>
  <c r="G108" i="73"/>
  <c r="G40" i="88"/>
  <c r="G57" i="105"/>
  <c r="K78" i="75"/>
  <c r="K47" i="111"/>
  <c r="K108" i="107"/>
  <c r="K87" i="82"/>
  <c r="K97" i="109"/>
  <c r="G34" i="91"/>
  <c r="G108" i="89"/>
  <c r="K71" i="105"/>
  <c r="K73" i="111"/>
  <c r="K109" i="97"/>
  <c r="G91" i="114"/>
  <c r="G70" i="88"/>
  <c r="K87" i="85"/>
  <c r="G71" i="105"/>
  <c r="G86" i="83"/>
  <c r="K67" i="107"/>
  <c r="K70" i="105"/>
  <c r="K75" i="113"/>
  <c r="G59" i="90"/>
  <c r="G102" i="111"/>
  <c r="K38" i="75"/>
  <c r="K41" i="117"/>
  <c r="G67" i="78"/>
  <c r="G38" i="110"/>
  <c r="G57" i="103"/>
  <c r="K92" i="74"/>
  <c r="K49" i="78"/>
  <c r="K66" i="76"/>
  <c r="G68" i="104"/>
  <c r="K89" i="91"/>
  <c r="K50" i="111"/>
  <c r="K78" i="113"/>
  <c r="K94" i="73"/>
  <c r="K98" i="116"/>
  <c r="G40" i="99"/>
  <c r="G37" i="106"/>
  <c r="K107" i="87"/>
  <c r="G110" i="85"/>
  <c r="G96" i="91"/>
  <c r="K83" i="99"/>
  <c r="K71" i="90"/>
  <c r="G91" i="72"/>
  <c r="K61" i="111"/>
  <c r="K106" i="81"/>
  <c r="G98" i="85"/>
  <c r="G99" i="72"/>
  <c r="K77" i="76"/>
  <c r="G59" i="77"/>
  <c r="G68" i="83"/>
  <c r="K80" i="77"/>
  <c r="G103" i="99"/>
  <c r="G61" i="103"/>
  <c r="G70" i="115"/>
  <c r="G35" i="98"/>
  <c r="G76" i="90"/>
  <c r="K107" i="116"/>
  <c r="G44" i="92"/>
  <c r="K87" i="90"/>
  <c r="K97" i="116"/>
  <c r="K94" i="65"/>
  <c r="K66" i="83"/>
  <c r="K87" i="116"/>
  <c r="G82" i="113"/>
  <c r="G81" i="74"/>
  <c r="G32" i="90"/>
  <c r="G39" i="102"/>
  <c r="G62" i="78"/>
  <c r="K91" i="98"/>
  <c r="G87" i="91"/>
  <c r="K65" i="87"/>
  <c r="K100" i="78"/>
  <c r="G93" i="92"/>
  <c r="K66" i="104"/>
  <c r="K55" i="92"/>
  <c r="K97" i="74"/>
  <c r="K69" i="71"/>
  <c r="G95" i="100"/>
  <c r="K75" i="83"/>
  <c r="K101" i="113"/>
  <c r="G57" i="108"/>
  <c r="G54" i="108"/>
  <c r="G86" i="101"/>
  <c r="K42" i="98"/>
  <c r="G91" i="86"/>
  <c r="G57" i="74"/>
  <c r="K48" i="87"/>
  <c r="K100" i="116"/>
  <c r="G81" i="80"/>
  <c r="K48" i="114"/>
  <c r="G80" i="65"/>
  <c r="G36" i="99"/>
  <c r="K97" i="98"/>
  <c r="K84" i="101"/>
  <c r="G107" i="80"/>
  <c r="G95" i="78"/>
  <c r="K73" i="109"/>
  <c r="G66" i="91"/>
  <c r="K55" i="89"/>
  <c r="G83" i="109"/>
  <c r="G59" i="107"/>
  <c r="K89" i="101"/>
  <c r="G80" i="82"/>
  <c r="G85" i="83"/>
  <c r="K34" i="107"/>
  <c r="G41" i="108"/>
  <c r="K101" i="72"/>
  <c r="K47" i="86"/>
  <c r="K33" i="92"/>
  <c r="G62" i="117"/>
  <c r="K67" i="74"/>
  <c r="K97" i="115"/>
  <c r="G75" i="78"/>
  <c r="G44" i="73"/>
  <c r="K77" i="109"/>
  <c r="G35" i="74"/>
  <c r="G109" i="81"/>
  <c r="G70" i="107"/>
  <c r="G40" i="77"/>
  <c r="G92" i="80"/>
  <c r="K79" i="72"/>
  <c r="G101" i="116"/>
  <c r="G57" i="102"/>
  <c r="K36" i="91"/>
  <c r="K108" i="78"/>
  <c r="G38" i="98"/>
  <c r="K39" i="72"/>
  <c r="K37" i="82"/>
  <c r="K87" i="110"/>
  <c r="K57" i="111"/>
  <c r="K109" i="87"/>
  <c r="K83" i="101"/>
  <c r="K82" i="88"/>
  <c r="K72" i="74"/>
  <c r="K89" i="78"/>
  <c r="G110" i="115"/>
  <c r="G56" i="65"/>
  <c r="G97" i="74"/>
  <c r="K106" i="114"/>
  <c r="DW16" i="54"/>
  <c r="K90" i="81"/>
  <c r="K103" i="71"/>
  <c r="G48" i="101"/>
  <c r="G106" i="100"/>
  <c r="G101" i="90"/>
  <c r="K38" i="79"/>
  <c r="K89" i="90"/>
  <c r="G75" i="83"/>
  <c r="K109" i="71"/>
  <c r="K54" i="83"/>
  <c r="G110" i="109"/>
  <c r="G100" i="78"/>
  <c r="G102" i="102"/>
  <c r="K40" i="104"/>
  <c r="K109" i="101"/>
  <c r="K75" i="81"/>
  <c r="G81" i="104"/>
  <c r="G108" i="110"/>
  <c r="K77" i="90"/>
  <c r="G86" i="87"/>
  <c r="G80" i="77"/>
  <c r="K97" i="91"/>
  <c r="G85" i="102"/>
  <c r="G76" i="102"/>
  <c r="K107" i="65"/>
  <c r="K76" i="90"/>
  <c r="K84" i="83"/>
  <c r="G67" i="116"/>
  <c r="G61" i="108"/>
  <c r="K98" i="82"/>
  <c r="G43" i="85"/>
  <c r="G87" i="79"/>
  <c r="G35" i="105"/>
  <c r="K52" i="82"/>
  <c r="G67" i="89"/>
  <c r="K79" i="84"/>
  <c r="G40" i="103"/>
  <c r="G57" i="91"/>
  <c r="K108" i="108"/>
  <c r="G82" i="72"/>
  <c r="K62" i="84"/>
  <c r="G83" i="116"/>
  <c r="G33" i="84"/>
  <c r="K61" i="101"/>
  <c r="G67" i="77"/>
  <c r="G67" i="97"/>
  <c r="K32" i="92"/>
  <c r="O16" i="54"/>
  <c r="G67" i="99"/>
  <c r="K79" i="105"/>
  <c r="K91" i="71"/>
  <c r="G82" i="86"/>
  <c r="K87" i="87"/>
  <c r="G47" i="84"/>
  <c r="K55" i="80"/>
  <c r="K52" i="71"/>
  <c r="G92" i="79"/>
  <c r="G65" i="76"/>
  <c r="G34" i="97"/>
  <c r="G37" i="75"/>
  <c r="G95" i="106"/>
  <c r="G47" i="75"/>
  <c r="G70" i="103"/>
  <c r="K98" i="78"/>
  <c r="G41" i="99"/>
  <c r="K61" i="117"/>
  <c r="K51" i="73"/>
  <c r="K45" i="80"/>
  <c r="K107" i="73"/>
  <c r="K108" i="100"/>
  <c r="G75" i="84"/>
  <c r="K40" i="110"/>
  <c r="K62" i="109"/>
  <c r="G96" i="81"/>
  <c r="K53" i="90"/>
  <c r="G94" i="75"/>
  <c r="G96" i="79"/>
  <c r="G82" i="75"/>
  <c r="K54" i="109"/>
  <c r="K97" i="117"/>
  <c r="G97" i="104"/>
  <c r="G38" i="83"/>
  <c r="K102" i="101"/>
  <c r="K78" i="99"/>
  <c r="K95" i="72"/>
  <c r="G62" i="76"/>
  <c r="G42" i="116"/>
  <c r="G87" i="75"/>
  <c r="G45" i="110"/>
  <c r="G95" i="88"/>
  <c r="G84" i="104"/>
  <c r="G102" i="106"/>
  <c r="K86" i="99"/>
  <c r="G54" i="81"/>
  <c r="G86" i="105"/>
  <c r="K33" i="114"/>
  <c r="G82" i="104"/>
  <c r="K96" i="97"/>
  <c r="K79" i="106"/>
  <c r="K43" i="97"/>
  <c r="K95" i="99"/>
  <c r="K91" i="107"/>
  <c r="K71" i="73"/>
  <c r="G35" i="65"/>
  <c r="G97" i="109"/>
  <c r="K98" i="97"/>
  <c r="K102" i="89"/>
  <c r="G60" i="80"/>
  <c r="K73" i="110"/>
  <c r="G98" i="89"/>
  <c r="K36" i="117"/>
  <c r="K103" i="80"/>
  <c r="G39" i="98"/>
  <c r="K46" i="80"/>
  <c r="K37" i="74"/>
  <c r="G37" i="115"/>
  <c r="G106" i="98"/>
  <c r="G83" i="97"/>
  <c r="G51" i="103"/>
  <c r="K86" i="108"/>
  <c r="K82" i="103"/>
  <c r="K65" i="78"/>
  <c r="K51" i="117"/>
  <c r="G59" i="105"/>
  <c r="K41" i="97"/>
  <c r="K80" i="110"/>
  <c r="K32" i="114"/>
  <c r="K43" i="98"/>
  <c r="G88" i="116"/>
  <c r="K86" i="105"/>
  <c r="K79" i="86"/>
  <c r="K103" i="103"/>
  <c r="K95" i="117"/>
  <c r="G45" i="103"/>
  <c r="G33" i="76"/>
  <c r="K61" i="84"/>
  <c r="K73" i="79"/>
  <c r="G104" i="110"/>
  <c r="G42" i="65"/>
  <c r="K42" i="103"/>
  <c r="G38" i="65"/>
  <c r="K49" i="101"/>
  <c r="G38" i="88"/>
  <c r="G32" i="89"/>
  <c r="K49" i="71"/>
  <c r="K90" i="85"/>
  <c r="K43" i="113"/>
  <c r="G67" i="108"/>
  <c r="K76" i="116"/>
  <c r="K109" i="98"/>
  <c r="K88" i="99"/>
  <c r="K96" i="87"/>
  <c r="K57" i="101"/>
  <c r="G50" i="104"/>
  <c r="K102" i="75"/>
  <c r="K36" i="80"/>
  <c r="G62" i="97"/>
  <c r="G41" i="90"/>
  <c r="K96" i="74"/>
  <c r="K65" i="98"/>
  <c r="K65" i="85"/>
  <c r="G102" i="101"/>
  <c r="K59" i="110"/>
  <c r="G98" i="107"/>
  <c r="G89" i="79"/>
  <c r="G73" i="81"/>
  <c r="G92" i="65"/>
  <c r="K100" i="73"/>
  <c r="K94" i="71"/>
  <c r="K36" i="107"/>
  <c r="K38" i="92"/>
  <c r="K41" i="92"/>
  <c r="G66" i="90"/>
  <c r="G87" i="92"/>
  <c r="G41" i="106"/>
  <c r="K82" i="78"/>
  <c r="G49" i="101"/>
  <c r="G84" i="79"/>
  <c r="J16" i="54"/>
  <c r="K67" i="81"/>
  <c r="G71" i="99"/>
  <c r="G42" i="107"/>
  <c r="K47" i="76"/>
  <c r="K47" i="75"/>
  <c r="G104" i="99"/>
  <c r="K50" i="89"/>
  <c r="G34" i="110"/>
  <c r="K54" i="76"/>
  <c r="K61" i="114"/>
  <c r="K49" i="91"/>
  <c r="G102" i="97"/>
  <c r="K44" i="78"/>
  <c r="G93" i="110"/>
  <c r="G77" i="72"/>
  <c r="G54" i="97"/>
  <c r="G99" i="85"/>
  <c r="G72" i="98"/>
  <c r="K66" i="117"/>
  <c r="K102" i="76"/>
  <c r="K89" i="72"/>
  <c r="G86" i="77"/>
  <c r="G62" i="115"/>
  <c r="G72" i="92"/>
  <c r="G86" i="84"/>
  <c r="G78" i="97"/>
  <c r="G106" i="80"/>
  <c r="G51" i="74"/>
  <c r="K93" i="111"/>
  <c r="G68" i="75"/>
  <c r="K45" i="83"/>
  <c r="G75" i="76"/>
  <c r="K62" i="78"/>
  <c r="G103" i="71"/>
  <c r="G103" i="88"/>
  <c r="K51" i="90"/>
  <c r="G103" i="78"/>
  <c r="G70" i="110"/>
  <c r="K67" i="108"/>
  <c r="K94" i="98"/>
  <c r="G82" i="88"/>
  <c r="G66" i="116"/>
  <c r="K102" i="117"/>
  <c r="G34" i="105"/>
  <c r="G75" i="81"/>
  <c r="G60" i="89"/>
  <c r="K78" i="76"/>
  <c r="K60" i="114"/>
  <c r="K55" i="77"/>
  <c r="G108" i="75"/>
  <c r="G67" i="102"/>
  <c r="G35" i="113"/>
  <c r="G77" i="78"/>
  <c r="K48" i="91"/>
  <c r="K68" i="99"/>
  <c r="K57" i="105"/>
  <c r="K37" i="113"/>
  <c r="G38" i="73"/>
  <c r="K49" i="72"/>
  <c r="K103" i="115"/>
  <c r="G46" i="117"/>
  <c r="G49" i="76"/>
  <c r="K83" i="80"/>
  <c r="G32" i="72"/>
  <c r="G90" i="88"/>
  <c r="G93" i="87"/>
  <c r="K90" i="71"/>
  <c r="K75" i="89"/>
  <c r="G66" i="83"/>
  <c r="G68" i="115"/>
  <c r="G91" i="91"/>
  <c r="G41" i="82"/>
  <c r="G110" i="103"/>
  <c r="G101" i="65"/>
  <c r="G103" i="100"/>
  <c r="K68" i="76"/>
  <c r="K66" i="77"/>
  <c r="K41" i="98"/>
  <c r="K35" i="65"/>
  <c r="K100" i="83"/>
  <c r="G52" i="97"/>
  <c r="K103" i="78"/>
  <c r="K41" i="107"/>
  <c r="K88" i="110"/>
  <c r="G51" i="109"/>
  <c r="K89" i="105"/>
  <c r="K81" i="108"/>
  <c r="K79" i="116"/>
  <c r="G47" i="92"/>
  <c r="G70" i="80"/>
  <c r="K104" i="102"/>
  <c r="G61" i="109"/>
  <c r="G56" i="90"/>
  <c r="K90" i="92"/>
  <c r="G46" i="89"/>
  <c r="K57" i="84"/>
  <c r="K34" i="113"/>
  <c r="K106" i="80"/>
  <c r="G101" i="80"/>
  <c r="K50" i="105"/>
  <c r="G106" i="65"/>
  <c r="K53" i="75"/>
  <c r="K74" i="104"/>
  <c r="K38" i="85"/>
  <c r="K60" i="106"/>
  <c r="G38" i="114"/>
  <c r="K79" i="109"/>
  <c r="G69" i="102"/>
  <c r="G46" i="82"/>
  <c r="G49" i="111"/>
  <c r="K106" i="97"/>
  <c r="K109" i="73"/>
  <c r="G84" i="82"/>
  <c r="G77" i="107"/>
  <c r="K76" i="115"/>
  <c r="G35" i="71"/>
  <c r="K34" i="81"/>
  <c r="G33" i="83"/>
  <c r="G32" i="99"/>
  <c r="G80" i="76"/>
  <c r="G98" i="91"/>
  <c r="K73" i="65"/>
  <c r="G45" i="108"/>
  <c r="G68" i="99"/>
  <c r="G61" i="106"/>
  <c r="K81" i="81"/>
  <c r="K82" i="80"/>
  <c r="K99" i="105"/>
  <c r="G41" i="83"/>
  <c r="K47" i="92"/>
  <c r="G51" i="113"/>
  <c r="K83" i="91"/>
  <c r="G96" i="100"/>
  <c r="K37" i="83"/>
  <c r="K37" i="88"/>
  <c r="K78" i="78"/>
  <c r="K94" i="103"/>
  <c r="K98" i="105"/>
  <c r="K57" i="83"/>
  <c r="K59" i="103"/>
  <c r="G86" i="91"/>
  <c r="K110" i="109"/>
  <c r="K32" i="71"/>
  <c r="K50" i="83"/>
  <c r="K67" i="86"/>
  <c r="K73" i="76"/>
  <c r="K59" i="91"/>
  <c r="K82" i="102"/>
  <c r="G57" i="75"/>
  <c r="K74" i="92"/>
  <c r="G67" i="81"/>
  <c r="K100" i="105"/>
  <c r="K61" i="107"/>
  <c r="K75" i="73"/>
  <c r="G95" i="113"/>
  <c r="G37" i="71"/>
  <c r="G89" i="97"/>
  <c r="K109" i="107"/>
  <c r="G97" i="101"/>
  <c r="K46" i="106"/>
  <c r="K50" i="86"/>
  <c r="K108" i="65"/>
  <c r="K78" i="108"/>
  <c r="K89" i="108"/>
  <c r="G69" i="116"/>
  <c r="K84" i="85"/>
  <c r="G76" i="87"/>
  <c r="K42" i="81"/>
  <c r="K99" i="102"/>
  <c r="G59" i="83"/>
  <c r="K66" i="113"/>
  <c r="G79" i="105"/>
  <c r="G85" i="88"/>
  <c r="K53" i="91"/>
  <c r="K89" i="100"/>
  <c r="K50" i="104"/>
  <c r="K55" i="75"/>
  <c r="G92" i="100"/>
  <c r="G45" i="65"/>
  <c r="K81" i="111"/>
  <c r="K91" i="77"/>
  <c r="G94" i="110"/>
  <c r="K85" i="85"/>
  <c r="G84" i="101"/>
  <c r="G45" i="72"/>
  <c r="K59" i="113"/>
  <c r="G82" i="76"/>
  <c r="G74" i="76"/>
  <c r="K78" i="100"/>
  <c r="G54" i="100"/>
  <c r="G101" i="82"/>
  <c r="K41" i="101"/>
  <c r="K91" i="80"/>
  <c r="G108" i="92"/>
  <c r="G61" i="76"/>
  <c r="K82" i="87"/>
  <c r="G69" i="86"/>
  <c r="G57" i="82"/>
  <c r="G60" i="117"/>
  <c r="G93" i="82"/>
  <c r="K72" i="117"/>
  <c r="K35" i="91"/>
  <c r="G56" i="116"/>
  <c r="G110" i="79"/>
  <c r="K102" i="87"/>
  <c r="K37" i="80"/>
  <c r="G61" i="65"/>
  <c r="K39" i="114"/>
  <c r="G54" i="85"/>
  <c r="G72" i="109"/>
  <c r="G100" i="82"/>
  <c r="K44" i="72"/>
  <c r="G90" i="105"/>
  <c r="K53" i="80"/>
  <c r="K73" i="86"/>
  <c r="K92" i="79"/>
  <c r="K34" i="100"/>
  <c r="K60" i="97"/>
  <c r="G89" i="65"/>
  <c r="K39" i="100"/>
  <c r="K88" i="88"/>
  <c r="K71" i="113"/>
  <c r="K46" i="76"/>
  <c r="K95" i="114"/>
  <c r="K33" i="72"/>
  <c r="G79" i="79"/>
  <c r="G82" i="73"/>
  <c r="G37" i="107"/>
  <c r="G102" i="75"/>
  <c r="G95" i="65"/>
  <c r="K85" i="65"/>
  <c r="G100" i="83"/>
  <c r="G43" i="102"/>
  <c r="K82" i="73"/>
  <c r="K57" i="100"/>
  <c r="G103" i="65"/>
  <c r="G104" i="82"/>
  <c r="K87" i="106"/>
  <c r="K45" i="75"/>
  <c r="K53" i="78"/>
  <c r="G59" i="114"/>
  <c r="K49" i="88"/>
  <c r="G107" i="114"/>
  <c r="K41" i="82"/>
  <c r="G53" i="102"/>
  <c r="K86" i="74"/>
  <c r="G61" i="85"/>
  <c r="K90" i="98"/>
  <c r="K57" i="88"/>
  <c r="K85" i="78"/>
  <c r="G49" i="102"/>
  <c r="G35" i="90"/>
  <c r="K87" i="80"/>
  <c r="K41" i="100"/>
  <c r="K92" i="110"/>
  <c r="K33" i="100"/>
  <c r="G55" i="110"/>
  <c r="G71" i="88"/>
  <c r="K77" i="79"/>
  <c r="K69" i="108"/>
  <c r="K109" i="110"/>
  <c r="K33" i="88"/>
  <c r="K100" i="98"/>
  <c r="G49" i="109"/>
  <c r="K84" i="92"/>
  <c r="K78" i="89"/>
  <c r="K43" i="116"/>
  <c r="K38" i="101"/>
  <c r="K33" i="106"/>
  <c r="K55" i="76"/>
  <c r="G88" i="74"/>
  <c r="K37" i="110"/>
  <c r="K99" i="98"/>
  <c r="G86" i="71"/>
  <c r="G50" i="101"/>
  <c r="G60" i="83"/>
  <c r="K56" i="115"/>
  <c r="G97" i="105"/>
  <c r="K44" i="115"/>
  <c r="K59" i="90"/>
  <c r="G39" i="99"/>
  <c r="K46" i="113"/>
  <c r="G107" i="99"/>
  <c r="K52" i="77"/>
  <c r="K69" i="107"/>
  <c r="K46" i="102"/>
  <c r="G70" i="79"/>
  <c r="K68" i="107"/>
  <c r="K107" i="72"/>
  <c r="K99" i="114"/>
  <c r="K54" i="88"/>
  <c r="G45" i="74"/>
  <c r="G61" i="98"/>
  <c r="G55" i="109"/>
  <c r="K88" i="74"/>
  <c r="K108" i="73"/>
  <c r="G34" i="89"/>
  <c r="K104" i="107"/>
  <c r="K89" i="104"/>
  <c r="G103" i="114"/>
  <c r="G78" i="100"/>
  <c r="K81" i="74"/>
  <c r="K91" i="76"/>
  <c r="G33" i="104"/>
  <c r="G73" i="90"/>
  <c r="G52" i="84"/>
  <c r="K60" i="90"/>
  <c r="G60" i="98"/>
  <c r="G80" i="72"/>
  <c r="K42" i="110"/>
  <c r="K57" i="73"/>
  <c r="K104" i="117"/>
  <c r="G97" i="98"/>
  <c r="G66" i="82"/>
  <c r="K83" i="111"/>
  <c r="K106" i="78"/>
  <c r="K33" i="91"/>
  <c r="G46" i="111"/>
  <c r="G35" i="109"/>
  <c r="K33" i="89"/>
  <c r="K40" i="83"/>
  <c r="G92" i="113"/>
  <c r="G87" i="77"/>
  <c r="G92" i="103"/>
  <c r="K73" i="99"/>
  <c r="K95" i="82"/>
  <c r="K40" i="87"/>
  <c r="K40" i="105"/>
  <c r="K82" i="86"/>
  <c r="K83" i="109"/>
  <c r="K82" i="81"/>
  <c r="G38" i="91"/>
  <c r="K87" i="97"/>
  <c r="K50" i="98"/>
  <c r="G35" i="107"/>
  <c r="K79" i="88"/>
  <c r="G48" i="88"/>
  <c r="K38" i="87"/>
  <c r="K32" i="77"/>
  <c r="G47" i="100"/>
  <c r="G65" i="102"/>
  <c r="G35" i="92"/>
  <c r="G110" i="107"/>
  <c r="G74" i="83"/>
  <c r="K51" i="101"/>
  <c r="K40" i="116"/>
  <c r="G109" i="87"/>
  <c r="K52" i="89"/>
  <c r="K73" i="115"/>
  <c r="K90" i="80"/>
  <c r="G99" i="102"/>
  <c r="K32" i="89"/>
  <c r="K83" i="116"/>
  <c r="K93" i="104"/>
  <c r="G57" i="72"/>
  <c r="G99" i="74"/>
  <c r="G108" i="65"/>
  <c r="G60" i="88"/>
  <c r="K74" i="74"/>
  <c r="K40" i="99"/>
  <c r="G101" i="111"/>
  <c r="G53" i="73"/>
  <c r="K55" i="74"/>
  <c r="G100" i="107"/>
  <c r="G60" i="85"/>
  <c r="K65" i="92"/>
  <c r="G78" i="81"/>
  <c r="G69" i="117"/>
  <c r="G107" i="74"/>
  <c r="K85" i="110"/>
  <c r="K53" i="89"/>
  <c r="G68" i="88"/>
  <c r="K59" i="97"/>
  <c r="G51" i="101"/>
  <c r="G69" i="100"/>
  <c r="G81" i="65"/>
  <c r="G90" i="104"/>
  <c r="K41" i="73"/>
  <c r="K48" i="73"/>
  <c r="G109" i="85"/>
  <c r="G77" i="101"/>
  <c r="G60" i="91"/>
  <c r="K36" i="77"/>
  <c r="G62" i="91"/>
  <c r="G94" i="111"/>
  <c r="G73" i="76"/>
  <c r="K108" i="106"/>
  <c r="G110" i="83"/>
  <c r="K66" i="84"/>
  <c r="G35" i="100"/>
  <c r="K40" i="84"/>
  <c r="K85" i="113"/>
  <c r="G98" i="81"/>
  <c r="G78" i="99"/>
  <c r="K81" i="65"/>
  <c r="G57" i="77"/>
  <c r="K75" i="117"/>
  <c r="K67" i="79"/>
  <c r="G60" i="90"/>
  <c r="G54" i="88"/>
  <c r="G96" i="82"/>
  <c r="G78" i="84"/>
  <c r="G79" i="101"/>
  <c r="G54" i="80"/>
  <c r="K39" i="98"/>
  <c r="K74" i="100"/>
  <c r="K51" i="81"/>
  <c r="G68" i="98"/>
  <c r="G52" i="75"/>
  <c r="K73" i="113"/>
  <c r="G103" i="98"/>
  <c r="G69" i="77"/>
  <c r="G40" i="83"/>
  <c r="G91" i="82"/>
  <c r="G66" i="72"/>
  <c r="K72" i="109"/>
  <c r="G39" i="110"/>
  <c r="K74" i="71"/>
  <c r="G50" i="109"/>
  <c r="K51" i="80"/>
  <c r="K75" i="79"/>
  <c r="K80" i="108"/>
  <c r="K56" i="102"/>
  <c r="G66" i="86"/>
  <c r="K39" i="105"/>
  <c r="K49" i="113"/>
  <c r="G41" i="92"/>
  <c r="G83" i="104"/>
  <c r="G88" i="87"/>
  <c r="K99" i="73"/>
  <c r="K107" i="83"/>
  <c r="K93" i="98"/>
  <c r="K97" i="72"/>
  <c r="G73" i="72"/>
  <c r="K50" i="82"/>
  <c r="G59" i="99"/>
  <c r="G71" i="114"/>
  <c r="G39" i="106"/>
  <c r="G69" i="91"/>
  <c r="K47" i="82"/>
  <c r="G95" i="84"/>
  <c r="K47" i="83"/>
  <c r="K89" i="87"/>
  <c r="K80" i="83"/>
  <c r="G89" i="107"/>
  <c r="K42" i="88"/>
  <c r="K33" i="76"/>
  <c r="K81" i="104"/>
  <c r="G96" i="105"/>
  <c r="K101" i="110"/>
  <c r="G39" i="108"/>
  <c r="G94" i="73"/>
  <c r="K103" i="79"/>
  <c r="K90" i="90"/>
  <c r="K88" i="100"/>
  <c r="G65" i="104"/>
  <c r="K56" i="83"/>
  <c r="K54" i="115"/>
  <c r="G80" i="107"/>
  <c r="G51" i="73"/>
  <c r="K77" i="105"/>
  <c r="K52" i="97"/>
  <c r="K99" i="106"/>
  <c r="G47" i="77"/>
  <c r="G48" i="110"/>
  <c r="K102" i="115"/>
  <c r="G78" i="114"/>
  <c r="K67" i="98"/>
  <c r="K83" i="85"/>
  <c r="G109" i="117"/>
  <c r="G73" i="78"/>
  <c r="G53" i="99"/>
  <c r="K62" i="76"/>
  <c r="G77" i="73"/>
  <c r="G71" i="110"/>
  <c r="K80" i="98"/>
  <c r="K104" i="83"/>
  <c r="K91" i="99"/>
  <c r="L16" i="54"/>
  <c r="K100" i="76"/>
  <c r="K97" i="102"/>
  <c r="K89" i="88"/>
  <c r="K59" i="102"/>
  <c r="K75" i="91"/>
  <c r="G89" i="81"/>
  <c r="K109" i="114"/>
  <c r="K83" i="90"/>
  <c r="K110" i="88"/>
  <c r="K71" i="117"/>
  <c r="K61" i="106"/>
  <c r="G56" i="71"/>
  <c r="K49" i="117"/>
  <c r="G107" i="77"/>
  <c r="K84" i="90"/>
  <c r="G83" i="114"/>
  <c r="K46" i="108"/>
  <c r="G34" i="85"/>
  <c r="K66" i="85"/>
  <c r="K56" i="76"/>
  <c r="G39" i="88"/>
  <c r="K103" i="74"/>
  <c r="G107" i="115"/>
  <c r="G94" i="85"/>
  <c r="G41" i="72"/>
  <c r="G108" i="103"/>
  <c r="G57" i="85"/>
  <c r="K46" i="115"/>
  <c r="G48" i="91"/>
  <c r="G91" i="83"/>
  <c r="G108" i="72"/>
  <c r="G104" i="116"/>
  <c r="G50" i="65"/>
  <c r="G78" i="102"/>
  <c r="K88" i="81"/>
  <c r="G46" i="103"/>
  <c r="G101" i="88"/>
  <c r="K107" i="111"/>
  <c r="G94" i="72"/>
  <c r="G48" i="74"/>
  <c r="K56" i="89"/>
  <c r="K39" i="110"/>
  <c r="K104" i="103"/>
  <c r="K53" i="65"/>
  <c r="K107" i="97"/>
  <c r="K97" i="82"/>
  <c r="G60" i="102"/>
  <c r="G94" i="99"/>
  <c r="G95" i="72"/>
  <c r="K70" i="65"/>
  <c r="K68" i="88"/>
  <c r="G39" i="91"/>
  <c r="G61" i="97"/>
  <c r="K55" i="115"/>
  <c r="G48" i="82"/>
  <c r="K70" i="75"/>
  <c r="K55" i="108"/>
  <c r="G56" i="84"/>
  <c r="G77" i="91"/>
  <c r="G76" i="91"/>
  <c r="G109" i="88"/>
  <c r="K53" i="72"/>
  <c r="G74" i="108"/>
  <c r="G79" i="77"/>
  <c r="K59" i="72"/>
  <c r="K71" i="91"/>
  <c r="K33" i="65"/>
  <c r="K76" i="100"/>
  <c r="K98" i="91"/>
  <c r="K45" i="84"/>
  <c r="K39" i="81"/>
  <c r="G75" i="109"/>
  <c r="K92" i="111"/>
  <c r="K56" i="82"/>
  <c r="G75" i="75"/>
  <c r="K103" i="83"/>
  <c r="K85" i="116"/>
  <c r="K45" i="74"/>
  <c r="G36" i="65"/>
  <c r="G48" i="65"/>
  <c r="K36" i="106"/>
  <c r="G38" i="104"/>
  <c r="G110" i="106"/>
  <c r="G110" i="113"/>
  <c r="K60" i="104"/>
  <c r="K40" i="115"/>
  <c r="K81" i="88"/>
  <c r="K80" i="105"/>
  <c r="K34" i="102"/>
  <c r="K55" i="91"/>
  <c r="K47" i="110"/>
  <c r="G45" i="98"/>
  <c r="G36" i="108"/>
  <c r="G99" i="75"/>
  <c r="G106" i="75"/>
  <c r="G53" i="115"/>
  <c r="K83" i="73"/>
  <c r="K38" i="65"/>
  <c r="G100" i="109"/>
  <c r="K73" i="97"/>
  <c r="K78" i="79"/>
  <c r="G55" i="80"/>
  <c r="K94" i="82"/>
  <c r="K70" i="115"/>
  <c r="G59" i="80"/>
  <c r="K37" i="115"/>
  <c r="K109" i="92"/>
  <c r="K104" i="109"/>
  <c r="G75" i="90"/>
  <c r="G37" i="87"/>
  <c r="K101" i="89"/>
  <c r="G75" i="65"/>
  <c r="G84" i="116"/>
  <c r="K84" i="80"/>
  <c r="K83" i="87"/>
  <c r="G32" i="76"/>
  <c r="G84" i="85"/>
  <c r="G109" i="74"/>
  <c r="G98" i="75"/>
  <c r="K101" i="87"/>
  <c r="G97" i="107"/>
  <c r="K53" i="97"/>
  <c r="G100" i="98"/>
  <c r="K72" i="87"/>
  <c r="K38" i="107"/>
  <c r="G67" i="88"/>
  <c r="K46" i="104"/>
  <c r="G90" i="114"/>
  <c r="K43" i="65"/>
  <c r="G108" i="97"/>
  <c r="K79" i="82"/>
  <c r="K54" i="100"/>
  <c r="K89" i="111"/>
  <c r="G75" i="74"/>
  <c r="G110" i="72"/>
  <c r="K96" i="82"/>
  <c r="K94" i="83"/>
  <c r="G37" i="103"/>
  <c r="G103" i="79"/>
  <c r="G40" i="100"/>
  <c r="K107" i="76"/>
  <c r="G53" i="71"/>
  <c r="G93" i="107"/>
  <c r="K87" i="65"/>
  <c r="G103" i="84"/>
  <c r="G69" i="65"/>
  <c r="G73" i="75"/>
  <c r="G40" i="98"/>
  <c r="G66" i="71"/>
  <c r="K42" i="115"/>
  <c r="G110" i="110"/>
  <c r="G80" i="101"/>
  <c r="G95" i="86"/>
  <c r="G84" i="97"/>
  <c r="G76" i="115"/>
  <c r="G83" i="115"/>
  <c r="G107" i="78"/>
  <c r="G82" i="100"/>
  <c r="G36" i="117"/>
  <c r="G109" i="104"/>
  <c r="G101" i="101"/>
  <c r="G40" i="107"/>
  <c r="G78" i="108"/>
  <c r="K60" i="102"/>
  <c r="G32" i="74"/>
  <c r="G46" i="85"/>
  <c r="G96" i="114"/>
  <c r="K48" i="75"/>
  <c r="K66" i="72"/>
  <c r="G41" i="110"/>
  <c r="G49" i="92"/>
  <c r="K69" i="105"/>
  <c r="K99" i="117"/>
  <c r="G54" i="107"/>
  <c r="K80" i="73"/>
  <c r="G80" i="78"/>
  <c r="G106" i="106"/>
  <c r="G48" i="83"/>
  <c r="G78" i="110"/>
  <c r="G34" i="81"/>
  <c r="K60" i="116"/>
  <c r="G90" i="100"/>
  <c r="G36" i="86"/>
  <c r="K102" i="81"/>
  <c r="K65" i="107"/>
  <c r="G108" i="109"/>
  <c r="G45" i="106"/>
  <c r="K57" i="106"/>
  <c r="K94" i="72"/>
  <c r="K108" i="109"/>
  <c r="G92" i="91"/>
  <c r="K45" i="88"/>
  <c r="K75" i="105"/>
  <c r="G87" i="98"/>
  <c r="K106" i="87"/>
  <c r="G32" i="83"/>
  <c r="G97" i="87"/>
  <c r="G95" i="105"/>
  <c r="G103" i="91"/>
  <c r="K35" i="98"/>
  <c r="K94" i="105"/>
  <c r="K47" i="104"/>
  <c r="G82" i="77"/>
  <c r="G62" i="82"/>
  <c r="G37" i="97"/>
  <c r="G42" i="78"/>
  <c r="K38" i="74"/>
  <c r="K72" i="82"/>
  <c r="K57" i="113"/>
  <c r="K65" i="103"/>
  <c r="G43" i="113"/>
  <c r="G56" i="108"/>
  <c r="G55" i="115"/>
  <c r="K61" i="89"/>
  <c r="K108" i="77"/>
  <c r="G81" i="109"/>
  <c r="G59" i="85"/>
  <c r="K98" i="103"/>
  <c r="K96" i="85"/>
  <c r="G55" i="102"/>
  <c r="G81" i="86"/>
  <c r="K108" i="74"/>
  <c r="K83" i="71"/>
  <c r="K39" i="71"/>
  <c r="G89" i="99"/>
  <c r="K39" i="117"/>
  <c r="K110" i="108"/>
  <c r="K99" i="79"/>
  <c r="K97" i="99"/>
  <c r="K82" i="116"/>
  <c r="K36" i="103"/>
  <c r="G77" i="111"/>
  <c r="G76" i="81"/>
  <c r="K81" i="83"/>
  <c r="K96" i="83"/>
  <c r="G108" i="85"/>
  <c r="G84" i="88"/>
  <c r="K74" i="76"/>
  <c r="K96" i="104"/>
  <c r="G68" i="110"/>
  <c r="G72" i="107"/>
  <c r="K99" i="89"/>
  <c r="G107" i="82"/>
  <c r="K57" i="71"/>
  <c r="K33" i="80"/>
  <c r="K73" i="71"/>
  <c r="K82" i="91"/>
  <c r="G87" i="73"/>
  <c r="G72" i="99"/>
  <c r="G95" i="109"/>
  <c r="K53" i="104"/>
  <c r="G108" i="102"/>
  <c r="G96" i="104"/>
  <c r="G87" i="81"/>
  <c r="K46" i="100"/>
  <c r="G104" i="101"/>
  <c r="K93" i="114"/>
  <c r="G61" i="105"/>
  <c r="K42" i="100"/>
  <c r="K62" i="106"/>
  <c r="K100" i="72"/>
  <c r="K45" i="87"/>
  <c r="G97" i="100"/>
  <c r="K80" i="102"/>
  <c r="G66" i="77"/>
  <c r="K73" i="78"/>
  <c r="K49" i="89"/>
  <c r="K108" i="104"/>
  <c r="G97" i="115"/>
  <c r="G98" i="82"/>
  <c r="K53" i="107"/>
  <c r="G75" i="80"/>
  <c r="K72" i="111"/>
  <c r="G65" i="71"/>
  <c r="K69" i="115"/>
  <c r="K89" i="65"/>
  <c r="K32" i="108"/>
  <c r="K67" i="111"/>
  <c r="G47" i="83"/>
  <c r="K88" i="101"/>
  <c r="G55" i="86"/>
  <c r="K45" i="85"/>
  <c r="K74" i="109"/>
  <c r="G56" i="102"/>
  <c r="K53" i="103"/>
  <c r="K97" i="73"/>
  <c r="G49" i="87"/>
  <c r="K49" i="114"/>
  <c r="G39" i="113"/>
  <c r="G84" i="86"/>
  <c r="K55" i="72"/>
  <c r="G88" i="104"/>
  <c r="K82" i="105"/>
  <c r="G85" i="85"/>
  <c r="G44" i="83"/>
  <c r="K41" i="87"/>
  <c r="G71" i="108"/>
  <c r="G38" i="108"/>
  <c r="G68" i="106"/>
  <c r="G39" i="105"/>
  <c r="K97" i="110"/>
  <c r="K61" i="97"/>
  <c r="G81" i="90"/>
  <c r="K78" i="97"/>
  <c r="K77" i="117"/>
  <c r="G55" i="76"/>
  <c r="G94" i="115"/>
  <c r="G72" i="110"/>
  <c r="G54" i="79"/>
  <c r="G84" i="114"/>
  <c r="G108" i="108"/>
  <c r="G97" i="72"/>
  <c r="K66" i="74"/>
  <c r="G44" i="106"/>
  <c r="K62" i="81"/>
  <c r="G59" i="84"/>
  <c r="K75" i="114"/>
  <c r="K70" i="78"/>
  <c r="G59" i="78"/>
  <c r="K51" i="92"/>
  <c r="K46" i="89"/>
  <c r="G62" i="107"/>
  <c r="K75" i="65"/>
  <c r="K56" i="72"/>
  <c r="K79" i="99"/>
  <c r="K48" i="97"/>
  <c r="G75" i="105"/>
  <c r="K51" i="83"/>
  <c r="K76" i="104"/>
  <c r="K87" i="108"/>
  <c r="K77" i="87"/>
  <c r="G91" i="117"/>
  <c r="K97" i="101"/>
  <c r="K46" i="74"/>
  <c r="G91" i="98"/>
  <c r="G98" i="88"/>
  <c r="K109" i="79"/>
  <c r="G102" i="85"/>
  <c r="G81" i="76"/>
  <c r="K53" i="85"/>
  <c r="K109" i="100"/>
  <c r="K39" i="108"/>
  <c r="G54" i="71"/>
  <c r="G100" i="102"/>
  <c r="G90" i="90"/>
  <c r="K90" i="114"/>
  <c r="G69" i="82"/>
  <c r="K98" i="85"/>
  <c r="G86" i="100"/>
  <c r="K101" i="77"/>
  <c r="K104" i="104"/>
  <c r="K59" i="78"/>
  <c r="G60" i="81"/>
  <c r="K33" i="81"/>
  <c r="G104" i="74"/>
  <c r="G103" i="116"/>
  <c r="K102" i="99"/>
  <c r="K93" i="72"/>
  <c r="K89" i="92"/>
  <c r="K59" i="116"/>
  <c r="G87" i="105"/>
  <c r="K36" i="79"/>
  <c r="G91" i="113"/>
  <c r="K65" i="91"/>
  <c r="G96" i="85"/>
  <c r="G75" i="117"/>
  <c r="K67" i="110"/>
  <c r="G98" i="102"/>
  <c r="G83" i="92"/>
  <c r="G86" i="113"/>
  <c r="K53" i="115"/>
  <c r="G45" i="117"/>
  <c r="K41" i="79"/>
  <c r="G81" i="81"/>
  <c r="G34" i="88"/>
  <c r="G109" i="76"/>
  <c r="K73" i="101"/>
  <c r="K80" i="92"/>
  <c r="K79" i="102"/>
  <c r="G52" i="106"/>
  <c r="G40" i="84"/>
  <c r="G69" i="89"/>
  <c r="K81" i="116"/>
  <c r="G84" i="99"/>
  <c r="K98" i="98"/>
  <c r="K86" i="73"/>
  <c r="K52" i="87"/>
  <c r="G89" i="92"/>
  <c r="K95" i="88"/>
  <c r="G41" i="105"/>
  <c r="K39" i="104"/>
  <c r="G88" i="79"/>
  <c r="G75" i="99"/>
  <c r="K53" i="77"/>
  <c r="K59" i="89"/>
  <c r="K60" i="86"/>
  <c r="G100" i="97"/>
  <c r="K98" i="83"/>
  <c r="G85" i="89"/>
  <c r="K50" i="79"/>
  <c r="G91" i="87"/>
  <c r="K37" i="77"/>
  <c r="G79" i="89"/>
  <c r="K102" i="71"/>
  <c r="K102" i="107"/>
  <c r="G53" i="83"/>
  <c r="G56" i="85"/>
  <c r="G34" i="116"/>
  <c r="G109" i="116"/>
  <c r="K93" i="101"/>
  <c r="G52" i="86"/>
  <c r="K54" i="86"/>
  <c r="K72" i="89"/>
  <c r="G88" i="117"/>
  <c r="K91" i="73"/>
  <c r="K62" i="74"/>
  <c r="G52" i="99"/>
  <c r="G110" i="102"/>
  <c r="K107" i="89"/>
  <c r="K96" i="105"/>
  <c r="K69" i="89"/>
  <c r="G88" i="77"/>
  <c r="G68" i="90"/>
  <c r="G75" i="98"/>
  <c r="G108" i="99"/>
  <c r="K102" i="79"/>
  <c r="G101" i="92"/>
  <c r="K38" i="72"/>
  <c r="G60" i="76"/>
  <c r="K71" i="108"/>
  <c r="G73" i="100"/>
  <c r="G95" i="82"/>
  <c r="G106" i="97"/>
  <c r="K36" i="115"/>
  <c r="G40" i="80"/>
  <c r="G81" i="114"/>
  <c r="K71" i="65"/>
  <c r="K40" i="102"/>
  <c r="K101" i="116"/>
  <c r="G80" i="98"/>
  <c r="K109" i="102"/>
  <c r="G61" i="91"/>
  <c r="G40" i="97"/>
  <c r="G32" i="104"/>
  <c r="K84" i="100"/>
  <c r="K67" i="92"/>
  <c r="G100" i="91"/>
  <c r="G36" i="105"/>
  <c r="K87" i="75"/>
  <c r="G65" i="108"/>
  <c r="G108" i="86"/>
  <c r="K76" i="72"/>
  <c r="K41" i="111"/>
  <c r="K46" i="84"/>
  <c r="K99" i="91"/>
  <c r="G72" i="106"/>
  <c r="G40" i="91"/>
  <c r="G32" i="65"/>
  <c r="G77" i="113"/>
  <c r="K61" i="86"/>
  <c r="G33" i="109"/>
  <c r="K95" i="75"/>
  <c r="G82" i="110"/>
  <c r="G79" i="99"/>
  <c r="G75" i="79"/>
  <c r="G94" i="84"/>
  <c r="G72" i="76"/>
  <c r="K44" i="85"/>
  <c r="G34" i="77"/>
  <c r="K66" i="115"/>
  <c r="K46" i="98"/>
  <c r="K70" i="111"/>
  <c r="K91" i="89"/>
  <c r="G62" i="110"/>
  <c r="G96" i="72"/>
  <c r="K89" i="103"/>
  <c r="G65" i="111"/>
  <c r="K33" i="110"/>
  <c r="G74" i="104"/>
  <c r="K107" i="114"/>
  <c r="G43" i="101"/>
  <c r="K83" i="83"/>
  <c r="G80" i="110"/>
  <c r="K52" i="88"/>
  <c r="K67" i="91"/>
  <c r="G76" i="75"/>
  <c r="K91" i="117"/>
  <c r="K99" i="108"/>
  <c r="G98" i="72"/>
  <c r="G68" i="71"/>
  <c r="G38" i="99"/>
  <c r="G99" i="101"/>
  <c r="K110" i="105"/>
  <c r="G94" i="87"/>
  <c r="G56" i="75"/>
  <c r="G91" i="75"/>
  <c r="G82" i="111"/>
  <c r="G99" i="108"/>
  <c r="K39" i="115"/>
  <c r="K39" i="90"/>
  <c r="K39" i="76"/>
  <c r="K96" i="109"/>
  <c r="K95" i="85"/>
  <c r="G78" i="85"/>
  <c r="G96" i="84"/>
  <c r="G86" i="72"/>
  <c r="G91" i="97"/>
  <c r="G80" i="106"/>
  <c r="K62" i="65"/>
  <c r="K98" i="77"/>
  <c r="K45" i="79"/>
  <c r="K35" i="110"/>
  <c r="G70" i="86"/>
  <c r="DT16" i="54"/>
  <c r="K52" i="65"/>
  <c r="K85" i="114"/>
  <c r="K56" i="104"/>
  <c r="K47" i="88"/>
  <c r="K46" i="86"/>
  <c r="G49" i="81"/>
  <c r="G82" i="106"/>
  <c r="K69" i="109"/>
  <c r="K54" i="92"/>
  <c r="G98" i="104"/>
  <c r="G89" i="102"/>
  <c r="K89" i="83"/>
  <c r="K92" i="109"/>
  <c r="G110" i="104"/>
  <c r="G48" i="104"/>
  <c r="K40" i="74"/>
  <c r="K45" i="108"/>
  <c r="K70" i="106"/>
  <c r="G88" i="85"/>
  <c r="K70" i="76"/>
  <c r="K56" i="101"/>
  <c r="K76" i="92"/>
  <c r="K39" i="84"/>
  <c r="K60" i="117"/>
  <c r="G106" i="82"/>
  <c r="K66" i="86"/>
  <c r="K82" i="115"/>
  <c r="K68" i="92"/>
  <c r="G32" i="85"/>
  <c r="K52" i="92"/>
  <c r="G90" i="74"/>
  <c r="K83" i="92"/>
  <c r="K85" i="109"/>
  <c r="G67" i="109"/>
  <c r="G37" i="79"/>
  <c r="G110" i="99"/>
  <c r="G106" i="90"/>
  <c r="K81" i="106"/>
  <c r="G90" i="83"/>
  <c r="K42" i="91"/>
  <c r="G41" i="100"/>
  <c r="G72" i="79"/>
  <c r="G36" i="87"/>
  <c r="K77" i="101"/>
  <c r="K35" i="78"/>
  <c r="G77" i="65"/>
  <c r="K92" i="97"/>
  <c r="G108" i="74"/>
  <c r="K67" i="99"/>
  <c r="K57" i="91"/>
  <c r="G53" i="101"/>
  <c r="K37" i="91"/>
  <c r="G93" i="84"/>
  <c r="K59" i="80"/>
  <c r="G40" i="113"/>
  <c r="K70" i="109"/>
  <c r="G110" i="116"/>
  <c r="G49" i="65"/>
  <c r="G93" i="99"/>
  <c r="K55" i="65"/>
  <c r="G68" i="103"/>
  <c r="G104" i="90"/>
  <c r="K69" i="92"/>
  <c r="K56" i="92"/>
  <c r="G107" i="103"/>
  <c r="G32" i="115"/>
  <c r="K35" i="77"/>
  <c r="K67" i="82"/>
  <c r="G60" i="72"/>
  <c r="K78" i="117"/>
  <c r="K86" i="98"/>
  <c r="K109" i="84"/>
  <c r="K44" i="74"/>
  <c r="K102" i="78"/>
  <c r="K69" i="74"/>
  <c r="K57" i="80"/>
  <c r="G90" i="84"/>
  <c r="G48" i="80"/>
  <c r="K37" i="101"/>
  <c r="K41" i="106"/>
  <c r="K67" i="104"/>
  <c r="K110" i="114"/>
  <c r="G84" i="89"/>
  <c r="G44" i="115"/>
  <c r="K101" i="83"/>
  <c r="K106" i="89"/>
  <c r="K36" i="104"/>
  <c r="G91" i="85"/>
  <c r="K61" i="88"/>
  <c r="K54" i="104"/>
  <c r="K35" i="86"/>
  <c r="K76" i="79"/>
  <c r="K92" i="103"/>
  <c r="K78" i="71"/>
  <c r="K99" i="110"/>
  <c r="G86" i="85"/>
  <c r="K48" i="102"/>
  <c r="G80" i="117"/>
  <c r="K51" i="65"/>
  <c r="K84" i="117"/>
  <c r="K79" i="76"/>
  <c r="K52" i="105"/>
  <c r="G98" i="114"/>
  <c r="G50" i="111"/>
  <c r="G86" i="75"/>
  <c r="K92" i="115"/>
  <c r="K55" i="106"/>
  <c r="G70" i="106"/>
  <c r="K108" i="97"/>
  <c r="K83" i="74"/>
  <c r="K92" i="71"/>
  <c r="K49" i="79"/>
  <c r="G95" i="77"/>
  <c r="K69" i="72"/>
  <c r="G108" i="107"/>
  <c r="G66" i="111"/>
  <c r="K46" i="116"/>
  <c r="K101" i="90"/>
  <c r="K56" i="73"/>
  <c r="K110" i="74"/>
  <c r="G69" i="103"/>
  <c r="G104" i="65"/>
  <c r="K62" i="99"/>
  <c r="K35" i="117"/>
  <c r="G80" i="80"/>
  <c r="G36" i="85"/>
  <c r="G52" i="114"/>
  <c r="K106" i="99"/>
  <c r="K33" i="105"/>
  <c r="G95" i="111"/>
  <c r="G110" i="98"/>
  <c r="G80" i="86"/>
  <c r="K48" i="85"/>
  <c r="G71" i="91"/>
  <c r="G59" i="75"/>
  <c r="G77" i="92"/>
  <c r="G81" i="73"/>
  <c r="G88" i="71"/>
  <c r="K56" i="79"/>
  <c r="G98" i="111"/>
  <c r="G81" i="108"/>
  <c r="K38" i="108"/>
  <c r="G92" i="88"/>
  <c r="K70" i="86"/>
  <c r="G89" i="90"/>
  <c r="G104" i="105"/>
  <c r="G59" i="117"/>
  <c r="K107" i="78"/>
  <c r="G86" i="99"/>
  <c r="K50" i="101"/>
  <c r="G50" i="99"/>
  <c r="G39" i="82"/>
  <c r="K41" i="77"/>
  <c r="G65" i="109"/>
  <c r="G96" i="101"/>
  <c r="K86" i="75"/>
  <c r="K97" i="105"/>
  <c r="K101" i="85"/>
  <c r="G33" i="71"/>
  <c r="K103" i="116"/>
  <c r="G33" i="74"/>
  <c r="K70" i="100"/>
  <c r="G53" i="117"/>
  <c r="G100" i="113"/>
  <c r="K61" i="92"/>
  <c r="G71" i="100"/>
  <c r="G90" i="75"/>
  <c r="G88" i="88"/>
  <c r="K44" i="76"/>
  <c r="K68" i="74"/>
  <c r="G83" i="100"/>
  <c r="K91" i="86"/>
  <c r="G103" i="73"/>
  <c r="K110" i="75"/>
  <c r="G88" i="76"/>
  <c r="G72" i="65"/>
  <c r="G65" i="107"/>
  <c r="K106" i="88"/>
  <c r="G93" i="114"/>
  <c r="G106" i="92"/>
  <c r="G49" i="72"/>
  <c r="G78" i="72"/>
  <c r="K35" i="90"/>
  <c r="K54" i="117"/>
  <c r="K59" i="101"/>
  <c r="K96" i="107"/>
  <c r="G110" i="77"/>
  <c r="G78" i="80"/>
  <c r="K47" i="85"/>
  <c r="K91" i="91"/>
  <c r="K38" i="73"/>
  <c r="K40" i="117"/>
  <c r="K57" i="77"/>
  <c r="K97" i="97"/>
  <c r="G44" i="90"/>
  <c r="K84" i="87"/>
  <c r="K44" i="102"/>
  <c r="K43" i="92"/>
  <c r="G46" i="84"/>
  <c r="K91" i="116"/>
  <c r="K101" i="108"/>
  <c r="K98" i="111"/>
  <c r="G43" i="80"/>
  <c r="G71" i="89"/>
  <c r="K55" i="100"/>
  <c r="G107" i="88"/>
  <c r="K51" i="107"/>
  <c r="K75" i="77"/>
  <c r="G61" i="79"/>
  <c r="G78" i="77"/>
  <c r="K73" i="105"/>
  <c r="G71" i="81"/>
  <c r="K68" i="78"/>
  <c r="K101" i="88"/>
  <c r="G57" i="113"/>
  <c r="K107" i="105"/>
  <c r="K93" i="83"/>
  <c r="G73" i="107"/>
  <c r="G51" i="108"/>
  <c r="K52" i="81"/>
  <c r="G109" i="99"/>
  <c r="G82" i="80"/>
  <c r="G104" i="109"/>
  <c r="G83" i="81"/>
  <c r="K103" i="89"/>
  <c r="G65" i="65"/>
  <c r="K32" i="81"/>
  <c r="G76" i="107"/>
  <c r="K82" i="82"/>
  <c r="K84" i="73"/>
  <c r="K53" i="101"/>
  <c r="G86" i="111"/>
  <c r="G81" i="78"/>
  <c r="K34" i="73"/>
  <c r="K88" i="72"/>
  <c r="K45" i="110"/>
  <c r="G36" i="90"/>
  <c r="K100" i="100"/>
  <c r="K57" i="107"/>
  <c r="G78" i="86"/>
  <c r="K60" i="77"/>
  <c r="K97" i="104"/>
  <c r="G82" i="101"/>
  <c r="G90" i="98"/>
  <c r="K72" i="97"/>
  <c r="K108" i="82"/>
  <c r="K37" i="85"/>
  <c r="K75" i="75"/>
  <c r="G74" i="65"/>
  <c r="G95" i="74"/>
  <c r="K79" i="115"/>
  <c r="K90" i="73"/>
  <c r="K50" i="97"/>
  <c r="G97" i="114"/>
  <c r="G48" i="71"/>
  <c r="K71" i="76"/>
  <c r="K72" i="76"/>
  <c r="G94" i="78"/>
  <c r="G65" i="91"/>
  <c r="G72" i="116"/>
  <c r="G87" i="104"/>
  <c r="K60" i="73"/>
  <c r="G51" i="105"/>
  <c r="G44" i="82"/>
  <c r="G49" i="103"/>
  <c r="K36" i="72"/>
  <c r="K34" i="101"/>
  <c r="G89" i="103"/>
  <c r="K90" i="89"/>
  <c r="G65" i="100"/>
  <c r="G50" i="113"/>
  <c r="G48" i="116"/>
  <c r="K91" i="113"/>
  <c r="K62" i="102"/>
  <c r="K75" i="99"/>
  <c r="K60" i="99"/>
  <c r="G88" i="115"/>
  <c r="G50" i="87"/>
  <c r="K100" i="104"/>
  <c r="G41" i="75"/>
  <c r="K110" i="89"/>
  <c r="K68" i="117"/>
  <c r="G40" i="104"/>
  <c r="G107" i="73"/>
  <c r="G84" i="84"/>
  <c r="G60" i="115"/>
  <c r="G95" i="80"/>
  <c r="G94" i="81"/>
  <c r="K91" i="102"/>
  <c r="G78" i="78"/>
  <c r="G60" i="99"/>
  <c r="G84" i="81"/>
  <c r="K55" i="116"/>
  <c r="K72" i="81"/>
  <c r="G76" i="65"/>
  <c r="G98" i="116"/>
  <c r="K96" i="108"/>
  <c r="G82" i="115"/>
  <c r="G45" i="71"/>
  <c r="K49" i="73"/>
  <c r="G75" i="110"/>
  <c r="K34" i="77"/>
  <c r="G87" i="72"/>
  <c r="K103" i="97"/>
  <c r="K47" i="106"/>
  <c r="K101" i="82"/>
  <c r="K110" i="72"/>
  <c r="K87" i="104"/>
  <c r="G60" i="114"/>
  <c r="K101" i="101"/>
  <c r="K45" i="71"/>
  <c r="K71" i="85"/>
  <c r="G57" i="76"/>
  <c r="K98" i="92"/>
  <c r="G62" i="65"/>
  <c r="G73" i="115"/>
  <c r="K41" i="80"/>
  <c r="K106" i="82"/>
  <c r="K66" i="65"/>
  <c r="K45" i="104"/>
  <c r="G86" i="92"/>
  <c r="G71" i="71"/>
  <c r="G72" i="75"/>
  <c r="G92" i="86"/>
  <c r="G82" i="85"/>
  <c r="K57" i="82"/>
  <c r="K52" i="110"/>
  <c r="G34" i="99"/>
  <c r="G67" i="79"/>
  <c r="G101" i="78"/>
  <c r="G75" i="92"/>
  <c r="G95" i="102"/>
  <c r="K96" i="75"/>
  <c r="G76" i="86"/>
  <c r="K74" i="91"/>
  <c r="K35" i="100"/>
  <c r="K42" i="83"/>
  <c r="K87" i="79"/>
  <c r="G87" i="111"/>
  <c r="G83" i="91"/>
  <c r="G106" i="102"/>
  <c r="G83" i="79"/>
  <c r="G76" i="85"/>
  <c r="G88" i="101"/>
  <c r="G42" i="80"/>
  <c r="K83" i="81"/>
  <c r="K65" i="76"/>
  <c r="G97" i="90"/>
  <c r="G90" i="73"/>
  <c r="K49" i="110"/>
  <c r="G94" i="83"/>
  <c r="K82" i="90"/>
  <c r="G48" i="89"/>
  <c r="G77" i="74"/>
  <c r="K38" i="81"/>
  <c r="K55" i="111"/>
  <c r="K37" i="102"/>
  <c r="K48" i="110"/>
  <c r="G74" i="77"/>
  <c r="G41" i="84"/>
  <c r="K55" i="90"/>
  <c r="K77" i="81"/>
  <c r="G85" i="81"/>
  <c r="K100" i="106"/>
  <c r="K80" i="80"/>
  <c r="G61" i="113"/>
  <c r="G75" i="91"/>
  <c r="K48" i="86"/>
  <c r="K72" i="84"/>
  <c r="G56" i="97"/>
  <c r="K86" i="81"/>
  <c r="K90" i="116"/>
  <c r="G32" i="71"/>
  <c r="K61" i="113"/>
  <c r="K41" i="72"/>
  <c r="G69" i="115"/>
  <c r="G36" i="104"/>
  <c r="K106" i="85"/>
  <c r="G60" i="108"/>
  <c r="K41" i="74"/>
  <c r="G79" i="98"/>
  <c r="K77" i="73"/>
  <c r="G67" i="86"/>
  <c r="K38" i="105"/>
  <c r="G73" i="103"/>
  <c r="G43" i="97"/>
  <c r="K43" i="107"/>
  <c r="G46" i="71"/>
  <c r="K45" i="109"/>
  <c r="G42" i="99"/>
  <c r="G107" i="101"/>
  <c r="K74" i="99"/>
  <c r="K96" i="111"/>
  <c r="G98" i="105"/>
  <c r="K39" i="92"/>
  <c r="G71" i="101"/>
  <c r="K99" i="101"/>
  <c r="K39" i="78"/>
  <c r="K70" i="101"/>
  <c r="G76" i="74"/>
  <c r="K49" i="85"/>
  <c r="G48" i="111"/>
  <c r="K84" i="106"/>
  <c r="K108" i="114"/>
  <c r="G62" i="106"/>
  <c r="G85" i="111"/>
  <c r="G54" i="116"/>
  <c r="G90" i="102"/>
  <c r="K89" i="89"/>
  <c r="K37" i="75"/>
  <c r="K61" i="109"/>
  <c r="K87" i="109"/>
  <c r="G90" i="113"/>
  <c r="K86" i="111"/>
  <c r="G33" i="117"/>
  <c r="G94" i="71"/>
  <c r="G66" i="102"/>
  <c r="K106" i="104"/>
  <c r="G77" i="71"/>
  <c r="K53" i="74"/>
  <c r="G37" i="101"/>
  <c r="G107" i="106"/>
  <c r="K53" i="92"/>
  <c r="G32" i="82"/>
  <c r="K36" i="78"/>
  <c r="K90" i="106"/>
  <c r="K91" i="83"/>
  <c r="G80" i="84"/>
  <c r="K52" i="85"/>
  <c r="K69" i="116"/>
  <c r="K80" i="109"/>
  <c r="G52" i="87"/>
  <c r="K32" i="106"/>
  <c r="G92" i="90"/>
  <c r="K37" i="65"/>
  <c r="K74" i="77"/>
  <c r="G40" i="72"/>
  <c r="K40" i="109"/>
  <c r="K35" i="108"/>
  <c r="G62" i="77"/>
  <c r="G98" i="83"/>
  <c r="K60" i="105"/>
  <c r="K37" i="90"/>
  <c r="K99" i="74"/>
  <c r="K62" i="73"/>
  <c r="G99" i="109"/>
  <c r="K59" i="115"/>
  <c r="G97" i="75"/>
  <c r="G95" i="108"/>
  <c r="K102" i="106"/>
  <c r="K42" i="104"/>
  <c r="K34" i="76"/>
  <c r="G51" i="82"/>
  <c r="K40" i="107"/>
  <c r="G82" i="71"/>
  <c r="G47" i="103"/>
  <c r="K97" i="76"/>
  <c r="K46" i="77"/>
  <c r="G90" i="81"/>
  <c r="K84" i="72"/>
  <c r="K90" i="105"/>
  <c r="K38" i="91"/>
  <c r="K42" i="116"/>
  <c r="K37" i="89"/>
  <c r="K74" i="97"/>
  <c r="G89" i="85"/>
  <c r="G59" i="82"/>
  <c r="G35" i="73"/>
  <c r="K37" i="111"/>
  <c r="G97" i="97"/>
  <c r="K93" i="103"/>
  <c r="K89" i="77"/>
  <c r="G66" i="117"/>
  <c r="G40" i="108"/>
  <c r="K66" i="89"/>
  <c r="K93" i="81"/>
  <c r="G91" i="115"/>
  <c r="G34" i="84"/>
  <c r="K34" i="90"/>
  <c r="G108" i="91"/>
  <c r="K104" i="89"/>
  <c r="K43" i="87"/>
  <c r="G65" i="110"/>
  <c r="G55" i="98"/>
  <c r="K73" i="100"/>
  <c r="G102" i="90"/>
  <c r="G81" i="117"/>
  <c r="G54" i="73"/>
  <c r="K106" i="98"/>
  <c r="K84" i="77"/>
  <c r="G59" i="104"/>
  <c r="G86" i="82"/>
  <c r="K53" i="109"/>
  <c r="G73" i="102"/>
  <c r="K44" i="104"/>
  <c r="G79" i="85"/>
  <c r="K60" i="115"/>
  <c r="K52" i="101"/>
  <c r="K44" i="89"/>
  <c r="K52" i="115"/>
  <c r="G99" i="89"/>
  <c r="K76" i="76"/>
  <c r="K37" i="81"/>
  <c r="G82" i="65"/>
  <c r="G61" i="87"/>
  <c r="G77" i="103"/>
  <c r="G108" i="111"/>
  <c r="G65" i="106"/>
  <c r="G41" i="71"/>
  <c r="G43" i="98"/>
  <c r="G80" i="109"/>
  <c r="K86" i="102"/>
  <c r="K56" i="85"/>
  <c r="G62" i="73"/>
  <c r="G74" i="117"/>
  <c r="G102" i="80"/>
  <c r="K47" i="77"/>
  <c r="G109" i="84"/>
  <c r="G40" i="74"/>
  <c r="G51" i="114"/>
  <c r="G77" i="115"/>
  <c r="G102" i="108"/>
  <c r="G60" i="82"/>
  <c r="K67" i="103"/>
  <c r="K36" i="109"/>
  <c r="K42" i="85"/>
  <c r="G93" i="90"/>
  <c r="G67" i="85"/>
  <c r="K81" i="84"/>
  <c r="G75" i="106"/>
  <c r="K57" i="92"/>
  <c r="K33" i="74"/>
  <c r="G57" i="117"/>
  <c r="G44" i="108"/>
  <c r="G50" i="84"/>
  <c r="G79" i="80"/>
  <c r="K95" i="71"/>
  <c r="G51" i="117"/>
  <c r="K74" i="110"/>
  <c r="G85" i="74"/>
  <c r="K98" i="102"/>
  <c r="K73" i="108"/>
  <c r="G106" i="108"/>
  <c r="K101" i="80"/>
  <c r="K33" i="97"/>
  <c r="K81" i="71"/>
  <c r="K40" i="98"/>
  <c r="G80" i="99"/>
  <c r="G94" i="113"/>
  <c r="K51" i="85"/>
  <c r="K55" i="85"/>
  <c r="G104" i="86"/>
  <c r="G69" i="111"/>
  <c r="G97" i="83"/>
  <c r="K52" i="113"/>
  <c r="G109" i="77"/>
  <c r="G74" i="86"/>
  <c r="K33" i="103"/>
  <c r="K38" i="88"/>
  <c r="K75" i="115"/>
  <c r="K99" i="109"/>
  <c r="G83" i="75"/>
  <c r="K72" i="77"/>
  <c r="G40" i="85"/>
  <c r="K66" i="103"/>
  <c r="K85" i="101"/>
  <c r="K66" i="100"/>
  <c r="K87" i="76"/>
  <c r="K36" i="85"/>
  <c r="K91" i="103"/>
  <c r="G68" i="92"/>
  <c r="K70" i="77"/>
  <c r="K108" i="71"/>
  <c r="K96" i="100"/>
  <c r="K93" i="75"/>
  <c r="G59" i="101"/>
  <c r="K32" i="98"/>
  <c r="G95" i="73"/>
  <c r="G101" i="79"/>
  <c r="K32" i="82"/>
  <c r="K93" i="84"/>
  <c r="G62" i="108"/>
  <c r="G85" i="101"/>
  <c r="K40" i="81"/>
  <c r="K50" i="88"/>
  <c r="K88" i="91"/>
  <c r="K106" i="107"/>
  <c r="G34" i="100"/>
  <c r="K56" i="81"/>
  <c r="G100" i="116"/>
  <c r="G45" i="114"/>
  <c r="G101" i="76"/>
  <c r="K62" i="85"/>
  <c r="G42" i="84"/>
  <c r="K89" i="85"/>
  <c r="K88" i="78"/>
  <c r="G37" i="111"/>
  <c r="K107" i="81"/>
  <c r="K47" i="90"/>
  <c r="K108" i="101"/>
  <c r="G84" i="74"/>
  <c r="G38" i="74"/>
  <c r="K95" i="106"/>
  <c r="K94" i="100"/>
  <c r="K56" i="108"/>
  <c r="G75" i="71"/>
  <c r="K75" i="86"/>
  <c r="G71" i="87"/>
  <c r="G108" i="88"/>
  <c r="K54" i="81"/>
  <c r="G53" i="80"/>
  <c r="G74" i="84"/>
  <c r="G57" i="65"/>
  <c r="K74" i="80"/>
  <c r="G32" i="84"/>
  <c r="G110" i="71"/>
  <c r="G55" i="84"/>
  <c r="K80" i="89"/>
  <c r="G74" i="74"/>
  <c r="K104" i="78"/>
  <c r="K33" i="73"/>
  <c r="G69" i="99"/>
  <c r="K72" i="100"/>
  <c r="G38" i="75"/>
  <c r="G107" i="79"/>
  <c r="G66" i="92"/>
  <c r="K94" i="89"/>
  <c r="G33" i="113"/>
  <c r="K41" i="71"/>
  <c r="G96" i="75"/>
  <c r="G109" i="102"/>
  <c r="K77" i="113"/>
  <c r="K107" i="104"/>
  <c r="K72" i="91"/>
  <c r="K74" i="82"/>
  <c r="K110" i="115"/>
  <c r="K57" i="102"/>
  <c r="K40" i="101"/>
  <c r="G43" i="79"/>
  <c r="G70" i="71"/>
  <c r="G107" i="84"/>
  <c r="K70" i="91"/>
  <c r="G102" i="98"/>
  <c r="K100" i="81"/>
  <c r="K37" i="76"/>
  <c r="G107" i="83"/>
  <c r="K68" i="106"/>
  <c r="K98" i="72"/>
  <c r="K49" i="97"/>
  <c r="K55" i="98"/>
  <c r="G76" i="92"/>
  <c r="K32" i="116"/>
  <c r="G56" i="106"/>
  <c r="K45" i="105"/>
  <c r="G89" i="114"/>
  <c r="K62" i="108"/>
  <c r="G47" i="98"/>
  <c r="K40" i="71"/>
  <c r="G92" i="76"/>
  <c r="G76" i="76"/>
  <c r="K35" i="116"/>
  <c r="K72" i="71"/>
  <c r="G36" i="83"/>
  <c r="K110" i="79"/>
  <c r="K99" i="100"/>
  <c r="K95" i="91"/>
  <c r="K62" i="75"/>
  <c r="K51" i="87"/>
  <c r="K50" i="117"/>
  <c r="K68" i="89"/>
  <c r="K43" i="88"/>
  <c r="G68" i="79"/>
  <c r="G72" i="87"/>
  <c r="G47" i="88"/>
  <c r="K38" i="104"/>
  <c r="K40" i="78"/>
  <c r="K39" i="79"/>
  <c r="K83" i="104"/>
  <c r="G53" i="91"/>
  <c r="G41" i="85"/>
  <c r="K84" i="102"/>
  <c r="K110" i="76"/>
  <c r="K87" i="86"/>
  <c r="G104" i="102"/>
  <c r="K104" i="75"/>
  <c r="G32" i="87"/>
  <c r="K36" i="110"/>
  <c r="K45" i="97"/>
  <c r="G66" i="106"/>
  <c r="G67" i="87"/>
  <c r="K50" i="77"/>
  <c r="G94" i="65"/>
  <c r="K92" i="73"/>
  <c r="G79" i="88"/>
  <c r="K68" i="101"/>
  <c r="K71" i="81"/>
  <c r="G98" i="101"/>
  <c r="G92" i="107"/>
  <c r="G53" i="90"/>
  <c r="G37" i="100"/>
  <c r="K101" i="97"/>
  <c r="K91" i="108"/>
  <c r="K108" i="92"/>
  <c r="K78" i="114"/>
  <c r="K71" i="115"/>
  <c r="G62" i="103"/>
  <c r="K38" i="103"/>
  <c r="K95" i="76"/>
  <c r="K110" i="80"/>
  <c r="G99" i="76"/>
  <c r="G55" i="92"/>
  <c r="G76" i="117"/>
  <c r="G56" i="86"/>
  <c r="K104" i="111"/>
  <c r="G72" i="88"/>
  <c r="G52" i="71"/>
  <c r="G48" i="107"/>
  <c r="G95" i="90"/>
  <c r="G88" i="99"/>
  <c r="G33" i="77"/>
  <c r="G50" i="88"/>
  <c r="K87" i="103"/>
  <c r="G100" i="73"/>
  <c r="G45" i="101"/>
  <c r="K76" i="111"/>
  <c r="G60" i="86"/>
  <c r="G53" i="107"/>
  <c r="K96" i="73"/>
  <c r="G33" i="79"/>
  <c r="G36" i="71"/>
  <c r="G81" i="111"/>
  <c r="K59" i="107"/>
  <c r="G100" i="87"/>
  <c r="G91" i="78"/>
  <c r="K44" i="92"/>
  <c r="K35" i="80"/>
  <c r="G90" i="99"/>
  <c r="K92" i="108"/>
  <c r="K51" i="71"/>
  <c r="K104" i="77"/>
  <c r="K98" i="65"/>
  <c r="G33" i="82"/>
  <c r="K48" i="74"/>
  <c r="K50" i="91"/>
  <c r="G66" i="79"/>
  <c r="G93" i="72"/>
  <c r="K60" i="87"/>
  <c r="G109" i="72"/>
  <c r="K47" i="109"/>
  <c r="K47" i="97"/>
  <c r="K84" i="79"/>
  <c r="K107" i="117"/>
  <c r="K87" i="74"/>
  <c r="K43" i="99"/>
  <c r="G46" i="77"/>
  <c r="K62" i="115"/>
  <c r="K88" i="80"/>
  <c r="K43" i="77"/>
  <c r="K57" i="116"/>
  <c r="K70" i="92"/>
  <c r="K41" i="78"/>
  <c r="G84" i="115"/>
  <c r="K86" i="103"/>
  <c r="K78" i="116"/>
  <c r="K101" i="99"/>
  <c r="G93" i="116"/>
  <c r="G73" i="104"/>
  <c r="K78" i="111"/>
  <c r="K69" i="110"/>
  <c r="G99" i="88"/>
  <c r="G107" i="81"/>
  <c r="G45" i="92"/>
  <c r="K51" i="86"/>
  <c r="K70" i="71"/>
  <c r="G43" i="77"/>
  <c r="K67" i="109"/>
  <c r="G86" i="114"/>
  <c r="K54" i="85"/>
  <c r="K84" i="81"/>
  <c r="G76" i="88"/>
  <c r="K78" i="104"/>
  <c r="G76" i="79"/>
  <c r="K43" i="108"/>
  <c r="G38" i="82"/>
  <c r="K52" i="102"/>
  <c r="G36" i="77"/>
  <c r="K45" i="100"/>
  <c r="G72" i="102"/>
  <c r="K107" i="98"/>
  <c r="K60" i="91"/>
  <c r="K99" i="115"/>
  <c r="K53" i="100"/>
  <c r="K50" i="81"/>
  <c r="G78" i="104"/>
  <c r="K44" i="109"/>
  <c r="K87" i="102"/>
  <c r="G108" i="113"/>
  <c r="G99" i="110"/>
  <c r="K66" i="75"/>
  <c r="K48" i="108"/>
  <c r="G56" i="78"/>
  <c r="G93" i="89"/>
  <c r="K106" i="102"/>
  <c r="K46" i="103"/>
  <c r="G41" i="107"/>
  <c r="G46" i="98"/>
  <c r="K108" i="105"/>
  <c r="G37" i="65"/>
  <c r="K42" i="82"/>
  <c r="G69" i="83"/>
  <c r="K55" i="102"/>
  <c r="K45" i="117"/>
  <c r="K54" i="102"/>
  <c r="K67" i="76"/>
  <c r="G97" i="88"/>
  <c r="K97" i="113"/>
  <c r="K101" i="104"/>
  <c r="G94" i="86"/>
  <c r="G46" i="73"/>
  <c r="K109" i="76"/>
  <c r="G37" i="78"/>
  <c r="K52" i="75"/>
  <c r="G94" i="82"/>
  <c r="K66" i="111"/>
  <c r="G65" i="101"/>
  <c r="K81" i="103"/>
  <c r="K109" i="77"/>
  <c r="K59" i="84"/>
  <c r="G69" i="110"/>
  <c r="K69" i="101"/>
  <c r="G61" i="115"/>
  <c r="G35" i="117"/>
  <c r="K72" i="116"/>
  <c r="G85" i="86"/>
  <c r="G66" i="114"/>
  <c r="K37" i="72"/>
  <c r="K49" i="108"/>
  <c r="K102" i="85"/>
  <c r="K70" i="99"/>
  <c r="K100" i="114"/>
  <c r="G104" i="81"/>
  <c r="G86" i="88"/>
  <c r="G77" i="105"/>
  <c r="K52" i="116"/>
  <c r="G100" i="88"/>
  <c r="K66" i="114"/>
  <c r="K87" i="81"/>
  <c r="G103" i="72"/>
  <c r="G76" i="113"/>
  <c r="G79" i="92"/>
  <c r="K81" i="73"/>
  <c r="G90" i="79"/>
  <c r="G102" i="117"/>
  <c r="K86" i="88"/>
  <c r="G70" i="76"/>
  <c r="G67" i="101"/>
  <c r="G82" i="116"/>
  <c r="K77" i="91"/>
  <c r="G89" i="116"/>
  <c r="K70" i="103"/>
  <c r="G81" i="110"/>
  <c r="G96" i="77"/>
  <c r="K60" i="110"/>
  <c r="K65" i="80"/>
  <c r="G57" i="111"/>
  <c r="G55" i="88"/>
  <c r="K72" i="106"/>
  <c r="G101" i="89"/>
  <c r="K55" i="73"/>
  <c r="G101" i="117"/>
  <c r="K91" i="97"/>
  <c r="K44" i="86"/>
  <c r="K100" i="107"/>
  <c r="G103" i="74"/>
  <c r="K42" i="79"/>
  <c r="G55" i="75"/>
  <c r="K103" i="104"/>
  <c r="K62" i="114"/>
  <c r="G81" i="105"/>
  <c r="K69" i="77"/>
  <c r="G98" i="77"/>
  <c r="G89" i="77"/>
  <c r="K32" i="87"/>
  <c r="G32" i="80"/>
  <c r="K107" i="79"/>
  <c r="G89" i="82"/>
  <c r="G52" i="88"/>
  <c r="G72" i="101"/>
  <c r="K78" i="85"/>
  <c r="K50" i="71"/>
  <c r="K61" i="104"/>
  <c r="G83" i="82"/>
  <c r="G50" i="105"/>
  <c r="K110" i="116"/>
  <c r="K67" i="75"/>
  <c r="K83" i="75"/>
  <c r="G73" i="79"/>
  <c r="K98" i="110"/>
  <c r="K100" i="77"/>
  <c r="G55" i="106"/>
  <c r="K54" i="98"/>
  <c r="G56" i="98"/>
  <c r="G92" i="116"/>
  <c r="G33" i="103"/>
  <c r="K78" i="88"/>
  <c r="G87" i="101"/>
  <c r="G87" i="87"/>
  <c r="G34" i="75"/>
  <c r="K109" i="80"/>
  <c r="G92" i="84"/>
  <c r="K38" i="83"/>
  <c r="K84" i="109"/>
  <c r="G49" i="77"/>
  <c r="K81" i="86"/>
  <c r="G93" i="101"/>
  <c r="K65" i="82"/>
  <c r="K106" i="76"/>
  <c r="K69" i="100"/>
  <c r="K81" i="82"/>
  <c r="G43" i="82"/>
  <c r="K97" i="65"/>
  <c r="G78" i="71"/>
  <c r="G96" i="92"/>
  <c r="G50" i="116"/>
  <c r="G92" i="85"/>
  <c r="G87" i="89"/>
  <c r="K93" i="115"/>
  <c r="K56" i="74"/>
  <c r="K40" i="100"/>
  <c r="G50" i="97"/>
  <c r="G44" i="116"/>
  <c r="G83" i="117"/>
  <c r="G107" i="92"/>
  <c r="K94" i="116"/>
  <c r="K44" i="107"/>
  <c r="K47" i="115"/>
  <c r="G93" i="113"/>
  <c r="K69" i="106"/>
  <c r="K83" i="98"/>
  <c r="G50" i="110"/>
  <c r="K102" i="82"/>
  <c r="G94" i="74"/>
  <c r="K59" i="99"/>
  <c r="G91" i="109"/>
  <c r="K72" i="103"/>
  <c r="G81" i="92"/>
  <c r="K74" i="117"/>
  <c r="K61" i="73"/>
  <c r="K70" i="74"/>
  <c r="K60" i="83"/>
  <c r="G100" i="84"/>
  <c r="G43" i="89"/>
  <c r="G88" i="83"/>
  <c r="K32" i="75"/>
  <c r="G43" i="81"/>
  <c r="G57" i="106"/>
  <c r="K41" i="76"/>
  <c r="G68" i="76"/>
  <c r="K88" i="107"/>
  <c r="G89" i="78"/>
  <c r="K92" i="100"/>
  <c r="G84" i="108"/>
  <c r="G50" i="89"/>
  <c r="G98" i="103"/>
  <c r="G69" i="97"/>
  <c r="G46" i="99"/>
  <c r="K110" i="117"/>
  <c r="G68" i="72"/>
  <c r="K65" i="65"/>
  <c r="K35" i="92"/>
  <c r="G67" i="82"/>
  <c r="K45" i="102"/>
  <c r="G35" i="106"/>
  <c r="G73" i="74"/>
  <c r="K85" i="71"/>
  <c r="G80" i="87"/>
  <c r="G44" i="102"/>
  <c r="G51" i="80"/>
  <c r="G37" i="74"/>
  <c r="G70" i="78"/>
  <c r="K71" i="99"/>
  <c r="K47" i="102"/>
  <c r="G102" i="91"/>
  <c r="G61" i="117"/>
  <c r="G98" i="98"/>
  <c r="K69" i="114"/>
  <c r="G71" i="75"/>
  <c r="G86" i="78"/>
  <c r="G95" i="76"/>
  <c r="G101" i="106"/>
  <c r="G85" i="104"/>
  <c r="G50" i="100"/>
  <c r="K66" i="106"/>
  <c r="G89" i="115"/>
  <c r="G67" i="110"/>
  <c r="K94" i="88"/>
  <c r="G61" i="74"/>
  <c r="G110" i="86"/>
  <c r="K87" i="89"/>
  <c r="K108" i="83"/>
  <c r="G101" i="91"/>
  <c r="K102" i="83"/>
  <c r="K33" i="85"/>
  <c r="K69" i="102"/>
  <c r="K83" i="102"/>
  <c r="G99" i="79"/>
  <c r="K43" i="83"/>
  <c r="G88" i="75"/>
  <c r="G93" i="117"/>
  <c r="K40" i="106"/>
  <c r="G61" i="110"/>
  <c r="G70" i="114"/>
  <c r="G70" i="82"/>
  <c r="G98" i="90"/>
  <c r="G70" i="98"/>
  <c r="K96" i="72"/>
  <c r="K73" i="83"/>
  <c r="G38" i="101"/>
  <c r="G48" i="81"/>
  <c r="G101" i="107"/>
  <c r="K35" i="75"/>
  <c r="G98" i="73"/>
  <c r="G44" i="109"/>
  <c r="K89" i="86"/>
  <c r="G104" i="113"/>
  <c r="K100" i="90"/>
  <c r="G88" i="98"/>
  <c r="K37" i="98"/>
  <c r="K60" i="92"/>
  <c r="G75" i="103"/>
  <c r="K48" i="107"/>
  <c r="K90" i="111"/>
  <c r="K99" i="97"/>
  <c r="K108" i="75"/>
  <c r="G40" i="73"/>
  <c r="K69" i="97"/>
  <c r="G44" i="65"/>
  <c r="G79" i="117"/>
  <c r="K55" i="78"/>
  <c r="G32" i="113"/>
  <c r="G74" i="79"/>
  <c r="K44" i="99"/>
  <c r="G108" i="115"/>
  <c r="K65" i="115"/>
  <c r="G47" i="79"/>
  <c r="G34" i="92"/>
  <c r="K50" i="80"/>
  <c r="G52" i="110"/>
  <c r="G38" i="117"/>
  <c r="K62" i="111"/>
  <c r="G37" i="116"/>
  <c r="G108" i="105"/>
  <c r="G37" i="110"/>
  <c r="G53" i="75"/>
  <c r="K94" i="90"/>
  <c r="G68" i="85"/>
  <c r="K102" i="108"/>
  <c r="G100" i="114"/>
  <c r="K54" i="82"/>
  <c r="G103" i="117"/>
  <c r="G44" i="76"/>
  <c r="G104" i="71"/>
  <c r="G70" i="108"/>
  <c r="G69" i="81"/>
  <c r="K82" i="97"/>
  <c r="K68" i="75"/>
  <c r="K98" i="81"/>
  <c r="K57" i="76"/>
  <c r="G78" i="87"/>
  <c r="G62" i="85"/>
  <c r="G76" i="83"/>
  <c r="K101" i="84"/>
  <c r="G104" i="104"/>
  <c r="K51" i="106"/>
  <c r="G55" i="71"/>
  <c r="G49" i="75"/>
  <c r="K104" i="114"/>
  <c r="K68" i="72"/>
  <c r="K86" i="106"/>
  <c r="G84" i="117"/>
  <c r="K38" i="113"/>
  <c r="K32" i="109"/>
  <c r="G44" i="114"/>
  <c r="G81" i="91"/>
  <c r="G107" i="100"/>
  <c r="G95" i="83"/>
  <c r="G42" i="113"/>
  <c r="K40" i="80"/>
  <c r="G42" i="104"/>
  <c r="G53" i="79"/>
  <c r="G87" i="65"/>
  <c r="K49" i="65"/>
  <c r="K62" i="113"/>
  <c r="K71" i="111"/>
  <c r="K77" i="100"/>
  <c r="K101" i="114"/>
  <c r="G94" i="80"/>
  <c r="K36" i="101"/>
  <c r="G81" i="99"/>
  <c r="G59" i="110"/>
  <c r="G85" i="103"/>
  <c r="G45" i="76"/>
  <c r="G46" i="75"/>
  <c r="K88" i="102"/>
  <c r="G50" i="74"/>
  <c r="K34" i="106"/>
  <c r="K91" i="88"/>
  <c r="K88" i="104"/>
  <c r="K39" i="103"/>
  <c r="K100" i="82"/>
  <c r="G55" i="79"/>
  <c r="K94" i="77"/>
  <c r="K86" i="76"/>
  <c r="K69" i="91"/>
  <c r="G76" i="97"/>
  <c r="K88" i="76"/>
  <c r="K87" i="115"/>
  <c r="K67" i="105"/>
  <c r="K70" i="107"/>
  <c r="K76" i="91"/>
  <c r="G44" i="80"/>
  <c r="K82" i="83"/>
  <c r="G101" i="97"/>
  <c r="K48" i="101"/>
  <c r="G107" i="97"/>
  <c r="K72" i="75"/>
  <c r="G36" i="109"/>
  <c r="G106" i="104"/>
  <c r="G60" i="75"/>
  <c r="K57" i="117"/>
  <c r="K55" i="103"/>
  <c r="G80" i="83"/>
  <c r="G79" i="74"/>
  <c r="K53" i="110"/>
  <c r="K66" i="107"/>
  <c r="K104" i="90"/>
  <c r="G33" i="90"/>
  <c r="G83" i="98"/>
  <c r="K34" i="99"/>
  <c r="G102" i="87"/>
  <c r="K47" i="73"/>
  <c r="K73" i="87"/>
  <c r="K92" i="92"/>
  <c r="G92" i="98"/>
  <c r="K94" i="106"/>
  <c r="K36" i="98"/>
  <c r="G36" i="72"/>
  <c r="K77" i="98"/>
  <c r="G71" i="86"/>
  <c r="G76" i="101"/>
  <c r="G97" i="110"/>
  <c r="G94" i="106"/>
  <c r="G102" i="109"/>
  <c r="K84" i="89"/>
  <c r="G80" i="75"/>
  <c r="K100" i="86"/>
  <c r="K60" i="65"/>
  <c r="G34" i="104"/>
  <c r="G85" i="65"/>
  <c r="G85" i="79"/>
  <c r="G57" i="109"/>
  <c r="K72" i="115"/>
  <c r="G84" i="92"/>
  <c r="K35" i="115"/>
  <c r="G44" i="105"/>
  <c r="G83" i="85"/>
  <c r="G39" i="115"/>
  <c r="K84" i="82"/>
  <c r="K86" i="87"/>
  <c r="K98" i="117"/>
  <c r="K74" i="87"/>
  <c r="G73" i="97"/>
  <c r="K106" i="106"/>
  <c r="G74" i="105"/>
  <c r="G95" i="71"/>
  <c r="G50" i="71"/>
  <c r="K53" i="113"/>
  <c r="K104" i="86"/>
  <c r="G56" i="91"/>
  <c r="G107" i="72"/>
  <c r="G87" i="116"/>
  <c r="G55" i="100"/>
  <c r="G36" i="116"/>
  <c r="G62" i="81"/>
  <c r="G110" i="114"/>
  <c r="K54" i="84"/>
  <c r="K96" i="89"/>
  <c r="G39" i="89"/>
  <c r="G72" i="117"/>
  <c r="K71" i="97"/>
  <c r="G96" i="78"/>
  <c r="G55" i="107"/>
  <c r="G74" i="111"/>
  <c r="K68" i="111"/>
  <c r="K86" i="72"/>
  <c r="G40" i="76"/>
  <c r="G89" i="100"/>
  <c r="K107" i="82"/>
  <c r="G47" i="89"/>
  <c r="G106" i="83"/>
  <c r="K79" i="114"/>
  <c r="K46" i="101"/>
  <c r="G87" i="86"/>
  <c r="G65" i="89"/>
  <c r="K76" i="88"/>
  <c r="K41" i="88"/>
  <c r="G32" i="92"/>
  <c r="G106" i="72"/>
  <c r="G110" i="90"/>
  <c r="K102" i="92"/>
  <c r="G36" i="76"/>
  <c r="K87" i="101"/>
  <c r="AG16" i="54"/>
  <c r="K45" i="92"/>
  <c r="K109" i="106"/>
  <c r="G103" i="109"/>
  <c r="K68" i="100"/>
  <c r="G81" i="103"/>
  <c r="K44" i="77"/>
  <c r="G61" i="104"/>
  <c r="G37" i="89"/>
  <c r="G67" i="74"/>
  <c r="K98" i="101"/>
  <c r="G51" i="97"/>
  <c r="G78" i="115"/>
  <c r="G83" i="88"/>
  <c r="K85" i="75"/>
  <c r="K85" i="83"/>
  <c r="K91" i="115"/>
  <c r="K101" i="115"/>
  <c r="K95" i="116"/>
  <c r="G54" i="110"/>
  <c r="K38" i="115"/>
  <c r="G35" i="97"/>
  <c r="K59" i="65"/>
  <c r="G106" i="113"/>
  <c r="G46" i="101"/>
  <c r="G74" i="100"/>
  <c r="G69" i="85"/>
  <c r="G79" i="104"/>
  <c r="K76" i="109"/>
  <c r="G85" i="87"/>
  <c r="K51" i="99"/>
  <c r="G39" i="84"/>
  <c r="G104" i="83"/>
  <c r="G34" i="117"/>
  <c r="G93" i="81"/>
  <c r="G79" i="108"/>
  <c r="K87" i="117"/>
  <c r="K46" i="99"/>
  <c r="G108" i="106"/>
  <c r="G101" i="87"/>
  <c r="K110" i="65"/>
  <c r="G85" i="98"/>
  <c r="G70" i="73"/>
  <c r="K47" i="80"/>
  <c r="G84" i="105"/>
  <c r="G87" i="115"/>
  <c r="K92" i="113"/>
  <c r="G104" i="87"/>
  <c r="K81" i="89"/>
  <c r="K59" i="81"/>
  <c r="K39" i="101"/>
  <c r="G65" i="72"/>
  <c r="K32" i="73"/>
  <c r="K60" i="108"/>
  <c r="G48" i="102"/>
  <c r="G78" i="82"/>
  <c r="K47" i="78"/>
  <c r="K50" i="75"/>
  <c r="K80" i="100"/>
  <c r="K94" i="117"/>
  <c r="G84" i="98"/>
  <c r="K44" i="84"/>
  <c r="G79" i="86"/>
  <c r="K94" i="78"/>
  <c r="K93" i="65"/>
  <c r="K99" i="103"/>
  <c r="G48" i="79"/>
  <c r="G85" i="107"/>
  <c r="G48" i="76"/>
  <c r="G85" i="76"/>
  <c r="K42" i="90"/>
  <c r="K95" i="84"/>
  <c r="K48" i="103"/>
  <c r="K85" i="89"/>
  <c r="G110" i="80"/>
  <c r="K73" i="114"/>
  <c r="G106" i="85"/>
  <c r="G38" i="116"/>
  <c r="G49" i="74"/>
  <c r="K69" i="73"/>
  <c r="K59" i="87"/>
  <c r="G93" i="86"/>
  <c r="K39" i="109"/>
  <c r="G66" i="89"/>
  <c r="G32" i="109"/>
  <c r="G37" i="86"/>
  <c r="G97" i="82"/>
  <c r="K45" i="91"/>
  <c r="G56" i="74"/>
  <c r="G38" i="86"/>
  <c r="G66" i="74"/>
  <c r="K77" i="71"/>
  <c r="K101" i="71"/>
  <c r="K32" i="91"/>
  <c r="G91" i="111"/>
  <c r="K93" i="73"/>
  <c r="G73" i="110"/>
  <c r="K39" i="116"/>
  <c r="K54" i="113"/>
  <c r="K59" i="109"/>
  <c r="G74" i="87"/>
  <c r="G50" i="78"/>
  <c r="K49" i="75"/>
  <c r="G77" i="82"/>
  <c r="K100" i="74"/>
  <c r="G89" i="111"/>
  <c r="K42" i="73"/>
  <c r="K84" i="115"/>
  <c r="G90" i="71"/>
  <c r="K73" i="88"/>
  <c r="K57" i="99"/>
  <c r="G107" i="109"/>
  <c r="K95" i="86"/>
  <c r="G34" i="98"/>
  <c r="K45" i="76"/>
  <c r="K44" i="97"/>
  <c r="G73" i="117"/>
  <c r="G100" i="101"/>
  <c r="G76" i="98"/>
  <c r="G107" i="89"/>
  <c r="G76" i="78"/>
  <c r="G34" i="107"/>
  <c r="K82" i="110"/>
  <c r="K96" i="101"/>
  <c r="G89" i="108"/>
  <c r="G73" i="88"/>
  <c r="G80" i="89"/>
  <c r="G99" i="113"/>
  <c r="K93" i="76"/>
  <c r="K85" i="111"/>
  <c r="K54" i="108"/>
  <c r="K59" i="79"/>
  <c r="K78" i="87"/>
  <c r="G97" i="106"/>
  <c r="K37" i="117"/>
  <c r="G92" i="72"/>
  <c r="K67" i="84"/>
  <c r="K43" i="73"/>
  <c r="K56" i="117"/>
  <c r="G91" i="101"/>
  <c r="G74" i="72"/>
  <c r="K57" i="115"/>
  <c r="G42" i="102"/>
  <c r="K75" i="100"/>
  <c r="G107" i="86"/>
  <c r="G36" i="82"/>
  <c r="G53" i="104"/>
  <c r="G47" i="114"/>
  <c r="G100" i="71"/>
  <c r="K88" i="114"/>
  <c r="K83" i="77"/>
  <c r="K61" i="72"/>
  <c r="G66" i="87"/>
  <c r="K79" i="87"/>
  <c r="G55" i="113"/>
  <c r="K51" i="76"/>
  <c r="K96" i="117"/>
  <c r="G70" i="113"/>
  <c r="G33" i="108"/>
  <c r="K32" i="99"/>
  <c r="G98" i="86"/>
  <c r="G54" i="98"/>
  <c r="K56" i="75"/>
  <c r="G62" i="100"/>
  <c r="K99" i="92"/>
  <c r="G91" i="107"/>
  <c r="G89" i="83"/>
  <c r="G86" i="80"/>
  <c r="G76" i="77"/>
  <c r="K73" i="82"/>
  <c r="K53" i="105"/>
  <c r="G109" i="92"/>
  <c r="K79" i="80"/>
  <c r="K106" i="79"/>
  <c r="G109" i="73"/>
  <c r="G41" i="103"/>
  <c r="K89" i="102"/>
  <c r="K60" i="79"/>
  <c r="K79" i="75"/>
  <c r="G96" i="108"/>
  <c r="K68" i="105"/>
  <c r="K32" i="74"/>
  <c r="G90" i="82"/>
  <c r="G70" i="102"/>
  <c r="K48" i="83"/>
  <c r="G41" i="76"/>
  <c r="K81" i="107"/>
  <c r="G37" i="98"/>
  <c r="G76" i="104"/>
  <c r="G106" i="79"/>
  <c r="K39" i="80"/>
  <c r="K50" i="109"/>
  <c r="K104" i="87"/>
  <c r="G61" i="86"/>
  <c r="K100" i="88"/>
  <c r="K85" i="92"/>
  <c r="G49" i="97"/>
  <c r="G84" i="80"/>
  <c r="G61" i="101"/>
  <c r="G41" i="102"/>
  <c r="G66" i="115"/>
  <c r="G34" i="101"/>
  <c r="K101" i="65"/>
  <c r="K75" i="92"/>
  <c r="G55" i="103"/>
  <c r="G48" i="100"/>
  <c r="G89" i="117"/>
  <c r="K43" i="115"/>
  <c r="K93" i="107"/>
  <c r="K110" i="104"/>
  <c r="G67" i="73"/>
  <c r="K110" i="106"/>
  <c r="K59" i="83"/>
  <c r="G79" i="84"/>
  <c r="K110" i="82"/>
  <c r="K34" i="79"/>
  <c r="K100" i="84"/>
  <c r="K69" i="90"/>
  <c r="K44" i="100"/>
  <c r="K102" i="100"/>
  <c r="G34" i="106"/>
  <c r="K33" i="99"/>
  <c r="G36" i="78"/>
  <c r="K36" i="82"/>
  <c r="K39" i="99"/>
  <c r="K56" i="65"/>
  <c r="G94" i="76"/>
  <c r="K44" i="65"/>
  <c r="G108" i="104"/>
  <c r="K69" i="85"/>
  <c r="G75" i="73"/>
  <c r="G35" i="75"/>
  <c r="K66" i="90"/>
  <c r="K87" i="98"/>
  <c r="K95" i="108"/>
  <c r="G93" i="71"/>
  <c r="G91" i="103"/>
  <c r="G65" i="97"/>
  <c r="K106" i="110"/>
  <c r="K97" i="75"/>
  <c r="K43" i="91"/>
  <c r="K104" i="110"/>
  <c r="G59" i="79"/>
  <c r="K94" i="86"/>
  <c r="K98" i="87"/>
  <c r="G45" i="80"/>
  <c r="G88" i="108"/>
  <c r="G99" i="73"/>
  <c r="G47" i="71"/>
  <c r="K54" i="75"/>
  <c r="G93" i="103"/>
  <c r="K78" i="107"/>
  <c r="K59" i="104"/>
  <c r="G41" i="86"/>
  <c r="K109" i="65"/>
  <c r="G99" i="71"/>
  <c r="K34" i="114"/>
  <c r="K86" i="85"/>
  <c r="G33" i="110"/>
  <c r="G54" i="87"/>
  <c r="K84" i="76"/>
  <c r="K45" i="81"/>
  <c r="G57" i="101"/>
  <c r="G91" i="80"/>
  <c r="G108" i="71"/>
  <c r="K96" i="115"/>
  <c r="K99" i="111"/>
  <c r="K65" i="106"/>
  <c r="G42" i="83"/>
  <c r="K72" i="92"/>
  <c r="K76" i="86"/>
  <c r="G89" i="86"/>
  <c r="G33" i="78"/>
  <c r="K32" i="84"/>
  <c r="G65" i="113"/>
  <c r="K87" i="99"/>
  <c r="G33" i="81"/>
  <c r="G39" i="72"/>
  <c r="K102" i="114"/>
  <c r="G110" i="111"/>
  <c r="K106" i="105"/>
  <c r="K48" i="71"/>
  <c r="K56" i="109"/>
  <c r="G46" i="109"/>
  <c r="K56" i="114"/>
  <c r="G37" i="108"/>
  <c r="K48" i="80"/>
  <c r="K90" i="102"/>
  <c r="G61" i="72"/>
  <c r="G49" i="107"/>
  <c r="G67" i="72"/>
  <c r="G65" i="83"/>
  <c r="G74" i="82"/>
  <c r="K46" i="81"/>
  <c r="K90" i="99"/>
  <c r="G36" i="88"/>
  <c r="G90" i="106"/>
  <c r="G80" i="74"/>
  <c r="G96" i="117"/>
  <c r="G45" i="75"/>
  <c r="K38" i="111"/>
  <c r="G78" i="75"/>
  <c r="G108" i="98"/>
  <c r="K85" i="107"/>
  <c r="K41" i="113"/>
  <c r="G74" i="102"/>
  <c r="K78" i="109"/>
  <c r="K103" i="84"/>
  <c r="G68" i="101"/>
  <c r="K85" i="115"/>
  <c r="G44" i="77"/>
  <c r="K62" i="77"/>
  <c r="K94" i="115"/>
  <c r="G101" i="103"/>
  <c r="G34" i="79"/>
  <c r="K33" i="79"/>
  <c r="K32" i="79"/>
  <c r="K74" i="65"/>
  <c r="G66" i="105"/>
  <c r="G110" i="81"/>
  <c r="K68" i="114"/>
  <c r="K75" i="97"/>
  <c r="G78" i="88"/>
  <c r="G97" i="86"/>
  <c r="K61" i="71"/>
  <c r="K44" i="111"/>
  <c r="G82" i="103"/>
  <c r="G89" i="105"/>
  <c r="G67" i="111"/>
  <c r="G65" i="114"/>
  <c r="G99" i="105"/>
  <c r="G42" i="89"/>
  <c r="K60" i="82"/>
  <c r="K79" i="73"/>
  <c r="K59" i="114"/>
  <c r="G40" i="75"/>
  <c r="K81" i="77"/>
  <c r="G74" i="98"/>
  <c r="K70" i="73"/>
  <c r="G106" i="74"/>
  <c r="K106" i="86"/>
  <c r="G97" i="113"/>
  <c r="G84" i="103"/>
  <c r="K36" i="88"/>
  <c r="G102" i="114"/>
  <c r="K88" i="111"/>
  <c r="G54" i="75"/>
  <c r="K90" i="100"/>
  <c r="K66" i="88"/>
  <c r="G52" i="104"/>
  <c r="G76" i="108"/>
  <c r="G54" i="106"/>
  <c r="K88" i="92"/>
  <c r="K44" i="87"/>
  <c r="K88" i="73"/>
  <c r="K67" i="115"/>
  <c r="G68" i="87"/>
  <c r="K108" i="89"/>
  <c r="K50" i="84"/>
  <c r="K98" i="90"/>
  <c r="G69" i="72"/>
  <c r="G62" i="104"/>
  <c r="G46" i="107"/>
  <c r="G60" i="103"/>
  <c r="K46" i="79"/>
  <c r="G49" i="98"/>
  <c r="G69" i="73"/>
  <c r="K71" i="100"/>
  <c r="K94" i="76"/>
  <c r="G43" i="110"/>
  <c r="K73" i="77"/>
  <c r="K106" i="65"/>
  <c r="K85" i="87"/>
  <c r="K80" i="82"/>
  <c r="K76" i="75"/>
  <c r="G106" i="86"/>
  <c r="K69" i="117"/>
  <c r="G54" i="92"/>
  <c r="G34" i="74"/>
  <c r="G71" i="107"/>
  <c r="G74" i="88"/>
  <c r="K34" i="116"/>
  <c r="K102" i="105"/>
  <c r="K103" i="117"/>
  <c r="K32" i="85"/>
  <c r="K38" i="114"/>
  <c r="K102" i="103"/>
  <c r="G79" i="111"/>
  <c r="K77" i="110"/>
  <c r="G99" i="80"/>
  <c r="K104" i="116"/>
  <c r="G79" i="103"/>
  <c r="G110" i="76"/>
  <c r="G54" i="117"/>
  <c r="G97" i="92"/>
  <c r="K62" i="110"/>
  <c r="K110" i="113"/>
  <c r="G80" i="90"/>
  <c r="G35" i="80"/>
  <c r="G43" i="111"/>
  <c r="K41" i="89"/>
  <c r="G45" i="107"/>
  <c r="G104" i="97"/>
  <c r="K73" i="81"/>
  <c r="K82" i="114"/>
  <c r="G93" i="106"/>
  <c r="K94" i="85"/>
  <c r="G50" i="76"/>
  <c r="K46" i="72"/>
  <c r="K56" i="84"/>
  <c r="K55" i="81"/>
  <c r="K81" i="109"/>
  <c r="G81" i="106"/>
  <c r="G81" i="87"/>
  <c r="G36" i="75"/>
  <c r="G109" i="83"/>
  <c r="K81" i="92"/>
  <c r="K59" i="71"/>
  <c r="G107" i="113"/>
  <c r="K83" i="108"/>
  <c r="K42" i="99"/>
  <c r="K69" i="103"/>
  <c r="K36" i="108"/>
  <c r="K57" i="98"/>
  <c r="G47" i="87"/>
  <c r="G83" i="87"/>
  <c r="K70" i="80"/>
  <c r="G51" i="72"/>
  <c r="G97" i="65"/>
  <c r="G43" i="86"/>
  <c r="G36" i="80"/>
  <c r="G80" i="102"/>
  <c r="G46" i="80"/>
  <c r="G49" i="104"/>
  <c r="K57" i="97"/>
  <c r="K80" i="116"/>
  <c r="G94" i="77"/>
  <c r="G56" i="77"/>
  <c r="G34" i="82"/>
  <c r="G35" i="103"/>
  <c r="G81" i="82"/>
  <c r="K84" i="105"/>
  <c r="K34" i="110"/>
  <c r="K90" i="65"/>
  <c r="G32" i="81"/>
  <c r="K62" i="104"/>
  <c r="G91" i="99"/>
  <c r="K69" i="78"/>
  <c r="K69" i="98"/>
  <c r="G93" i="76"/>
  <c r="G96" i="87"/>
  <c r="K41" i="108"/>
  <c r="K101" i="111"/>
  <c r="K88" i="98"/>
  <c r="K41" i="109"/>
  <c r="K43" i="79"/>
  <c r="K44" i="81"/>
  <c r="K72" i="101"/>
  <c r="G102" i="72"/>
  <c r="G62" i="109"/>
  <c r="K80" i="71"/>
  <c r="G37" i="77"/>
  <c r="K104" i="113"/>
  <c r="K61" i="99"/>
  <c r="K77" i="80"/>
  <c r="K110" i="85"/>
  <c r="G110" i="91"/>
  <c r="G79" i="82"/>
  <c r="K95" i="90"/>
  <c r="G103" i="105"/>
  <c r="G100" i="110"/>
  <c r="K37" i="107"/>
  <c r="G66" i="75"/>
  <c r="AM16" i="54"/>
  <c r="K103" i="101"/>
  <c r="G108" i="80"/>
  <c r="K55" i="84"/>
  <c r="K80" i="86"/>
  <c r="K47" i="87"/>
  <c r="K51" i="72"/>
  <c r="K33" i="113"/>
  <c r="G86" i="98"/>
  <c r="K85" i="88"/>
  <c r="G94" i="108"/>
  <c r="G81" i="116"/>
  <c r="K107" i="99"/>
  <c r="G42" i="114"/>
  <c r="K69" i="83"/>
  <c r="G98" i="109"/>
  <c r="G46" i="108"/>
  <c r="G89" i="71"/>
  <c r="K91" i="109"/>
  <c r="K87" i="77"/>
  <c r="G55" i="97"/>
  <c r="K42" i="78"/>
  <c r="K36" i="113"/>
  <c r="K106" i="109"/>
  <c r="G45" i="81"/>
  <c r="G74" i="106"/>
  <c r="G40" i="116"/>
  <c r="G72" i="97"/>
  <c r="K57" i="109"/>
  <c r="K88" i="79"/>
  <c r="G48" i="108"/>
  <c r="K37" i="78"/>
  <c r="G42" i="115"/>
  <c r="K76" i="114"/>
  <c r="G44" i="100"/>
  <c r="K103" i="105"/>
  <c r="G50" i="106"/>
  <c r="K32" i="80"/>
  <c r="K66" i="116"/>
  <c r="G74" i="97"/>
  <c r="K90" i="77"/>
  <c r="K81" i="98"/>
  <c r="G80" i="104"/>
  <c r="G49" i="91"/>
  <c r="G103" i="115"/>
  <c r="G98" i="79"/>
  <c r="K104" i="71"/>
  <c r="K86" i="71"/>
  <c r="G45" i="79"/>
  <c r="G49" i="117"/>
  <c r="G43" i="99"/>
  <c r="K85" i="84"/>
  <c r="G62" i="101"/>
  <c r="K93" i="74"/>
  <c r="G69" i="92"/>
  <c r="G53" i="84"/>
  <c r="G57" i="115"/>
  <c r="K74" i="88"/>
  <c r="K65" i="111"/>
  <c r="G42" i="82"/>
  <c r="G59" i="115"/>
  <c r="K52" i="78"/>
  <c r="K43" i="110"/>
  <c r="G80" i="81"/>
  <c r="K95" i="102"/>
  <c r="K43" i="90"/>
  <c r="K60" i="85"/>
  <c r="K69" i="79"/>
  <c r="G41" i="97"/>
  <c r="K99" i="87"/>
  <c r="G35" i="77"/>
  <c r="K66" i="98"/>
  <c r="G47" i="86"/>
  <c r="DV16" i="54"/>
  <c r="G62" i="105"/>
  <c r="G74" i="103"/>
  <c r="G103" i="86"/>
  <c r="K78" i="101"/>
  <c r="K103" i="85"/>
  <c r="G100" i="74"/>
  <c r="G56" i="89"/>
  <c r="G32" i="77"/>
  <c r="G71" i="84"/>
  <c r="K57" i="114"/>
  <c r="K67" i="87"/>
  <c r="G65" i="77"/>
  <c r="G52" i="79"/>
  <c r="K79" i="111"/>
  <c r="K80" i="85"/>
  <c r="K61" i="103"/>
  <c r="K96" i="80"/>
  <c r="K50" i="115"/>
  <c r="K55" i="104"/>
  <c r="K104" i="100"/>
  <c r="G52" i="80"/>
  <c r="G89" i="72"/>
  <c r="G94" i="102"/>
  <c r="K100" i="117"/>
  <c r="G65" i="84"/>
  <c r="G49" i="85"/>
  <c r="G46" i="100"/>
  <c r="G33" i="91"/>
  <c r="G104" i="91"/>
  <c r="G81" i="98"/>
  <c r="K81" i="110"/>
  <c r="K99" i="86"/>
  <c r="G97" i="73"/>
  <c r="G83" i="102"/>
  <c r="K52" i="109"/>
  <c r="K93" i="110"/>
  <c r="K62" i="105"/>
  <c r="G74" i="78"/>
  <c r="K106" i="111"/>
  <c r="G83" i="105"/>
  <c r="K82" i="74"/>
  <c r="K43" i="101"/>
  <c r="K55" i="105"/>
  <c r="K52" i="80"/>
  <c r="K104" i="72"/>
  <c r="G93" i="78"/>
  <c r="K86" i="104"/>
  <c r="G35" i="101"/>
  <c r="Z16" i="54"/>
  <c r="G46" i="102"/>
  <c r="K110" i="84"/>
  <c r="G34" i="87"/>
  <c r="G61" i="107"/>
  <c r="K36" i="75"/>
  <c r="G87" i="85"/>
  <c r="K56" i="98"/>
  <c r="K97" i="86"/>
  <c r="K100" i="111"/>
  <c r="K79" i="97"/>
  <c r="G42" i="100"/>
  <c r="K62" i="101"/>
  <c r="G51" i="111"/>
  <c r="K35" i="88"/>
  <c r="G73" i="105"/>
  <c r="K44" i="103"/>
  <c r="G71" i="73"/>
  <c r="K47" i="114"/>
  <c r="K76" i="71"/>
  <c r="K80" i="81"/>
  <c r="K32" i="100"/>
  <c r="K49" i="116"/>
  <c r="G96" i="109"/>
  <c r="G69" i="104"/>
  <c r="K49" i="86"/>
  <c r="K45" i="103"/>
  <c r="G55" i="85"/>
  <c r="K68" i="86"/>
  <c r="G96" i="80"/>
  <c r="K57" i="89"/>
  <c r="G99" i="106"/>
  <c r="K76" i="87"/>
  <c r="K103" i="107"/>
  <c r="G56" i="100"/>
  <c r="K40" i="73"/>
  <c r="G41" i="73"/>
  <c r="K39" i="106"/>
  <c r="K73" i="104"/>
  <c r="K79" i="65"/>
  <c r="K110" i="90"/>
  <c r="G37" i="91"/>
  <c r="G104" i="117"/>
  <c r="K86" i="82"/>
  <c r="K33" i="75"/>
  <c r="G40" i="90"/>
  <c r="K61" i="75"/>
  <c r="K77" i="85"/>
  <c r="G71" i="106"/>
  <c r="G69" i="75"/>
  <c r="G55" i="105"/>
  <c r="G83" i="71"/>
  <c r="K47" i="79"/>
  <c r="K54" i="99"/>
  <c r="G34" i="80"/>
  <c r="G98" i="99"/>
  <c r="K84" i="84"/>
  <c r="G32" i="91"/>
  <c r="G77" i="108"/>
  <c r="K94" i="101"/>
  <c r="K44" i="80"/>
  <c r="G34" i="78"/>
  <c r="G87" i="83"/>
  <c r="K99" i="75"/>
  <c r="K51" i="110"/>
  <c r="K74" i="85"/>
  <c r="G72" i="85"/>
  <c r="K39" i="113"/>
  <c r="G85" i="84"/>
  <c r="K98" i="99"/>
  <c r="G69" i="78"/>
  <c r="G73" i="89"/>
  <c r="G38" i="79"/>
  <c r="G99" i="97"/>
  <c r="G65" i="75"/>
  <c r="G62" i="116"/>
  <c r="G66" i="99"/>
  <c r="G98" i="80"/>
  <c r="K72" i="107"/>
  <c r="G68" i="74"/>
  <c r="K70" i="102"/>
  <c r="K37" i="100"/>
  <c r="K75" i="90"/>
  <c r="G70" i="85"/>
  <c r="K88" i="109"/>
  <c r="G68" i="65"/>
  <c r="G52" i="72"/>
  <c r="K39" i="111"/>
  <c r="K107" i="88"/>
  <c r="K68" i="91"/>
  <c r="G33" i="107"/>
  <c r="G67" i="113"/>
  <c r="K96" i="90"/>
  <c r="G98" i="106"/>
  <c r="G47" i="99"/>
  <c r="G91" i="81"/>
  <c r="K53" i="76"/>
  <c r="K86" i="90"/>
  <c r="G55" i="73"/>
  <c r="K39" i="102"/>
  <c r="G65" i="78"/>
  <c r="G97" i="103"/>
  <c r="K32" i="86"/>
  <c r="K66" i="71"/>
  <c r="K38" i="97"/>
  <c r="K83" i="103"/>
  <c r="K110" i="111"/>
  <c r="K104" i="99"/>
  <c r="K86" i="100"/>
  <c r="G92" i="87"/>
  <c r="G90" i="108"/>
  <c r="G57" i="71"/>
  <c r="K98" i="107"/>
  <c r="K106" i="83"/>
  <c r="K36" i="92"/>
  <c r="G72" i="80"/>
  <c r="G70" i="83"/>
  <c r="K94" i="113"/>
  <c r="G107" i="110"/>
  <c r="K34" i="111"/>
  <c r="K84" i="71"/>
  <c r="K87" i="105"/>
  <c r="G94" i="91"/>
  <c r="K61" i="77"/>
  <c r="G51" i="81"/>
  <c r="K109" i="89"/>
  <c r="K54" i="97"/>
  <c r="G86" i="108"/>
  <c r="K99" i="65"/>
  <c r="K55" i="117"/>
  <c r="K109" i="111"/>
  <c r="G43" i="109"/>
  <c r="G110" i="92"/>
  <c r="G78" i="103"/>
  <c r="K109" i="82"/>
  <c r="G41" i="80"/>
  <c r="K35" i="76"/>
  <c r="G39" i="71"/>
  <c r="K70" i="84"/>
  <c r="G79" i="83"/>
  <c r="K42" i="71"/>
  <c r="G43" i="91"/>
  <c r="K68" i="87"/>
  <c r="K90" i="113"/>
  <c r="G53" i="106"/>
  <c r="K84" i="108"/>
  <c r="G43" i="117"/>
  <c r="G53" i="78"/>
  <c r="K100" i="92"/>
  <c r="G37" i="114"/>
  <c r="K102" i="111"/>
  <c r="G43" i="72"/>
  <c r="G38" i="77"/>
  <c r="G76" i="72"/>
  <c r="G106" i="87"/>
  <c r="G107" i="91"/>
  <c r="K67" i="73"/>
  <c r="G81" i="113"/>
  <c r="G108" i="76"/>
  <c r="G107" i="117"/>
  <c r="K47" i="113"/>
  <c r="K50" i="114"/>
  <c r="K65" i="84"/>
  <c r="G55" i="82"/>
  <c r="G49" i="89"/>
  <c r="K110" i="73"/>
  <c r="K79" i="107"/>
  <c r="G81" i="71"/>
  <c r="G35" i="115"/>
  <c r="K56" i="116"/>
  <c r="K57" i="104"/>
  <c r="G70" i="100"/>
  <c r="G38" i="109"/>
  <c r="K91" i="100"/>
  <c r="K75" i="106"/>
  <c r="G92" i="71"/>
  <c r="G102" i="78"/>
  <c r="K62" i="91"/>
  <c r="G102" i="81"/>
  <c r="K43" i="109"/>
  <c r="G103" i="108"/>
  <c r="G60" i="78"/>
  <c r="G67" i="71"/>
  <c r="K52" i="111"/>
  <c r="K108" i="115"/>
  <c r="G92" i="115"/>
  <c r="G94" i="107"/>
  <c r="K54" i="78"/>
  <c r="G77" i="98"/>
  <c r="K70" i="88"/>
  <c r="K86" i="79"/>
  <c r="K75" i="104"/>
  <c r="K51" i="113"/>
  <c r="K77" i="106"/>
  <c r="K96" i="79"/>
  <c r="G45" i="111"/>
  <c r="G45" i="84"/>
  <c r="G48" i="90"/>
  <c r="K52" i="74"/>
  <c r="K37" i="92"/>
  <c r="G54" i="91"/>
  <c r="K44" i="79"/>
  <c r="G90" i="109"/>
  <c r="K91" i="110"/>
  <c r="K71" i="101"/>
  <c r="K85" i="100"/>
  <c r="K98" i="71"/>
  <c r="DS16" i="54"/>
  <c r="G33" i="88"/>
  <c r="G90" i="101"/>
  <c r="K92" i="88"/>
  <c r="K67" i="78"/>
  <c r="K88" i="89"/>
  <c r="G47" i="74"/>
  <c r="G47" i="90"/>
  <c r="G107" i="71"/>
  <c r="K47" i="101"/>
  <c r="G57" i="78"/>
  <c r="K93" i="78"/>
  <c r="N16" i="54"/>
  <c r="K37" i="103"/>
  <c r="G33" i="87"/>
  <c r="G109" i="108"/>
  <c r="G75" i="113"/>
  <c r="K42" i="101"/>
  <c r="K101" i="81"/>
  <c r="G73" i="116"/>
  <c r="K62" i="107"/>
  <c r="K42" i="75"/>
  <c r="G80" i="111"/>
  <c r="G46" i="74"/>
  <c r="G82" i="90"/>
  <c r="G92" i="114"/>
  <c r="K48" i="77"/>
  <c r="K78" i="86"/>
  <c r="G85" i="110"/>
  <c r="K81" i="113"/>
  <c r="G36" i="111"/>
  <c r="K107" i="71"/>
  <c r="G42" i="92"/>
  <c r="K60" i="76"/>
  <c r="G83" i="78"/>
  <c r="G38" i="97"/>
  <c r="G47" i="104"/>
  <c r="K99" i="77"/>
  <c r="G38" i="113"/>
  <c r="G53" i="105"/>
  <c r="K79" i="100"/>
  <c r="K49" i="99"/>
  <c r="G81" i="89"/>
  <c r="K85" i="108"/>
  <c r="G33" i="99"/>
  <c r="K16" i="54"/>
  <c r="G94" i="114"/>
  <c r="G39" i="109"/>
  <c r="K94" i="108"/>
  <c r="G70" i="89"/>
  <c r="G46" i="115"/>
  <c r="G107" i="111"/>
  <c r="K82" i="77"/>
  <c r="G98" i="100"/>
  <c r="K109" i="74"/>
  <c r="K57" i="86"/>
  <c r="K98" i="84"/>
  <c r="G51" i="89"/>
  <c r="K80" i="78"/>
  <c r="G69" i="90"/>
  <c r="K95" i="97"/>
  <c r="K83" i="113"/>
  <c r="G39" i="81"/>
  <c r="G76" i="80"/>
  <c r="G66" i="80"/>
  <c r="G95" i="87"/>
  <c r="K71" i="89"/>
  <c r="G100" i="108"/>
  <c r="G40" i="89"/>
  <c r="K108" i="98"/>
  <c r="G42" i="73"/>
  <c r="K60" i="109"/>
  <c r="K102" i="116"/>
  <c r="K78" i="110"/>
  <c r="K85" i="99"/>
  <c r="K86" i="110"/>
  <c r="G60" i="111"/>
  <c r="K67" i="100"/>
  <c r="G45" i="97"/>
  <c r="G59" i="111"/>
  <c r="G33" i="97"/>
  <c r="G61" i="102"/>
  <c r="K35" i="84"/>
  <c r="K104" i="82"/>
  <c r="G77" i="109"/>
  <c r="G74" i="81"/>
  <c r="AA16" i="54"/>
  <c r="G61" i="73"/>
  <c r="G92" i="82"/>
  <c r="K84" i="107"/>
  <c r="G93" i="111"/>
  <c r="G60" i="106"/>
  <c r="G54" i="65"/>
  <c r="G72" i="73"/>
  <c r="G47" i="101"/>
  <c r="G91" i="76"/>
  <c r="K83" i="106"/>
  <c r="K48" i="79"/>
  <c r="K100" i="79"/>
  <c r="K42" i="109"/>
  <c r="K47" i="74"/>
  <c r="G102" i="84"/>
  <c r="G99" i="103"/>
  <c r="G81" i="85"/>
  <c r="K109" i="83"/>
  <c r="G52" i="101"/>
  <c r="K93" i="105"/>
  <c r="G34" i="102"/>
  <c r="K70" i="114"/>
  <c r="K85" i="82"/>
  <c r="G91" i="100"/>
  <c r="K96" i="88"/>
  <c r="K43" i="78"/>
  <c r="K80" i="72"/>
  <c r="K48" i="88"/>
  <c r="G54" i="90"/>
  <c r="K86" i="109"/>
  <c r="G72" i="104"/>
  <c r="G42" i="90"/>
  <c r="K57" i="85"/>
  <c r="K34" i="84"/>
  <c r="K74" i="106"/>
  <c r="G39" i="74"/>
  <c r="G51" i="78"/>
  <c r="G46" i="91"/>
  <c r="G67" i="100"/>
  <c r="G36" i="106"/>
  <c r="G32" i="107"/>
  <c r="K40" i="103"/>
  <c r="K91" i="85"/>
  <c r="K57" i="81"/>
  <c r="K94" i="111"/>
  <c r="K57" i="103"/>
  <c r="K55" i="71"/>
  <c r="G50" i="108"/>
  <c r="K33" i="101"/>
  <c r="G99" i="83"/>
  <c r="G65" i="74"/>
  <c r="K75" i="87"/>
  <c r="G108" i="81"/>
  <c r="K81" i="76"/>
  <c r="G87" i="108"/>
  <c r="G46" i="92"/>
  <c r="K80" i="104"/>
  <c r="G66" i="97"/>
  <c r="K93" i="87"/>
  <c r="K38" i="71"/>
  <c r="G37" i="80"/>
  <c r="G46" i="110"/>
  <c r="G109" i="71"/>
  <c r="K92" i="75"/>
  <c r="G72" i="111"/>
  <c r="G81" i="79"/>
  <c r="K95" i="79"/>
  <c r="K68" i="98"/>
  <c r="G88" i="78"/>
  <c r="K84" i="75"/>
  <c r="K51" i="75"/>
  <c r="G106" i="114"/>
  <c r="K91" i="114"/>
  <c r="K97" i="85"/>
  <c r="G53" i="76"/>
  <c r="G46" i="116"/>
  <c r="K35" i="106"/>
  <c r="G85" i="91"/>
  <c r="G57" i="90"/>
  <c r="G51" i="83"/>
  <c r="K61" i="116"/>
  <c r="G50" i="83"/>
  <c r="G38" i="92"/>
  <c r="G46" i="114"/>
  <c r="K39" i="97"/>
  <c r="G72" i="100"/>
  <c r="K57" i="65"/>
  <c r="G44" i="87"/>
  <c r="K61" i="98"/>
  <c r="K37" i="108"/>
  <c r="K83" i="114"/>
  <c r="K40" i="97"/>
  <c r="G87" i="82"/>
  <c r="K103" i="76"/>
  <c r="K76" i="117"/>
  <c r="G97" i="81"/>
  <c r="K54" i="103"/>
  <c r="K102" i="109"/>
  <c r="K97" i="81"/>
  <c r="G110" i="78"/>
  <c r="K49" i="98"/>
  <c r="K95" i="104"/>
  <c r="G99" i="92"/>
  <c r="K65" i="89"/>
  <c r="K60" i="111"/>
  <c r="K92" i="101"/>
  <c r="K47" i="105"/>
  <c r="K62" i="87"/>
  <c r="K91" i="65"/>
  <c r="K103" i="87"/>
  <c r="K88" i="75"/>
  <c r="K86" i="116"/>
  <c r="G86" i="104"/>
  <c r="K97" i="103"/>
  <c r="K51" i="98"/>
  <c r="K82" i="99"/>
  <c r="K108" i="102"/>
  <c r="G56" i="105"/>
  <c r="G61" i="75"/>
  <c r="G47" i="97"/>
  <c r="K50" i="107"/>
  <c r="K49" i="103"/>
  <c r="K38" i="78"/>
  <c r="G102" i="113"/>
  <c r="G85" i="90"/>
  <c r="G74" i="90"/>
  <c r="G51" i="99"/>
  <c r="K73" i="85"/>
  <c r="G46" i="90"/>
  <c r="G80" i="85"/>
  <c r="K50" i="78"/>
  <c r="K88" i="97"/>
  <c r="G71" i="102"/>
  <c r="K54" i="101"/>
  <c r="G96" i="83"/>
  <c r="K46" i="111"/>
  <c r="K61" i="76"/>
  <c r="K108" i="84"/>
  <c r="K47" i="99"/>
  <c r="K89" i="99"/>
  <c r="G87" i="109"/>
  <c r="G56" i="80"/>
  <c r="K75" i="71"/>
  <c r="K110" i="87"/>
  <c r="G78" i="116"/>
  <c r="K96" i="78"/>
  <c r="G32" i="108"/>
  <c r="K39" i="73"/>
  <c r="G78" i="74"/>
  <c r="G107" i="104"/>
  <c r="K95" i="101"/>
  <c r="K101" i="103"/>
  <c r="G78" i="106"/>
  <c r="K55" i="82"/>
  <c r="G77" i="90"/>
  <c r="G84" i="107"/>
  <c r="K43" i="117"/>
  <c r="K60" i="98"/>
  <c r="G88" i="111"/>
  <c r="K106" i="75"/>
  <c r="G91" i="89"/>
  <c r="G103" i="92"/>
  <c r="K44" i="110"/>
  <c r="G35" i="89"/>
  <c r="K35" i="113"/>
  <c r="G42" i="85"/>
  <c r="G61" i="116"/>
  <c r="G74" i="115"/>
  <c r="G100" i="76"/>
  <c r="K53" i="71"/>
  <c r="K68" i="108"/>
  <c r="K94" i="81"/>
  <c r="K62" i="103"/>
  <c r="G76" i="99"/>
  <c r="K102" i="90"/>
  <c r="G86" i="86"/>
  <c r="K95" i="103"/>
  <c r="K76" i="74"/>
  <c r="K83" i="76"/>
  <c r="K93" i="106"/>
  <c r="G110" i="75"/>
  <c r="AK16" i="54"/>
  <c r="K84" i="110"/>
  <c r="K56" i="105"/>
  <c r="K73" i="107"/>
  <c r="G48" i="98"/>
  <c r="K70" i="104"/>
  <c r="G34" i="90"/>
  <c r="K48" i="113"/>
  <c r="K43" i="84"/>
  <c r="K43" i="105"/>
  <c r="K33" i="102"/>
  <c r="K87" i="111"/>
  <c r="K76" i="77"/>
  <c r="K77" i="102"/>
  <c r="G52" i="85"/>
  <c r="G79" i="87"/>
  <c r="K94" i="114"/>
  <c r="K49" i="115"/>
  <c r="K94" i="91"/>
  <c r="G47" i="73"/>
  <c r="G42" i="79"/>
  <c r="K89" i="110"/>
  <c r="G53" i="110"/>
  <c r="K40" i="113"/>
  <c r="K62" i="86"/>
  <c r="K102" i="80"/>
  <c r="G43" i="76"/>
  <c r="K43" i="100"/>
  <c r="K78" i="92"/>
  <c r="G99" i="107"/>
  <c r="G84" i="71"/>
  <c r="K50" i="103"/>
  <c r="K62" i="71"/>
  <c r="K100" i="97"/>
  <c r="G107" i="116"/>
  <c r="G35" i="102"/>
  <c r="K45" i="65"/>
  <c r="G99" i="111"/>
  <c r="G49" i="86"/>
  <c r="K56" i="97"/>
  <c r="G95" i="91"/>
  <c r="G84" i="77"/>
  <c r="G106" i="111"/>
  <c r="G91" i="65"/>
  <c r="G43" i="108"/>
  <c r="K86" i="101"/>
  <c r="G40" i="117"/>
  <c r="K50" i="110"/>
  <c r="G51" i="87"/>
  <c r="K74" i="116"/>
  <c r="G61" i="88"/>
  <c r="K52" i="90"/>
  <c r="K93" i="117"/>
  <c r="K42" i="117"/>
  <c r="K69" i="88"/>
  <c r="G60" i="104"/>
  <c r="G39" i="79"/>
  <c r="G102" i="77"/>
  <c r="G59" i="113"/>
  <c r="G100" i="105"/>
  <c r="G57" i="84"/>
  <c r="G57" i="104"/>
  <c r="G76" i="100"/>
  <c r="G69" i="101"/>
  <c r="G77" i="102"/>
  <c r="K41" i="104"/>
  <c r="G83" i="76"/>
  <c r="G70" i="77"/>
  <c r="K66" i="80"/>
  <c r="K100" i="91"/>
  <c r="G109" i="100"/>
  <c r="G75" i="82"/>
  <c r="G39" i="90"/>
  <c r="K43" i="81"/>
  <c r="G68" i="73"/>
  <c r="K93" i="85"/>
  <c r="K88" i="103"/>
  <c r="K71" i="86"/>
  <c r="K80" i="103"/>
  <c r="G32" i="116"/>
  <c r="K75" i="108"/>
  <c r="K36" i="116"/>
  <c r="K38" i="117"/>
  <c r="K46" i="71"/>
  <c r="K50" i="73"/>
  <c r="K76" i="110"/>
  <c r="K32" i="65"/>
  <c r="G52" i="98"/>
  <c r="K97" i="71"/>
  <c r="G103" i="75"/>
  <c r="G71" i="85"/>
  <c r="K44" i="90"/>
  <c r="G32" i="110"/>
  <c r="G110" i="65"/>
  <c r="G104" i="73"/>
  <c r="G108" i="116"/>
  <c r="G82" i="81"/>
  <c r="G109" i="75"/>
  <c r="G51" i="92"/>
  <c r="G97" i="77"/>
  <c r="K74" i="73"/>
  <c r="K77" i="86"/>
  <c r="G97" i="102"/>
  <c r="K95" i="81"/>
  <c r="K90" i="109"/>
  <c r="G106" i="89"/>
  <c r="G40" i="71"/>
  <c r="K88" i="87"/>
  <c r="K61" i="91"/>
  <c r="G79" i="102"/>
  <c r="K81" i="78"/>
  <c r="G79" i="107"/>
  <c r="K90" i="83"/>
  <c r="K100" i="87"/>
  <c r="K46" i="110"/>
  <c r="K62" i="117"/>
  <c r="G103" i="102"/>
  <c r="G108" i="114"/>
  <c r="G60" i="77"/>
  <c r="K101" i="102"/>
  <c r="G42" i="111"/>
  <c r="G45" i="87"/>
  <c r="G83" i="111"/>
  <c r="G74" i="116"/>
  <c r="K107" i="84"/>
  <c r="K52" i="83"/>
  <c r="K108" i="90"/>
  <c r="K34" i="98"/>
  <c r="K66" i="109"/>
  <c r="G94" i="88"/>
  <c r="K93" i="90"/>
  <c r="K37" i="106"/>
  <c r="G88" i="107"/>
  <c r="K90" i="76"/>
  <c r="K90" i="107"/>
  <c r="G42" i="86"/>
  <c r="K69" i="111"/>
  <c r="K36" i="81"/>
  <c r="G70" i="97"/>
  <c r="K82" i="108"/>
  <c r="G32" i="79"/>
  <c r="G49" i="73"/>
  <c r="K55" i="88"/>
  <c r="G110" i="105"/>
  <c r="G54" i="105"/>
  <c r="K33" i="107"/>
  <c r="K109" i="72"/>
  <c r="G52" i="117"/>
  <c r="G60" i="116"/>
  <c r="K75" i="110"/>
  <c r="G84" i="87"/>
  <c r="G98" i="74"/>
  <c r="G42" i="98"/>
  <c r="G100" i="104"/>
  <c r="K89" i="75"/>
  <c r="G95" i="107"/>
  <c r="G104" i="76"/>
  <c r="G32" i="75"/>
  <c r="G77" i="117"/>
  <c r="G91" i="77"/>
  <c r="G65" i="80"/>
  <c r="K90" i="79"/>
  <c r="K49" i="111"/>
  <c r="G56" i="99"/>
  <c r="K43" i="86"/>
  <c r="G55" i="83"/>
  <c r="K39" i="107"/>
  <c r="K50" i="76"/>
  <c r="G62" i="111"/>
  <c r="K51" i="104"/>
  <c r="G94" i="105"/>
  <c r="G53" i="111"/>
  <c r="K108" i="117"/>
  <c r="G86" i="117"/>
  <c r="G50" i="72"/>
  <c r="K92" i="99"/>
  <c r="K61" i="102"/>
  <c r="K104" i="101"/>
  <c r="G88" i="91"/>
  <c r="G49" i="108"/>
  <c r="K103" i="92"/>
  <c r="G95" i="103"/>
  <c r="G89" i="91"/>
  <c r="G88" i="86"/>
  <c r="K48" i="98"/>
  <c r="G67" i="90"/>
  <c r="K79" i="85"/>
  <c r="G110" i="108"/>
  <c r="K40" i="90"/>
  <c r="K90" i="74"/>
  <c r="K40" i="89"/>
  <c r="G75" i="77"/>
  <c r="G41" i="65"/>
  <c r="K43" i="82"/>
  <c r="G54" i="101"/>
  <c r="K65" i="73"/>
  <c r="K99" i="84"/>
  <c r="K91" i="104"/>
  <c r="G97" i="117"/>
  <c r="G104" i="78"/>
  <c r="K46" i="82"/>
  <c r="K109" i="109"/>
  <c r="G75" i="85"/>
  <c r="G92" i="108"/>
  <c r="G33" i="114"/>
  <c r="K50" i="116"/>
  <c r="G71" i="79"/>
  <c r="G82" i="117"/>
  <c r="K37" i="104"/>
  <c r="G92" i="101"/>
  <c r="K65" i="114"/>
  <c r="G93" i="88"/>
  <c r="G70" i="101"/>
  <c r="K37" i="109"/>
  <c r="K41" i="83"/>
  <c r="K70" i="110"/>
  <c r="K92" i="84"/>
  <c r="K65" i="75"/>
  <c r="G84" i="110"/>
  <c r="G101" i="81"/>
  <c r="G44" i="71"/>
  <c r="G93" i="65"/>
  <c r="K80" i="87"/>
  <c r="G72" i="81"/>
  <c r="G39" i="83"/>
  <c r="K80" i="84"/>
  <c r="G108" i="78"/>
  <c r="K45" i="111"/>
  <c r="G96" i="89"/>
  <c r="K44" i="91"/>
  <c r="G56" i="101"/>
  <c r="G47" i="82"/>
  <c r="K98" i="104"/>
  <c r="K66" i="81"/>
  <c r="K52" i="86"/>
  <c r="K97" i="83"/>
  <c r="K95" i="87"/>
  <c r="G78" i="89"/>
  <c r="G59" i="89"/>
  <c r="G48" i="106"/>
  <c r="G41" i="91"/>
  <c r="G92" i="110"/>
  <c r="G44" i="110"/>
  <c r="K97" i="79"/>
  <c r="K86" i="91"/>
  <c r="K77" i="75"/>
  <c r="G62" i="99"/>
  <c r="G60" i="101"/>
  <c r="K109" i="115"/>
  <c r="K56" i="99"/>
  <c r="G42" i="75"/>
  <c r="G54" i="102"/>
  <c r="K99" i="71"/>
  <c r="K78" i="90"/>
  <c r="K65" i="102"/>
  <c r="K96" i="102"/>
  <c r="K67" i="117"/>
  <c r="K94" i="99"/>
  <c r="K55" i="97"/>
  <c r="K100" i="85"/>
  <c r="K67" i="90"/>
  <c r="K103" i="99"/>
  <c r="G90" i="116"/>
  <c r="G80" i="113"/>
  <c r="K89" i="71"/>
  <c r="K91" i="106"/>
  <c r="K42" i="65"/>
  <c r="K51" i="78"/>
  <c r="K84" i="74"/>
  <c r="G96" i="71"/>
  <c r="G34" i="73"/>
  <c r="K54" i="105"/>
  <c r="G46" i="106"/>
  <c r="K71" i="104"/>
  <c r="G45" i="83"/>
  <c r="K104" i="108"/>
  <c r="G108" i="84"/>
  <c r="G80" i="88"/>
  <c r="K108" i="85"/>
  <c r="G49" i="82"/>
  <c r="G73" i="73"/>
  <c r="K69" i="76"/>
  <c r="K103" i="102"/>
  <c r="G100" i="90"/>
  <c r="G45" i="102"/>
  <c r="G52" i="100"/>
  <c r="K74" i="101"/>
  <c r="K38" i="109"/>
  <c r="G100" i="115"/>
  <c r="G52" i="115"/>
  <c r="K78" i="82"/>
  <c r="G59" i="92"/>
  <c r="K44" i="108"/>
  <c r="K80" i="107"/>
  <c r="G102" i="103"/>
  <c r="G76" i="105"/>
  <c r="K98" i="75"/>
  <c r="G60" i="110"/>
  <c r="K60" i="101"/>
  <c r="G74" i="75"/>
  <c r="G99" i="115"/>
  <c r="G57" i="79"/>
  <c r="K49" i="90"/>
  <c r="G101" i="105"/>
  <c r="K55" i="109"/>
  <c r="G37" i="72"/>
  <c r="G65" i="105"/>
  <c r="G37" i="102"/>
  <c r="K67" i="114"/>
  <c r="G50" i="90"/>
  <c r="K71" i="109"/>
  <c r="G56" i="104"/>
  <c r="K48" i="115"/>
  <c r="G99" i="90"/>
  <c r="K98" i="115"/>
  <c r="K34" i="97"/>
  <c r="K37" i="79"/>
  <c r="K74" i="75"/>
  <c r="K50" i="106"/>
  <c r="G101" i="86"/>
  <c r="G61" i="81"/>
  <c r="K45" i="114"/>
  <c r="K102" i="88"/>
  <c r="G45" i="116"/>
  <c r="K56" i="103"/>
  <c r="K80" i="114"/>
  <c r="K33" i="115"/>
  <c r="G45" i="90"/>
  <c r="K81" i="72"/>
  <c r="G56" i="115"/>
  <c r="K73" i="75"/>
  <c r="G93" i="98"/>
  <c r="K46" i="73"/>
  <c r="G100" i="80"/>
  <c r="G90" i="89"/>
  <c r="G45" i="82"/>
  <c r="G95" i="89"/>
  <c r="K54" i="89"/>
  <c r="K53" i="102"/>
  <c r="K60" i="72"/>
  <c r="K67" i="71"/>
  <c r="G71" i="77"/>
  <c r="K38" i="100"/>
  <c r="G67" i="117"/>
  <c r="K35" i="85"/>
  <c r="G52" i="91"/>
  <c r="K109" i="78"/>
  <c r="K83" i="78"/>
  <c r="G110" i="73"/>
  <c r="G109" i="97"/>
  <c r="K34" i="78"/>
  <c r="G77" i="88"/>
  <c r="K95" i="100"/>
  <c r="G72" i="114"/>
  <c r="G91" i="73"/>
  <c r="K89" i="114"/>
  <c r="G73" i="82"/>
  <c r="K79" i="108"/>
  <c r="K99" i="76"/>
  <c r="K45" i="99"/>
  <c r="G99" i="117"/>
  <c r="G78" i="73"/>
  <c r="G99" i="114"/>
  <c r="G75" i="115"/>
  <c r="G71" i="82"/>
  <c r="G75" i="111"/>
  <c r="K81" i="99"/>
  <c r="K35" i="107"/>
  <c r="G104" i="107"/>
  <c r="K96" i="103"/>
  <c r="K106" i="103"/>
  <c r="K32" i="104"/>
  <c r="G59" i="102"/>
  <c r="G96" i="110"/>
  <c r="G93" i="80"/>
  <c r="K51" i="74"/>
  <c r="G38" i="71"/>
  <c r="G45" i="78"/>
  <c r="G73" i="84"/>
  <c r="K56" i="77"/>
  <c r="G34" i="109"/>
  <c r="G70" i="104"/>
  <c r="G100" i="75"/>
  <c r="G60" i="71"/>
  <c r="K54" i="71"/>
  <c r="G50" i="73"/>
  <c r="K35" i="81"/>
  <c r="K104" i="85"/>
  <c r="K40" i="72"/>
  <c r="K88" i="105"/>
  <c r="K79" i="77"/>
  <c r="K59" i="111"/>
  <c r="G51" i="116"/>
  <c r="G70" i="91"/>
  <c r="G59" i="116"/>
  <c r="G86" i="102"/>
  <c r="K103" i="65"/>
  <c r="G77" i="75"/>
  <c r="K75" i="102"/>
  <c r="K93" i="80"/>
  <c r="K46" i="91"/>
  <c r="K72" i="99"/>
  <c r="K61" i="81"/>
  <c r="K70" i="108"/>
  <c r="K104" i="73"/>
  <c r="K99" i="90"/>
  <c r="G94" i="98"/>
  <c r="G74" i="109"/>
  <c r="G38" i="100"/>
  <c r="K57" i="72"/>
  <c r="K71" i="78"/>
  <c r="K100" i="109"/>
  <c r="G80" i="79"/>
  <c r="G104" i="100"/>
  <c r="G106" i="101"/>
  <c r="G33" i="105"/>
  <c r="K83" i="97"/>
  <c r="K110" i="97"/>
  <c r="K41" i="105"/>
  <c r="K50" i="90"/>
  <c r="G75" i="108"/>
  <c r="K68" i="84"/>
  <c r="G93" i="102"/>
  <c r="K51" i="109"/>
  <c r="G40" i="101"/>
  <c r="K54" i="74"/>
  <c r="K67" i="113"/>
  <c r="G107" i="102"/>
  <c r="G87" i="99"/>
  <c r="G91" i="108"/>
  <c r="G47" i="102"/>
  <c r="G88" i="110"/>
  <c r="G79" i="71"/>
  <c r="K81" i="105"/>
  <c r="K71" i="72"/>
  <c r="K80" i="99"/>
  <c r="G57" i="80"/>
  <c r="G39" i="86"/>
  <c r="K55" i="79"/>
  <c r="K37" i="116"/>
  <c r="K90" i="88"/>
  <c r="G82" i="114"/>
  <c r="K56" i="111"/>
  <c r="G50" i="79"/>
  <c r="K107" i="85"/>
  <c r="G80" i="116"/>
  <c r="K97" i="90"/>
  <c r="K36" i="102"/>
  <c r="K102" i="72"/>
  <c r="K35" i="105"/>
  <c r="K70" i="87"/>
  <c r="G104" i="108"/>
  <c r="K71" i="116"/>
  <c r="K70" i="85"/>
  <c r="G99" i="84"/>
  <c r="K50" i="100"/>
  <c r="G110" i="74"/>
  <c r="G97" i="85"/>
  <c r="K49" i="105"/>
  <c r="G65" i="79"/>
  <c r="K108" i="86"/>
  <c r="K54" i="111"/>
  <c r="G93" i="104"/>
  <c r="K84" i="116"/>
  <c r="G104" i="115"/>
  <c r="G46" i="87"/>
  <c r="G69" i="106"/>
  <c r="K56" i="88"/>
  <c r="K87" i="78"/>
  <c r="K96" i="91"/>
  <c r="G41" i="89"/>
  <c r="G32" i="111"/>
  <c r="K54" i="72"/>
  <c r="G71" i="109"/>
  <c r="G77" i="86"/>
  <c r="G81" i="84"/>
  <c r="G52" i="65"/>
  <c r="K56" i="86"/>
  <c r="G104" i="85"/>
  <c r="G62" i="72"/>
  <c r="K74" i="79"/>
  <c r="G82" i="87"/>
  <c r="G44" i="79"/>
  <c r="K38" i="90"/>
  <c r="G85" i="115"/>
  <c r="G106" i="103"/>
  <c r="G56" i="87"/>
  <c r="G55" i="77"/>
  <c r="G37" i="104"/>
  <c r="K83" i="86"/>
  <c r="K53" i="87"/>
  <c r="P16" i="54"/>
  <c r="K97" i="107"/>
  <c r="G103" i="80"/>
  <c r="K88" i="108"/>
  <c r="G67" i="103"/>
  <c r="K59" i="77"/>
  <c r="G83" i="73"/>
  <c r="K98" i="80"/>
  <c r="G106" i="81"/>
  <c r="K97" i="78"/>
  <c r="G88" i="89"/>
  <c r="K39" i="75"/>
  <c r="K81" i="85"/>
  <c r="K101" i="92"/>
  <c r="G88" i="97"/>
  <c r="G90" i="76"/>
  <c r="G44" i="104"/>
  <c r="G100" i="106"/>
  <c r="K106" i="92"/>
  <c r="G98" i="97"/>
  <c r="G77" i="85"/>
  <c r="K36" i="90"/>
  <c r="G108" i="90"/>
  <c r="G53" i="74"/>
  <c r="G82" i="82"/>
  <c r="G59" i="100"/>
  <c r="K60" i="81"/>
  <c r="G62" i="84"/>
  <c r="G51" i="107"/>
  <c r="G38" i="102"/>
  <c r="K84" i="98"/>
  <c r="K106" i="115"/>
  <c r="K52" i="84"/>
  <c r="K45" i="107"/>
  <c r="G70" i="92"/>
  <c r="G98" i="87"/>
  <c r="K45" i="89"/>
  <c r="K92" i="105"/>
  <c r="K43" i="114"/>
  <c r="G91" i="84"/>
  <c r="K42" i="92"/>
  <c r="K69" i="86"/>
  <c r="G41" i="104"/>
  <c r="G90" i="80"/>
  <c r="K91" i="105"/>
  <c r="G68" i="97"/>
  <c r="K32" i="78"/>
  <c r="G89" i="98"/>
  <c r="G47" i="76"/>
  <c r="G90" i="111"/>
  <c r="G82" i="109"/>
  <c r="K83" i="79"/>
  <c r="G80" i="92"/>
  <c r="G67" i="65"/>
  <c r="K107" i="101"/>
  <c r="G54" i="89"/>
  <c r="K95" i="89"/>
  <c r="K104" i="79"/>
  <c r="K51" i="91"/>
  <c r="G83" i="86"/>
  <c r="K45" i="90"/>
  <c r="G93" i="100"/>
  <c r="K67" i="101"/>
  <c r="G81" i="102"/>
  <c r="G102" i="65"/>
  <c r="K77" i="74"/>
  <c r="G77" i="81"/>
  <c r="G108" i="83"/>
  <c r="K49" i="104"/>
  <c r="G85" i="116"/>
  <c r="K38" i="89"/>
  <c r="G62" i="92"/>
  <c r="G72" i="108"/>
  <c r="K68" i="80"/>
  <c r="K92" i="91"/>
  <c r="G109" i="79"/>
  <c r="G34" i="86"/>
  <c r="K72" i="86"/>
  <c r="G70" i="72"/>
  <c r="G70" i="99"/>
  <c r="K71" i="103"/>
  <c r="G93" i="73"/>
  <c r="G109" i="98"/>
  <c r="K80" i="115"/>
  <c r="K96" i="113"/>
  <c r="G51" i="75"/>
  <c r="G53" i="108"/>
  <c r="K55" i="101"/>
  <c r="K87" i="84"/>
  <c r="K43" i="103"/>
  <c r="G49" i="84"/>
  <c r="G46" i="76"/>
  <c r="K68" i="90"/>
  <c r="G61" i="83"/>
  <c r="G74" i="113"/>
  <c r="K41" i="86"/>
  <c r="G35" i="82"/>
  <c r="K94" i="97"/>
  <c r="K34" i="104"/>
  <c r="G94" i="101"/>
  <c r="K107" i="110"/>
  <c r="K45" i="86"/>
  <c r="K65" i="105"/>
  <c r="G66" i="107"/>
  <c r="K44" i="75"/>
  <c r="K68" i="85"/>
  <c r="G55" i="114"/>
  <c r="G52" i="90"/>
  <c r="G45" i="100"/>
  <c r="G35" i="87"/>
  <c r="K65" i="71"/>
  <c r="G41" i="88"/>
  <c r="K71" i="87"/>
  <c r="K91" i="87"/>
  <c r="G89" i="106"/>
  <c r="K87" i="73"/>
  <c r="G80" i="114"/>
  <c r="K94" i="102"/>
  <c r="K82" i="101"/>
  <c r="K92" i="65"/>
  <c r="K66" i="87"/>
  <c r="G84" i="100"/>
  <c r="G73" i="92"/>
  <c r="G93" i="115"/>
  <c r="G97" i="84"/>
  <c r="K44" i="83"/>
  <c r="K71" i="77"/>
  <c r="K92" i="106"/>
  <c r="K100" i="115"/>
  <c r="G109" i="82"/>
  <c r="K76" i="113"/>
  <c r="G72" i="82"/>
  <c r="K109" i="88"/>
  <c r="K107" i="91"/>
  <c r="G99" i="77"/>
  <c r="G60" i="92"/>
  <c r="G96" i="97"/>
  <c r="K76" i="105"/>
  <c r="G40" i="106"/>
  <c r="G96" i="99"/>
  <c r="G52" i="77"/>
  <c r="K94" i="92"/>
  <c r="K49" i="77"/>
  <c r="G33" i="100"/>
  <c r="G36" i="100"/>
  <c r="G41" i="109"/>
  <c r="G97" i="76"/>
  <c r="K50" i="92"/>
  <c r="K110" i="110"/>
  <c r="G39" i="97"/>
  <c r="G87" i="76"/>
  <c r="K107" i="103"/>
  <c r="G44" i="103"/>
  <c r="K36" i="76"/>
  <c r="K61" i="83"/>
  <c r="K34" i="82"/>
  <c r="G108" i="79"/>
  <c r="K91" i="72"/>
  <c r="K36" i="84"/>
  <c r="G43" i="75"/>
  <c r="G48" i="114"/>
  <c r="K69" i="113"/>
  <c r="K47" i="116"/>
  <c r="G106" i="110"/>
  <c r="G109" i="109"/>
  <c r="K37" i="99"/>
  <c r="G32" i="103"/>
  <c r="G108" i="87"/>
  <c r="K107" i="102"/>
  <c r="K86" i="92"/>
  <c r="G91" i="106"/>
  <c r="G80" i="73"/>
  <c r="G98" i="108"/>
  <c r="G102" i="74"/>
  <c r="K74" i="108"/>
  <c r="K53" i="79"/>
  <c r="K72" i="102"/>
  <c r="K68" i="104"/>
  <c r="G57" i="86"/>
  <c r="G102" i="83"/>
  <c r="G102" i="92"/>
  <c r="G78" i="101"/>
  <c r="G99" i="98"/>
  <c r="K44" i="116"/>
  <c r="K96" i="110"/>
  <c r="K48" i="90"/>
  <c r="G74" i="114"/>
  <c r="K40" i="111"/>
  <c r="K93" i="88"/>
  <c r="G51" i="86"/>
  <c r="K107" i="109"/>
  <c r="K103" i="82"/>
  <c r="G48" i="78"/>
  <c r="K59" i="86"/>
  <c r="K33" i="117"/>
  <c r="G43" i="90"/>
  <c r="G47" i="113"/>
  <c r="G52" i="78"/>
  <c r="G101" i="115"/>
  <c r="DU16" i="54"/>
  <c r="K47" i="117"/>
  <c r="K89" i="97"/>
  <c r="K35" i="73"/>
  <c r="G107" i="90"/>
  <c r="G39" i="75"/>
  <c r="K71" i="74"/>
  <c r="K108" i="91"/>
  <c r="G82" i="99"/>
  <c r="G82" i="97"/>
  <c r="K106" i="116"/>
  <c r="G33" i="80"/>
  <c r="K35" i="99"/>
  <c r="G89" i="75"/>
  <c r="G33" i="85"/>
  <c r="K93" i="100"/>
  <c r="K76" i="102"/>
  <c r="G57" i="88"/>
  <c r="K81" i="114"/>
  <c r="K47" i="89"/>
  <c r="G109" i="113"/>
  <c r="K74" i="81"/>
  <c r="K97" i="114"/>
  <c r="G44" i="111"/>
  <c r="K42" i="80"/>
  <c r="G90" i="65"/>
  <c r="K93" i="86"/>
  <c r="G102" i="105"/>
  <c r="K99" i="116"/>
  <c r="G99" i="86"/>
  <c r="K57" i="78"/>
  <c r="K38" i="84"/>
  <c r="K95" i="65"/>
  <c r="K51" i="84"/>
  <c r="K92" i="114"/>
  <c r="K101" i="75"/>
  <c r="G85" i="75"/>
  <c r="K54" i="77"/>
  <c r="K66" i="79"/>
  <c r="G96" i="98"/>
  <c r="G79" i="114"/>
  <c r="K48" i="111"/>
  <c r="K107" i="77"/>
  <c r="K107" i="113"/>
  <c r="K66" i="91"/>
  <c r="K102" i="97"/>
  <c r="G86" i="109"/>
  <c r="G80" i="91"/>
  <c r="K71" i="106"/>
  <c r="K41" i="115"/>
  <c r="G35" i="72"/>
  <c r="K56" i="113"/>
  <c r="G70" i="111"/>
  <c r="K96" i="98"/>
  <c r="K104" i="115"/>
  <c r="K46" i="87"/>
  <c r="K106" i="72"/>
  <c r="G94" i="104"/>
  <c r="G62" i="102"/>
  <c r="K87" i="100"/>
  <c r="G39" i="87"/>
  <c r="DX16" i="54"/>
  <c r="K50" i="108"/>
  <c r="K65" i="83"/>
  <c r="K102" i="86"/>
  <c r="G95" i="101"/>
  <c r="K85" i="106"/>
  <c r="G85" i="77"/>
  <c r="K56" i="78"/>
  <c r="G45" i="113"/>
  <c r="K55" i="87"/>
  <c r="K74" i="102"/>
  <c r="G51" i="85"/>
  <c r="G43" i="88"/>
  <c r="G88" i="80"/>
  <c r="K53" i="108"/>
  <c r="K90" i="117"/>
  <c r="G62" i="80"/>
  <c r="G94" i="97"/>
  <c r="G35" i="91"/>
  <c r="G32" i="100"/>
  <c r="G93" i="91"/>
  <c r="Y16" i="54"/>
  <c r="G101" i="110"/>
  <c r="G69" i="74"/>
  <c r="K65" i="101"/>
  <c r="G78" i="83"/>
  <c r="K34" i="115"/>
  <c r="G83" i="113"/>
  <c r="G53" i="87"/>
  <c r="K62" i="100"/>
  <c r="G49" i="99"/>
  <c r="K109" i="75"/>
  <c r="G47" i="111"/>
  <c r="G36" i="107"/>
  <c r="G50" i="98"/>
  <c r="K95" i="110"/>
  <c r="K42" i="107"/>
  <c r="G85" i="108"/>
  <c r="G57" i="100"/>
  <c r="G67" i="105"/>
  <c r="K80" i="111"/>
  <c r="K41" i="90"/>
  <c r="G54" i="82"/>
  <c r="K52" i="79"/>
  <c r="G92" i="92"/>
  <c r="G56" i="82"/>
  <c r="G66" i="73"/>
  <c r="G56" i="117"/>
  <c r="G77" i="89"/>
  <c r="G99" i="116"/>
  <c r="G69" i="84"/>
  <c r="G34" i="76"/>
  <c r="G109" i="103"/>
  <c r="K34" i="87"/>
  <c r="G93" i="109"/>
  <c r="K87" i="71"/>
  <c r="K62" i="88"/>
  <c r="G72" i="78"/>
  <c r="G61" i="114"/>
  <c r="K67" i="65"/>
  <c r="K81" i="90"/>
  <c r="K47" i="108"/>
  <c r="X16" i="54"/>
  <c r="K53" i="111"/>
  <c r="K95" i="77"/>
  <c r="K79" i="92"/>
  <c r="G54" i="83"/>
  <c r="G51" i="98"/>
  <c r="G96" i="65"/>
  <c r="G70" i="74"/>
  <c r="K93" i="116"/>
  <c r="AI16" i="54"/>
  <c r="G82" i="105"/>
  <c r="K78" i="73"/>
  <c r="G102" i="100"/>
  <c r="G103" i="104"/>
  <c r="K86" i="114"/>
  <c r="K81" i="115"/>
  <c r="K40" i="91"/>
  <c r="K45" i="101"/>
  <c r="G43" i="107"/>
  <c r="G83" i="107"/>
  <c r="G101" i="74"/>
  <c r="G108" i="100"/>
  <c r="K109" i="99"/>
  <c r="K91" i="79"/>
  <c r="G45" i="89"/>
  <c r="G61" i="82"/>
  <c r="K100" i="75"/>
  <c r="K72" i="114"/>
  <c r="K53" i="81"/>
  <c r="G68" i="108"/>
  <c r="K41" i="81"/>
  <c r="G91" i="110"/>
  <c r="K33" i="83"/>
  <c r="K34" i="71"/>
  <c r="G72" i="86"/>
  <c r="G39" i="103"/>
  <c r="G101" i="102"/>
  <c r="G109" i="90"/>
  <c r="K34" i="83"/>
  <c r="K70" i="81"/>
  <c r="K100" i="110"/>
  <c r="K65" i="99"/>
  <c r="K88" i="86"/>
  <c r="K90" i="91"/>
  <c r="G97" i="111"/>
  <c r="G44" i="84"/>
  <c r="G39" i="76"/>
  <c r="K68" i="82"/>
  <c r="G65" i="98"/>
  <c r="K59" i="88"/>
  <c r="G54" i="74"/>
  <c r="G76" i="103"/>
  <c r="K68" i="77"/>
  <c r="K57" i="110"/>
  <c r="K81" i="100"/>
  <c r="G77" i="83"/>
  <c r="K73" i="103"/>
  <c r="K100" i="80"/>
  <c r="G95" i="116"/>
  <c r="G62" i="98"/>
  <c r="G96" i="76"/>
  <c r="G102" i="115"/>
  <c r="K66" i="99"/>
  <c r="G78" i="91"/>
  <c r="G39" i="107"/>
  <c r="K72" i="108"/>
  <c r="G96" i="74"/>
  <c r="G68" i="89"/>
  <c r="G79" i="65"/>
  <c r="G67" i="76"/>
  <c r="G92" i="89"/>
  <c r="G86" i="110"/>
  <c r="G40" i="86"/>
  <c r="G69" i="105"/>
  <c r="G73" i="85"/>
  <c r="G96" i="88"/>
  <c r="G76" i="109"/>
  <c r="K106" i="74"/>
  <c r="G88" i="114"/>
  <c r="G87" i="107"/>
  <c r="K49" i="102"/>
  <c r="K53" i="114"/>
  <c r="G56" i="103"/>
  <c r="G75" i="87"/>
  <c r="K48" i="84"/>
  <c r="G67" i="107"/>
  <c r="G70" i="65"/>
  <c r="G60" i="84"/>
  <c r="G81" i="107"/>
  <c r="K82" i="111"/>
  <c r="K71" i="114"/>
  <c r="G59" i="86"/>
  <c r="G104" i="89"/>
  <c r="K89" i="117"/>
  <c r="G82" i="83"/>
  <c r="K45" i="73"/>
  <c r="G62" i="75"/>
  <c r="G68" i="86"/>
  <c r="G86" i="79"/>
  <c r="K62" i="82"/>
  <c r="G49" i="71"/>
  <c r="G73" i="101"/>
  <c r="G103" i="107"/>
  <c r="K51" i="79"/>
  <c r="K68" i="116"/>
  <c r="K66" i="82"/>
  <c r="K48" i="82"/>
  <c r="K65" i="72"/>
  <c r="G59" i="109"/>
  <c r="G96" i="90"/>
  <c r="K56" i="80"/>
  <c r="G55" i="74"/>
  <c r="K68" i="83"/>
  <c r="G79" i="100"/>
  <c r="G106" i="84"/>
  <c r="G101" i="114"/>
  <c r="G51" i="91"/>
  <c r="G72" i="113"/>
  <c r="G77" i="106"/>
  <c r="K73" i="116"/>
  <c r="K60" i="84"/>
  <c r="K44" i="106"/>
  <c r="M16" i="54"/>
  <c r="G92" i="83"/>
  <c r="G106" i="115"/>
  <c r="G44" i="75"/>
  <c r="G34" i="103"/>
  <c r="G51" i="65"/>
  <c r="K90" i="86"/>
  <c r="G100" i="72"/>
  <c r="K77" i="104"/>
  <c r="G85" i="113"/>
  <c r="K91" i="84"/>
  <c r="G57" i="114"/>
  <c r="G54" i="76"/>
  <c r="G51" i="71"/>
  <c r="G42" i="77"/>
  <c r="G35" i="79"/>
  <c r="K71" i="92"/>
  <c r="G55" i="90"/>
  <c r="K91" i="101"/>
  <c r="K44" i="82"/>
  <c r="G62" i="79"/>
  <c r="K82" i="100"/>
  <c r="K82" i="84"/>
  <c r="K68" i="115"/>
  <c r="K70" i="98"/>
  <c r="G74" i="73"/>
  <c r="K76" i="99"/>
  <c r="G42" i="109"/>
  <c r="K52" i="91"/>
  <c r="K76" i="106"/>
  <c r="G75" i="72"/>
  <c r="G81" i="101"/>
  <c r="K79" i="83"/>
  <c r="G102" i="76"/>
  <c r="K79" i="91"/>
  <c r="G81" i="88"/>
  <c r="G77" i="76"/>
  <c r="K81" i="80"/>
  <c r="K93" i="92"/>
  <c r="G93" i="74"/>
  <c r="G56" i="107"/>
  <c r="K46" i="109"/>
  <c r="K108" i="111"/>
  <c r="K65" i="100"/>
  <c r="K79" i="101"/>
  <c r="K70" i="116"/>
  <c r="G96" i="86"/>
  <c r="G78" i="107"/>
  <c r="K39" i="86"/>
  <c r="K81" i="91"/>
  <c r="K96" i="99"/>
  <c r="K76" i="81"/>
  <c r="K92" i="80"/>
  <c r="K32" i="115"/>
  <c r="G82" i="92"/>
  <c r="G43" i="105"/>
  <c r="G39" i="114"/>
  <c r="K56" i="110"/>
  <c r="K76" i="83"/>
  <c r="K102" i="84"/>
  <c r="G46" i="65"/>
  <c r="G35" i="78"/>
  <c r="G85" i="100"/>
  <c r="G100" i="92"/>
  <c r="K42" i="102"/>
  <c r="G40" i="115"/>
  <c r="K52" i="107"/>
  <c r="G45" i="73"/>
  <c r="G67" i="106"/>
  <c r="K83" i="110"/>
  <c r="G103" i="76"/>
  <c r="K92" i="98"/>
  <c r="K57" i="90"/>
  <c r="G84" i="113"/>
  <c r="G38" i="76"/>
  <c r="K45" i="72"/>
  <c r="K59" i="75"/>
  <c r="G41" i="101"/>
  <c r="G108" i="117"/>
  <c r="G88" i="73"/>
  <c r="G40" i="78"/>
  <c r="G99" i="78"/>
  <c r="K36" i="71"/>
  <c r="G35" i="114"/>
  <c r="G81" i="75"/>
  <c r="G33" i="89"/>
  <c r="G109" i="89"/>
  <c r="K92" i="85"/>
  <c r="K98" i="113"/>
  <c r="G84" i="73"/>
  <c r="G92" i="77"/>
  <c r="G39" i="111"/>
  <c r="K75" i="74"/>
  <c r="G59" i="106"/>
  <c r="K87" i="83"/>
  <c r="G60" i="65"/>
  <c r="G89" i="113"/>
  <c r="K91" i="90"/>
  <c r="K44" i="114"/>
  <c r="K98" i="76"/>
  <c r="K36" i="100"/>
  <c r="G74" i="101"/>
  <c r="G85" i="78"/>
  <c r="G102" i="88"/>
  <c r="G44" i="107"/>
  <c r="G88" i="100"/>
  <c r="K46" i="90"/>
  <c r="K65" i="81"/>
  <c r="K42" i="77"/>
  <c r="G77" i="87"/>
  <c r="K59" i="108"/>
  <c r="G73" i="111"/>
  <c r="G97" i="78"/>
  <c r="K50" i="85"/>
  <c r="G85" i="82"/>
  <c r="K104" i="105"/>
  <c r="K109" i="116"/>
  <c r="K98" i="74"/>
  <c r="K73" i="80"/>
  <c r="K99" i="81"/>
  <c r="K62" i="72"/>
  <c r="K39" i="83"/>
  <c r="G74" i="85"/>
  <c r="K96" i="81"/>
  <c r="K106" i="100"/>
  <c r="G104" i="114"/>
  <c r="K47" i="71"/>
  <c r="K52" i="72"/>
  <c r="K56" i="91"/>
  <c r="G107" i="98"/>
  <c r="K59" i="74"/>
  <c r="G42" i="110"/>
  <c r="G98" i="84"/>
  <c r="K78" i="106"/>
  <c r="G92" i="105"/>
  <c r="G77" i="110"/>
  <c r="G50" i="80"/>
  <c r="G55" i="72"/>
  <c r="G36" i="73"/>
  <c r="G48" i="73"/>
  <c r="K76" i="85"/>
  <c r="K57" i="75"/>
  <c r="K104" i="81"/>
  <c r="K49" i="83"/>
  <c r="G76" i="114"/>
  <c r="G35" i="86"/>
  <c r="K97" i="80"/>
  <c r="G68" i="77"/>
  <c r="K106" i="108"/>
  <c r="G83" i="110"/>
  <c r="K84" i="111"/>
  <c r="G88" i="92"/>
  <c r="G78" i="109"/>
  <c r="K69" i="104"/>
  <c r="K47" i="65"/>
  <c r="G38" i="87"/>
  <c r="G108" i="77"/>
  <c r="K51" i="111"/>
  <c r="G99" i="104"/>
  <c r="K97" i="84"/>
  <c r="K67" i="89"/>
  <c r="K85" i="73"/>
  <c r="G100" i="111"/>
  <c r="K84" i="91"/>
  <c r="G46" i="86"/>
  <c r="K102" i="104"/>
  <c r="G96" i="111"/>
  <c r="G54" i="84"/>
  <c r="K60" i="107"/>
  <c r="G40" i="87"/>
  <c r="G52" i="109"/>
  <c r="K70" i="90"/>
  <c r="K71" i="79"/>
  <c r="G99" i="81"/>
  <c r="AD16" i="54"/>
  <c r="G40" i="105"/>
  <c r="K34" i="117"/>
  <c r="G39" i="92"/>
  <c r="G45" i="99"/>
  <c r="K108" i="113"/>
  <c r="G46" i="79"/>
  <c r="G70" i="84"/>
  <c r="G33" i="86"/>
  <c r="G69" i="71"/>
  <c r="K54" i="65"/>
  <c r="G60" i="79"/>
  <c r="G101" i="98"/>
  <c r="K52" i="117"/>
  <c r="K71" i="107"/>
  <c r="K77" i="108"/>
  <c r="K42" i="72"/>
  <c r="K74" i="111"/>
  <c r="K50" i="87"/>
  <c r="K107" i="100"/>
  <c r="K108" i="80"/>
  <c r="G53" i="88"/>
  <c r="K75" i="72"/>
  <c r="G103" i="85"/>
  <c r="G37" i="84"/>
  <c r="G33" i="102"/>
  <c r="K38" i="86"/>
  <c r="K72" i="110"/>
  <c r="K98" i="108"/>
  <c r="G104" i="111"/>
  <c r="K104" i="91"/>
  <c r="G100" i="99"/>
  <c r="G56" i="88"/>
  <c r="G97" i="89"/>
  <c r="G49" i="88"/>
  <c r="K34" i="72"/>
  <c r="K68" i="79"/>
  <c r="K74" i="86"/>
  <c r="K80" i="76"/>
  <c r="K71" i="102"/>
  <c r="K38" i="98"/>
  <c r="K103" i="100"/>
  <c r="K83" i="88"/>
  <c r="G47" i="105"/>
  <c r="G67" i="91"/>
  <c r="K86" i="107"/>
  <c r="G68" i="109"/>
  <c r="K102" i="91"/>
  <c r="G35" i="81"/>
  <c r="K76" i="73"/>
  <c r="G44" i="85"/>
  <c r="K68" i="73"/>
  <c r="K77" i="97"/>
  <c r="G95" i="79"/>
  <c r="K82" i="79"/>
  <c r="G94" i="79"/>
  <c r="K94" i="87"/>
  <c r="K66" i="97"/>
  <c r="G67" i="92"/>
  <c r="G78" i="90"/>
  <c r="G45" i="85"/>
  <c r="K92" i="90"/>
  <c r="K40" i="76"/>
  <c r="K109" i="85"/>
  <c r="K55" i="113"/>
  <c r="G59" i="88"/>
  <c r="K54" i="80"/>
  <c r="K34" i="74"/>
  <c r="G93" i="105"/>
  <c r="K84" i="88"/>
  <c r="G38" i="103"/>
  <c r="K45" i="113"/>
  <c r="K32" i="97"/>
  <c r="K46" i="92"/>
  <c r="K96" i="86"/>
  <c r="G85" i="97"/>
  <c r="K95" i="92"/>
  <c r="G92" i="102"/>
  <c r="G103" i="77"/>
  <c r="K83" i="107"/>
  <c r="G96" i="102"/>
  <c r="G104" i="72"/>
  <c r="G40" i="82"/>
  <c r="G56" i="73"/>
  <c r="K44" i="71"/>
  <c r="G83" i="101"/>
  <c r="G67" i="104"/>
  <c r="K107" i="115"/>
  <c r="K47" i="72"/>
  <c r="G53" i="113"/>
  <c r="G60" i="107"/>
  <c r="K92" i="81"/>
  <c r="G55" i="91"/>
  <c r="G99" i="91"/>
  <c r="K86" i="117"/>
  <c r="K101" i="98"/>
  <c r="K83" i="72"/>
  <c r="G101" i="77"/>
  <c r="G84" i="72"/>
  <c r="G72" i="84"/>
  <c r="K32" i="105"/>
  <c r="G72" i="90"/>
  <c r="K53" i="106"/>
  <c r="K95" i="83"/>
  <c r="G48" i="87"/>
  <c r="G104" i="88"/>
  <c r="AE16" i="54"/>
  <c r="G43" i="73"/>
  <c r="G89" i="73"/>
  <c r="G101" i="71"/>
  <c r="K62" i="97"/>
  <c r="K71" i="80"/>
  <c r="G100" i="81"/>
  <c r="K57" i="79"/>
  <c r="G95" i="114"/>
  <c r="G93" i="108"/>
  <c r="G38" i="106"/>
  <c r="K40" i="114"/>
  <c r="K85" i="77"/>
  <c r="G75" i="100"/>
  <c r="G68" i="82"/>
  <c r="K46" i="83"/>
  <c r="G85" i="114"/>
  <c r="K55" i="83"/>
  <c r="K92" i="116"/>
  <c r="G77" i="79"/>
  <c r="G78" i="79"/>
  <c r="G42" i="74"/>
  <c r="K86" i="65"/>
  <c r="G100" i="79"/>
  <c r="G51" i="84"/>
  <c r="G87" i="100"/>
  <c r="K101" i="78"/>
  <c r="K56" i="107"/>
  <c r="K41" i="110"/>
  <c r="K75" i="103"/>
  <c r="K93" i="79"/>
  <c r="K33" i="84"/>
  <c r="G47" i="91"/>
  <c r="G52" i="81"/>
  <c r="K65" i="90"/>
  <c r="K103" i="86"/>
  <c r="G91" i="71"/>
  <c r="G38" i="78"/>
  <c r="K67" i="88"/>
  <c r="G47" i="65"/>
  <c r="G97" i="99"/>
  <c r="G83" i="106"/>
  <c r="K46" i="107"/>
  <c r="K44" i="101"/>
  <c r="G103" i="89"/>
  <c r="K72" i="85"/>
  <c r="G36" i="84"/>
  <c r="K88" i="84"/>
  <c r="G43" i="114"/>
  <c r="K83" i="65"/>
  <c r="K39" i="91"/>
  <c r="G110" i="82"/>
  <c r="K93" i="91"/>
  <c r="K72" i="72"/>
  <c r="K92" i="102"/>
  <c r="G50" i="107"/>
  <c r="K69" i="65"/>
  <c r="K53" i="73"/>
  <c r="K109" i="90"/>
  <c r="G67" i="84"/>
  <c r="G48" i="85"/>
  <c r="G47" i="81"/>
  <c r="G59" i="72"/>
  <c r="G55" i="111"/>
  <c r="K51" i="89"/>
  <c r="G102" i="89"/>
  <c r="G47" i="72"/>
  <c r="G82" i="78"/>
  <c r="K52" i="106"/>
  <c r="K110" i="77"/>
  <c r="K95" i="113"/>
  <c r="K77" i="77"/>
  <c r="K102" i="98"/>
  <c r="G94" i="109"/>
  <c r="K92" i="72"/>
  <c r="K54" i="73"/>
  <c r="G95" i="81"/>
  <c r="K68" i="109"/>
  <c r="K47" i="98"/>
  <c r="G60" i="97"/>
  <c r="G72" i="74"/>
  <c r="K75" i="84"/>
  <c r="K75" i="76"/>
  <c r="G56" i="72"/>
  <c r="G37" i="92"/>
  <c r="G37" i="76"/>
  <c r="K56" i="90"/>
  <c r="K92" i="78"/>
  <c r="K40" i="77"/>
  <c r="G52" i="116"/>
  <c r="K83" i="117"/>
  <c r="G62" i="90"/>
  <c r="G61" i="80"/>
  <c r="K75" i="78"/>
  <c r="G73" i="108"/>
  <c r="K108" i="72"/>
  <c r="G74" i="99"/>
  <c r="G100" i="89"/>
  <c r="G76" i="110"/>
  <c r="K47" i="103"/>
  <c r="K72" i="98"/>
  <c r="G69" i="114"/>
  <c r="K77" i="78"/>
  <c r="G44" i="98"/>
  <c r="K59" i="76"/>
  <c r="K76" i="78"/>
  <c r="K68" i="65"/>
  <c r="G59" i="91"/>
  <c r="K34" i="75"/>
  <c r="K39" i="89"/>
  <c r="G109" i="106"/>
  <c r="K107" i="90"/>
  <c r="G37" i="85"/>
  <c r="G100" i="117"/>
  <c r="G42" i="81"/>
  <c r="K74" i="115"/>
  <c r="G103" i="83"/>
  <c r="K101" i="76"/>
  <c r="K65" i="116"/>
  <c r="G90" i="85"/>
  <c r="K37" i="87"/>
  <c r="K79" i="110"/>
  <c r="G49" i="90"/>
  <c r="G53" i="103"/>
  <c r="K53" i="84"/>
  <c r="K89" i="106"/>
  <c r="K51" i="100"/>
  <c r="G107" i="107"/>
  <c r="G53" i="92"/>
  <c r="G95" i="92"/>
  <c r="G110" i="101"/>
  <c r="K74" i="89"/>
  <c r="S110" i="101" l="1"/>
  <c r="R110" i="101"/>
  <c r="J110" i="101"/>
  <c r="J95" i="92"/>
  <c r="N95" i="92" s="1"/>
  <c r="J53" i="92"/>
  <c r="S107" i="107"/>
  <c r="R107" i="107"/>
  <c r="J107" i="107"/>
  <c r="M51" i="100"/>
  <c r="M53" i="84"/>
  <c r="J53" i="103"/>
  <c r="J49" i="90"/>
  <c r="M37" i="87"/>
  <c r="J90" i="85"/>
  <c r="N90" i="85" s="1"/>
  <c r="J103" i="83"/>
  <c r="N103" i="83" s="1"/>
  <c r="J42" i="81"/>
  <c r="J100" i="117"/>
  <c r="N100" i="117" s="1"/>
  <c r="J37" i="85"/>
  <c r="R109" i="106"/>
  <c r="J109" i="106"/>
  <c r="N109" i="106" s="1"/>
  <c r="S109" i="106"/>
  <c r="M39" i="89"/>
  <c r="M34" i="75"/>
  <c r="G63" i="91"/>
  <c r="N59" i="91"/>
  <c r="J59" i="91"/>
  <c r="K63" i="76"/>
  <c r="M59" i="76"/>
  <c r="J44" i="98"/>
  <c r="J69" i="114"/>
  <c r="N69" i="114" s="1"/>
  <c r="M47" i="103"/>
  <c r="J76" i="110"/>
  <c r="N76" i="110" s="1"/>
  <c r="J100" i="89"/>
  <c r="N100" i="89" s="1"/>
  <c r="J74" i="99"/>
  <c r="N74" i="99" s="1"/>
  <c r="J73" i="108"/>
  <c r="N73" i="108" s="1"/>
  <c r="J61" i="80"/>
  <c r="N61" i="80"/>
  <c r="R61" i="80" s="1"/>
  <c r="S61" i="80" s="1"/>
  <c r="J62" i="90"/>
  <c r="N62" i="90"/>
  <c r="R62" i="90" s="1"/>
  <c r="S62" i="90" s="1"/>
  <c r="J52" i="116"/>
  <c r="N52" i="116" s="1"/>
  <c r="R52" i="116" s="1"/>
  <c r="S52" i="116" s="1"/>
  <c r="M40" i="77"/>
  <c r="M56" i="90"/>
  <c r="J37" i="76"/>
  <c r="J37" i="92"/>
  <c r="J56" i="72"/>
  <c r="J72" i="74"/>
  <c r="N72" i="74" s="1"/>
  <c r="J60" i="97"/>
  <c r="N60" i="97"/>
  <c r="R60" i="97" s="1"/>
  <c r="S60" i="97" s="1"/>
  <c r="M47" i="98"/>
  <c r="J95" i="81"/>
  <c r="N95" i="81" s="1"/>
  <c r="M54" i="73"/>
  <c r="J94" i="109"/>
  <c r="N94" i="109" s="1"/>
  <c r="M52" i="106"/>
  <c r="J82" i="78"/>
  <c r="N82" i="78" s="1"/>
  <c r="J47" i="72"/>
  <c r="J102" i="89"/>
  <c r="N102" i="89" s="1"/>
  <c r="M51" i="89"/>
  <c r="J55" i="111"/>
  <c r="J59" i="72"/>
  <c r="N59" i="72"/>
  <c r="G63" i="72"/>
  <c r="J47" i="81"/>
  <c r="J48" i="85"/>
  <c r="J67" i="84"/>
  <c r="N67" i="84" s="1"/>
  <c r="M53" i="73"/>
  <c r="J50" i="107"/>
  <c r="J110" i="82"/>
  <c r="R110" i="82"/>
  <c r="S110" i="82"/>
  <c r="M39" i="91"/>
  <c r="J43" i="114"/>
  <c r="J36" i="84"/>
  <c r="N36" i="84" s="1"/>
  <c r="R36" i="84" s="1"/>
  <c r="S36" i="84" s="1"/>
  <c r="J103" i="89"/>
  <c r="N103" i="89" s="1"/>
  <c r="M44" i="101"/>
  <c r="M46" i="107"/>
  <c r="J83" i="106"/>
  <c r="N83" i="106" s="1"/>
  <c r="J97" i="99"/>
  <c r="N97" i="99" s="1"/>
  <c r="J47" i="65"/>
  <c r="J38" i="78"/>
  <c r="J91" i="71"/>
  <c r="N91" i="71" s="1"/>
  <c r="J52" i="81"/>
  <c r="J47" i="91"/>
  <c r="M33" i="84"/>
  <c r="M41" i="110"/>
  <c r="M56" i="107"/>
  <c r="J87" i="100"/>
  <c r="N87" i="100" s="1"/>
  <c r="J51" i="84"/>
  <c r="J100" i="79"/>
  <c r="N100" i="79" s="1"/>
  <c r="J42" i="74"/>
  <c r="J78" i="79"/>
  <c r="N78" i="79" s="1"/>
  <c r="J77" i="79"/>
  <c r="N77" i="79" s="1"/>
  <c r="M55" i="83"/>
  <c r="J85" i="114"/>
  <c r="N85" i="114" s="1"/>
  <c r="M46" i="83"/>
  <c r="J68" i="82"/>
  <c r="N68" i="82" s="1"/>
  <c r="J75" i="100"/>
  <c r="N75" i="100" s="1"/>
  <c r="M40" i="114"/>
  <c r="J38" i="106"/>
  <c r="J93" i="108"/>
  <c r="N93" i="108" s="1"/>
  <c r="J95" i="114"/>
  <c r="N95" i="114" s="1"/>
  <c r="M57" i="79"/>
  <c r="J100" i="81"/>
  <c r="N100" i="81" s="1"/>
  <c r="M62" i="97"/>
  <c r="J101" i="71"/>
  <c r="N101" i="71" s="1"/>
  <c r="J89" i="73"/>
  <c r="N89" i="73" s="1"/>
  <c r="J43" i="73"/>
  <c r="AE19" i="54"/>
  <c r="J104" i="88"/>
  <c r="N104" i="88" s="1"/>
  <c r="J48" i="87"/>
  <c r="M53" i="106"/>
  <c r="J72" i="90"/>
  <c r="N72" i="90" s="1"/>
  <c r="M32" i="105"/>
  <c r="J72" i="84"/>
  <c r="N72" i="84" s="1"/>
  <c r="J84" i="72"/>
  <c r="N84" i="72" s="1"/>
  <c r="J101" i="77"/>
  <c r="N101" i="77" s="1"/>
  <c r="J99" i="91"/>
  <c r="N99" i="91" s="1"/>
  <c r="J55" i="91"/>
  <c r="N60" i="107"/>
  <c r="R60" i="107" s="1"/>
  <c r="S60" i="107" s="1"/>
  <c r="J60" i="107"/>
  <c r="J53" i="113"/>
  <c r="M47" i="72"/>
  <c r="J67" i="104"/>
  <c r="N67" i="104" s="1"/>
  <c r="J83" i="101"/>
  <c r="N83" i="101" s="1"/>
  <c r="M44" i="71"/>
  <c r="J56" i="73"/>
  <c r="J40" i="82"/>
  <c r="J104" i="72"/>
  <c r="N104" i="72" s="1"/>
  <c r="J96" i="102"/>
  <c r="N96" i="102" s="1"/>
  <c r="J103" i="77"/>
  <c r="N103" i="77" s="1"/>
  <c r="J92" i="102"/>
  <c r="N92" i="102" s="1"/>
  <c r="J85" i="97"/>
  <c r="N85" i="97" s="1"/>
  <c r="M46" i="92"/>
  <c r="M32" i="97"/>
  <c r="M45" i="113"/>
  <c r="J38" i="103"/>
  <c r="J93" i="105"/>
  <c r="N93" i="105" s="1"/>
  <c r="M34" i="74"/>
  <c r="M54" i="80"/>
  <c r="G63" i="88"/>
  <c r="N59" i="88"/>
  <c r="J59" i="88"/>
  <c r="M55" i="113"/>
  <c r="M40" i="76"/>
  <c r="J45" i="85"/>
  <c r="J78" i="90"/>
  <c r="N78" i="90" s="1"/>
  <c r="J67" i="92"/>
  <c r="N67" i="92" s="1"/>
  <c r="J94" i="79"/>
  <c r="N94" i="79" s="1"/>
  <c r="J95" i="79"/>
  <c r="N95" i="79" s="1"/>
  <c r="J44" i="85"/>
  <c r="J35" i="81"/>
  <c r="J68" i="109"/>
  <c r="N68" i="109" s="1"/>
  <c r="J67" i="91"/>
  <c r="N67" i="91" s="1"/>
  <c r="J47" i="105"/>
  <c r="M38" i="98"/>
  <c r="M34" i="72"/>
  <c r="J49" i="88"/>
  <c r="J97" i="89"/>
  <c r="N97" i="89" s="1"/>
  <c r="J56" i="88"/>
  <c r="J100" i="99"/>
  <c r="N100" i="99" s="1"/>
  <c r="J104" i="111"/>
  <c r="N104" i="111" s="1"/>
  <c r="M38" i="86"/>
  <c r="J33" i="102"/>
  <c r="J37" i="84"/>
  <c r="J103" i="85"/>
  <c r="N103" i="85" s="1"/>
  <c r="J53" i="88"/>
  <c r="M50" i="87"/>
  <c r="M42" i="72"/>
  <c r="M52" i="117"/>
  <c r="J101" i="98"/>
  <c r="N101" i="98" s="1"/>
  <c r="J60" i="79"/>
  <c r="N60" i="79"/>
  <c r="R60" i="79" s="1"/>
  <c r="S60" i="79" s="1"/>
  <c r="M54" i="65"/>
  <c r="J69" i="71"/>
  <c r="N69" i="71" s="1"/>
  <c r="J33" i="86"/>
  <c r="J70" i="84"/>
  <c r="N70" i="84" s="1"/>
  <c r="J46" i="79"/>
  <c r="J45" i="99"/>
  <c r="J39" i="92"/>
  <c r="M34" i="117"/>
  <c r="J40" i="105"/>
  <c r="AD19" i="54"/>
  <c r="J99" i="81"/>
  <c r="N99" i="81" s="1"/>
  <c r="J52" i="109"/>
  <c r="J40" i="87"/>
  <c r="M60" i="107"/>
  <c r="J54" i="84"/>
  <c r="J96" i="111"/>
  <c r="N96" i="111" s="1"/>
  <c r="J46" i="86"/>
  <c r="J100" i="111"/>
  <c r="N100" i="111" s="1"/>
  <c r="J99" i="104"/>
  <c r="N99" i="104" s="1"/>
  <c r="M51" i="111"/>
  <c r="S108" i="77"/>
  <c r="J108" i="77"/>
  <c r="R108" i="77"/>
  <c r="J38" i="87"/>
  <c r="M47" i="65"/>
  <c r="J78" i="109"/>
  <c r="N78" i="109" s="1"/>
  <c r="J88" i="92"/>
  <c r="N88" i="92" s="1"/>
  <c r="J83" i="110"/>
  <c r="N83" i="110" s="1"/>
  <c r="J68" i="77"/>
  <c r="N68" i="77" s="1"/>
  <c r="J35" i="86"/>
  <c r="J76" i="114"/>
  <c r="N76" i="114" s="1"/>
  <c r="M49" i="83"/>
  <c r="M57" i="75"/>
  <c r="J48" i="73"/>
  <c r="J36" i="73"/>
  <c r="J55" i="72"/>
  <c r="J50" i="80"/>
  <c r="J77" i="110"/>
  <c r="N77" i="110" s="1"/>
  <c r="J92" i="105"/>
  <c r="N92" i="105" s="1"/>
  <c r="J98" i="84"/>
  <c r="N98" i="84" s="1"/>
  <c r="J42" i="110"/>
  <c r="M59" i="74"/>
  <c r="K63" i="74"/>
  <c r="R107" i="98"/>
  <c r="S107" i="98"/>
  <c r="J107" i="98"/>
  <c r="M56" i="91"/>
  <c r="M52" i="72"/>
  <c r="M47" i="71"/>
  <c r="J104" i="114"/>
  <c r="N104" i="114" s="1"/>
  <c r="J74" i="85"/>
  <c r="N74" i="85" s="1"/>
  <c r="M39" i="83"/>
  <c r="M62" i="72"/>
  <c r="J85" i="82"/>
  <c r="N85" i="82" s="1"/>
  <c r="M50" i="85"/>
  <c r="J97" i="78"/>
  <c r="N97" i="78" s="1"/>
  <c r="J73" i="111"/>
  <c r="N73" i="111" s="1"/>
  <c r="K63" i="108"/>
  <c r="M59" i="108"/>
  <c r="J77" i="87"/>
  <c r="N77" i="87" s="1"/>
  <c r="M42" i="77"/>
  <c r="M46" i="90"/>
  <c r="J88" i="100"/>
  <c r="N88" i="100" s="1"/>
  <c r="J44" i="107"/>
  <c r="J102" i="88"/>
  <c r="N102" i="88" s="1"/>
  <c r="J85" i="78"/>
  <c r="N85" i="78" s="1"/>
  <c r="J74" i="101"/>
  <c r="N74" i="101" s="1"/>
  <c r="M36" i="100"/>
  <c r="M44" i="114"/>
  <c r="J89" i="113"/>
  <c r="N89" i="113" s="1"/>
  <c r="N60" i="65"/>
  <c r="R60" i="65" s="1"/>
  <c r="S60" i="65" s="1"/>
  <c r="J60" i="65"/>
  <c r="N59" i="106"/>
  <c r="G63" i="106"/>
  <c r="J59" i="106"/>
  <c r="J39" i="111"/>
  <c r="J92" i="77"/>
  <c r="N92" i="77" s="1"/>
  <c r="J84" i="73"/>
  <c r="N84" i="73" s="1"/>
  <c r="J109" i="89"/>
  <c r="N109" i="89" s="1"/>
  <c r="R109" i="89"/>
  <c r="S109" i="89"/>
  <c r="J33" i="89"/>
  <c r="J81" i="75"/>
  <c r="N81" i="75" s="1"/>
  <c r="J35" i="114"/>
  <c r="M36" i="71"/>
  <c r="J99" i="78"/>
  <c r="N99" i="78" s="1"/>
  <c r="J40" i="78"/>
  <c r="J88" i="73"/>
  <c r="N88" i="73" s="1"/>
  <c r="J108" i="117"/>
  <c r="R108" i="117"/>
  <c r="S108" i="117"/>
  <c r="J41" i="101"/>
  <c r="K63" i="75"/>
  <c r="M59" i="75"/>
  <c r="M45" i="72"/>
  <c r="J38" i="76"/>
  <c r="J84" i="113"/>
  <c r="N84" i="113" s="1"/>
  <c r="M57" i="90"/>
  <c r="J103" i="76"/>
  <c r="N103" i="76" s="1"/>
  <c r="J67" i="106"/>
  <c r="N67" i="106" s="1"/>
  <c r="J45" i="73"/>
  <c r="M52" i="107"/>
  <c r="J40" i="115"/>
  <c r="M42" i="102"/>
  <c r="J100" i="92"/>
  <c r="N100" i="92" s="1"/>
  <c r="J85" i="100"/>
  <c r="N85" i="100" s="1"/>
  <c r="J35" i="78"/>
  <c r="J46" i="65"/>
  <c r="M56" i="110"/>
  <c r="J39" i="114"/>
  <c r="J43" i="105"/>
  <c r="J82" i="92"/>
  <c r="N82" i="92" s="1"/>
  <c r="M32" i="115"/>
  <c r="M39" i="86"/>
  <c r="J78" i="107"/>
  <c r="N78" i="107" s="1"/>
  <c r="J96" i="86"/>
  <c r="N96" i="86" s="1"/>
  <c r="M46" i="109"/>
  <c r="J56" i="107"/>
  <c r="J93" i="74"/>
  <c r="N93" i="74" s="1"/>
  <c r="J77" i="76"/>
  <c r="N77" i="76" s="1"/>
  <c r="J81" i="88"/>
  <c r="N81" i="88" s="1"/>
  <c r="J102" i="76"/>
  <c r="N102" i="76" s="1"/>
  <c r="J81" i="101"/>
  <c r="N81" i="101" s="1"/>
  <c r="J75" i="72"/>
  <c r="N75" i="72" s="1"/>
  <c r="M52" i="91"/>
  <c r="J42" i="109"/>
  <c r="J74" i="73"/>
  <c r="N74" i="73" s="1"/>
  <c r="J62" i="79"/>
  <c r="N62" i="79"/>
  <c r="R62" i="79" s="1"/>
  <c r="S62" i="79" s="1"/>
  <c r="M44" i="82"/>
  <c r="J55" i="90"/>
  <c r="J35" i="79"/>
  <c r="J42" i="77"/>
  <c r="J51" i="71"/>
  <c r="J54" i="76"/>
  <c r="J57" i="114"/>
  <c r="J85" i="113"/>
  <c r="N85" i="113" s="1"/>
  <c r="J100" i="72"/>
  <c r="N100" i="72" s="1"/>
  <c r="J51" i="65"/>
  <c r="J34" i="103"/>
  <c r="J44" i="75"/>
  <c r="J106" i="115"/>
  <c r="R106" i="115"/>
  <c r="S106" i="115"/>
  <c r="J92" i="83"/>
  <c r="N92" i="83" s="1"/>
  <c r="M19" i="54"/>
  <c r="M44" i="106"/>
  <c r="M60" i="84"/>
  <c r="J77" i="106"/>
  <c r="N77" i="106" s="1"/>
  <c r="J72" i="113"/>
  <c r="N72" i="113" s="1"/>
  <c r="J51" i="91"/>
  <c r="J101" i="114"/>
  <c r="N101" i="114" s="1"/>
  <c r="J106" i="84"/>
  <c r="R106" i="84"/>
  <c r="S106" i="84"/>
  <c r="J79" i="100"/>
  <c r="N79" i="100" s="1"/>
  <c r="J55" i="74"/>
  <c r="M56" i="80"/>
  <c r="J96" i="90"/>
  <c r="N96" i="90" s="1"/>
  <c r="J59" i="109"/>
  <c r="G63" i="109"/>
  <c r="N59" i="109"/>
  <c r="M48" i="82"/>
  <c r="M51" i="79"/>
  <c r="J103" i="107"/>
  <c r="N103" i="107" s="1"/>
  <c r="J73" i="101"/>
  <c r="N73" i="101" s="1"/>
  <c r="J49" i="71"/>
  <c r="M62" i="82"/>
  <c r="J86" i="79"/>
  <c r="N86" i="79" s="1"/>
  <c r="J68" i="86"/>
  <c r="N68" i="86" s="1"/>
  <c r="N62" i="75"/>
  <c r="R62" i="75" s="1"/>
  <c r="S62" i="75" s="1"/>
  <c r="J62" i="75"/>
  <c r="M45" i="73"/>
  <c r="J82" i="83"/>
  <c r="N82" i="83" s="1"/>
  <c r="J104" i="89"/>
  <c r="N104" i="89" s="1"/>
  <c r="J59" i="86"/>
  <c r="G63" i="86"/>
  <c r="N59" i="86"/>
  <c r="J81" i="107"/>
  <c r="N81" i="107" s="1"/>
  <c r="N60" i="84"/>
  <c r="R60" i="84" s="1"/>
  <c r="S60" i="84" s="1"/>
  <c r="J60" i="84"/>
  <c r="J70" i="65"/>
  <c r="N70" i="65" s="1"/>
  <c r="J67" i="107"/>
  <c r="N67" i="107" s="1"/>
  <c r="M48" i="84"/>
  <c r="J75" i="87"/>
  <c r="N75" i="87" s="1"/>
  <c r="J56" i="103"/>
  <c r="M53" i="114"/>
  <c r="M49" i="102"/>
  <c r="J87" i="107"/>
  <c r="N87" i="107" s="1"/>
  <c r="J88" i="114"/>
  <c r="N88" i="114" s="1"/>
  <c r="J76" i="109"/>
  <c r="N76" i="109" s="1"/>
  <c r="J96" i="88"/>
  <c r="N96" i="88" s="1"/>
  <c r="J73" i="85"/>
  <c r="N73" i="85" s="1"/>
  <c r="J69" i="105"/>
  <c r="N69" i="105" s="1"/>
  <c r="J40" i="86"/>
  <c r="J86" i="110"/>
  <c r="N86" i="110" s="1"/>
  <c r="J92" i="89"/>
  <c r="N92" i="89" s="1"/>
  <c r="J67" i="76"/>
  <c r="N67" i="76" s="1"/>
  <c r="J79" i="65"/>
  <c r="N79" i="65" s="1"/>
  <c r="J68" i="89"/>
  <c r="N68" i="89" s="1"/>
  <c r="J96" i="74"/>
  <c r="N96" i="74" s="1"/>
  <c r="J39" i="107"/>
  <c r="J78" i="91"/>
  <c r="N78" i="91" s="1"/>
  <c r="J102" i="115"/>
  <c r="N102" i="115" s="1"/>
  <c r="J96" i="76"/>
  <c r="N96" i="76" s="1"/>
  <c r="N62" i="98"/>
  <c r="R62" i="98" s="1"/>
  <c r="S62" i="98" s="1"/>
  <c r="J62" i="98"/>
  <c r="J95" i="116"/>
  <c r="N95" i="116" s="1"/>
  <c r="J77" i="83"/>
  <c r="N77" i="83" s="1"/>
  <c r="M57" i="110"/>
  <c r="J76" i="103"/>
  <c r="N76" i="103" s="1"/>
  <c r="J54" i="74"/>
  <c r="K63" i="88"/>
  <c r="M59" i="88"/>
  <c r="G111" i="98"/>
  <c r="J65" i="98"/>
  <c r="J39" i="76"/>
  <c r="J44" i="84"/>
  <c r="J97" i="111"/>
  <c r="N97" i="111" s="1"/>
  <c r="M34" i="83"/>
  <c r="R109" i="90"/>
  <c r="J109" i="90"/>
  <c r="N109" i="90" s="1"/>
  <c r="S109" i="90"/>
  <c r="J101" i="102"/>
  <c r="N101" i="102" s="1"/>
  <c r="J39" i="103"/>
  <c r="J72" i="86"/>
  <c r="N72" i="86" s="1"/>
  <c r="M34" i="71"/>
  <c r="M33" i="83"/>
  <c r="J91" i="110"/>
  <c r="N91" i="110" s="1"/>
  <c r="M41" i="81"/>
  <c r="J68" i="108"/>
  <c r="N68" i="108" s="1"/>
  <c r="M53" i="81"/>
  <c r="J61" i="82"/>
  <c r="N61" i="82"/>
  <c r="R61" i="82" s="1"/>
  <c r="S61" i="82" s="1"/>
  <c r="J45" i="89"/>
  <c r="R108" i="100"/>
  <c r="S108" i="100"/>
  <c r="J108" i="100"/>
  <c r="J101" i="74"/>
  <c r="N101" i="74" s="1"/>
  <c r="J83" i="107"/>
  <c r="N83" i="107" s="1"/>
  <c r="J43" i="107"/>
  <c r="M45" i="101"/>
  <c r="M40" i="91"/>
  <c r="J103" i="104"/>
  <c r="N103" i="104" s="1"/>
  <c r="J102" i="100"/>
  <c r="N102" i="100" s="1"/>
  <c r="J82" i="105"/>
  <c r="N82" i="105" s="1"/>
  <c r="AI19" i="54"/>
  <c r="J70" i="74"/>
  <c r="N70" i="74" s="1"/>
  <c r="J96" i="65"/>
  <c r="N96" i="65" s="1"/>
  <c r="J51" i="98"/>
  <c r="J54" i="83"/>
  <c r="M53" i="111"/>
  <c r="X19" i="54"/>
  <c r="M47" i="108"/>
  <c r="N61" i="114"/>
  <c r="R61" i="114" s="1"/>
  <c r="S61" i="114" s="1"/>
  <c r="J61" i="114"/>
  <c r="J72" i="78"/>
  <c r="N72" i="78" s="1"/>
  <c r="M62" i="88"/>
  <c r="J93" i="109"/>
  <c r="N93" i="109" s="1"/>
  <c r="M34" i="87"/>
  <c r="S109" i="103"/>
  <c r="J109" i="103"/>
  <c r="N109" i="103" s="1"/>
  <c r="R109" i="103"/>
  <c r="J34" i="76"/>
  <c r="J69" i="84"/>
  <c r="N69" i="84" s="1"/>
  <c r="J99" i="116"/>
  <c r="N99" i="116" s="1"/>
  <c r="J77" i="89"/>
  <c r="N77" i="89" s="1"/>
  <c r="J56" i="117"/>
  <c r="J66" i="73"/>
  <c r="N66" i="73" s="1"/>
  <c r="J56" i="82"/>
  <c r="J92" i="92"/>
  <c r="N92" i="92" s="1"/>
  <c r="M52" i="79"/>
  <c r="J54" i="82"/>
  <c r="M41" i="90"/>
  <c r="J67" i="105"/>
  <c r="N67" i="105" s="1"/>
  <c r="J57" i="100"/>
  <c r="J85" i="108"/>
  <c r="N85" i="108" s="1"/>
  <c r="M42" i="107"/>
  <c r="J50" i="98"/>
  <c r="J36" i="107"/>
  <c r="J47" i="111"/>
  <c r="J49" i="99"/>
  <c r="M62" i="100"/>
  <c r="J53" i="87"/>
  <c r="J83" i="113"/>
  <c r="N83" i="113" s="1"/>
  <c r="M34" i="115"/>
  <c r="J78" i="83"/>
  <c r="N78" i="83" s="1"/>
  <c r="J69" i="74"/>
  <c r="N69" i="74" s="1"/>
  <c r="J101" i="110"/>
  <c r="N101" i="110" s="1"/>
  <c r="Y19" i="54"/>
  <c r="J93" i="91"/>
  <c r="N93" i="91" s="1"/>
  <c r="J32" i="100"/>
  <c r="J35" i="91"/>
  <c r="N35" i="91" s="1"/>
  <c r="R35" i="91" s="1"/>
  <c r="S35" i="91" s="1"/>
  <c r="J94" i="97"/>
  <c r="N94" i="97" s="1"/>
  <c r="N62" i="80"/>
  <c r="R62" i="80" s="1"/>
  <c r="S62" i="80" s="1"/>
  <c r="J62" i="80"/>
  <c r="M53" i="108"/>
  <c r="J88" i="80"/>
  <c r="N88" i="80" s="1"/>
  <c r="J43" i="88"/>
  <c r="J51" i="85"/>
  <c r="M55" i="87"/>
  <c r="J45" i="113"/>
  <c r="M56" i="78"/>
  <c r="J85" i="77"/>
  <c r="N85" i="77" s="1"/>
  <c r="J95" i="101"/>
  <c r="N95" i="101" s="1"/>
  <c r="M50" i="108"/>
  <c r="DX19" i="54"/>
  <c r="J39" i="87"/>
  <c r="N62" i="102"/>
  <c r="R62" i="102" s="1"/>
  <c r="S62" i="102" s="1"/>
  <c r="J62" i="102"/>
  <c r="J94" i="104"/>
  <c r="N94" i="104" s="1"/>
  <c r="M46" i="87"/>
  <c r="J70" i="111"/>
  <c r="N70" i="111" s="1"/>
  <c r="M56" i="113"/>
  <c r="J35" i="72"/>
  <c r="M41" i="115"/>
  <c r="J80" i="91"/>
  <c r="N80" i="91" s="1"/>
  <c r="J86" i="109"/>
  <c r="N86" i="109" s="1"/>
  <c r="M48" i="111"/>
  <c r="J79" i="114"/>
  <c r="N79" i="114" s="1"/>
  <c r="J96" i="98"/>
  <c r="N96" i="98" s="1"/>
  <c r="M54" i="77"/>
  <c r="J85" i="75"/>
  <c r="N85" i="75" s="1"/>
  <c r="M51" i="84"/>
  <c r="M38" i="84"/>
  <c r="M57" i="78"/>
  <c r="J99" i="86"/>
  <c r="N99" i="86" s="1"/>
  <c r="J102" i="105"/>
  <c r="N102" i="105" s="1"/>
  <c r="J90" i="65"/>
  <c r="N90" i="65" s="1"/>
  <c r="M42" i="80"/>
  <c r="J44" i="111"/>
  <c r="S109" i="113"/>
  <c r="J109" i="113"/>
  <c r="N109" i="113" s="1"/>
  <c r="R109" i="113"/>
  <c r="M47" i="89"/>
  <c r="J57" i="88"/>
  <c r="J33" i="85"/>
  <c r="J89" i="75"/>
  <c r="N89" i="75" s="1"/>
  <c r="M35" i="99"/>
  <c r="J33" i="80"/>
  <c r="J82" i="97"/>
  <c r="N82" i="97" s="1"/>
  <c r="J82" i="99"/>
  <c r="N82" i="99" s="1"/>
  <c r="J39" i="75"/>
  <c r="R107" i="90"/>
  <c r="S107" i="90"/>
  <c r="J107" i="90"/>
  <c r="M35" i="73"/>
  <c r="M47" i="117"/>
  <c r="DU19" i="54"/>
  <c r="J101" i="115"/>
  <c r="N101" i="115" s="1"/>
  <c r="J52" i="78"/>
  <c r="J47" i="113"/>
  <c r="J43" i="90"/>
  <c r="M33" i="117"/>
  <c r="M59" i="86"/>
  <c r="K63" i="86"/>
  <c r="J48" i="78"/>
  <c r="J51" i="86"/>
  <c r="M40" i="111"/>
  <c r="J74" i="114"/>
  <c r="N74" i="114" s="1"/>
  <c r="M48" i="90"/>
  <c r="M44" i="116"/>
  <c r="J99" i="98"/>
  <c r="N99" i="98" s="1"/>
  <c r="J78" i="101"/>
  <c r="N78" i="101" s="1"/>
  <c r="J102" i="92"/>
  <c r="N102" i="92" s="1"/>
  <c r="J102" i="83"/>
  <c r="N102" i="83" s="1"/>
  <c r="J57" i="86"/>
  <c r="M53" i="79"/>
  <c r="J102" i="74"/>
  <c r="N102" i="74" s="1"/>
  <c r="J98" i="108"/>
  <c r="N98" i="108" s="1"/>
  <c r="J80" i="73"/>
  <c r="N80" i="73" s="1"/>
  <c r="J91" i="106"/>
  <c r="N91" i="106" s="1"/>
  <c r="J108" i="87"/>
  <c r="S108" i="87"/>
  <c r="R108" i="87"/>
  <c r="J32" i="103"/>
  <c r="M37" i="99"/>
  <c r="R109" i="109"/>
  <c r="J109" i="109"/>
  <c r="N109" i="109" s="1"/>
  <c r="S109" i="109"/>
  <c r="R106" i="110"/>
  <c r="J106" i="110"/>
  <c r="S106" i="110"/>
  <c r="M47" i="116"/>
  <c r="J48" i="114"/>
  <c r="J43" i="75"/>
  <c r="M36" i="84"/>
  <c r="R108" i="79"/>
  <c r="S108" i="79"/>
  <c r="J108" i="79"/>
  <c r="M34" i="82"/>
  <c r="M61" i="83"/>
  <c r="M36" i="76"/>
  <c r="J44" i="103"/>
  <c r="J87" i="76"/>
  <c r="N87" i="76" s="1"/>
  <c r="J39" i="97"/>
  <c r="M50" i="92"/>
  <c r="J97" i="76"/>
  <c r="N97" i="76" s="1"/>
  <c r="J41" i="109"/>
  <c r="J36" i="100"/>
  <c r="N36" i="100" s="1"/>
  <c r="R36" i="100" s="1"/>
  <c r="S36" i="100" s="1"/>
  <c r="J33" i="100"/>
  <c r="M49" i="77"/>
  <c r="J52" i="77"/>
  <c r="J96" i="99"/>
  <c r="N96" i="99" s="1"/>
  <c r="J40" i="106"/>
  <c r="J96" i="97"/>
  <c r="N96" i="97" s="1"/>
  <c r="N60" i="92"/>
  <c r="R60" i="92" s="1"/>
  <c r="S60" i="92" s="1"/>
  <c r="J60" i="92"/>
  <c r="J99" i="77"/>
  <c r="N99" i="77" s="1"/>
  <c r="J72" i="82"/>
  <c r="N72" i="82" s="1"/>
  <c r="R109" i="82"/>
  <c r="J109" i="82"/>
  <c r="N109" i="82" s="1"/>
  <c r="S109" i="82"/>
  <c r="M44" i="83"/>
  <c r="J97" i="84"/>
  <c r="N97" i="84" s="1"/>
  <c r="J93" i="115"/>
  <c r="N93" i="115" s="1"/>
  <c r="J73" i="92"/>
  <c r="N73" i="92" s="1"/>
  <c r="J84" i="100"/>
  <c r="N84" i="100" s="1"/>
  <c r="J80" i="114"/>
  <c r="N80" i="114" s="1"/>
  <c r="J89" i="106"/>
  <c r="N89" i="106" s="1"/>
  <c r="J41" i="88"/>
  <c r="J35" i="87"/>
  <c r="J45" i="100"/>
  <c r="J52" i="90"/>
  <c r="J55" i="114"/>
  <c r="M44" i="75"/>
  <c r="J66" i="107"/>
  <c r="N66" i="107" s="1"/>
  <c r="M45" i="86"/>
  <c r="J94" i="101"/>
  <c r="N94" i="101" s="1"/>
  <c r="M34" i="104"/>
  <c r="J35" i="82"/>
  <c r="M41" i="86"/>
  <c r="J74" i="113"/>
  <c r="N74" i="113" s="1"/>
  <c r="J61" i="83"/>
  <c r="N61" i="83"/>
  <c r="R61" i="83" s="1"/>
  <c r="S61" i="83" s="1"/>
  <c r="J46" i="76"/>
  <c r="J49" i="84"/>
  <c r="M43" i="103"/>
  <c r="M55" i="101"/>
  <c r="J53" i="108"/>
  <c r="N53" i="108" s="1"/>
  <c r="R53" i="108" s="1"/>
  <c r="S53" i="108" s="1"/>
  <c r="J51" i="75"/>
  <c r="R109" i="98"/>
  <c r="S109" i="98"/>
  <c r="J109" i="98"/>
  <c r="N109" i="98" s="1"/>
  <c r="J93" i="73"/>
  <c r="N93" i="73" s="1"/>
  <c r="J70" i="99"/>
  <c r="N70" i="99" s="1"/>
  <c r="J70" i="72"/>
  <c r="N70" i="72" s="1"/>
  <c r="J34" i="86"/>
  <c r="S109" i="79"/>
  <c r="J109" i="79"/>
  <c r="N109" i="79" s="1"/>
  <c r="R109" i="79"/>
  <c r="J72" i="108"/>
  <c r="N72" i="108" s="1"/>
  <c r="J62" i="92"/>
  <c r="N62" i="92"/>
  <c r="R62" i="92" s="1"/>
  <c r="S62" i="92" s="1"/>
  <c r="M38" i="89"/>
  <c r="J85" i="116"/>
  <c r="N85" i="116" s="1"/>
  <c r="M49" i="104"/>
  <c r="S108" i="83"/>
  <c r="R108" i="83"/>
  <c r="J108" i="83"/>
  <c r="J77" i="81"/>
  <c r="N77" i="81" s="1"/>
  <c r="J102" i="65"/>
  <c r="N102" i="65" s="1"/>
  <c r="J81" i="102"/>
  <c r="N81" i="102" s="1"/>
  <c r="J93" i="100"/>
  <c r="N93" i="100" s="1"/>
  <c r="M45" i="90"/>
  <c r="J83" i="86"/>
  <c r="N83" i="86" s="1"/>
  <c r="M51" i="91"/>
  <c r="J54" i="89"/>
  <c r="J67" i="65"/>
  <c r="N67" i="65" s="1"/>
  <c r="J80" i="92"/>
  <c r="N80" i="92" s="1"/>
  <c r="J82" i="109"/>
  <c r="N82" i="109" s="1"/>
  <c r="J90" i="111"/>
  <c r="N90" i="111" s="1"/>
  <c r="J47" i="76"/>
  <c r="J89" i="98"/>
  <c r="N89" i="98" s="1"/>
  <c r="M32" i="78"/>
  <c r="J68" i="97"/>
  <c r="N68" i="97" s="1"/>
  <c r="J90" i="80"/>
  <c r="N90" i="80" s="1"/>
  <c r="J41" i="104"/>
  <c r="M42" i="92"/>
  <c r="J91" i="84"/>
  <c r="N91" i="84" s="1"/>
  <c r="M43" i="114"/>
  <c r="M45" i="89"/>
  <c r="J98" i="87"/>
  <c r="N98" i="87" s="1"/>
  <c r="J70" i="92"/>
  <c r="N70" i="92" s="1"/>
  <c r="M45" i="107"/>
  <c r="M52" i="84"/>
  <c r="J38" i="102"/>
  <c r="J51" i="107"/>
  <c r="N62" i="84"/>
  <c r="R62" i="84" s="1"/>
  <c r="S62" i="84" s="1"/>
  <c r="J62" i="84"/>
  <c r="M60" i="81"/>
  <c r="N59" i="100"/>
  <c r="J59" i="100"/>
  <c r="G63" i="100"/>
  <c r="J82" i="82"/>
  <c r="N82" i="82" s="1"/>
  <c r="J53" i="74"/>
  <c r="S108" i="90"/>
  <c r="R108" i="90"/>
  <c r="J108" i="90"/>
  <c r="M36" i="90"/>
  <c r="J77" i="85"/>
  <c r="N77" i="85" s="1"/>
  <c r="J98" i="97"/>
  <c r="N98" i="97" s="1"/>
  <c r="J100" i="106"/>
  <c r="N100" i="106" s="1"/>
  <c r="J44" i="104"/>
  <c r="J90" i="76"/>
  <c r="N90" i="76" s="1"/>
  <c r="J88" i="97"/>
  <c r="N88" i="97" s="1"/>
  <c r="M39" i="75"/>
  <c r="J88" i="89"/>
  <c r="N88" i="89" s="1"/>
  <c r="R106" i="81"/>
  <c r="R111" i="81" s="1"/>
  <c r="S106" i="81"/>
  <c r="J106" i="81"/>
  <c r="J83" i="73"/>
  <c r="N83" i="73" s="1"/>
  <c r="M59" i="77"/>
  <c r="K63" i="77"/>
  <c r="J67" i="103"/>
  <c r="N67" i="103" s="1"/>
  <c r="J103" i="80"/>
  <c r="N103" i="80" s="1"/>
  <c r="P19" i="54"/>
  <c r="M53" i="87"/>
  <c r="J37" i="104"/>
  <c r="J55" i="77"/>
  <c r="J56" i="87"/>
  <c r="J106" i="103"/>
  <c r="S106" i="103"/>
  <c r="R106" i="103"/>
  <c r="J85" i="115"/>
  <c r="N85" i="115" s="1"/>
  <c r="M38" i="90"/>
  <c r="J44" i="79"/>
  <c r="J82" i="87"/>
  <c r="N82" i="87" s="1"/>
  <c r="J62" i="72"/>
  <c r="N62" i="72"/>
  <c r="R62" i="72" s="1"/>
  <c r="S62" i="72" s="1"/>
  <c r="J104" i="85"/>
  <c r="N104" i="85" s="1"/>
  <c r="M56" i="86"/>
  <c r="J52" i="65"/>
  <c r="J81" i="84"/>
  <c r="N81" i="84" s="1"/>
  <c r="J77" i="86"/>
  <c r="N77" i="86" s="1"/>
  <c r="J71" i="109"/>
  <c r="N71" i="109" s="1"/>
  <c r="M54" i="72"/>
  <c r="J32" i="111"/>
  <c r="J41" i="89"/>
  <c r="M56" i="88"/>
  <c r="J69" i="106"/>
  <c r="N69" i="106" s="1"/>
  <c r="J46" i="87"/>
  <c r="N46" i="87" s="1"/>
  <c r="R46" i="87" s="1"/>
  <c r="S46" i="87" s="1"/>
  <c r="J104" i="115"/>
  <c r="N104" i="115" s="1"/>
  <c r="J93" i="104"/>
  <c r="N93" i="104" s="1"/>
  <c r="M54" i="111"/>
  <c r="J65" i="79"/>
  <c r="G111" i="79"/>
  <c r="M49" i="105"/>
  <c r="J97" i="85"/>
  <c r="N97" i="85" s="1"/>
  <c r="S110" i="74"/>
  <c r="R110" i="74"/>
  <c r="J110" i="74"/>
  <c r="M50" i="100"/>
  <c r="J99" i="84"/>
  <c r="N99" i="84" s="1"/>
  <c r="J104" i="108"/>
  <c r="N104" i="108" s="1"/>
  <c r="M35" i="105"/>
  <c r="M36" i="102"/>
  <c r="J80" i="116"/>
  <c r="N80" i="116" s="1"/>
  <c r="J50" i="79"/>
  <c r="M56" i="111"/>
  <c r="J82" i="114"/>
  <c r="N82" i="114" s="1"/>
  <c r="M37" i="116"/>
  <c r="M55" i="79"/>
  <c r="J39" i="86"/>
  <c r="J57" i="80"/>
  <c r="J79" i="71"/>
  <c r="N79" i="71" s="1"/>
  <c r="J88" i="110"/>
  <c r="N88" i="110" s="1"/>
  <c r="J47" i="102"/>
  <c r="J91" i="108"/>
  <c r="N91" i="108" s="1"/>
  <c r="J87" i="99"/>
  <c r="N87" i="99" s="1"/>
  <c r="R107" i="102"/>
  <c r="J107" i="102"/>
  <c r="S107" i="102"/>
  <c r="M54" i="74"/>
  <c r="J40" i="101"/>
  <c r="M51" i="109"/>
  <c r="J93" i="102"/>
  <c r="N93" i="102" s="1"/>
  <c r="J75" i="108"/>
  <c r="N75" i="108" s="1"/>
  <c r="M50" i="90"/>
  <c r="M41" i="105"/>
  <c r="J33" i="105"/>
  <c r="R106" i="101"/>
  <c r="S106" i="101"/>
  <c r="J106" i="101"/>
  <c r="J104" i="100"/>
  <c r="N104" i="100" s="1"/>
  <c r="J80" i="79"/>
  <c r="N80" i="79" s="1"/>
  <c r="M57" i="72"/>
  <c r="J38" i="100"/>
  <c r="J74" i="109"/>
  <c r="N74" i="109" s="1"/>
  <c r="J94" i="98"/>
  <c r="N94" i="98" s="1"/>
  <c r="M61" i="81"/>
  <c r="M46" i="91"/>
  <c r="J77" i="75"/>
  <c r="N77" i="75" s="1"/>
  <c r="J86" i="102"/>
  <c r="N86" i="102" s="1"/>
  <c r="N59" i="116"/>
  <c r="J59" i="116"/>
  <c r="G63" i="116"/>
  <c r="J70" i="91"/>
  <c r="N70" i="91" s="1"/>
  <c r="J51" i="116"/>
  <c r="M59" i="111"/>
  <c r="K63" i="111"/>
  <c r="M40" i="72"/>
  <c r="M35" i="81"/>
  <c r="J50" i="73"/>
  <c r="M54" i="71"/>
  <c r="N60" i="71"/>
  <c r="R60" i="71" s="1"/>
  <c r="S60" i="71" s="1"/>
  <c r="J60" i="71"/>
  <c r="J100" i="75"/>
  <c r="N100" i="75" s="1"/>
  <c r="J70" i="104"/>
  <c r="N70" i="104" s="1"/>
  <c r="J34" i="109"/>
  <c r="M56" i="77"/>
  <c r="J73" i="84"/>
  <c r="N73" i="84" s="1"/>
  <c r="J45" i="78"/>
  <c r="J38" i="71"/>
  <c r="M51" i="74"/>
  <c r="J93" i="80"/>
  <c r="N93" i="80" s="1"/>
  <c r="J96" i="110"/>
  <c r="N96" i="110" s="1"/>
  <c r="J59" i="102"/>
  <c r="G63" i="102"/>
  <c r="N59" i="102"/>
  <c r="M32" i="104"/>
  <c r="J104" i="107"/>
  <c r="N104" i="107" s="1"/>
  <c r="M35" i="107"/>
  <c r="J75" i="111"/>
  <c r="N75" i="111" s="1"/>
  <c r="J71" i="82"/>
  <c r="N71" i="82" s="1"/>
  <c r="J75" i="115"/>
  <c r="N75" i="115" s="1"/>
  <c r="J99" i="114"/>
  <c r="N99" i="114" s="1"/>
  <c r="J78" i="73"/>
  <c r="N78" i="73" s="1"/>
  <c r="J99" i="117"/>
  <c r="N99" i="117" s="1"/>
  <c r="M45" i="99"/>
  <c r="J73" i="82"/>
  <c r="N73" i="82" s="1"/>
  <c r="J91" i="73"/>
  <c r="N91" i="73" s="1"/>
  <c r="J72" i="114"/>
  <c r="N72" i="114" s="1"/>
  <c r="J77" i="88"/>
  <c r="N77" i="88" s="1"/>
  <c r="M34" i="78"/>
  <c r="J109" i="97"/>
  <c r="N109" i="97" s="1"/>
  <c r="R109" i="97"/>
  <c r="S109" i="97"/>
  <c r="J110" i="73"/>
  <c r="S110" i="73"/>
  <c r="R110" i="73"/>
  <c r="J52" i="91"/>
  <c r="M35" i="85"/>
  <c r="J67" i="117"/>
  <c r="N67" i="117" s="1"/>
  <c r="M38" i="100"/>
  <c r="J71" i="77"/>
  <c r="N71" i="77" s="1"/>
  <c r="M60" i="72"/>
  <c r="M53" i="102"/>
  <c r="M54" i="89"/>
  <c r="J95" i="89"/>
  <c r="N95" i="89" s="1"/>
  <c r="J45" i="82"/>
  <c r="J90" i="89"/>
  <c r="N90" i="89" s="1"/>
  <c r="J100" i="80"/>
  <c r="N100" i="80" s="1"/>
  <c r="M46" i="73"/>
  <c r="J93" i="98"/>
  <c r="N93" i="98" s="1"/>
  <c r="J56" i="115"/>
  <c r="J45" i="90"/>
  <c r="N45" i="90" s="1"/>
  <c r="R45" i="90" s="1"/>
  <c r="S45" i="90" s="1"/>
  <c r="M33" i="115"/>
  <c r="M56" i="103"/>
  <c r="J45" i="116"/>
  <c r="M45" i="114"/>
  <c r="J61" i="81"/>
  <c r="N61" i="81"/>
  <c r="R61" i="81" s="1"/>
  <c r="S61" i="81" s="1"/>
  <c r="J101" i="86"/>
  <c r="N101" i="86" s="1"/>
  <c r="M50" i="106"/>
  <c r="M37" i="79"/>
  <c r="M34" i="97"/>
  <c r="J99" i="90"/>
  <c r="N99" i="90" s="1"/>
  <c r="M48" i="115"/>
  <c r="J56" i="104"/>
  <c r="J50" i="90"/>
  <c r="J37" i="102"/>
  <c r="G111" i="105"/>
  <c r="J65" i="105"/>
  <c r="J37" i="72"/>
  <c r="M55" i="109"/>
  <c r="J101" i="105"/>
  <c r="N101" i="105" s="1"/>
  <c r="M49" i="90"/>
  <c r="J57" i="79"/>
  <c r="J99" i="115"/>
  <c r="N99" i="115" s="1"/>
  <c r="J74" i="75"/>
  <c r="N74" i="75" s="1"/>
  <c r="M60" i="101"/>
  <c r="J60" i="110"/>
  <c r="N60" i="110"/>
  <c r="R60" i="110" s="1"/>
  <c r="S60" i="110" s="1"/>
  <c r="J76" i="105"/>
  <c r="N76" i="105" s="1"/>
  <c r="J102" i="103"/>
  <c r="N102" i="103" s="1"/>
  <c r="M44" i="108"/>
  <c r="G63" i="92"/>
  <c r="N59" i="92"/>
  <c r="J59" i="92"/>
  <c r="J52" i="115"/>
  <c r="J100" i="115"/>
  <c r="N100" i="115" s="1"/>
  <c r="M38" i="109"/>
  <c r="J52" i="100"/>
  <c r="J45" i="102"/>
  <c r="J100" i="90"/>
  <c r="N100" i="90" s="1"/>
  <c r="J73" i="73"/>
  <c r="N73" i="73" s="1"/>
  <c r="J49" i="82"/>
  <c r="J80" i="88"/>
  <c r="N80" i="88" s="1"/>
  <c r="J108" i="84"/>
  <c r="S108" i="84"/>
  <c r="R108" i="84"/>
  <c r="J45" i="83"/>
  <c r="J46" i="106"/>
  <c r="M54" i="105"/>
  <c r="J34" i="73"/>
  <c r="J96" i="71"/>
  <c r="N96" i="71" s="1"/>
  <c r="M51" i="78"/>
  <c r="M42" i="65"/>
  <c r="J80" i="113"/>
  <c r="N80" i="113" s="1"/>
  <c r="J90" i="116"/>
  <c r="N90" i="116" s="1"/>
  <c r="M55" i="97"/>
  <c r="J54" i="102"/>
  <c r="J42" i="75"/>
  <c r="M56" i="99"/>
  <c r="S109" i="115"/>
  <c r="R109" i="115"/>
  <c r="N60" i="101"/>
  <c r="R60" i="101" s="1"/>
  <c r="S60" i="101" s="1"/>
  <c r="J60" i="101"/>
  <c r="N62" i="99"/>
  <c r="R62" i="99" s="1"/>
  <c r="S62" i="99" s="1"/>
  <c r="J62" i="99"/>
  <c r="J44" i="110"/>
  <c r="J92" i="110"/>
  <c r="N92" i="110" s="1"/>
  <c r="J41" i="91"/>
  <c r="J48" i="106"/>
  <c r="N59" i="89"/>
  <c r="J59" i="89"/>
  <c r="G63" i="89"/>
  <c r="J78" i="89"/>
  <c r="N78" i="89" s="1"/>
  <c r="M52" i="86"/>
  <c r="J47" i="82"/>
  <c r="J56" i="101"/>
  <c r="M44" i="91"/>
  <c r="J96" i="89"/>
  <c r="N96" i="89" s="1"/>
  <c r="M45" i="111"/>
  <c r="J108" i="78"/>
  <c r="R108" i="78"/>
  <c r="S108" i="78"/>
  <c r="J39" i="83"/>
  <c r="N39" i="83" s="1"/>
  <c r="R39" i="83" s="1"/>
  <c r="S39" i="83" s="1"/>
  <c r="J72" i="81"/>
  <c r="N72" i="81" s="1"/>
  <c r="J93" i="65"/>
  <c r="N93" i="65" s="1"/>
  <c r="J44" i="71"/>
  <c r="J101" i="81"/>
  <c r="N101" i="81" s="1"/>
  <c r="J84" i="110"/>
  <c r="N84" i="110" s="1"/>
  <c r="M41" i="83"/>
  <c r="M37" i="109"/>
  <c r="J70" i="101"/>
  <c r="N70" i="101" s="1"/>
  <c r="J93" i="88"/>
  <c r="N93" i="88" s="1"/>
  <c r="J92" i="101"/>
  <c r="N92" i="101" s="1"/>
  <c r="M37" i="104"/>
  <c r="J82" i="117"/>
  <c r="N82" i="117" s="1"/>
  <c r="J71" i="79"/>
  <c r="N71" i="79" s="1"/>
  <c r="M50" i="116"/>
  <c r="J33" i="114"/>
  <c r="J92" i="108"/>
  <c r="N92" i="108" s="1"/>
  <c r="J75" i="85"/>
  <c r="N75" i="85" s="1"/>
  <c r="M46" i="82"/>
  <c r="J104" i="78"/>
  <c r="N104" i="78" s="1"/>
  <c r="J97" i="117"/>
  <c r="N97" i="117" s="1"/>
  <c r="J54" i="101"/>
  <c r="M43" i="82"/>
  <c r="J41" i="65"/>
  <c r="J75" i="77"/>
  <c r="N75" i="77" s="1"/>
  <c r="M40" i="89"/>
  <c r="M40" i="90"/>
  <c r="R110" i="108"/>
  <c r="S110" i="108"/>
  <c r="J110" i="108"/>
  <c r="J67" i="90"/>
  <c r="N67" i="90" s="1"/>
  <c r="M48" i="98"/>
  <c r="J88" i="86"/>
  <c r="N88" i="86" s="1"/>
  <c r="J89" i="91"/>
  <c r="N89" i="91" s="1"/>
  <c r="J95" i="103"/>
  <c r="N95" i="103" s="1"/>
  <c r="J49" i="108"/>
  <c r="J88" i="91"/>
  <c r="N88" i="91" s="1"/>
  <c r="M61" i="102"/>
  <c r="J50" i="72"/>
  <c r="J86" i="117"/>
  <c r="N86" i="117" s="1"/>
  <c r="J53" i="111"/>
  <c r="N53" i="111" s="1"/>
  <c r="R53" i="111" s="1"/>
  <c r="S53" i="111" s="1"/>
  <c r="J94" i="105"/>
  <c r="N94" i="105" s="1"/>
  <c r="M51" i="104"/>
  <c r="N62" i="111"/>
  <c r="R62" i="111" s="1"/>
  <c r="S62" i="111" s="1"/>
  <c r="J62" i="111"/>
  <c r="M50" i="76"/>
  <c r="M39" i="107"/>
  <c r="J55" i="83"/>
  <c r="N55" i="83" s="1"/>
  <c r="R55" i="83" s="1"/>
  <c r="S55" i="83" s="1"/>
  <c r="M43" i="86"/>
  <c r="J56" i="99"/>
  <c r="M49" i="111"/>
  <c r="J65" i="80"/>
  <c r="G111" i="80"/>
  <c r="J91" i="77"/>
  <c r="N91" i="77" s="1"/>
  <c r="J77" i="117"/>
  <c r="N77" i="117" s="1"/>
  <c r="J32" i="75"/>
  <c r="J104" i="76"/>
  <c r="N104" i="76" s="1"/>
  <c r="J95" i="107"/>
  <c r="N95" i="107" s="1"/>
  <c r="J100" i="104"/>
  <c r="N100" i="104" s="1"/>
  <c r="J42" i="98"/>
  <c r="J98" i="74"/>
  <c r="N98" i="74" s="1"/>
  <c r="J84" i="87"/>
  <c r="N84" i="87" s="1"/>
  <c r="J60" i="116"/>
  <c r="N60" i="116"/>
  <c r="R60" i="116" s="1"/>
  <c r="S60" i="116" s="1"/>
  <c r="J52" i="117"/>
  <c r="M33" i="107"/>
  <c r="J54" i="105"/>
  <c r="J110" i="105"/>
  <c r="S110" i="105"/>
  <c r="R110" i="105"/>
  <c r="M55" i="88"/>
  <c r="J49" i="73"/>
  <c r="J32" i="79"/>
  <c r="J70" i="97"/>
  <c r="N70" i="97" s="1"/>
  <c r="M36" i="81"/>
  <c r="J42" i="86"/>
  <c r="J88" i="107"/>
  <c r="N88" i="107" s="1"/>
  <c r="M37" i="106"/>
  <c r="J94" i="88"/>
  <c r="N94" i="88" s="1"/>
  <c r="M34" i="98"/>
  <c r="M52" i="83"/>
  <c r="J74" i="116"/>
  <c r="N74" i="116" s="1"/>
  <c r="J83" i="111"/>
  <c r="N83" i="111" s="1"/>
  <c r="J45" i="87"/>
  <c r="J42" i="111"/>
  <c r="J60" i="77"/>
  <c r="N60" i="77"/>
  <c r="R60" i="77" s="1"/>
  <c r="S60" i="77" s="1"/>
  <c r="S108" i="114"/>
  <c r="J108" i="114"/>
  <c r="R108" i="114"/>
  <c r="J103" i="102"/>
  <c r="N103" i="102" s="1"/>
  <c r="M62" i="117"/>
  <c r="M46" i="110"/>
  <c r="J79" i="107"/>
  <c r="N79" i="107" s="1"/>
  <c r="J79" i="102"/>
  <c r="N79" i="102" s="1"/>
  <c r="M61" i="91"/>
  <c r="J40" i="71"/>
  <c r="S106" i="89"/>
  <c r="J106" i="89"/>
  <c r="R106" i="89"/>
  <c r="J97" i="102"/>
  <c r="N97" i="102" s="1"/>
  <c r="J97" i="77"/>
  <c r="N97" i="77" s="1"/>
  <c r="J51" i="92"/>
  <c r="R109" i="75"/>
  <c r="J109" i="75"/>
  <c r="N109" i="75" s="1"/>
  <c r="S109" i="75"/>
  <c r="J82" i="81"/>
  <c r="N82" i="81" s="1"/>
  <c r="S108" i="116"/>
  <c r="R108" i="116"/>
  <c r="J108" i="116"/>
  <c r="J104" i="73"/>
  <c r="N104" i="73" s="1"/>
  <c r="S110" i="65"/>
  <c r="R110" i="65"/>
  <c r="J110" i="65"/>
  <c r="J32" i="110"/>
  <c r="M44" i="90"/>
  <c r="J71" i="85"/>
  <c r="N71" i="85" s="1"/>
  <c r="J103" i="75"/>
  <c r="N103" i="75" s="1"/>
  <c r="J52" i="98"/>
  <c r="M32" i="65"/>
  <c r="M50" i="73"/>
  <c r="M46" i="71"/>
  <c r="M38" i="117"/>
  <c r="M36" i="116"/>
  <c r="J32" i="116"/>
  <c r="J68" i="73"/>
  <c r="N68" i="73" s="1"/>
  <c r="M43" i="81"/>
  <c r="J39" i="90"/>
  <c r="J75" i="82"/>
  <c r="N75" i="82" s="1"/>
  <c r="R109" i="100"/>
  <c r="S109" i="100"/>
  <c r="J109" i="100"/>
  <c r="N109" i="100" s="1"/>
  <c r="J70" i="77"/>
  <c r="N70" i="77" s="1"/>
  <c r="J83" i="76"/>
  <c r="N83" i="76" s="1"/>
  <c r="M41" i="104"/>
  <c r="J77" i="102"/>
  <c r="N77" i="102" s="1"/>
  <c r="J69" i="101"/>
  <c r="N69" i="101" s="1"/>
  <c r="J76" i="100"/>
  <c r="N76" i="100" s="1"/>
  <c r="J57" i="104"/>
  <c r="J57" i="84"/>
  <c r="J100" i="105"/>
  <c r="N100" i="105" s="1"/>
  <c r="N59" i="113"/>
  <c r="J59" i="113"/>
  <c r="G63" i="113"/>
  <c r="J102" i="77"/>
  <c r="N102" i="77" s="1"/>
  <c r="J39" i="79"/>
  <c r="J60" i="104"/>
  <c r="N60" i="104"/>
  <c r="R60" i="104" s="1"/>
  <c r="S60" i="104" s="1"/>
  <c r="M42" i="117"/>
  <c r="M52" i="90"/>
  <c r="J61" i="88"/>
  <c r="N61" i="88"/>
  <c r="R61" i="88" s="1"/>
  <c r="S61" i="88" s="1"/>
  <c r="J51" i="87"/>
  <c r="M50" i="110"/>
  <c r="J40" i="117"/>
  <c r="J43" i="108"/>
  <c r="J91" i="65"/>
  <c r="N91" i="65" s="1"/>
  <c r="S106" i="111"/>
  <c r="R106" i="111"/>
  <c r="J106" i="111"/>
  <c r="J84" i="77"/>
  <c r="N84" i="77" s="1"/>
  <c r="J95" i="91"/>
  <c r="N95" i="91" s="1"/>
  <c r="M56" i="97"/>
  <c r="J49" i="86"/>
  <c r="J99" i="111"/>
  <c r="N99" i="111" s="1"/>
  <c r="M45" i="65"/>
  <c r="J35" i="102"/>
  <c r="R107" i="116"/>
  <c r="S107" i="116"/>
  <c r="J107" i="116"/>
  <c r="M62" i="71"/>
  <c r="M50" i="103"/>
  <c r="J84" i="71"/>
  <c r="N84" i="71" s="1"/>
  <c r="J99" i="107"/>
  <c r="N99" i="107" s="1"/>
  <c r="M43" i="100"/>
  <c r="J43" i="76"/>
  <c r="M62" i="86"/>
  <c r="M40" i="113"/>
  <c r="J53" i="110"/>
  <c r="J42" i="79"/>
  <c r="J47" i="73"/>
  <c r="M49" i="115"/>
  <c r="J79" i="87"/>
  <c r="N79" i="87" s="1"/>
  <c r="J52" i="85"/>
  <c r="M33" i="102"/>
  <c r="M43" i="105"/>
  <c r="M43" i="84"/>
  <c r="M48" i="113"/>
  <c r="J34" i="90"/>
  <c r="J48" i="98"/>
  <c r="M56" i="105"/>
  <c r="AK19" i="54"/>
  <c r="S110" i="75"/>
  <c r="R110" i="75"/>
  <c r="J110" i="75"/>
  <c r="J86" i="86"/>
  <c r="N86" i="86" s="1"/>
  <c r="J76" i="99"/>
  <c r="N76" i="99" s="1"/>
  <c r="M62" i="103"/>
  <c r="M53" i="71"/>
  <c r="J100" i="76"/>
  <c r="N100" i="76" s="1"/>
  <c r="J74" i="115"/>
  <c r="N74" i="115" s="1"/>
  <c r="N61" i="116"/>
  <c r="R61" i="116" s="1"/>
  <c r="S61" i="116" s="1"/>
  <c r="J61" i="116"/>
  <c r="J42" i="85"/>
  <c r="M35" i="113"/>
  <c r="J35" i="89"/>
  <c r="M44" i="110"/>
  <c r="J103" i="92"/>
  <c r="N103" i="92" s="1"/>
  <c r="J91" i="89"/>
  <c r="N91" i="89" s="1"/>
  <c r="J88" i="111"/>
  <c r="N88" i="111" s="1"/>
  <c r="M60" i="98"/>
  <c r="M43" i="117"/>
  <c r="J84" i="107"/>
  <c r="N84" i="107" s="1"/>
  <c r="J77" i="90"/>
  <c r="N77" i="90" s="1"/>
  <c r="M55" i="82"/>
  <c r="J78" i="106"/>
  <c r="N78" i="106" s="1"/>
  <c r="R107" i="104"/>
  <c r="J107" i="104"/>
  <c r="S107" i="104"/>
  <c r="J78" i="74"/>
  <c r="N78" i="74" s="1"/>
  <c r="M39" i="73"/>
  <c r="J32" i="108"/>
  <c r="J78" i="116"/>
  <c r="N78" i="116" s="1"/>
  <c r="J56" i="80"/>
  <c r="N56" i="80" s="1"/>
  <c r="R56" i="80" s="1"/>
  <c r="S56" i="80" s="1"/>
  <c r="J87" i="109"/>
  <c r="N87" i="109" s="1"/>
  <c r="M47" i="99"/>
  <c r="M61" i="76"/>
  <c r="M46" i="111"/>
  <c r="J96" i="83"/>
  <c r="N96" i="83" s="1"/>
  <c r="M54" i="101"/>
  <c r="J71" i="102"/>
  <c r="N71" i="102" s="1"/>
  <c r="M50" i="78"/>
  <c r="J80" i="85"/>
  <c r="N80" i="85" s="1"/>
  <c r="J46" i="90"/>
  <c r="J51" i="99"/>
  <c r="J74" i="90"/>
  <c r="N74" i="90" s="1"/>
  <c r="J85" i="90"/>
  <c r="N85" i="90" s="1"/>
  <c r="J102" i="113"/>
  <c r="N102" i="113" s="1"/>
  <c r="M38" i="78"/>
  <c r="M49" i="103"/>
  <c r="M50" i="107"/>
  <c r="J47" i="97"/>
  <c r="N61" i="75"/>
  <c r="R61" i="75" s="1"/>
  <c r="S61" i="75" s="1"/>
  <c r="J61" i="75"/>
  <c r="J56" i="105"/>
  <c r="M51" i="98"/>
  <c r="J86" i="104"/>
  <c r="N86" i="104" s="1"/>
  <c r="M62" i="87"/>
  <c r="M47" i="105"/>
  <c r="M60" i="111"/>
  <c r="J99" i="92"/>
  <c r="N99" i="92" s="1"/>
  <c r="M49" i="98"/>
  <c r="J110" i="78"/>
  <c r="R110" i="78"/>
  <c r="S110" i="78"/>
  <c r="M54" i="103"/>
  <c r="J97" i="81"/>
  <c r="N97" i="81" s="1"/>
  <c r="J87" i="82"/>
  <c r="N87" i="82" s="1"/>
  <c r="M40" i="97"/>
  <c r="M37" i="108"/>
  <c r="M61" i="98"/>
  <c r="J44" i="87"/>
  <c r="M57" i="65"/>
  <c r="J72" i="100"/>
  <c r="N72" i="100" s="1"/>
  <c r="M39" i="97"/>
  <c r="J46" i="114"/>
  <c r="J38" i="92"/>
  <c r="J50" i="83"/>
  <c r="M61" i="116"/>
  <c r="J51" i="83"/>
  <c r="J57" i="90"/>
  <c r="J85" i="91"/>
  <c r="N85" i="91" s="1"/>
  <c r="M35" i="106"/>
  <c r="J46" i="116"/>
  <c r="J53" i="76"/>
  <c r="J106" i="114"/>
  <c r="R106" i="114"/>
  <c r="S106" i="114"/>
  <c r="M51" i="75"/>
  <c r="J88" i="78"/>
  <c r="N88" i="78" s="1"/>
  <c r="J81" i="79"/>
  <c r="N81" i="79" s="1"/>
  <c r="J72" i="111"/>
  <c r="N72" i="111" s="1"/>
  <c r="J109" i="71"/>
  <c r="N109" i="71" s="1"/>
  <c r="R109" i="71"/>
  <c r="S109" i="71"/>
  <c r="J46" i="110"/>
  <c r="N46" i="110" s="1"/>
  <c r="R46" i="110" s="1"/>
  <c r="S46" i="110" s="1"/>
  <c r="J37" i="80"/>
  <c r="M38" i="71"/>
  <c r="J66" i="97"/>
  <c r="N66" i="97" s="1"/>
  <c r="J46" i="92"/>
  <c r="J87" i="108"/>
  <c r="N87" i="108" s="1"/>
  <c r="R108" i="81"/>
  <c r="S108" i="81"/>
  <c r="J108" i="81"/>
  <c r="G111" i="74"/>
  <c r="J65" i="74"/>
  <c r="J99" i="83"/>
  <c r="N99" i="83" s="1"/>
  <c r="M33" i="101"/>
  <c r="J50" i="108"/>
  <c r="M55" i="71"/>
  <c r="M57" i="103"/>
  <c r="M57" i="81"/>
  <c r="M40" i="103"/>
  <c r="J32" i="107"/>
  <c r="J36" i="106"/>
  <c r="J67" i="100"/>
  <c r="N67" i="100" s="1"/>
  <c r="J46" i="91"/>
  <c r="J51" i="78"/>
  <c r="J39" i="74"/>
  <c r="M34" i="84"/>
  <c r="M57" i="85"/>
  <c r="J42" i="90"/>
  <c r="J72" i="104"/>
  <c r="N72" i="104" s="1"/>
  <c r="J54" i="90"/>
  <c r="M48" i="88"/>
  <c r="M43" i="78"/>
  <c r="J91" i="100"/>
  <c r="N91" i="100" s="1"/>
  <c r="J34" i="102"/>
  <c r="J52" i="101"/>
  <c r="J81" i="85"/>
  <c r="N81" i="85" s="1"/>
  <c r="J99" i="103"/>
  <c r="N99" i="103" s="1"/>
  <c r="J102" i="84"/>
  <c r="N102" i="84" s="1"/>
  <c r="M47" i="74"/>
  <c r="M42" i="109"/>
  <c r="M48" i="79"/>
  <c r="J91" i="76"/>
  <c r="N91" i="76" s="1"/>
  <c r="J47" i="101"/>
  <c r="J72" i="73"/>
  <c r="N72" i="73" s="1"/>
  <c r="J54" i="65"/>
  <c r="N54" i="65" s="1"/>
  <c r="R54" i="65" s="1"/>
  <c r="S54" i="65" s="1"/>
  <c r="N60" i="106"/>
  <c r="R60" i="106" s="1"/>
  <c r="S60" i="106" s="1"/>
  <c r="J60" i="106"/>
  <c r="J93" i="111"/>
  <c r="N93" i="111" s="1"/>
  <c r="J92" i="82"/>
  <c r="N92" i="82" s="1"/>
  <c r="N61" i="73"/>
  <c r="R61" i="73" s="1"/>
  <c r="S61" i="73" s="1"/>
  <c r="J61" i="73"/>
  <c r="AA19" i="54"/>
  <c r="J74" i="81"/>
  <c r="N74" i="81" s="1"/>
  <c r="J77" i="109"/>
  <c r="N77" i="109" s="1"/>
  <c r="M35" i="84"/>
  <c r="J61" i="102"/>
  <c r="N61" i="102"/>
  <c r="R61" i="102" s="1"/>
  <c r="S61" i="102" s="1"/>
  <c r="J33" i="97"/>
  <c r="J59" i="111"/>
  <c r="N59" i="111"/>
  <c r="G63" i="111"/>
  <c r="J45" i="97"/>
  <c r="J60" i="111"/>
  <c r="N60" i="111"/>
  <c r="R60" i="111" s="1"/>
  <c r="S60" i="111" s="1"/>
  <c r="M60" i="109"/>
  <c r="J42" i="73"/>
  <c r="J40" i="89"/>
  <c r="N40" i="89" s="1"/>
  <c r="R40" i="89" s="1"/>
  <c r="S40" i="89" s="1"/>
  <c r="J100" i="108"/>
  <c r="N100" i="108" s="1"/>
  <c r="J95" i="87"/>
  <c r="N95" i="87" s="1"/>
  <c r="J66" i="80"/>
  <c r="N66" i="80" s="1"/>
  <c r="J76" i="80"/>
  <c r="N76" i="80" s="1"/>
  <c r="J39" i="81"/>
  <c r="J69" i="90"/>
  <c r="N69" i="90" s="1"/>
  <c r="J51" i="89"/>
  <c r="N51" i="89" s="1"/>
  <c r="R51" i="89" s="1"/>
  <c r="S51" i="89" s="1"/>
  <c r="M57" i="86"/>
  <c r="J98" i="100"/>
  <c r="N98" i="100" s="1"/>
  <c r="J107" i="111"/>
  <c r="R107" i="111"/>
  <c r="S107" i="111"/>
  <c r="J46" i="115"/>
  <c r="J70" i="89"/>
  <c r="N70" i="89" s="1"/>
  <c r="J39" i="109"/>
  <c r="J94" i="114"/>
  <c r="N94" i="114" s="1"/>
  <c r="K19" i="54"/>
  <c r="J33" i="99"/>
  <c r="J81" i="89"/>
  <c r="N81" i="89" s="1"/>
  <c r="M49" i="99"/>
  <c r="J53" i="105"/>
  <c r="J38" i="113"/>
  <c r="J47" i="104"/>
  <c r="J38" i="97"/>
  <c r="J83" i="78"/>
  <c r="N83" i="78" s="1"/>
  <c r="M60" i="76"/>
  <c r="J42" i="92"/>
  <c r="N42" i="92" s="1"/>
  <c r="R42" i="92" s="1"/>
  <c r="S42" i="92" s="1"/>
  <c r="J36" i="111"/>
  <c r="J85" i="110"/>
  <c r="N85" i="110" s="1"/>
  <c r="M48" i="77"/>
  <c r="J92" i="114"/>
  <c r="N92" i="114" s="1"/>
  <c r="J82" i="90"/>
  <c r="N82" i="90" s="1"/>
  <c r="J46" i="74"/>
  <c r="J80" i="111"/>
  <c r="N80" i="111" s="1"/>
  <c r="M42" i="75"/>
  <c r="M62" i="107"/>
  <c r="J73" i="116"/>
  <c r="N73" i="116" s="1"/>
  <c r="M42" i="101"/>
  <c r="J75" i="113"/>
  <c r="N75" i="113" s="1"/>
  <c r="R109" i="108"/>
  <c r="J109" i="108"/>
  <c r="N109" i="108" s="1"/>
  <c r="S109" i="108"/>
  <c r="J33" i="87"/>
  <c r="M37" i="103"/>
  <c r="N19" i="54"/>
  <c r="J57" i="78"/>
  <c r="M47" i="101"/>
  <c r="S107" i="71"/>
  <c r="J107" i="71"/>
  <c r="R107" i="71"/>
  <c r="J47" i="90"/>
  <c r="J47" i="74"/>
  <c r="N47" i="74" s="1"/>
  <c r="R47" i="74" s="1"/>
  <c r="S47" i="74" s="1"/>
  <c r="J90" i="101"/>
  <c r="N90" i="101" s="1"/>
  <c r="J33" i="88"/>
  <c r="DS19" i="54"/>
  <c r="J90" i="109"/>
  <c r="N90" i="109" s="1"/>
  <c r="M44" i="79"/>
  <c r="J54" i="91"/>
  <c r="M37" i="92"/>
  <c r="M52" i="74"/>
  <c r="J48" i="90"/>
  <c r="N48" i="90" s="1"/>
  <c r="R48" i="90" s="1"/>
  <c r="S48" i="90" s="1"/>
  <c r="J45" i="84"/>
  <c r="J45" i="111"/>
  <c r="M51" i="113"/>
  <c r="J77" i="98"/>
  <c r="N77" i="98" s="1"/>
  <c r="M54" i="78"/>
  <c r="J94" i="107"/>
  <c r="N94" i="107" s="1"/>
  <c r="J92" i="115"/>
  <c r="N92" i="115" s="1"/>
  <c r="M52" i="111"/>
  <c r="J67" i="71"/>
  <c r="N67" i="71" s="1"/>
  <c r="N60" i="78"/>
  <c r="R60" i="78" s="1"/>
  <c r="S60" i="78" s="1"/>
  <c r="J60" i="78"/>
  <c r="J103" i="108"/>
  <c r="N103" i="108" s="1"/>
  <c r="M43" i="109"/>
  <c r="J102" i="81"/>
  <c r="N102" i="81" s="1"/>
  <c r="M62" i="91"/>
  <c r="J102" i="78"/>
  <c r="N102" i="78" s="1"/>
  <c r="J92" i="71"/>
  <c r="N92" i="71" s="1"/>
  <c r="J38" i="109"/>
  <c r="J70" i="100"/>
  <c r="N70" i="100" s="1"/>
  <c r="M57" i="104"/>
  <c r="M56" i="116"/>
  <c r="J35" i="115"/>
  <c r="J81" i="71"/>
  <c r="N81" i="71" s="1"/>
  <c r="J49" i="89"/>
  <c r="J55" i="82"/>
  <c r="N55" i="82" s="1"/>
  <c r="R55" i="82" s="1"/>
  <c r="S55" i="82" s="1"/>
  <c r="M50" i="114"/>
  <c r="M47" i="113"/>
  <c r="S107" i="117"/>
  <c r="R107" i="117"/>
  <c r="J107" i="117"/>
  <c r="S108" i="76"/>
  <c r="J108" i="76"/>
  <c r="R108" i="76"/>
  <c r="J81" i="113"/>
  <c r="N81" i="113" s="1"/>
  <c r="J107" i="91"/>
  <c r="S107" i="91"/>
  <c r="R107" i="91"/>
  <c r="R106" i="87"/>
  <c r="J106" i="87"/>
  <c r="S106" i="87"/>
  <c r="J76" i="72"/>
  <c r="N76" i="72" s="1"/>
  <c r="J38" i="77"/>
  <c r="J43" i="72"/>
  <c r="J37" i="114"/>
  <c r="J53" i="78"/>
  <c r="J43" i="117"/>
  <c r="N43" i="117" s="1"/>
  <c r="R43" i="117" s="1"/>
  <c r="S43" i="117" s="1"/>
  <c r="J53" i="106"/>
  <c r="J43" i="91"/>
  <c r="M42" i="71"/>
  <c r="J79" i="83"/>
  <c r="N79" i="83" s="1"/>
  <c r="J39" i="71"/>
  <c r="M35" i="76"/>
  <c r="J41" i="80"/>
  <c r="J78" i="103"/>
  <c r="N78" i="103" s="1"/>
  <c r="R110" i="92"/>
  <c r="S110" i="92"/>
  <c r="J110" i="92"/>
  <c r="J43" i="109"/>
  <c r="M55" i="117"/>
  <c r="J86" i="108"/>
  <c r="N86" i="108" s="1"/>
  <c r="M54" i="97"/>
  <c r="J51" i="81"/>
  <c r="M61" i="77"/>
  <c r="J94" i="91"/>
  <c r="N94" i="91" s="1"/>
  <c r="M34" i="111"/>
  <c r="S107" i="110"/>
  <c r="R107" i="110"/>
  <c r="J107" i="110"/>
  <c r="J70" i="83"/>
  <c r="N70" i="83" s="1"/>
  <c r="J72" i="80"/>
  <c r="N72" i="80" s="1"/>
  <c r="M36" i="92"/>
  <c r="J57" i="71"/>
  <c r="J90" i="108"/>
  <c r="N90" i="108" s="1"/>
  <c r="J92" i="87"/>
  <c r="N92" i="87" s="1"/>
  <c r="M38" i="97"/>
  <c r="M32" i="86"/>
  <c r="J97" i="103"/>
  <c r="N97" i="103" s="1"/>
  <c r="G111" i="78"/>
  <c r="J65" i="78"/>
  <c r="M39" i="102"/>
  <c r="J55" i="73"/>
  <c r="M53" i="76"/>
  <c r="J91" i="81"/>
  <c r="N91" i="81" s="1"/>
  <c r="J47" i="99"/>
  <c r="N47" i="99" s="1"/>
  <c r="R47" i="99" s="1"/>
  <c r="S47" i="99" s="1"/>
  <c r="J98" i="106"/>
  <c r="N98" i="106" s="1"/>
  <c r="J67" i="113"/>
  <c r="N67" i="113" s="1"/>
  <c r="J33" i="107"/>
  <c r="M39" i="111"/>
  <c r="J52" i="72"/>
  <c r="N52" i="72" s="1"/>
  <c r="R52" i="72" s="1"/>
  <c r="S52" i="72" s="1"/>
  <c r="J68" i="65"/>
  <c r="N68" i="65" s="1"/>
  <c r="J70" i="85"/>
  <c r="N70" i="85" s="1"/>
  <c r="M37" i="100"/>
  <c r="J68" i="74"/>
  <c r="N68" i="74" s="1"/>
  <c r="J98" i="80"/>
  <c r="N98" i="80" s="1"/>
  <c r="J66" i="99"/>
  <c r="N66" i="99" s="1"/>
  <c r="J62" i="116"/>
  <c r="N62" i="116"/>
  <c r="R62" i="116" s="1"/>
  <c r="S62" i="116" s="1"/>
  <c r="J65" i="75"/>
  <c r="G111" i="75"/>
  <c r="J99" i="97"/>
  <c r="N99" i="97" s="1"/>
  <c r="J38" i="79"/>
  <c r="J73" i="89"/>
  <c r="N73" i="89" s="1"/>
  <c r="J69" i="78"/>
  <c r="N69" i="78" s="1"/>
  <c r="J85" i="84"/>
  <c r="N85" i="84" s="1"/>
  <c r="M39" i="113"/>
  <c r="J72" i="85"/>
  <c r="N72" i="85" s="1"/>
  <c r="M51" i="110"/>
  <c r="J87" i="83"/>
  <c r="N87" i="83" s="1"/>
  <c r="J34" i="78"/>
  <c r="M44" i="80"/>
  <c r="J77" i="108"/>
  <c r="N77" i="108" s="1"/>
  <c r="J32" i="91"/>
  <c r="J98" i="99"/>
  <c r="N98" i="99" s="1"/>
  <c r="J34" i="80"/>
  <c r="M54" i="99"/>
  <c r="M47" i="79"/>
  <c r="J83" i="71"/>
  <c r="N83" i="71" s="1"/>
  <c r="J55" i="105"/>
  <c r="J69" i="75"/>
  <c r="N69" i="75" s="1"/>
  <c r="J71" i="106"/>
  <c r="N71" i="106" s="1"/>
  <c r="M61" i="75"/>
  <c r="J40" i="90"/>
  <c r="M33" i="75"/>
  <c r="J104" i="117"/>
  <c r="N104" i="117" s="1"/>
  <c r="J37" i="91"/>
  <c r="M39" i="106"/>
  <c r="J41" i="73"/>
  <c r="N41" i="73" s="1"/>
  <c r="R41" i="73" s="1"/>
  <c r="S41" i="73" s="1"/>
  <c r="M40" i="73"/>
  <c r="J56" i="100"/>
  <c r="J99" i="106"/>
  <c r="N99" i="106" s="1"/>
  <c r="M57" i="89"/>
  <c r="J96" i="80"/>
  <c r="N96" i="80" s="1"/>
  <c r="J55" i="85"/>
  <c r="M45" i="103"/>
  <c r="M49" i="86"/>
  <c r="J69" i="104"/>
  <c r="N69" i="104" s="1"/>
  <c r="J96" i="109"/>
  <c r="N96" i="109" s="1"/>
  <c r="M49" i="116"/>
  <c r="M32" i="100"/>
  <c r="M47" i="114"/>
  <c r="J71" i="73"/>
  <c r="N71" i="73" s="1"/>
  <c r="M44" i="103"/>
  <c r="J73" i="105"/>
  <c r="N73" i="105" s="1"/>
  <c r="M35" i="88"/>
  <c r="J51" i="111"/>
  <c r="N51" i="111" s="1"/>
  <c r="R51" i="111" s="1"/>
  <c r="S51" i="111" s="1"/>
  <c r="M62" i="101"/>
  <c r="J42" i="100"/>
  <c r="M56" i="98"/>
  <c r="J87" i="85"/>
  <c r="N87" i="85" s="1"/>
  <c r="M36" i="75"/>
  <c r="J61" i="107"/>
  <c r="N61" i="107"/>
  <c r="R61" i="107" s="1"/>
  <c r="S61" i="107" s="1"/>
  <c r="J34" i="87"/>
  <c r="N34" i="87" s="1"/>
  <c r="R34" i="87" s="1"/>
  <c r="S34" i="87" s="1"/>
  <c r="J46" i="102"/>
  <c r="Z19" i="54"/>
  <c r="J35" i="101"/>
  <c r="J93" i="78"/>
  <c r="N93" i="78" s="1"/>
  <c r="M52" i="80"/>
  <c r="M55" i="105"/>
  <c r="M43" i="101"/>
  <c r="J83" i="105"/>
  <c r="N83" i="105" s="1"/>
  <c r="J74" i="78"/>
  <c r="N74" i="78" s="1"/>
  <c r="M62" i="105"/>
  <c r="M52" i="109"/>
  <c r="J83" i="102"/>
  <c r="N83" i="102" s="1"/>
  <c r="J97" i="73"/>
  <c r="N97" i="73" s="1"/>
  <c r="J81" i="98"/>
  <c r="N81" i="98" s="1"/>
  <c r="J104" i="91"/>
  <c r="N104" i="91" s="1"/>
  <c r="J33" i="91"/>
  <c r="J46" i="100"/>
  <c r="J49" i="85"/>
  <c r="G111" i="84"/>
  <c r="J65" i="84"/>
  <c r="J94" i="102"/>
  <c r="N94" i="102" s="1"/>
  <c r="J89" i="72"/>
  <c r="N89" i="72" s="1"/>
  <c r="J52" i="80"/>
  <c r="N52" i="80" s="1"/>
  <c r="R52" i="80" s="1"/>
  <c r="S52" i="80" s="1"/>
  <c r="M55" i="104"/>
  <c r="M50" i="115"/>
  <c r="M61" i="103"/>
  <c r="J52" i="79"/>
  <c r="J65" i="77"/>
  <c r="G111" i="77"/>
  <c r="M57" i="114"/>
  <c r="J71" i="84"/>
  <c r="N71" i="84" s="1"/>
  <c r="J32" i="77"/>
  <c r="J56" i="89"/>
  <c r="J100" i="74"/>
  <c r="N100" i="74" s="1"/>
  <c r="J103" i="86"/>
  <c r="N103" i="86" s="1"/>
  <c r="J74" i="103"/>
  <c r="N74" i="103" s="1"/>
  <c r="N62" i="105"/>
  <c r="R62" i="105" s="1"/>
  <c r="S62" i="105" s="1"/>
  <c r="J62" i="105"/>
  <c r="DV19" i="54"/>
  <c r="J47" i="86"/>
  <c r="J35" i="77"/>
  <c r="J41" i="97"/>
  <c r="M60" i="85"/>
  <c r="M43" i="90"/>
  <c r="J80" i="81"/>
  <c r="N80" i="81" s="1"/>
  <c r="M43" i="110"/>
  <c r="M52" i="78"/>
  <c r="N59" i="115"/>
  <c r="G63" i="115"/>
  <c r="J59" i="115"/>
  <c r="J42" i="82"/>
  <c r="J57" i="115"/>
  <c r="J53" i="84"/>
  <c r="N53" i="84" s="1"/>
  <c r="R53" i="84" s="1"/>
  <c r="S53" i="84" s="1"/>
  <c r="J69" i="92"/>
  <c r="N69" i="92" s="1"/>
  <c r="J62" i="101"/>
  <c r="N62" i="101"/>
  <c r="R62" i="101" s="1"/>
  <c r="S62" i="101" s="1"/>
  <c r="J43" i="99"/>
  <c r="J49" i="117"/>
  <c r="J45" i="79"/>
  <c r="J98" i="79"/>
  <c r="N98" i="79" s="1"/>
  <c r="J103" i="115"/>
  <c r="N103" i="115" s="1"/>
  <c r="J49" i="91"/>
  <c r="N49" i="91" s="1"/>
  <c r="R49" i="91" s="1"/>
  <c r="S49" i="91" s="1"/>
  <c r="J80" i="104"/>
  <c r="N80" i="104" s="1"/>
  <c r="J74" i="97"/>
  <c r="N74" i="97" s="1"/>
  <c r="M32" i="80"/>
  <c r="J50" i="106"/>
  <c r="N50" i="106" s="1"/>
  <c r="R50" i="106" s="1"/>
  <c r="S50" i="106" s="1"/>
  <c r="J44" i="100"/>
  <c r="J42" i="115"/>
  <c r="M37" i="78"/>
  <c r="J48" i="108"/>
  <c r="N48" i="108" s="1"/>
  <c r="R48" i="108" s="1"/>
  <c r="S48" i="108" s="1"/>
  <c r="M57" i="109"/>
  <c r="J72" i="97"/>
  <c r="N72" i="97" s="1"/>
  <c r="J40" i="116"/>
  <c r="J74" i="106"/>
  <c r="N74" i="106" s="1"/>
  <c r="J45" i="81"/>
  <c r="M36" i="113"/>
  <c r="M42" i="78"/>
  <c r="J55" i="97"/>
  <c r="N55" i="97" s="1"/>
  <c r="R55" i="97" s="1"/>
  <c r="S55" i="97" s="1"/>
  <c r="J89" i="71"/>
  <c r="N89" i="71" s="1"/>
  <c r="J46" i="108"/>
  <c r="J98" i="109"/>
  <c r="N98" i="109" s="1"/>
  <c r="J42" i="114"/>
  <c r="J81" i="116"/>
  <c r="N81" i="116" s="1"/>
  <c r="J94" i="108"/>
  <c r="N94" i="108" s="1"/>
  <c r="J86" i="98"/>
  <c r="N86" i="98" s="1"/>
  <c r="M33" i="113"/>
  <c r="M51" i="72"/>
  <c r="M47" i="87"/>
  <c r="M55" i="84"/>
  <c r="R108" i="80"/>
  <c r="J108" i="80"/>
  <c r="S108" i="80"/>
  <c r="AM19" i="54"/>
  <c r="J66" i="75"/>
  <c r="N66" i="75" s="1"/>
  <c r="M37" i="107"/>
  <c r="J100" i="110"/>
  <c r="N100" i="110" s="1"/>
  <c r="J103" i="105"/>
  <c r="N103" i="105" s="1"/>
  <c r="J79" i="82"/>
  <c r="N79" i="82" s="1"/>
  <c r="S110" i="91"/>
  <c r="R110" i="91"/>
  <c r="J110" i="91"/>
  <c r="M61" i="99"/>
  <c r="J37" i="77"/>
  <c r="N62" i="109"/>
  <c r="R62" i="109" s="1"/>
  <c r="S62" i="109" s="1"/>
  <c r="J62" i="109"/>
  <c r="J102" i="72"/>
  <c r="N102" i="72" s="1"/>
  <c r="M44" i="81"/>
  <c r="M43" i="79"/>
  <c r="M41" i="109"/>
  <c r="M41" i="108"/>
  <c r="J96" i="87"/>
  <c r="N96" i="87" s="1"/>
  <c r="J93" i="76"/>
  <c r="N93" i="76" s="1"/>
  <c r="J91" i="99"/>
  <c r="N91" i="99" s="1"/>
  <c r="M62" i="104"/>
  <c r="J32" i="81"/>
  <c r="M34" i="110"/>
  <c r="J81" i="82"/>
  <c r="N81" i="82" s="1"/>
  <c r="J35" i="103"/>
  <c r="J34" i="82"/>
  <c r="N34" i="82" s="1"/>
  <c r="R34" i="82" s="1"/>
  <c r="S34" i="82" s="1"/>
  <c r="J56" i="77"/>
  <c r="J94" i="77"/>
  <c r="N94" i="77" s="1"/>
  <c r="M57" i="97"/>
  <c r="J49" i="104"/>
  <c r="N49" i="104" s="1"/>
  <c r="R49" i="104" s="1"/>
  <c r="S49" i="104" s="1"/>
  <c r="J46" i="80"/>
  <c r="J80" i="102"/>
  <c r="N80" i="102" s="1"/>
  <c r="J36" i="80"/>
  <c r="J43" i="86"/>
  <c r="J97" i="65"/>
  <c r="N97" i="65" s="1"/>
  <c r="J51" i="72"/>
  <c r="N51" i="72" s="1"/>
  <c r="R51" i="72" s="1"/>
  <c r="S51" i="72" s="1"/>
  <c r="J83" i="87"/>
  <c r="N83" i="87" s="1"/>
  <c r="J47" i="87"/>
  <c r="N47" i="87" s="1"/>
  <c r="R47" i="87" s="1"/>
  <c r="S47" i="87" s="1"/>
  <c r="M57" i="98"/>
  <c r="M36" i="108"/>
  <c r="M42" i="99"/>
  <c r="R107" i="113"/>
  <c r="S107" i="113"/>
  <c r="J107" i="113"/>
  <c r="M59" i="71"/>
  <c r="K63" i="71"/>
  <c r="J109" i="83"/>
  <c r="N109" i="83" s="1"/>
  <c r="R109" i="83"/>
  <c r="S109" i="83"/>
  <c r="J36" i="75"/>
  <c r="J81" i="87"/>
  <c r="N81" i="87" s="1"/>
  <c r="J81" i="106"/>
  <c r="N81" i="106" s="1"/>
  <c r="M55" i="81"/>
  <c r="M56" i="84"/>
  <c r="M46" i="72"/>
  <c r="J50" i="76"/>
  <c r="N50" i="76" s="1"/>
  <c r="R50" i="76" s="1"/>
  <c r="S50" i="76" s="1"/>
  <c r="J93" i="106"/>
  <c r="N93" i="106" s="1"/>
  <c r="J104" i="97"/>
  <c r="N104" i="97" s="1"/>
  <c r="J45" i="107"/>
  <c r="M41" i="89"/>
  <c r="J43" i="111"/>
  <c r="J35" i="80"/>
  <c r="J80" i="90"/>
  <c r="N80" i="90" s="1"/>
  <c r="M62" i="110"/>
  <c r="J97" i="92"/>
  <c r="N97" i="92" s="1"/>
  <c r="J54" i="117"/>
  <c r="S110" i="76"/>
  <c r="J110" i="76"/>
  <c r="R110" i="76"/>
  <c r="J79" i="103"/>
  <c r="N79" i="103" s="1"/>
  <c r="J99" i="80"/>
  <c r="N99" i="80" s="1"/>
  <c r="J79" i="111"/>
  <c r="N79" i="111" s="1"/>
  <c r="M38" i="114"/>
  <c r="M32" i="85"/>
  <c r="M34" i="116"/>
  <c r="J74" i="88"/>
  <c r="N74" i="88" s="1"/>
  <c r="J71" i="107"/>
  <c r="N71" i="107" s="1"/>
  <c r="J34" i="74"/>
  <c r="N34" i="74" s="1"/>
  <c r="R34" i="74" s="1"/>
  <c r="S34" i="74" s="1"/>
  <c r="J54" i="92"/>
  <c r="S106" i="86"/>
  <c r="J106" i="86"/>
  <c r="R106" i="86"/>
  <c r="J43" i="110"/>
  <c r="J69" i="73"/>
  <c r="N69" i="73" s="1"/>
  <c r="J49" i="98"/>
  <c r="M46" i="79"/>
  <c r="N60" i="103"/>
  <c r="R60" i="103" s="1"/>
  <c r="S60" i="103" s="1"/>
  <c r="J60" i="103"/>
  <c r="J46" i="107"/>
  <c r="N62" i="104"/>
  <c r="R62" i="104" s="1"/>
  <c r="S62" i="104" s="1"/>
  <c r="J62" i="104"/>
  <c r="J69" i="72"/>
  <c r="N69" i="72" s="1"/>
  <c r="M50" i="84"/>
  <c r="J68" i="87"/>
  <c r="N68" i="87" s="1"/>
  <c r="M44" i="87"/>
  <c r="J54" i="106"/>
  <c r="J76" i="108"/>
  <c r="N76" i="108" s="1"/>
  <c r="J52" i="104"/>
  <c r="J54" i="75"/>
  <c r="J102" i="114"/>
  <c r="N102" i="114" s="1"/>
  <c r="M36" i="88"/>
  <c r="J84" i="103"/>
  <c r="N84" i="103" s="1"/>
  <c r="J97" i="113"/>
  <c r="N97" i="113" s="1"/>
  <c r="J106" i="74"/>
  <c r="R106" i="74"/>
  <c r="S106" i="74"/>
  <c r="J74" i="98"/>
  <c r="N74" i="98" s="1"/>
  <c r="J40" i="75"/>
  <c r="M59" i="114"/>
  <c r="K63" i="114"/>
  <c r="M60" i="82"/>
  <c r="J42" i="89"/>
  <c r="J99" i="105"/>
  <c r="N99" i="105" s="1"/>
  <c r="G111" i="114"/>
  <c r="J65" i="114"/>
  <c r="J67" i="111"/>
  <c r="N67" i="111" s="1"/>
  <c r="J89" i="105"/>
  <c r="N89" i="105" s="1"/>
  <c r="J82" i="103"/>
  <c r="N82" i="103" s="1"/>
  <c r="M44" i="111"/>
  <c r="M61" i="71"/>
  <c r="J97" i="86"/>
  <c r="N97" i="86" s="1"/>
  <c r="J78" i="88"/>
  <c r="N78" i="88" s="1"/>
  <c r="J110" i="81"/>
  <c r="R110" i="81"/>
  <c r="S110" i="81"/>
  <c r="J66" i="105"/>
  <c r="N66" i="105" s="1"/>
  <c r="M32" i="79"/>
  <c r="M33" i="79"/>
  <c r="J34" i="79"/>
  <c r="J101" i="103"/>
  <c r="N101" i="103" s="1"/>
  <c r="M62" i="77"/>
  <c r="J44" i="77"/>
  <c r="J68" i="101"/>
  <c r="N68" i="101" s="1"/>
  <c r="J74" i="102"/>
  <c r="N74" i="102" s="1"/>
  <c r="M41" i="113"/>
  <c r="S108" i="98"/>
  <c r="J108" i="98"/>
  <c r="R108" i="98"/>
  <c r="J78" i="75"/>
  <c r="N78" i="75" s="1"/>
  <c r="M38" i="111"/>
  <c r="J45" i="75"/>
  <c r="J96" i="117"/>
  <c r="N96" i="117" s="1"/>
  <c r="J80" i="74"/>
  <c r="N80" i="74" s="1"/>
  <c r="J90" i="106"/>
  <c r="N90" i="106" s="1"/>
  <c r="J36" i="88"/>
  <c r="M46" i="81"/>
  <c r="J74" i="82"/>
  <c r="N74" i="82" s="1"/>
  <c r="J65" i="83"/>
  <c r="G111" i="83"/>
  <c r="J67" i="72"/>
  <c r="N67" i="72" s="1"/>
  <c r="J49" i="107"/>
  <c r="J61" i="72"/>
  <c r="N61" i="72"/>
  <c r="R61" i="72" s="1"/>
  <c r="S61" i="72" s="1"/>
  <c r="M48" i="80"/>
  <c r="J37" i="108"/>
  <c r="N37" i="108" s="1"/>
  <c r="R37" i="108" s="1"/>
  <c r="S37" i="108" s="1"/>
  <c r="M56" i="114"/>
  <c r="J46" i="109"/>
  <c r="M56" i="109"/>
  <c r="M48" i="71"/>
  <c r="R110" i="111"/>
  <c r="S110" i="111"/>
  <c r="J110" i="111"/>
  <c r="J39" i="72"/>
  <c r="J33" i="81"/>
  <c r="G111" i="113"/>
  <c r="J65" i="113"/>
  <c r="M32" i="84"/>
  <c r="J33" i="78"/>
  <c r="J89" i="86"/>
  <c r="N89" i="86" s="1"/>
  <c r="J42" i="83"/>
  <c r="S108" i="71"/>
  <c r="J108" i="71"/>
  <c r="R108" i="71"/>
  <c r="J91" i="80"/>
  <c r="N91" i="80" s="1"/>
  <c r="J57" i="101"/>
  <c r="M45" i="81"/>
  <c r="J54" i="87"/>
  <c r="J33" i="110"/>
  <c r="M34" i="114"/>
  <c r="J99" i="71"/>
  <c r="N99" i="71" s="1"/>
  <c r="J41" i="86"/>
  <c r="N41" i="86" s="1"/>
  <c r="R41" i="86" s="1"/>
  <c r="S41" i="86" s="1"/>
  <c r="K63" i="104"/>
  <c r="M59" i="104"/>
  <c r="J93" i="103"/>
  <c r="N93" i="103" s="1"/>
  <c r="M54" i="75"/>
  <c r="J47" i="71"/>
  <c r="J99" i="73"/>
  <c r="N99" i="73" s="1"/>
  <c r="J88" i="108"/>
  <c r="N88" i="108" s="1"/>
  <c r="J45" i="80"/>
  <c r="G63" i="79"/>
  <c r="N59" i="79"/>
  <c r="J59" i="79"/>
  <c r="M43" i="91"/>
  <c r="J65" i="97"/>
  <c r="G111" i="97"/>
  <c r="J91" i="103"/>
  <c r="N91" i="103" s="1"/>
  <c r="J93" i="71"/>
  <c r="N93" i="71" s="1"/>
  <c r="J35" i="75"/>
  <c r="J75" i="73"/>
  <c r="N75" i="73" s="1"/>
  <c r="S108" i="104"/>
  <c r="J108" i="104"/>
  <c r="R108" i="104"/>
  <c r="M44" i="65"/>
  <c r="J94" i="76"/>
  <c r="N94" i="76" s="1"/>
  <c r="M56" i="65"/>
  <c r="M39" i="99"/>
  <c r="M36" i="82"/>
  <c r="J36" i="78"/>
  <c r="M33" i="99"/>
  <c r="J34" i="106"/>
  <c r="M44" i="100"/>
  <c r="M34" i="79"/>
  <c r="J79" i="84"/>
  <c r="N79" i="84" s="1"/>
  <c r="K63" i="83"/>
  <c r="M59" i="83"/>
  <c r="J67" i="73"/>
  <c r="N67" i="73" s="1"/>
  <c r="M43" i="115"/>
  <c r="J89" i="117"/>
  <c r="N89" i="117" s="1"/>
  <c r="J48" i="100"/>
  <c r="J55" i="103"/>
  <c r="J34" i="101"/>
  <c r="J66" i="115"/>
  <c r="N66" i="115" s="1"/>
  <c r="J41" i="102"/>
  <c r="N61" i="101"/>
  <c r="R61" i="101" s="1"/>
  <c r="S61" i="101" s="1"/>
  <c r="J61" i="101"/>
  <c r="J84" i="80"/>
  <c r="N84" i="80" s="1"/>
  <c r="J49" i="97"/>
  <c r="J61" i="86"/>
  <c r="N61" i="86"/>
  <c r="R61" i="86" s="1"/>
  <c r="S61" i="86" s="1"/>
  <c r="M50" i="109"/>
  <c r="M39" i="80"/>
  <c r="R106" i="79"/>
  <c r="S106" i="79"/>
  <c r="J106" i="79"/>
  <c r="J76" i="104"/>
  <c r="N76" i="104" s="1"/>
  <c r="J37" i="98"/>
  <c r="J41" i="76"/>
  <c r="M48" i="83"/>
  <c r="J70" i="102"/>
  <c r="N70" i="102" s="1"/>
  <c r="J90" i="82"/>
  <c r="N90" i="82" s="1"/>
  <c r="M32" i="74"/>
  <c r="J96" i="108"/>
  <c r="N96" i="108" s="1"/>
  <c r="M60" i="79"/>
  <c r="J41" i="103"/>
  <c r="S109" i="73"/>
  <c r="R109" i="73"/>
  <c r="J109" i="73"/>
  <c r="N109" i="73" s="1"/>
  <c r="J109" i="92"/>
  <c r="N109" i="92" s="1"/>
  <c r="S109" i="92"/>
  <c r="R109" i="92"/>
  <c r="M53" i="105"/>
  <c r="J76" i="77"/>
  <c r="N76" i="77" s="1"/>
  <c r="J86" i="80"/>
  <c r="N86" i="80" s="1"/>
  <c r="J89" i="83"/>
  <c r="N89" i="83" s="1"/>
  <c r="J91" i="107"/>
  <c r="N91" i="107" s="1"/>
  <c r="N62" i="100"/>
  <c r="R62" i="100" s="1"/>
  <c r="S62" i="100" s="1"/>
  <c r="J62" i="100"/>
  <c r="M56" i="75"/>
  <c r="J54" i="98"/>
  <c r="J98" i="86"/>
  <c r="N98" i="86" s="1"/>
  <c r="M32" i="99"/>
  <c r="J33" i="108"/>
  <c r="J70" i="113"/>
  <c r="N70" i="113" s="1"/>
  <c r="M51" i="76"/>
  <c r="J55" i="113"/>
  <c r="J66" i="87"/>
  <c r="N66" i="87" s="1"/>
  <c r="M61" i="72"/>
  <c r="J100" i="71"/>
  <c r="N100" i="71" s="1"/>
  <c r="J47" i="114"/>
  <c r="J53" i="104"/>
  <c r="J36" i="82"/>
  <c r="N36" i="82" s="1"/>
  <c r="R36" i="82" s="1"/>
  <c r="S36" i="82" s="1"/>
  <c r="R107" i="86"/>
  <c r="S107" i="86"/>
  <c r="J107" i="86"/>
  <c r="J42" i="102"/>
  <c r="N42" i="102" s="1"/>
  <c r="R42" i="102" s="1"/>
  <c r="S42" i="102" s="1"/>
  <c r="M57" i="115"/>
  <c r="J74" i="72"/>
  <c r="N74" i="72" s="1"/>
  <c r="J91" i="101"/>
  <c r="N91" i="101" s="1"/>
  <c r="M56" i="117"/>
  <c r="M43" i="73"/>
  <c r="J92" i="72"/>
  <c r="N92" i="72" s="1"/>
  <c r="M37" i="117"/>
  <c r="J97" i="106"/>
  <c r="N97" i="106" s="1"/>
  <c r="M59" i="79"/>
  <c r="K63" i="79"/>
  <c r="M54" i="108"/>
  <c r="J99" i="113"/>
  <c r="N99" i="113" s="1"/>
  <c r="J80" i="89"/>
  <c r="N80" i="89" s="1"/>
  <c r="J73" i="88"/>
  <c r="N73" i="88" s="1"/>
  <c r="J89" i="108"/>
  <c r="N89" i="108" s="1"/>
  <c r="J34" i="107"/>
  <c r="J76" i="78"/>
  <c r="N76" i="78" s="1"/>
  <c r="J107" i="89"/>
  <c r="S107" i="89"/>
  <c r="R107" i="89"/>
  <c r="J76" i="98"/>
  <c r="N76" i="98" s="1"/>
  <c r="J100" i="101"/>
  <c r="N100" i="101" s="1"/>
  <c r="J73" i="117"/>
  <c r="N73" i="117" s="1"/>
  <c r="M44" i="97"/>
  <c r="M45" i="76"/>
  <c r="J34" i="98"/>
  <c r="S107" i="109"/>
  <c r="J107" i="109"/>
  <c r="R107" i="109"/>
  <c r="M57" i="99"/>
  <c r="J90" i="71"/>
  <c r="N90" i="71" s="1"/>
  <c r="M42" i="73"/>
  <c r="J89" i="111"/>
  <c r="N89" i="111" s="1"/>
  <c r="J77" i="82"/>
  <c r="N77" i="82" s="1"/>
  <c r="M49" i="75"/>
  <c r="J50" i="78"/>
  <c r="J74" i="87"/>
  <c r="N74" i="87" s="1"/>
  <c r="M59" i="109"/>
  <c r="K63" i="109"/>
  <c r="M54" i="113"/>
  <c r="M39" i="116"/>
  <c r="J73" i="110"/>
  <c r="N73" i="110" s="1"/>
  <c r="J91" i="111"/>
  <c r="N91" i="111" s="1"/>
  <c r="M32" i="91"/>
  <c r="J66" i="74"/>
  <c r="N66" i="74" s="1"/>
  <c r="J38" i="86"/>
  <c r="J56" i="74"/>
  <c r="M45" i="91"/>
  <c r="J97" i="82"/>
  <c r="N97" i="82" s="1"/>
  <c r="J37" i="86"/>
  <c r="J32" i="109"/>
  <c r="J66" i="89"/>
  <c r="N66" i="89" s="1"/>
  <c r="M39" i="109"/>
  <c r="J93" i="86"/>
  <c r="N93" i="86" s="1"/>
  <c r="K63" i="87"/>
  <c r="M59" i="87"/>
  <c r="J49" i="74"/>
  <c r="J38" i="116"/>
  <c r="S106" i="85"/>
  <c r="J106" i="85"/>
  <c r="R106" i="85"/>
  <c r="R110" i="80"/>
  <c r="J110" i="80"/>
  <c r="S110" i="80"/>
  <c r="M48" i="103"/>
  <c r="M42" i="90"/>
  <c r="J85" i="76"/>
  <c r="N85" i="76" s="1"/>
  <c r="J48" i="76"/>
  <c r="J85" i="107"/>
  <c r="N85" i="107" s="1"/>
  <c r="J48" i="79"/>
  <c r="J79" i="86"/>
  <c r="N79" i="86" s="1"/>
  <c r="M44" i="84"/>
  <c r="J84" i="98"/>
  <c r="N84" i="98" s="1"/>
  <c r="M50" i="75"/>
  <c r="M47" i="78"/>
  <c r="J78" i="82"/>
  <c r="N78" i="82" s="1"/>
  <c r="J48" i="102"/>
  <c r="M60" i="108"/>
  <c r="M32" i="73"/>
  <c r="J65" i="72"/>
  <c r="G111" i="72"/>
  <c r="M39" i="101"/>
  <c r="K63" i="81"/>
  <c r="M59" i="81"/>
  <c r="J104" i="87"/>
  <c r="N104" i="87" s="1"/>
  <c r="J87" i="115"/>
  <c r="N87" i="115" s="1"/>
  <c r="J84" i="105"/>
  <c r="N84" i="105" s="1"/>
  <c r="M47" i="80"/>
  <c r="J70" i="73"/>
  <c r="N70" i="73" s="1"/>
  <c r="J85" i="98"/>
  <c r="N85" i="98" s="1"/>
  <c r="J101" i="87"/>
  <c r="N101" i="87" s="1"/>
  <c r="R108" i="106"/>
  <c r="J108" i="106"/>
  <c r="S108" i="106"/>
  <c r="M46" i="99"/>
  <c r="J79" i="108"/>
  <c r="N79" i="108" s="1"/>
  <c r="J93" i="81"/>
  <c r="N93" i="81" s="1"/>
  <c r="J34" i="117"/>
  <c r="J104" i="83"/>
  <c r="N104" i="83" s="1"/>
  <c r="J39" i="84"/>
  <c r="M51" i="99"/>
  <c r="J85" i="87"/>
  <c r="N85" i="87" s="1"/>
  <c r="J79" i="104"/>
  <c r="N79" i="104" s="1"/>
  <c r="J69" i="85"/>
  <c r="N69" i="85" s="1"/>
  <c r="J74" i="100"/>
  <c r="N74" i="100" s="1"/>
  <c r="J46" i="101"/>
  <c r="S106" i="113"/>
  <c r="J106" i="113"/>
  <c r="R106" i="113"/>
  <c r="K63" i="65"/>
  <c r="M59" i="65"/>
  <c r="J35" i="97"/>
  <c r="M38" i="115"/>
  <c r="J54" i="110"/>
  <c r="J83" i="88"/>
  <c r="N83" i="88" s="1"/>
  <c r="J78" i="115"/>
  <c r="N78" i="115" s="1"/>
  <c r="J51" i="97"/>
  <c r="J67" i="74"/>
  <c r="N67" i="74" s="1"/>
  <c r="J37" i="89"/>
  <c r="J61" i="104"/>
  <c r="N61" i="104"/>
  <c r="R61" i="104" s="1"/>
  <c r="S61" i="104" s="1"/>
  <c r="M44" i="77"/>
  <c r="J81" i="103"/>
  <c r="N81" i="103" s="1"/>
  <c r="J103" i="109"/>
  <c r="N103" i="109" s="1"/>
  <c r="M45" i="92"/>
  <c r="AG19" i="54"/>
  <c r="J36" i="76"/>
  <c r="N36" i="76" s="1"/>
  <c r="R36" i="76" s="1"/>
  <c r="S36" i="76" s="1"/>
  <c r="R110" i="90"/>
  <c r="S110" i="90"/>
  <c r="J110" i="90"/>
  <c r="S106" i="72"/>
  <c r="J106" i="72"/>
  <c r="R106" i="72"/>
  <c r="J32" i="92"/>
  <c r="M41" i="88"/>
  <c r="G111" i="89"/>
  <c r="J65" i="89"/>
  <c r="J87" i="86"/>
  <c r="N87" i="86" s="1"/>
  <c r="M46" i="101"/>
  <c r="J106" i="83"/>
  <c r="R106" i="83"/>
  <c r="S106" i="83"/>
  <c r="J47" i="89"/>
  <c r="N47" i="89" s="1"/>
  <c r="R47" i="89" s="1"/>
  <c r="S47" i="89" s="1"/>
  <c r="J89" i="100"/>
  <c r="N89" i="100" s="1"/>
  <c r="J40" i="76"/>
  <c r="J74" i="111"/>
  <c r="N74" i="111" s="1"/>
  <c r="J55" i="107"/>
  <c r="J96" i="78"/>
  <c r="N96" i="78" s="1"/>
  <c r="J72" i="117"/>
  <c r="N72" i="117" s="1"/>
  <c r="J39" i="89"/>
  <c r="M54" i="84"/>
  <c r="S110" i="114"/>
  <c r="R110" i="114"/>
  <c r="J110" i="114"/>
  <c r="N62" i="81"/>
  <c r="R62" i="81" s="1"/>
  <c r="S62" i="81" s="1"/>
  <c r="J62" i="81"/>
  <c r="J36" i="116"/>
  <c r="N36" i="116" s="1"/>
  <c r="R36" i="116" s="1"/>
  <c r="S36" i="116" s="1"/>
  <c r="J55" i="100"/>
  <c r="J87" i="116"/>
  <c r="N87" i="116" s="1"/>
  <c r="J107" i="72"/>
  <c r="S107" i="72"/>
  <c r="R107" i="72"/>
  <c r="J56" i="91"/>
  <c r="N56" i="91" s="1"/>
  <c r="R56" i="91" s="1"/>
  <c r="S56" i="91" s="1"/>
  <c r="M53" i="113"/>
  <c r="J50" i="71"/>
  <c r="J95" i="71"/>
  <c r="N95" i="71" s="1"/>
  <c r="J74" i="105"/>
  <c r="N74" i="105" s="1"/>
  <c r="J73" i="97"/>
  <c r="N73" i="97" s="1"/>
  <c r="J39" i="115"/>
  <c r="J83" i="85"/>
  <c r="N83" i="85" s="1"/>
  <c r="J44" i="105"/>
  <c r="M35" i="115"/>
  <c r="J84" i="92"/>
  <c r="N84" i="92" s="1"/>
  <c r="J57" i="109"/>
  <c r="J85" i="79"/>
  <c r="N85" i="79" s="1"/>
  <c r="J85" i="65"/>
  <c r="N85" i="65" s="1"/>
  <c r="J34" i="104"/>
  <c r="N34" i="104" s="1"/>
  <c r="R34" i="104" s="1"/>
  <c r="S34" i="104" s="1"/>
  <c r="M60" i="65"/>
  <c r="J80" i="75"/>
  <c r="N80" i="75" s="1"/>
  <c r="J102" i="109"/>
  <c r="N102" i="109" s="1"/>
  <c r="J94" i="106"/>
  <c r="N94" i="106" s="1"/>
  <c r="J97" i="110"/>
  <c r="N97" i="110" s="1"/>
  <c r="J76" i="101"/>
  <c r="N76" i="101" s="1"/>
  <c r="J71" i="86"/>
  <c r="N71" i="86" s="1"/>
  <c r="J36" i="72"/>
  <c r="M36" i="98"/>
  <c r="J92" i="98"/>
  <c r="N92" i="98" s="1"/>
  <c r="M47" i="73"/>
  <c r="J102" i="87"/>
  <c r="N102" i="87" s="1"/>
  <c r="M34" i="99"/>
  <c r="J83" i="98"/>
  <c r="N83" i="98" s="1"/>
  <c r="J33" i="90"/>
  <c r="M53" i="110"/>
  <c r="J79" i="74"/>
  <c r="N79" i="74" s="1"/>
  <c r="J80" i="83"/>
  <c r="N80" i="83" s="1"/>
  <c r="M55" i="103"/>
  <c r="M57" i="117"/>
  <c r="J60" i="75"/>
  <c r="N60" i="75"/>
  <c r="R60" i="75" s="1"/>
  <c r="S60" i="75" s="1"/>
  <c r="S106" i="104"/>
  <c r="J106" i="104"/>
  <c r="R106" i="104"/>
  <c r="J36" i="109"/>
  <c r="R107" i="97"/>
  <c r="S107" i="97"/>
  <c r="J107" i="97"/>
  <c r="M48" i="101"/>
  <c r="J101" i="97"/>
  <c r="N101" i="97" s="1"/>
  <c r="J44" i="80"/>
  <c r="N44" i="80" s="1"/>
  <c r="R44" i="80" s="1"/>
  <c r="S44" i="80" s="1"/>
  <c r="J76" i="97"/>
  <c r="N76" i="97" s="1"/>
  <c r="J55" i="79"/>
  <c r="M39" i="103"/>
  <c r="M34" i="106"/>
  <c r="J50" i="74"/>
  <c r="J46" i="75"/>
  <c r="J45" i="76"/>
  <c r="J85" i="103"/>
  <c r="N85" i="103" s="1"/>
  <c r="G63" i="110"/>
  <c r="J59" i="110"/>
  <c r="N59" i="110"/>
  <c r="J81" i="99"/>
  <c r="N81" i="99" s="1"/>
  <c r="M36" i="101"/>
  <c r="J94" i="80"/>
  <c r="N94" i="80" s="1"/>
  <c r="M62" i="113"/>
  <c r="M49" i="65"/>
  <c r="J87" i="65"/>
  <c r="N87" i="65" s="1"/>
  <c r="J53" i="79"/>
  <c r="N53" i="79" s="1"/>
  <c r="R53" i="79" s="1"/>
  <c r="S53" i="79" s="1"/>
  <c r="J42" i="104"/>
  <c r="M40" i="80"/>
  <c r="J42" i="113"/>
  <c r="J95" i="83"/>
  <c r="N95" i="83" s="1"/>
  <c r="R107" i="100"/>
  <c r="J107" i="100"/>
  <c r="S107" i="100"/>
  <c r="J81" i="91"/>
  <c r="N81" i="91" s="1"/>
  <c r="J44" i="114"/>
  <c r="M32" i="109"/>
  <c r="M38" i="113"/>
  <c r="J84" i="117"/>
  <c r="N84" i="117" s="1"/>
  <c r="J49" i="75"/>
  <c r="N49" i="75" s="1"/>
  <c r="R49" i="75" s="1"/>
  <c r="S49" i="75" s="1"/>
  <c r="J55" i="71"/>
  <c r="N55" i="71" s="1"/>
  <c r="R55" i="71" s="1"/>
  <c r="S55" i="71" s="1"/>
  <c r="M51" i="106"/>
  <c r="J104" i="104"/>
  <c r="N104" i="104" s="1"/>
  <c r="J76" i="83"/>
  <c r="N76" i="83" s="1"/>
  <c r="J62" i="85"/>
  <c r="N62" i="85"/>
  <c r="R62" i="85" s="1"/>
  <c r="S62" i="85" s="1"/>
  <c r="J78" i="87"/>
  <c r="N78" i="87" s="1"/>
  <c r="M57" i="76"/>
  <c r="J69" i="81"/>
  <c r="N69" i="81" s="1"/>
  <c r="J70" i="108"/>
  <c r="N70" i="108" s="1"/>
  <c r="J104" i="71"/>
  <c r="N104" i="71" s="1"/>
  <c r="J44" i="76"/>
  <c r="J103" i="117"/>
  <c r="N103" i="117" s="1"/>
  <c r="M54" i="82"/>
  <c r="J100" i="114"/>
  <c r="N100" i="114" s="1"/>
  <c r="J68" i="85"/>
  <c r="N68" i="85" s="1"/>
  <c r="J53" i="75"/>
  <c r="J37" i="110"/>
  <c r="R108" i="105"/>
  <c r="S108" i="105"/>
  <c r="J108" i="105"/>
  <c r="J37" i="116"/>
  <c r="M62" i="111"/>
  <c r="J38" i="117"/>
  <c r="J52" i="110"/>
  <c r="M50" i="80"/>
  <c r="J34" i="92"/>
  <c r="J47" i="79"/>
  <c r="S108" i="115"/>
  <c r="J108" i="115"/>
  <c r="R108" i="115"/>
  <c r="M44" i="99"/>
  <c r="J74" i="79"/>
  <c r="N74" i="79" s="1"/>
  <c r="J32" i="113"/>
  <c r="M55" i="78"/>
  <c r="J79" i="117"/>
  <c r="N79" i="117" s="1"/>
  <c r="J44" i="65"/>
  <c r="J40" i="73"/>
  <c r="M48" i="107"/>
  <c r="J75" i="103"/>
  <c r="N75" i="103" s="1"/>
  <c r="M60" i="92"/>
  <c r="M37" i="98"/>
  <c r="J88" i="98"/>
  <c r="N88" i="98" s="1"/>
  <c r="J104" i="113"/>
  <c r="N104" i="113" s="1"/>
  <c r="J44" i="109"/>
  <c r="J98" i="73"/>
  <c r="N98" i="73" s="1"/>
  <c r="M35" i="75"/>
  <c r="J101" i="107"/>
  <c r="N101" i="107" s="1"/>
  <c r="J48" i="81"/>
  <c r="J38" i="101"/>
  <c r="J70" i="98"/>
  <c r="N70" i="98" s="1"/>
  <c r="J98" i="90"/>
  <c r="N98" i="90" s="1"/>
  <c r="J70" i="82"/>
  <c r="N70" i="82" s="1"/>
  <c r="J70" i="114"/>
  <c r="N70" i="114" s="1"/>
  <c r="N61" i="110"/>
  <c r="R61" i="110" s="1"/>
  <c r="S61" i="110" s="1"/>
  <c r="J61" i="110"/>
  <c r="M40" i="106"/>
  <c r="J93" i="117"/>
  <c r="N93" i="117" s="1"/>
  <c r="J88" i="75"/>
  <c r="N88" i="75" s="1"/>
  <c r="M43" i="83"/>
  <c r="J99" i="79"/>
  <c r="N99" i="79" s="1"/>
  <c r="M33" i="85"/>
  <c r="J101" i="91"/>
  <c r="N101" i="91" s="1"/>
  <c r="J110" i="86"/>
  <c r="S110" i="86"/>
  <c r="R110" i="86"/>
  <c r="N61" i="74"/>
  <c r="R61" i="74" s="1"/>
  <c r="S61" i="74" s="1"/>
  <c r="J61" i="74"/>
  <c r="J67" i="110"/>
  <c r="N67" i="110" s="1"/>
  <c r="J89" i="115"/>
  <c r="N89" i="115" s="1"/>
  <c r="J50" i="100"/>
  <c r="N50" i="100" s="1"/>
  <c r="R50" i="100" s="1"/>
  <c r="S50" i="100" s="1"/>
  <c r="J85" i="104"/>
  <c r="N85" i="104" s="1"/>
  <c r="J101" i="106"/>
  <c r="N101" i="106" s="1"/>
  <c r="J95" i="76"/>
  <c r="N95" i="76" s="1"/>
  <c r="J86" i="78"/>
  <c r="N86" i="78" s="1"/>
  <c r="J71" i="75"/>
  <c r="N71" i="75" s="1"/>
  <c r="J98" i="98"/>
  <c r="N98" i="98" s="1"/>
  <c r="N61" i="117"/>
  <c r="R61" i="117" s="1"/>
  <c r="S61" i="117" s="1"/>
  <c r="J61" i="117"/>
  <c r="J102" i="91"/>
  <c r="N102" i="91" s="1"/>
  <c r="M47" i="102"/>
  <c r="J70" i="78"/>
  <c r="N70" i="78" s="1"/>
  <c r="J37" i="74"/>
  <c r="J51" i="80"/>
  <c r="J44" i="102"/>
  <c r="J80" i="87"/>
  <c r="N80" i="87" s="1"/>
  <c r="J73" i="74"/>
  <c r="N73" i="74" s="1"/>
  <c r="J35" i="106"/>
  <c r="N35" i="106" s="1"/>
  <c r="R35" i="106" s="1"/>
  <c r="S35" i="106" s="1"/>
  <c r="M45" i="102"/>
  <c r="J67" i="82"/>
  <c r="N67" i="82" s="1"/>
  <c r="M35" i="92"/>
  <c r="J68" i="72"/>
  <c r="N68" i="72" s="1"/>
  <c r="J46" i="99"/>
  <c r="N46" i="99" s="1"/>
  <c r="R46" i="99" s="1"/>
  <c r="S46" i="99" s="1"/>
  <c r="J69" i="97"/>
  <c r="N69" i="97" s="1"/>
  <c r="J98" i="103"/>
  <c r="N98" i="103" s="1"/>
  <c r="J50" i="89"/>
  <c r="J84" i="108"/>
  <c r="N84" i="108" s="1"/>
  <c r="J89" i="78"/>
  <c r="N89" i="78" s="1"/>
  <c r="J68" i="76"/>
  <c r="N68" i="76" s="1"/>
  <c r="M41" i="76"/>
  <c r="J57" i="106"/>
  <c r="J43" i="81"/>
  <c r="M32" i="75"/>
  <c r="J88" i="83"/>
  <c r="N88" i="83" s="1"/>
  <c r="J43" i="89"/>
  <c r="J100" i="84"/>
  <c r="N100" i="84" s="1"/>
  <c r="M60" i="83"/>
  <c r="M61" i="73"/>
  <c r="J81" i="92"/>
  <c r="N81" i="92" s="1"/>
  <c r="J91" i="109"/>
  <c r="N91" i="109" s="1"/>
  <c r="M59" i="99"/>
  <c r="K63" i="99"/>
  <c r="J94" i="74"/>
  <c r="N94" i="74" s="1"/>
  <c r="J50" i="110"/>
  <c r="J93" i="113"/>
  <c r="N93" i="113" s="1"/>
  <c r="M47" i="115"/>
  <c r="M44" i="107"/>
  <c r="J107" i="92"/>
  <c r="S107" i="92"/>
  <c r="R107" i="92"/>
  <c r="J83" i="117"/>
  <c r="N83" i="117" s="1"/>
  <c r="J44" i="116"/>
  <c r="J50" i="97"/>
  <c r="M40" i="100"/>
  <c r="M56" i="74"/>
  <c r="J87" i="89"/>
  <c r="N87" i="89" s="1"/>
  <c r="J92" i="85"/>
  <c r="N92" i="85" s="1"/>
  <c r="J50" i="116"/>
  <c r="J96" i="92"/>
  <c r="N96" i="92" s="1"/>
  <c r="J78" i="71"/>
  <c r="N78" i="71" s="1"/>
  <c r="J43" i="82"/>
  <c r="N43" i="82" s="1"/>
  <c r="R43" i="82" s="1"/>
  <c r="S43" i="82" s="1"/>
  <c r="J93" i="101"/>
  <c r="N93" i="101" s="1"/>
  <c r="J49" i="77"/>
  <c r="M38" i="83"/>
  <c r="J92" i="84"/>
  <c r="N92" i="84" s="1"/>
  <c r="J34" i="75"/>
  <c r="J87" i="87"/>
  <c r="N87" i="87" s="1"/>
  <c r="J87" i="101"/>
  <c r="N87" i="101" s="1"/>
  <c r="J33" i="103"/>
  <c r="J92" i="116"/>
  <c r="N92" i="116" s="1"/>
  <c r="J56" i="98"/>
  <c r="M54" i="98"/>
  <c r="J55" i="106"/>
  <c r="J73" i="79"/>
  <c r="N73" i="79" s="1"/>
  <c r="J50" i="105"/>
  <c r="J83" i="82"/>
  <c r="N83" i="82" s="1"/>
  <c r="M61" i="104"/>
  <c r="M50" i="71"/>
  <c r="J72" i="101"/>
  <c r="N72" i="101" s="1"/>
  <c r="J52" i="88"/>
  <c r="J89" i="82"/>
  <c r="N89" i="82" s="1"/>
  <c r="J32" i="80"/>
  <c r="M32" i="87"/>
  <c r="J89" i="77"/>
  <c r="N89" i="77" s="1"/>
  <c r="J98" i="77"/>
  <c r="N98" i="77" s="1"/>
  <c r="J81" i="105"/>
  <c r="N81" i="105" s="1"/>
  <c r="M62" i="114"/>
  <c r="J55" i="75"/>
  <c r="M42" i="79"/>
  <c r="J103" i="74"/>
  <c r="N103" i="74" s="1"/>
  <c r="M44" i="86"/>
  <c r="J101" i="117"/>
  <c r="N101" i="117" s="1"/>
  <c r="M55" i="73"/>
  <c r="J101" i="89"/>
  <c r="N101" i="89" s="1"/>
  <c r="J55" i="88"/>
  <c r="J57" i="111"/>
  <c r="M60" i="110"/>
  <c r="J96" i="77"/>
  <c r="N96" i="77" s="1"/>
  <c r="J81" i="110"/>
  <c r="N81" i="110" s="1"/>
  <c r="J89" i="116"/>
  <c r="N89" i="116" s="1"/>
  <c r="J82" i="116"/>
  <c r="N82" i="116" s="1"/>
  <c r="J67" i="101"/>
  <c r="N67" i="101" s="1"/>
  <c r="J70" i="76"/>
  <c r="N70" i="76" s="1"/>
  <c r="J102" i="117"/>
  <c r="N102" i="117" s="1"/>
  <c r="J90" i="79"/>
  <c r="N90" i="79" s="1"/>
  <c r="J79" i="92"/>
  <c r="N79" i="92" s="1"/>
  <c r="J76" i="113"/>
  <c r="N76" i="113" s="1"/>
  <c r="J103" i="72"/>
  <c r="N103" i="72" s="1"/>
  <c r="J100" i="88"/>
  <c r="N100" i="88" s="1"/>
  <c r="M52" i="116"/>
  <c r="J77" i="105"/>
  <c r="N77" i="105" s="1"/>
  <c r="J86" i="88"/>
  <c r="N86" i="88" s="1"/>
  <c r="J104" i="81"/>
  <c r="N104" i="81" s="1"/>
  <c r="M49" i="108"/>
  <c r="M37" i="72"/>
  <c r="J66" i="114"/>
  <c r="N66" i="114" s="1"/>
  <c r="J85" i="86"/>
  <c r="N85" i="86" s="1"/>
  <c r="J35" i="117"/>
  <c r="N61" i="115"/>
  <c r="R61" i="115" s="1"/>
  <c r="S61" i="115" s="1"/>
  <c r="J61" i="115"/>
  <c r="J69" i="110"/>
  <c r="N69" i="110" s="1"/>
  <c r="M59" i="84"/>
  <c r="K63" i="84"/>
  <c r="J65" i="101"/>
  <c r="G111" i="101"/>
  <c r="J94" i="82"/>
  <c r="N94" i="82" s="1"/>
  <c r="M52" i="75"/>
  <c r="J37" i="78"/>
  <c r="J46" i="73"/>
  <c r="N46" i="73" s="1"/>
  <c r="R46" i="73" s="1"/>
  <c r="S46" i="73" s="1"/>
  <c r="J94" i="86"/>
  <c r="N94" i="86" s="1"/>
  <c r="J97" i="88"/>
  <c r="N97" i="88" s="1"/>
  <c r="M54" i="102"/>
  <c r="M45" i="117"/>
  <c r="M55" i="102"/>
  <c r="J69" i="83"/>
  <c r="N69" i="83" s="1"/>
  <c r="M42" i="82"/>
  <c r="J37" i="65"/>
  <c r="J46" i="98"/>
  <c r="J41" i="107"/>
  <c r="M46" i="103"/>
  <c r="J93" i="89"/>
  <c r="N93" i="89" s="1"/>
  <c r="J56" i="78"/>
  <c r="M48" i="108"/>
  <c r="J99" i="110"/>
  <c r="N99" i="110" s="1"/>
  <c r="R108" i="113"/>
  <c r="S108" i="113"/>
  <c r="S111" i="113" s="1"/>
  <c r="J108" i="113"/>
  <c r="M44" i="109"/>
  <c r="J78" i="104"/>
  <c r="N78" i="104" s="1"/>
  <c r="M50" i="81"/>
  <c r="M53" i="100"/>
  <c r="M60" i="91"/>
  <c r="J72" i="102"/>
  <c r="N72" i="102" s="1"/>
  <c r="M45" i="100"/>
  <c r="J36" i="77"/>
  <c r="M52" i="102"/>
  <c r="J38" i="82"/>
  <c r="M43" i="108"/>
  <c r="J76" i="79"/>
  <c r="N76" i="79" s="1"/>
  <c r="J76" i="88"/>
  <c r="N76" i="88" s="1"/>
  <c r="M54" i="85"/>
  <c r="J86" i="114"/>
  <c r="N86" i="114" s="1"/>
  <c r="J43" i="77"/>
  <c r="M51" i="86"/>
  <c r="N51" i="86" s="1"/>
  <c r="R51" i="86" s="1"/>
  <c r="S51" i="86" s="1"/>
  <c r="J45" i="92"/>
  <c r="R107" i="81"/>
  <c r="J107" i="81"/>
  <c r="S107" i="81"/>
  <c r="J99" i="88"/>
  <c r="N99" i="88" s="1"/>
  <c r="J73" i="104"/>
  <c r="N73" i="104" s="1"/>
  <c r="J93" i="116"/>
  <c r="N93" i="116" s="1"/>
  <c r="J84" i="115"/>
  <c r="N84" i="115" s="1"/>
  <c r="M41" i="78"/>
  <c r="M57" i="116"/>
  <c r="M43" i="77"/>
  <c r="M62" i="115"/>
  <c r="J46" i="77"/>
  <c r="M43" i="99"/>
  <c r="M47" i="97"/>
  <c r="M47" i="109"/>
  <c r="R109" i="72"/>
  <c r="J109" i="72"/>
  <c r="N109" i="72" s="1"/>
  <c r="S109" i="72"/>
  <c r="M60" i="87"/>
  <c r="J93" i="72"/>
  <c r="N93" i="72" s="1"/>
  <c r="J66" i="79"/>
  <c r="N66" i="79" s="1"/>
  <c r="M50" i="91"/>
  <c r="M48" i="74"/>
  <c r="J33" i="82"/>
  <c r="M51" i="71"/>
  <c r="J90" i="99"/>
  <c r="N90" i="99" s="1"/>
  <c r="M35" i="80"/>
  <c r="M44" i="92"/>
  <c r="J91" i="78"/>
  <c r="N91" i="78" s="1"/>
  <c r="J100" i="87"/>
  <c r="N100" i="87" s="1"/>
  <c r="M59" i="107"/>
  <c r="K63" i="107"/>
  <c r="J81" i="111"/>
  <c r="N81" i="111" s="1"/>
  <c r="J36" i="71"/>
  <c r="J33" i="79"/>
  <c r="J53" i="107"/>
  <c r="N60" i="86"/>
  <c r="R60" i="86" s="1"/>
  <c r="S60" i="86" s="1"/>
  <c r="J60" i="86"/>
  <c r="J45" i="101"/>
  <c r="J100" i="73"/>
  <c r="N100" i="73" s="1"/>
  <c r="J50" i="88"/>
  <c r="J33" i="77"/>
  <c r="J88" i="99"/>
  <c r="N88" i="99" s="1"/>
  <c r="J95" i="90"/>
  <c r="N95" i="90" s="1"/>
  <c r="J48" i="107"/>
  <c r="J52" i="71"/>
  <c r="J72" i="88"/>
  <c r="N72" i="88" s="1"/>
  <c r="J56" i="86"/>
  <c r="J76" i="117"/>
  <c r="N76" i="117" s="1"/>
  <c r="J55" i="92"/>
  <c r="J99" i="76"/>
  <c r="N99" i="76" s="1"/>
  <c r="M38" i="103"/>
  <c r="N62" i="103"/>
  <c r="R62" i="103" s="1"/>
  <c r="S62" i="103" s="1"/>
  <c r="J62" i="103"/>
  <c r="J37" i="100"/>
  <c r="J53" i="90"/>
  <c r="J92" i="107"/>
  <c r="N92" i="107" s="1"/>
  <c r="J98" i="101"/>
  <c r="N98" i="101" s="1"/>
  <c r="J79" i="88"/>
  <c r="N79" i="88" s="1"/>
  <c r="J94" i="65"/>
  <c r="N94" i="65" s="1"/>
  <c r="M50" i="77"/>
  <c r="J67" i="87"/>
  <c r="N67" i="87" s="1"/>
  <c r="J66" i="106"/>
  <c r="N66" i="106" s="1"/>
  <c r="M45" i="97"/>
  <c r="M36" i="110"/>
  <c r="J32" i="87"/>
  <c r="J104" i="102"/>
  <c r="N104" i="102" s="1"/>
  <c r="J41" i="85"/>
  <c r="J53" i="91"/>
  <c r="M39" i="79"/>
  <c r="M40" i="78"/>
  <c r="M38" i="104"/>
  <c r="J47" i="88"/>
  <c r="J72" i="87"/>
  <c r="N72" i="87" s="1"/>
  <c r="J68" i="79"/>
  <c r="N68" i="79" s="1"/>
  <c r="M43" i="88"/>
  <c r="M50" i="117"/>
  <c r="M51" i="87"/>
  <c r="M62" i="75"/>
  <c r="J36" i="83"/>
  <c r="M35" i="116"/>
  <c r="J76" i="76"/>
  <c r="N76" i="76" s="1"/>
  <c r="J92" i="76"/>
  <c r="N92" i="76" s="1"/>
  <c r="M40" i="71"/>
  <c r="J47" i="98"/>
  <c r="N47" i="98" s="1"/>
  <c r="R47" i="98" s="1"/>
  <c r="S47" i="98" s="1"/>
  <c r="M62" i="108"/>
  <c r="J89" i="114"/>
  <c r="N89" i="114" s="1"/>
  <c r="M45" i="105"/>
  <c r="J56" i="106"/>
  <c r="M32" i="116"/>
  <c r="J76" i="92"/>
  <c r="N76" i="92" s="1"/>
  <c r="M55" i="98"/>
  <c r="M49" i="97"/>
  <c r="S107" i="83"/>
  <c r="R107" i="83"/>
  <c r="J107" i="83"/>
  <c r="M37" i="76"/>
  <c r="J102" i="98"/>
  <c r="N102" i="98" s="1"/>
  <c r="R107" i="84"/>
  <c r="S107" i="84"/>
  <c r="J107" i="84"/>
  <c r="J70" i="71"/>
  <c r="N70" i="71" s="1"/>
  <c r="J43" i="79"/>
  <c r="M40" i="101"/>
  <c r="M57" i="102"/>
  <c r="J109" i="102"/>
  <c r="N109" i="102" s="1"/>
  <c r="R109" i="102"/>
  <c r="S109" i="102"/>
  <c r="J96" i="75"/>
  <c r="N96" i="75" s="1"/>
  <c r="M41" i="71"/>
  <c r="J33" i="113"/>
  <c r="J66" i="92"/>
  <c r="N66" i="92" s="1"/>
  <c r="J107" i="79"/>
  <c r="R107" i="79"/>
  <c r="S107" i="79"/>
  <c r="J38" i="75"/>
  <c r="J69" i="99"/>
  <c r="N69" i="99" s="1"/>
  <c r="M33" i="73"/>
  <c r="J74" i="74"/>
  <c r="N74" i="74" s="1"/>
  <c r="J55" i="84"/>
  <c r="S110" i="71"/>
  <c r="R110" i="71"/>
  <c r="J110" i="71"/>
  <c r="J32" i="84"/>
  <c r="J57" i="65"/>
  <c r="N57" i="65" s="1"/>
  <c r="R57" i="65" s="1"/>
  <c r="S57" i="65" s="1"/>
  <c r="J74" i="84"/>
  <c r="N74" i="84" s="1"/>
  <c r="J53" i="80"/>
  <c r="M54" i="81"/>
  <c r="S108" i="88"/>
  <c r="J108" i="88"/>
  <c r="R108" i="88"/>
  <c r="J71" i="87"/>
  <c r="N71" i="87" s="1"/>
  <c r="J75" i="71"/>
  <c r="N75" i="71" s="1"/>
  <c r="M56" i="108"/>
  <c r="J38" i="74"/>
  <c r="J84" i="74"/>
  <c r="N84" i="74" s="1"/>
  <c r="M47" i="90"/>
  <c r="J37" i="111"/>
  <c r="J42" i="84"/>
  <c r="M62" i="85"/>
  <c r="J101" i="76"/>
  <c r="N101" i="76" s="1"/>
  <c r="J45" i="114"/>
  <c r="J100" i="116"/>
  <c r="N100" i="116" s="1"/>
  <c r="M56" i="81"/>
  <c r="J34" i="100"/>
  <c r="M50" i="88"/>
  <c r="M40" i="81"/>
  <c r="J85" i="101"/>
  <c r="N85" i="101" s="1"/>
  <c r="N62" i="108"/>
  <c r="R62" i="108" s="1"/>
  <c r="S62" i="108" s="1"/>
  <c r="J62" i="108"/>
  <c r="M32" i="82"/>
  <c r="J101" i="79"/>
  <c r="N101" i="79" s="1"/>
  <c r="J95" i="73"/>
  <c r="N95" i="73" s="1"/>
  <c r="M32" i="98"/>
  <c r="N59" i="101"/>
  <c r="G63" i="101"/>
  <c r="J59" i="101"/>
  <c r="J68" i="92"/>
  <c r="N68" i="92" s="1"/>
  <c r="M36" i="85"/>
  <c r="J40" i="85"/>
  <c r="J83" i="75"/>
  <c r="N83" i="75" s="1"/>
  <c r="M38" i="88"/>
  <c r="M33" i="103"/>
  <c r="J74" i="86"/>
  <c r="N74" i="86" s="1"/>
  <c r="R109" i="77"/>
  <c r="J109" i="77"/>
  <c r="N109" i="77" s="1"/>
  <c r="S109" i="77"/>
  <c r="M52" i="113"/>
  <c r="J97" i="83"/>
  <c r="N97" i="83" s="1"/>
  <c r="J69" i="111"/>
  <c r="N69" i="111" s="1"/>
  <c r="J104" i="86"/>
  <c r="N104" i="86" s="1"/>
  <c r="M55" i="85"/>
  <c r="M51" i="85"/>
  <c r="J94" i="113"/>
  <c r="N94" i="113" s="1"/>
  <c r="J80" i="99"/>
  <c r="N80" i="99" s="1"/>
  <c r="M40" i="98"/>
  <c r="M33" i="97"/>
  <c r="S106" i="108"/>
  <c r="J106" i="108"/>
  <c r="R106" i="108"/>
  <c r="J85" i="74"/>
  <c r="N85" i="74" s="1"/>
  <c r="J51" i="117"/>
  <c r="J79" i="80"/>
  <c r="N79" i="80" s="1"/>
  <c r="J50" i="84"/>
  <c r="N50" i="84" s="1"/>
  <c r="R50" i="84" s="1"/>
  <c r="S50" i="84" s="1"/>
  <c r="J44" i="108"/>
  <c r="N44" i="108" s="1"/>
  <c r="R44" i="108" s="1"/>
  <c r="S44" i="108" s="1"/>
  <c r="J57" i="117"/>
  <c r="N57" i="117" s="1"/>
  <c r="R57" i="117" s="1"/>
  <c r="S57" i="117" s="1"/>
  <c r="M33" i="74"/>
  <c r="M57" i="92"/>
  <c r="J75" i="106"/>
  <c r="N75" i="106" s="1"/>
  <c r="J67" i="85"/>
  <c r="N67" i="85" s="1"/>
  <c r="J93" i="90"/>
  <c r="N93" i="90" s="1"/>
  <c r="M42" i="85"/>
  <c r="M36" i="109"/>
  <c r="N60" i="82"/>
  <c r="R60" i="82" s="1"/>
  <c r="S60" i="82" s="1"/>
  <c r="J60" i="82"/>
  <c r="J102" i="108"/>
  <c r="N102" i="108" s="1"/>
  <c r="J77" i="115"/>
  <c r="N77" i="115" s="1"/>
  <c r="J51" i="114"/>
  <c r="J40" i="74"/>
  <c r="R109" i="84"/>
  <c r="J109" i="84"/>
  <c r="N109" i="84" s="1"/>
  <c r="S109" i="84"/>
  <c r="M47" i="77"/>
  <c r="J102" i="80"/>
  <c r="N102" i="80" s="1"/>
  <c r="J74" i="117"/>
  <c r="N74" i="117" s="1"/>
  <c r="N62" i="73"/>
  <c r="R62" i="73" s="1"/>
  <c r="S62" i="73" s="1"/>
  <c r="J62" i="73"/>
  <c r="M56" i="85"/>
  <c r="J80" i="109"/>
  <c r="N80" i="109" s="1"/>
  <c r="J43" i="98"/>
  <c r="J41" i="71"/>
  <c r="J65" i="106"/>
  <c r="G111" i="106"/>
  <c r="J108" i="111"/>
  <c r="R108" i="111"/>
  <c r="S108" i="111"/>
  <c r="J77" i="103"/>
  <c r="N77" i="103" s="1"/>
  <c r="N61" i="87"/>
  <c r="R61" i="87" s="1"/>
  <c r="S61" i="87" s="1"/>
  <c r="J61" i="87"/>
  <c r="J82" i="65"/>
  <c r="N82" i="65" s="1"/>
  <c r="M37" i="81"/>
  <c r="J99" i="89"/>
  <c r="N99" i="89" s="1"/>
  <c r="M52" i="115"/>
  <c r="M44" i="89"/>
  <c r="M52" i="101"/>
  <c r="M60" i="115"/>
  <c r="J79" i="85"/>
  <c r="N79" i="85" s="1"/>
  <c r="M44" i="104"/>
  <c r="J73" i="102"/>
  <c r="N73" i="102" s="1"/>
  <c r="M53" i="109"/>
  <c r="J86" i="82"/>
  <c r="N86" i="82" s="1"/>
  <c r="J59" i="104"/>
  <c r="G63" i="104"/>
  <c r="N59" i="104"/>
  <c r="J54" i="73"/>
  <c r="J81" i="117"/>
  <c r="N81" i="117" s="1"/>
  <c r="J102" i="90"/>
  <c r="N102" i="90" s="1"/>
  <c r="J55" i="98"/>
  <c r="J65" i="110"/>
  <c r="G111" i="110"/>
  <c r="M43" i="87"/>
  <c r="J108" i="91"/>
  <c r="S108" i="91"/>
  <c r="R108" i="91"/>
  <c r="M34" i="90"/>
  <c r="J34" i="84"/>
  <c r="N34" i="84" s="1"/>
  <c r="R34" i="84" s="1"/>
  <c r="S34" i="84" s="1"/>
  <c r="J91" i="115"/>
  <c r="N91" i="115" s="1"/>
  <c r="J40" i="108"/>
  <c r="J66" i="117"/>
  <c r="N66" i="117" s="1"/>
  <c r="J97" i="97"/>
  <c r="N97" i="97" s="1"/>
  <c r="M37" i="111"/>
  <c r="J35" i="73"/>
  <c r="N35" i="73" s="1"/>
  <c r="R35" i="73" s="1"/>
  <c r="S35" i="73" s="1"/>
  <c r="G63" i="82"/>
  <c r="J59" i="82"/>
  <c r="N59" i="82"/>
  <c r="J89" i="85"/>
  <c r="N89" i="85" s="1"/>
  <c r="M37" i="89"/>
  <c r="M42" i="116"/>
  <c r="M38" i="91"/>
  <c r="J90" i="81"/>
  <c r="N90" i="81" s="1"/>
  <c r="M46" i="77"/>
  <c r="J47" i="103"/>
  <c r="J82" i="71"/>
  <c r="N82" i="71" s="1"/>
  <c r="M40" i="107"/>
  <c r="J51" i="82"/>
  <c r="M34" i="76"/>
  <c r="M42" i="104"/>
  <c r="J95" i="108"/>
  <c r="N95" i="108" s="1"/>
  <c r="J97" i="75"/>
  <c r="N97" i="75" s="1"/>
  <c r="M59" i="115"/>
  <c r="K63" i="115"/>
  <c r="J99" i="109"/>
  <c r="N99" i="109" s="1"/>
  <c r="M62" i="73"/>
  <c r="M37" i="90"/>
  <c r="M60" i="105"/>
  <c r="J98" i="83"/>
  <c r="N98" i="83" s="1"/>
  <c r="J62" i="77"/>
  <c r="N62" i="77"/>
  <c r="R62" i="77" s="1"/>
  <c r="S62" i="77" s="1"/>
  <c r="M35" i="108"/>
  <c r="M40" i="109"/>
  <c r="J40" i="72"/>
  <c r="M37" i="65"/>
  <c r="J92" i="90"/>
  <c r="N92" i="90" s="1"/>
  <c r="M32" i="106"/>
  <c r="J52" i="87"/>
  <c r="M52" i="85"/>
  <c r="J80" i="84"/>
  <c r="N80" i="84" s="1"/>
  <c r="M36" i="78"/>
  <c r="J32" i="82"/>
  <c r="M53" i="92"/>
  <c r="S107" i="106"/>
  <c r="J107" i="106"/>
  <c r="R107" i="106"/>
  <c r="J37" i="101"/>
  <c r="M53" i="74"/>
  <c r="N53" i="74" s="1"/>
  <c r="R53" i="74" s="1"/>
  <c r="S53" i="74" s="1"/>
  <c r="J77" i="71"/>
  <c r="N77" i="71" s="1"/>
  <c r="J66" i="102"/>
  <c r="N66" i="102" s="1"/>
  <c r="J94" i="71"/>
  <c r="N94" i="71" s="1"/>
  <c r="J33" i="117"/>
  <c r="J90" i="113"/>
  <c r="N90" i="113" s="1"/>
  <c r="M61" i="109"/>
  <c r="M37" i="75"/>
  <c r="J90" i="102"/>
  <c r="N90" i="102" s="1"/>
  <c r="J54" i="116"/>
  <c r="J85" i="111"/>
  <c r="N85" i="111" s="1"/>
  <c r="J62" i="106"/>
  <c r="N62" i="106"/>
  <c r="R62" i="106" s="1"/>
  <c r="S62" i="106" s="1"/>
  <c r="J48" i="111"/>
  <c r="N48" i="111" s="1"/>
  <c r="R48" i="111" s="1"/>
  <c r="S48" i="111" s="1"/>
  <c r="M49" i="85"/>
  <c r="J76" i="74"/>
  <c r="N76" i="74" s="1"/>
  <c r="M39" i="78"/>
  <c r="J71" i="101"/>
  <c r="N71" i="101" s="1"/>
  <c r="M39" i="92"/>
  <c r="N39" i="92" s="1"/>
  <c r="R39" i="92" s="1"/>
  <c r="S39" i="92" s="1"/>
  <c r="J98" i="105"/>
  <c r="N98" i="105" s="1"/>
  <c r="R107" i="101"/>
  <c r="J107" i="101"/>
  <c r="S107" i="101"/>
  <c r="J42" i="99"/>
  <c r="M45" i="109"/>
  <c r="J46" i="71"/>
  <c r="M43" i="107"/>
  <c r="J43" i="97"/>
  <c r="J73" i="103"/>
  <c r="N73" i="103" s="1"/>
  <c r="M38" i="105"/>
  <c r="J67" i="86"/>
  <c r="N67" i="86" s="1"/>
  <c r="J79" i="98"/>
  <c r="N79" i="98" s="1"/>
  <c r="M41" i="74"/>
  <c r="J60" i="108"/>
  <c r="N60" i="108"/>
  <c r="R60" i="108" s="1"/>
  <c r="S60" i="108" s="1"/>
  <c r="J36" i="104"/>
  <c r="J69" i="115"/>
  <c r="N69" i="115" s="1"/>
  <c r="M41" i="72"/>
  <c r="M61" i="113"/>
  <c r="J32" i="71"/>
  <c r="J56" i="97"/>
  <c r="M48" i="86"/>
  <c r="J75" i="91"/>
  <c r="N75" i="91" s="1"/>
  <c r="N61" i="113"/>
  <c r="R61" i="113" s="1"/>
  <c r="S61" i="113" s="1"/>
  <c r="J61" i="113"/>
  <c r="J85" i="81"/>
  <c r="N85" i="81" s="1"/>
  <c r="M55" i="90"/>
  <c r="J41" i="84"/>
  <c r="J74" i="77"/>
  <c r="N74" i="77" s="1"/>
  <c r="M48" i="110"/>
  <c r="M37" i="102"/>
  <c r="M55" i="111"/>
  <c r="M38" i="81"/>
  <c r="J77" i="74"/>
  <c r="N77" i="74" s="1"/>
  <c r="J48" i="89"/>
  <c r="J94" i="83"/>
  <c r="N94" i="83" s="1"/>
  <c r="M49" i="110"/>
  <c r="J90" i="73"/>
  <c r="N90" i="73" s="1"/>
  <c r="J97" i="90"/>
  <c r="N97" i="90" s="1"/>
  <c r="J42" i="80"/>
  <c r="J88" i="101"/>
  <c r="N88" i="101" s="1"/>
  <c r="J76" i="85"/>
  <c r="N76" i="85" s="1"/>
  <c r="J83" i="79"/>
  <c r="N83" i="79" s="1"/>
  <c r="R106" i="102"/>
  <c r="S106" i="102"/>
  <c r="J106" i="102"/>
  <c r="J83" i="91"/>
  <c r="N83" i="91" s="1"/>
  <c r="J87" i="111"/>
  <c r="N87" i="111" s="1"/>
  <c r="M42" i="83"/>
  <c r="M35" i="100"/>
  <c r="J76" i="86"/>
  <c r="N76" i="86" s="1"/>
  <c r="J95" i="102"/>
  <c r="N95" i="102" s="1"/>
  <c r="J75" i="92"/>
  <c r="N75" i="92" s="1"/>
  <c r="J101" i="78"/>
  <c r="N101" i="78" s="1"/>
  <c r="J67" i="79"/>
  <c r="N67" i="79" s="1"/>
  <c r="J34" i="99"/>
  <c r="M52" i="110"/>
  <c r="M57" i="82"/>
  <c r="J82" i="85"/>
  <c r="N82" i="85" s="1"/>
  <c r="J92" i="86"/>
  <c r="N92" i="86" s="1"/>
  <c r="J72" i="75"/>
  <c r="N72" i="75" s="1"/>
  <c r="J71" i="71"/>
  <c r="N71" i="71" s="1"/>
  <c r="J86" i="92"/>
  <c r="N86" i="92" s="1"/>
  <c r="M45" i="104"/>
  <c r="M41" i="80"/>
  <c r="J73" i="115"/>
  <c r="N73" i="115" s="1"/>
  <c r="J62" i="65"/>
  <c r="N62" i="65"/>
  <c r="R62" i="65" s="1"/>
  <c r="S62" i="65" s="1"/>
  <c r="J57" i="76"/>
  <c r="M45" i="71"/>
  <c r="N60" i="114"/>
  <c r="R60" i="114" s="1"/>
  <c r="S60" i="114" s="1"/>
  <c r="J60" i="114"/>
  <c r="M47" i="106"/>
  <c r="J87" i="72"/>
  <c r="N87" i="72" s="1"/>
  <c r="M34" i="77"/>
  <c r="J75" i="110"/>
  <c r="N75" i="110" s="1"/>
  <c r="M49" i="73"/>
  <c r="J45" i="71"/>
  <c r="N45" i="71" s="1"/>
  <c r="R45" i="71" s="1"/>
  <c r="S45" i="71" s="1"/>
  <c r="J82" i="115"/>
  <c r="N82" i="115" s="1"/>
  <c r="J98" i="116"/>
  <c r="N98" i="116" s="1"/>
  <c r="J76" i="65"/>
  <c r="N76" i="65" s="1"/>
  <c r="M55" i="116"/>
  <c r="J84" i="81"/>
  <c r="N84" i="81" s="1"/>
  <c r="J60" i="99"/>
  <c r="N60" i="99"/>
  <c r="R60" i="99" s="1"/>
  <c r="S60" i="99" s="1"/>
  <c r="J78" i="78"/>
  <c r="N78" i="78" s="1"/>
  <c r="J94" i="81"/>
  <c r="N94" i="81" s="1"/>
  <c r="J95" i="80"/>
  <c r="N95" i="80" s="1"/>
  <c r="N60" i="115"/>
  <c r="R60" i="115" s="1"/>
  <c r="S60" i="115" s="1"/>
  <c r="J60" i="115"/>
  <c r="J84" i="84"/>
  <c r="N84" i="84" s="1"/>
  <c r="S107" i="73"/>
  <c r="J107" i="73"/>
  <c r="R107" i="73"/>
  <c r="J40" i="104"/>
  <c r="J41" i="75"/>
  <c r="J50" i="87"/>
  <c r="J88" i="115"/>
  <c r="N88" i="115" s="1"/>
  <c r="M60" i="99"/>
  <c r="M62" i="102"/>
  <c r="J48" i="116"/>
  <c r="J50" i="113"/>
  <c r="J65" i="100"/>
  <c r="G111" i="100"/>
  <c r="J89" i="103"/>
  <c r="N89" i="103" s="1"/>
  <c r="M34" i="101"/>
  <c r="M36" i="72"/>
  <c r="J49" i="103"/>
  <c r="N49" i="103" s="1"/>
  <c r="R49" i="103" s="1"/>
  <c r="S49" i="103" s="1"/>
  <c r="J44" i="82"/>
  <c r="J51" i="105"/>
  <c r="M60" i="73"/>
  <c r="J87" i="104"/>
  <c r="N87" i="104" s="1"/>
  <c r="J72" i="116"/>
  <c r="N72" i="116" s="1"/>
  <c r="J65" i="91"/>
  <c r="G111" i="91"/>
  <c r="J94" i="78"/>
  <c r="N94" i="78" s="1"/>
  <c r="J48" i="71"/>
  <c r="J97" i="114"/>
  <c r="N97" i="114" s="1"/>
  <c r="M50" i="97"/>
  <c r="J95" i="74"/>
  <c r="N95" i="74" s="1"/>
  <c r="J74" i="65"/>
  <c r="N74" i="65" s="1"/>
  <c r="M37" i="85"/>
  <c r="J90" i="98"/>
  <c r="N90" i="98" s="1"/>
  <c r="J82" i="101"/>
  <c r="N82" i="101" s="1"/>
  <c r="M60" i="77"/>
  <c r="J78" i="86"/>
  <c r="N78" i="86" s="1"/>
  <c r="M57" i="107"/>
  <c r="J36" i="90"/>
  <c r="M45" i="110"/>
  <c r="M34" i="73"/>
  <c r="J81" i="78"/>
  <c r="N81" i="78" s="1"/>
  <c r="J86" i="111"/>
  <c r="N86" i="111" s="1"/>
  <c r="M53" i="101"/>
  <c r="J76" i="107"/>
  <c r="N76" i="107" s="1"/>
  <c r="M32" i="81"/>
  <c r="J65" i="65"/>
  <c r="G111" i="65"/>
  <c r="J83" i="81"/>
  <c r="N83" i="81" s="1"/>
  <c r="J104" i="109"/>
  <c r="N104" i="109" s="1"/>
  <c r="J82" i="80"/>
  <c r="N82" i="80" s="1"/>
  <c r="J109" i="99"/>
  <c r="N109" i="99" s="1"/>
  <c r="R109" i="99"/>
  <c r="S109" i="99"/>
  <c r="M52" i="81"/>
  <c r="J51" i="108"/>
  <c r="J73" i="107"/>
  <c r="N73" i="107" s="1"/>
  <c r="J57" i="113"/>
  <c r="J71" i="81"/>
  <c r="N71" i="81" s="1"/>
  <c r="J78" i="77"/>
  <c r="N78" i="77" s="1"/>
  <c r="N61" i="79"/>
  <c r="R61" i="79" s="1"/>
  <c r="S61" i="79" s="1"/>
  <c r="J61" i="79"/>
  <c r="M51" i="107"/>
  <c r="S107" i="88"/>
  <c r="J107" i="88"/>
  <c r="R107" i="88"/>
  <c r="M55" i="100"/>
  <c r="J71" i="89"/>
  <c r="N71" i="89" s="1"/>
  <c r="J43" i="80"/>
  <c r="J46" i="84"/>
  <c r="M43" i="92"/>
  <c r="M44" i="102"/>
  <c r="J44" i="90"/>
  <c r="N44" i="90" s="1"/>
  <c r="R44" i="90" s="1"/>
  <c r="S44" i="90" s="1"/>
  <c r="M57" i="77"/>
  <c r="M40" i="117"/>
  <c r="M38" i="73"/>
  <c r="M47" i="85"/>
  <c r="J78" i="80"/>
  <c r="N78" i="80" s="1"/>
  <c r="R110" i="77"/>
  <c r="S110" i="77"/>
  <c r="J110" i="77"/>
  <c r="K63" i="101"/>
  <c r="M59" i="101"/>
  <c r="M54" i="117"/>
  <c r="M35" i="90"/>
  <c r="J78" i="72"/>
  <c r="N78" i="72" s="1"/>
  <c r="J49" i="72"/>
  <c r="S106" i="92"/>
  <c r="R106" i="92"/>
  <c r="J106" i="92"/>
  <c r="J93" i="114"/>
  <c r="N93" i="114" s="1"/>
  <c r="G111" i="107"/>
  <c r="J65" i="107"/>
  <c r="J72" i="65"/>
  <c r="N72" i="65" s="1"/>
  <c r="J88" i="76"/>
  <c r="N88" i="76" s="1"/>
  <c r="J103" i="73"/>
  <c r="N103" i="73" s="1"/>
  <c r="J83" i="100"/>
  <c r="N83" i="100" s="1"/>
  <c r="M44" i="76"/>
  <c r="J88" i="88"/>
  <c r="N88" i="88" s="1"/>
  <c r="J90" i="75"/>
  <c r="N90" i="75" s="1"/>
  <c r="J71" i="100"/>
  <c r="N71" i="100" s="1"/>
  <c r="M61" i="92"/>
  <c r="J100" i="113"/>
  <c r="N100" i="113" s="1"/>
  <c r="J53" i="117"/>
  <c r="J33" i="74"/>
  <c r="J33" i="71"/>
  <c r="J96" i="101"/>
  <c r="N96" i="101" s="1"/>
  <c r="G111" i="109"/>
  <c r="J65" i="109"/>
  <c r="M41" i="77"/>
  <c r="J39" i="82"/>
  <c r="J50" i="99"/>
  <c r="M50" i="101"/>
  <c r="J86" i="99"/>
  <c r="N86" i="99" s="1"/>
  <c r="G63" i="117"/>
  <c r="J59" i="117"/>
  <c r="N59" i="117"/>
  <c r="J104" i="105"/>
  <c r="N104" i="105" s="1"/>
  <c r="J89" i="90"/>
  <c r="N89" i="90" s="1"/>
  <c r="J92" i="88"/>
  <c r="N92" i="88" s="1"/>
  <c r="M38" i="108"/>
  <c r="J81" i="108"/>
  <c r="N81" i="108" s="1"/>
  <c r="J98" i="111"/>
  <c r="N98" i="111" s="1"/>
  <c r="M56" i="79"/>
  <c r="J88" i="71"/>
  <c r="N88" i="71" s="1"/>
  <c r="J81" i="73"/>
  <c r="N81" i="73" s="1"/>
  <c r="J77" i="92"/>
  <c r="N77" i="92" s="1"/>
  <c r="G63" i="75"/>
  <c r="J59" i="75"/>
  <c r="N59" i="75"/>
  <c r="J71" i="91"/>
  <c r="N71" i="91" s="1"/>
  <c r="M48" i="85"/>
  <c r="J80" i="86"/>
  <c r="N80" i="86" s="1"/>
  <c r="S110" i="98"/>
  <c r="R110" i="98"/>
  <c r="J110" i="98"/>
  <c r="J95" i="111"/>
  <c r="N95" i="111" s="1"/>
  <c r="M33" i="105"/>
  <c r="J52" i="114"/>
  <c r="J36" i="85"/>
  <c r="N36" i="85" s="1"/>
  <c r="R36" i="85" s="1"/>
  <c r="S36" i="85" s="1"/>
  <c r="J80" i="80"/>
  <c r="N80" i="80" s="1"/>
  <c r="M35" i="117"/>
  <c r="M62" i="99"/>
  <c r="J104" i="65"/>
  <c r="N104" i="65" s="1"/>
  <c r="J69" i="103"/>
  <c r="N69" i="103" s="1"/>
  <c r="M56" i="73"/>
  <c r="M46" i="116"/>
  <c r="J66" i="111"/>
  <c r="N66" i="111" s="1"/>
  <c r="J108" i="107"/>
  <c r="S108" i="107"/>
  <c r="R108" i="107"/>
  <c r="J95" i="77"/>
  <c r="N95" i="77" s="1"/>
  <c r="M49" i="79"/>
  <c r="J70" i="106"/>
  <c r="N70" i="106" s="1"/>
  <c r="M55" i="106"/>
  <c r="J86" i="75"/>
  <c r="N86" i="75" s="1"/>
  <c r="J50" i="111"/>
  <c r="J98" i="114"/>
  <c r="N98" i="114" s="1"/>
  <c r="M52" i="105"/>
  <c r="M51" i="65"/>
  <c r="J80" i="117"/>
  <c r="N80" i="117" s="1"/>
  <c r="M48" i="102"/>
  <c r="J86" i="85"/>
  <c r="N86" i="85" s="1"/>
  <c r="M35" i="86"/>
  <c r="N35" i="86" s="1"/>
  <c r="R35" i="86" s="1"/>
  <c r="S35" i="86" s="1"/>
  <c r="M54" i="104"/>
  <c r="M61" i="88"/>
  <c r="J91" i="85"/>
  <c r="N91" i="85" s="1"/>
  <c r="M36" i="104"/>
  <c r="J44" i="115"/>
  <c r="J84" i="89"/>
  <c r="N84" i="89" s="1"/>
  <c r="M41" i="106"/>
  <c r="M37" i="101"/>
  <c r="J48" i="80"/>
  <c r="N48" i="80" s="1"/>
  <c r="R48" i="80" s="1"/>
  <c r="S48" i="80" s="1"/>
  <c r="J90" i="84"/>
  <c r="N90" i="84" s="1"/>
  <c r="M57" i="80"/>
  <c r="M44" i="74"/>
  <c r="N60" i="72"/>
  <c r="R60" i="72" s="1"/>
  <c r="S60" i="72" s="1"/>
  <c r="J60" i="72"/>
  <c r="M35" i="77"/>
  <c r="J32" i="115"/>
  <c r="J107" i="103"/>
  <c r="R107" i="103"/>
  <c r="S107" i="103"/>
  <c r="M56" i="92"/>
  <c r="J104" i="90"/>
  <c r="N104" i="90" s="1"/>
  <c r="J68" i="103"/>
  <c r="N68" i="103" s="1"/>
  <c r="M55" i="65"/>
  <c r="J93" i="99"/>
  <c r="N93" i="99" s="1"/>
  <c r="J49" i="65"/>
  <c r="R110" i="116"/>
  <c r="J110" i="116"/>
  <c r="S110" i="116"/>
  <c r="J40" i="113"/>
  <c r="N40" i="113" s="1"/>
  <c r="R40" i="113" s="1"/>
  <c r="S40" i="113" s="1"/>
  <c r="M59" i="80"/>
  <c r="K63" i="80"/>
  <c r="J93" i="84"/>
  <c r="N93" i="84" s="1"/>
  <c r="M37" i="91"/>
  <c r="N37" i="91" s="1"/>
  <c r="R37" i="91" s="1"/>
  <c r="S37" i="91" s="1"/>
  <c r="J53" i="101"/>
  <c r="N53" i="101" s="1"/>
  <c r="R53" i="101" s="1"/>
  <c r="S53" i="101" s="1"/>
  <c r="M57" i="91"/>
  <c r="R108" i="74"/>
  <c r="J108" i="74"/>
  <c r="S108" i="74"/>
  <c r="J77" i="65"/>
  <c r="N77" i="65" s="1"/>
  <c r="M35" i="78"/>
  <c r="J36" i="87"/>
  <c r="J72" i="79"/>
  <c r="N72" i="79" s="1"/>
  <c r="J41" i="100"/>
  <c r="M42" i="91"/>
  <c r="J90" i="83"/>
  <c r="N90" i="83" s="1"/>
  <c r="J106" i="90"/>
  <c r="S106" i="90"/>
  <c r="S111" i="90" s="1"/>
  <c r="R106" i="90"/>
  <c r="R110" i="99"/>
  <c r="J110" i="99"/>
  <c r="S110" i="99"/>
  <c r="J37" i="79"/>
  <c r="J67" i="109"/>
  <c r="N67" i="109" s="1"/>
  <c r="J90" i="74"/>
  <c r="N90" i="74" s="1"/>
  <c r="M52" i="92"/>
  <c r="J32" i="85"/>
  <c r="R106" i="82"/>
  <c r="J106" i="82"/>
  <c r="S106" i="82"/>
  <c r="M60" i="117"/>
  <c r="M39" i="84"/>
  <c r="M56" i="101"/>
  <c r="J88" i="85"/>
  <c r="N88" i="85" s="1"/>
  <c r="M45" i="108"/>
  <c r="M40" i="74"/>
  <c r="J48" i="104"/>
  <c r="S110" i="104"/>
  <c r="J110" i="104"/>
  <c r="R110" i="104"/>
  <c r="J89" i="102"/>
  <c r="N89" i="102" s="1"/>
  <c r="J98" i="104"/>
  <c r="N98" i="104" s="1"/>
  <c r="M54" i="92"/>
  <c r="J82" i="106"/>
  <c r="N82" i="106" s="1"/>
  <c r="J49" i="81"/>
  <c r="M46" i="86"/>
  <c r="M47" i="88"/>
  <c r="M56" i="104"/>
  <c r="M52" i="65"/>
  <c r="DT19" i="54"/>
  <c r="J70" i="86"/>
  <c r="N70" i="86" s="1"/>
  <c r="M35" i="110"/>
  <c r="M45" i="79"/>
  <c r="M62" i="65"/>
  <c r="J80" i="106"/>
  <c r="N80" i="106" s="1"/>
  <c r="J91" i="97"/>
  <c r="N91" i="97" s="1"/>
  <c r="J86" i="72"/>
  <c r="N86" i="72" s="1"/>
  <c r="J96" i="84"/>
  <c r="N96" i="84" s="1"/>
  <c r="J78" i="85"/>
  <c r="N78" i="85" s="1"/>
  <c r="M39" i="76"/>
  <c r="M39" i="90"/>
  <c r="M39" i="115"/>
  <c r="J99" i="108"/>
  <c r="N99" i="108" s="1"/>
  <c r="J82" i="111"/>
  <c r="N82" i="111" s="1"/>
  <c r="J91" i="75"/>
  <c r="N91" i="75" s="1"/>
  <c r="J56" i="75"/>
  <c r="N56" i="75" s="1"/>
  <c r="R56" i="75" s="1"/>
  <c r="S56" i="75" s="1"/>
  <c r="J94" i="87"/>
  <c r="N94" i="87" s="1"/>
  <c r="J99" i="101"/>
  <c r="N99" i="101" s="1"/>
  <c r="J38" i="99"/>
  <c r="J68" i="71"/>
  <c r="N68" i="71" s="1"/>
  <c r="J98" i="72"/>
  <c r="N98" i="72" s="1"/>
  <c r="J76" i="75"/>
  <c r="N76" i="75" s="1"/>
  <c r="M52" i="88"/>
  <c r="J80" i="110"/>
  <c r="N80" i="110" s="1"/>
  <c r="J43" i="101"/>
  <c r="J74" i="104"/>
  <c r="N74" i="104" s="1"/>
  <c r="M33" i="110"/>
  <c r="G111" i="111"/>
  <c r="J65" i="111"/>
  <c r="J96" i="72"/>
  <c r="N96" i="72" s="1"/>
  <c r="J62" i="110"/>
  <c r="N62" i="110"/>
  <c r="R62" i="110" s="1"/>
  <c r="S62" i="110" s="1"/>
  <c r="M46" i="98"/>
  <c r="J34" i="77"/>
  <c r="M44" i="85"/>
  <c r="J72" i="76"/>
  <c r="N72" i="76" s="1"/>
  <c r="J94" i="84"/>
  <c r="N94" i="84" s="1"/>
  <c r="J75" i="79"/>
  <c r="N75" i="79" s="1"/>
  <c r="J79" i="99"/>
  <c r="N79" i="99" s="1"/>
  <c r="J82" i="110"/>
  <c r="N82" i="110" s="1"/>
  <c r="J33" i="109"/>
  <c r="M61" i="86"/>
  <c r="J77" i="113"/>
  <c r="N77" i="113" s="1"/>
  <c r="J32" i="65"/>
  <c r="J40" i="91"/>
  <c r="N40" i="91" s="1"/>
  <c r="R40" i="91" s="1"/>
  <c r="S40" i="91" s="1"/>
  <c r="J72" i="106"/>
  <c r="N72" i="106" s="1"/>
  <c r="M46" i="84"/>
  <c r="M41" i="111"/>
  <c r="J108" i="86"/>
  <c r="R108" i="86"/>
  <c r="S108" i="86"/>
  <c r="G111" i="108"/>
  <c r="J65" i="108"/>
  <c r="J36" i="105"/>
  <c r="J100" i="91"/>
  <c r="N100" i="91" s="1"/>
  <c r="J32" i="104"/>
  <c r="J40" i="97"/>
  <c r="N61" i="91"/>
  <c r="R61" i="91" s="1"/>
  <c r="S61" i="91" s="1"/>
  <c r="J61" i="91"/>
  <c r="J80" i="98"/>
  <c r="N80" i="98" s="1"/>
  <c r="M40" i="102"/>
  <c r="J81" i="114"/>
  <c r="N81" i="114" s="1"/>
  <c r="J40" i="80"/>
  <c r="N40" i="80" s="1"/>
  <c r="R40" i="80" s="1"/>
  <c r="S40" i="80" s="1"/>
  <c r="M36" i="115"/>
  <c r="R106" i="97"/>
  <c r="S106" i="97"/>
  <c r="J106" i="97"/>
  <c r="J95" i="82"/>
  <c r="N95" i="82" s="1"/>
  <c r="J73" i="100"/>
  <c r="N73" i="100" s="1"/>
  <c r="J60" i="76"/>
  <c r="N60" i="76"/>
  <c r="R60" i="76" s="1"/>
  <c r="S60" i="76" s="1"/>
  <c r="M38" i="72"/>
  <c r="J101" i="92"/>
  <c r="N101" i="92" s="1"/>
  <c r="R108" i="99"/>
  <c r="J108" i="99"/>
  <c r="S108" i="99"/>
  <c r="J75" i="98"/>
  <c r="N75" i="98" s="1"/>
  <c r="J68" i="90"/>
  <c r="N68" i="90" s="1"/>
  <c r="J88" i="77"/>
  <c r="N88" i="77" s="1"/>
  <c r="R110" i="102"/>
  <c r="J110" i="102"/>
  <c r="S110" i="102"/>
  <c r="J52" i="99"/>
  <c r="M62" i="74"/>
  <c r="J88" i="117"/>
  <c r="N88" i="117" s="1"/>
  <c r="M54" i="86"/>
  <c r="J52" i="86"/>
  <c r="N52" i="86" s="1"/>
  <c r="R52" i="86" s="1"/>
  <c r="S52" i="86" s="1"/>
  <c r="S109" i="116"/>
  <c r="R109" i="116"/>
  <c r="J109" i="116"/>
  <c r="N109" i="116" s="1"/>
  <c r="J34" i="116"/>
  <c r="J56" i="85"/>
  <c r="J53" i="83"/>
  <c r="N53" i="83" s="1"/>
  <c r="R53" i="83" s="1"/>
  <c r="S53" i="83" s="1"/>
  <c r="J79" i="89"/>
  <c r="N79" i="89" s="1"/>
  <c r="M37" i="77"/>
  <c r="J91" i="87"/>
  <c r="N91" i="87" s="1"/>
  <c r="M50" i="79"/>
  <c r="J85" i="89"/>
  <c r="N85" i="89" s="1"/>
  <c r="J100" i="97"/>
  <c r="N100" i="97" s="1"/>
  <c r="M60" i="86"/>
  <c r="M59" i="89"/>
  <c r="K63" i="89"/>
  <c r="M53" i="77"/>
  <c r="J75" i="99"/>
  <c r="N75" i="99" s="1"/>
  <c r="J88" i="79"/>
  <c r="N88" i="79" s="1"/>
  <c r="M39" i="104"/>
  <c r="J41" i="105"/>
  <c r="J89" i="92"/>
  <c r="N89" i="92" s="1"/>
  <c r="M52" i="87"/>
  <c r="J84" i="99"/>
  <c r="N84" i="99" s="1"/>
  <c r="J69" i="89"/>
  <c r="N69" i="89" s="1"/>
  <c r="J40" i="84"/>
  <c r="J52" i="106"/>
  <c r="S109" i="76"/>
  <c r="R109" i="76"/>
  <c r="J109" i="76"/>
  <c r="N109" i="76" s="1"/>
  <c r="J34" i="88"/>
  <c r="J81" i="81"/>
  <c r="N81" i="81" s="1"/>
  <c r="M41" i="79"/>
  <c r="J45" i="117"/>
  <c r="M53" i="115"/>
  <c r="J86" i="113"/>
  <c r="N86" i="113" s="1"/>
  <c r="J83" i="92"/>
  <c r="N83" i="92" s="1"/>
  <c r="J98" i="102"/>
  <c r="N98" i="102" s="1"/>
  <c r="J75" i="117"/>
  <c r="N75" i="117" s="1"/>
  <c r="J96" i="85"/>
  <c r="N96" i="85" s="1"/>
  <c r="J91" i="113"/>
  <c r="N91" i="113" s="1"/>
  <c r="M36" i="79"/>
  <c r="J87" i="105"/>
  <c r="N87" i="105" s="1"/>
  <c r="M59" i="116"/>
  <c r="K63" i="116"/>
  <c r="J103" i="116"/>
  <c r="N103" i="116" s="1"/>
  <c r="J104" i="74"/>
  <c r="N104" i="74" s="1"/>
  <c r="M33" i="81"/>
  <c r="N60" i="81"/>
  <c r="R60" i="81" s="1"/>
  <c r="S60" i="81" s="1"/>
  <c r="J60" i="81"/>
  <c r="K63" i="78"/>
  <c r="M59" i="78"/>
  <c r="J86" i="100"/>
  <c r="N86" i="100" s="1"/>
  <c r="J69" i="82"/>
  <c r="N69" i="82" s="1"/>
  <c r="J90" i="90"/>
  <c r="N90" i="90" s="1"/>
  <c r="J100" i="102"/>
  <c r="N100" i="102" s="1"/>
  <c r="J54" i="71"/>
  <c r="M39" i="108"/>
  <c r="M53" i="85"/>
  <c r="J81" i="76"/>
  <c r="N81" i="76" s="1"/>
  <c r="J102" i="85"/>
  <c r="N102" i="85" s="1"/>
  <c r="J98" i="88"/>
  <c r="N98" i="88" s="1"/>
  <c r="J91" i="98"/>
  <c r="N91" i="98" s="1"/>
  <c r="M46" i="74"/>
  <c r="J91" i="117"/>
  <c r="N91" i="117" s="1"/>
  <c r="M51" i="83"/>
  <c r="J75" i="105"/>
  <c r="N75" i="105" s="1"/>
  <c r="M48" i="97"/>
  <c r="M56" i="72"/>
  <c r="J62" i="107"/>
  <c r="N62" i="107"/>
  <c r="R62" i="107" s="1"/>
  <c r="S62" i="107" s="1"/>
  <c r="M46" i="89"/>
  <c r="M51" i="92"/>
  <c r="N59" i="78"/>
  <c r="J59" i="78"/>
  <c r="G63" i="78"/>
  <c r="J59" i="84"/>
  <c r="G63" i="84"/>
  <c r="N59" i="84"/>
  <c r="M62" i="81"/>
  <c r="J44" i="106"/>
  <c r="N44" i="106" s="1"/>
  <c r="R44" i="106" s="1"/>
  <c r="S44" i="106" s="1"/>
  <c r="J97" i="72"/>
  <c r="N97" i="72" s="1"/>
  <c r="S108" i="108"/>
  <c r="J108" i="108"/>
  <c r="R108" i="108"/>
  <c r="J84" i="114"/>
  <c r="N84" i="114" s="1"/>
  <c r="J54" i="79"/>
  <c r="N54" i="79" s="1"/>
  <c r="R54" i="79" s="1"/>
  <c r="S54" i="79" s="1"/>
  <c r="J72" i="110"/>
  <c r="N72" i="110" s="1"/>
  <c r="J94" i="115"/>
  <c r="N94" i="115" s="1"/>
  <c r="J55" i="76"/>
  <c r="J81" i="90"/>
  <c r="N81" i="90" s="1"/>
  <c r="M61" i="97"/>
  <c r="J39" i="105"/>
  <c r="J68" i="106"/>
  <c r="N68" i="106" s="1"/>
  <c r="J38" i="108"/>
  <c r="J71" i="108"/>
  <c r="N71" i="108" s="1"/>
  <c r="M41" i="87"/>
  <c r="J44" i="83"/>
  <c r="N44" i="83" s="1"/>
  <c r="R44" i="83" s="1"/>
  <c r="S44" i="83" s="1"/>
  <c r="J85" i="85"/>
  <c r="N85" i="85" s="1"/>
  <c r="J88" i="104"/>
  <c r="N88" i="104" s="1"/>
  <c r="M55" i="72"/>
  <c r="J84" i="86"/>
  <c r="N84" i="86" s="1"/>
  <c r="J39" i="113"/>
  <c r="N39" i="113" s="1"/>
  <c r="R39" i="113" s="1"/>
  <c r="S39" i="113" s="1"/>
  <c r="M49" i="114"/>
  <c r="J49" i="87"/>
  <c r="M53" i="103"/>
  <c r="J56" i="102"/>
  <c r="M45" i="85"/>
  <c r="J55" i="86"/>
  <c r="J47" i="83"/>
  <c r="M32" i="108"/>
  <c r="G111" i="71"/>
  <c r="J65" i="71"/>
  <c r="J75" i="80"/>
  <c r="N75" i="80" s="1"/>
  <c r="M53" i="107"/>
  <c r="J98" i="82"/>
  <c r="N98" i="82" s="1"/>
  <c r="J97" i="115"/>
  <c r="N97" i="115" s="1"/>
  <c r="M49" i="89"/>
  <c r="J66" i="77"/>
  <c r="N66" i="77" s="1"/>
  <c r="J97" i="100"/>
  <c r="N97" i="100" s="1"/>
  <c r="M45" i="87"/>
  <c r="N45" i="87" s="1"/>
  <c r="R45" i="87" s="1"/>
  <c r="S45" i="87" s="1"/>
  <c r="M62" i="106"/>
  <c r="M42" i="100"/>
  <c r="N61" i="105"/>
  <c r="R61" i="105" s="1"/>
  <c r="S61" i="105" s="1"/>
  <c r="J61" i="105"/>
  <c r="J104" i="101"/>
  <c r="N104" i="101" s="1"/>
  <c r="M46" i="100"/>
  <c r="J87" i="81"/>
  <c r="N87" i="81" s="1"/>
  <c r="J96" i="104"/>
  <c r="N96" i="104" s="1"/>
  <c r="S108" i="102"/>
  <c r="J108" i="102"/>
  <c r="R108" i="102"/>
  <c r="M53" i="104"/>
  <c r="J95" i="109"/>
  <c r="N95" i="109" s="1"/>
  <c r="J72" i="99"/>
  <c r="N72" i="99" s="1"/>
  <c r="J87" i="73"/>
  <c r="N87" i="73" s="1"/>
  <c r="M33" i="80"/>
  <c r="M57" i="71"/>
  <c r="R107" i="82"/>
  <c r="J107" i="82"/>
  <c r="S107" i="82"/>
  <c r="J72" i="107"/>
  <c r="N72" i="107" s="1"/>
  <c r="J68" i="110"/>
  <c r="N68" i="110" s="1"/>
  <c r="J84" i="88"/>
  <c r="N84" i="88" s="1"/>
  <c r="R108" i="85"/>
  <c r="S108" i="85"/>
  <c r="J108" i="85"/>
  <c r="J76" i="81"/>
  <c r="N76" i="81" s="1"/>
  <c r="J77" i="111"/>
  <c r="N77" i="111" s="1"/>
  <c r="M36" i="103"/>
  <c r="M39" i="117"/>
  <c r="J89" i="99"/>
  <c r="N89" i="99" s="1"/>
  <c r="M39" i="71"/>
  <c r="N39" i="71" s="1"/>
  <c r="R39" i="71" s="1"/>
  <c r="S39" i="71" s="1"/>
  <c r="J81" i="86"/>
  <c r="N81" i="86" s="1"/>
  <c r="J55" i="102"/>
  <c r="N55" i="102" s="1"/>
  <c r="R55" i="102" s="1"/>
  <c r="S55" i="102" s="1"/>
  <c r="G63" i="85"/>
  <c r="J59" i="85"/>
  <c r="N59" i="85"/>
  <c r="J81" i="109"/>
  <c r="N81" i="109" s="1"/>
  <c r="M61" i="89"/>
  <c r="J55" i="115"/>
  <c r="J56" i="108"/>
  <c r="J43" i="113"/>
  <c r="M57" i="113"/>
  <c r="M38" i="74"/>
  <c r="J42" i="78"/>
  <c r="J37" i="97"/>
  <c r="J62" i="82"/>
  <c r="N62" i="82"/>
  <c r="R62" i="82" s="1"/>
  <c r="S62" i="82" s="1"/>
  <c r="J82" i="77"/>
  <c r="N82" i="77" s="1"/>
  <c r="M47" i="104"/>
  <c r="M35" i="98"/>
  <c r="J103" i="91"/>
  <c r="N103" i="91" s="1"/>
  <c r="J95" i="105"/>
  <c r="N95" i="105" s="1"/>
  <c r="J97" i="87"/>
  <c r="N97" i="87" s="1"/>
  <c r="J32" i="83"/>
  <c r="J87" i="98"/>
  <c r="N87" i="98" s="1"/>
  <c r="M45" i="88"/>
  <c r="J92" i="91"/>
  <c r="N92" i="91" s="1"/>
  <c r="M57" i="106"/>
  <c r="J45" i="106"/>
  <c r="J108" i="109"/>
  <c r="S108" i="109"/>
  <c r="R108" i="109"/>
  <c r="J36" i="86"/>
  <c r="J90" i="100"/>
  <c r="N90" i="100" s="1"/>
  <c r="M60" i="116"/>
  <c r="J34" i="81"/>
  <c r="J78" i="110"/>
  <c r="N78" i="110" s="1"/>
  <c r="J48" i="83"/>
  <c r="J106" i="106"/>
  <c r="S106" i="106"/>
  <c r="R106" i="106"/>
  <c r="R111" i="106" s="1"/>
  <c r="J80" i="78"/>
  <c r="N80" i="78" s="1"/>
  <c r="J54" i="107"/>
  <c r="J49" i="92"/>
  <c r="J41" i="110"/>
  <c r="M48" i="75"/>
  <c r="J96" i="114"/>
  <c r="N96" i="114" s="1"/>
  <c r="J46" i="85"/>
  <c r="J32" i="74"/>
  <c r="M60" i="102"/>
  <c r="J78" i="108"/>
  <c r="N78" i="108" s="1"/>
  <c r="J40" i="107"/>
  <c r="J101" i="101"/>
  <c r="N101" i="101" s="1"/>
  <c r="R109" i="104"/>
  <c r="J109" i="104"/>
  <c r="N109" i="104" s="1"/>
  <c r="S109" i="104"/>
  <c r="J36" i="117"/>
  <c r="J82" i="100"/>
  <c r="N82" i="100" s="1"/>
  <c r="R107" i="78"/>
  <c r="S107" i="78"/>
  <c r="J107" i="78"/>
  <c r="J83" i="115"/>
  <c r="N83" i="115" s="1"/>
  <c r="J76" i="115"/>
  <c r="N76" i="115" s="1"/>
  <c r="J84" i="97"/>
  <c r="N84" i="97" s="1"/>
  <c r="J95" i="86"/>
  <c r="N95" i="86" s="1"/>
  <c r="J80" i="101"/>
  <c r="N80" i="101" s="1"/>
  <c r="J110" i="110"/>
  <c r="R110" i="110"/>
  <c r="S110" i="110"/>
  <c r="M42" i="115"/>
  <c r="J66" i="71"/>
  <c r="N66" i="71" s="1"/>
  <c r="J40" i="98"/>
  <c r="N40" i="98" s="1"/>
  <c r="R40" i="98" s="1"/>
  <c r="S40" i="98" s="1"/>
  <c r="J73" i="75"/>
  <c r="N73" i="75" s="1"/>
  <c r="J69" i="65"/>
  <c r="N69" i="65" s="1"/>
  <c r="J103" i="84"/>
  <c r="N103" i="84" s="1"/>
  <c r="J93" i="107"/>
  <c r="N93" i="107" s="1"/>
  <c r="J53" i="71"/>
  <c r="J40" i="100"/>
  <c r="J103" i="79"/>
  <c r="N103" i="79" s="1"/>
  <c r="J37" i="103"/>
  <c r="J110" i="72"/>
  <c r="S110" i="72"/>
  <c r="R110" i="72"/>
  <c r="J75" i="74"/>
  <c r="N75" i="74" s="1"/>
  <c r="M54" i="100"/>
  <c r="S108" i="97"/>
  <c r="J108" i="97"/>
  <c r="R108" i="97"/>
  <c r="M43" i="65"/>
  <c r="J90" i="114"/>
  <c r="N90" i="114" s="1"/>
  <c r="M46" i="104"/>
  <c r="J67" i="88"/>
  <c r="N67" i="88" s="1"/>
  <c r="M38" i="107"/>
  <c r="J100" i="98"/>
  <c r="N100" i="98" s="1"/>
  <c r="M53" i="97"/>
  <c r="J97" i="107"/>
  <c r="N97" i="107" s="1"/>
  <c r="J98" i="75"/>
  <c r="N98" i="75" s="1"/>
  <c r="J109" i="74"/>
  <c r="N109" i="74" s="1"/>
  <c r="S109" i="74"/>
  <c r="R109" i="74"/>
  <c r="J84" i="85"/>
  <c r="N84" i="85" s="1"/>
  <c r="J32" i="76"/>
  <c r="J84" i="116"/>
  <c r="N84" i="116" s="1"/>
  <c r="J75" i="65"/>
  <c r="N75" i="65" s="1"/>
  <c r="J37" i="87"/>
  <c r="N37" i="87" s="1"/>
  <c r="R37" i="87" s="1"/>
  <c r="S37" i="87" s="1"/>
  <c r="J75" i="90"/>
  <c r="N75" i="90" s="1"/>
  <c r="M37" i="115"/>
  <c r="G63" i="80"/>
  <c r="J59" i="80"/>
  <c r="N59" i="80"/>
  <c r="J55" i="80"/>
  <c r="N55" i="80" s="1"/>
  <c r="R55" i="80" s="1"/>
  <c r="S55" i="80" s="1"/>
  <c r="J100" i="109"/>
  <c r="N100" i="109" s="1"/>
  <c r="M38" i="65"/>
  <c r="J53" i="115"/>
  <c r="R106" i="75"/>
  <c r="J106" i="75"/>
  <c r="S106" i="75"/>
  <c r="J99" i="75"/>
  <c r="N99" i="75" s="1"/>
  <c r="J36" i="108"/>
  <c r="N36" i="108" s="1"/>
  <c r="R36" i="108" s="1"/>
  <c r="S36" i="108" s="1"/>
  <c r="J45" i="98"/>
  <c r="M47" i="110"/>
  <c r="M55" i="91"/>
  <c r="M34" i="102"/>
  <c r="M40" i="115"/>
  <c r="M60" i="104"/>
  <c r="J110" i="113"/>
  <c r="S110" i="113"/>
  <c r="R110" i="113"/>
  <c r="S110" i="106"/>
  <c r="R110" i="106"/>
  <c r="J110" i="106"/>
  <c r="J38" i="104"/>
  <c r="M36" i="106"/>
  <c r="J48" i="65"/>
  <c r="J36" i="65"/>
  <c r="M45" i="74"/>
  <c r="J75" i="75"/>
  <c r="N75" i="75" s="1"/>
  <c r="M56" i="82"/>
  <c r="J75" i="109"/>
  <c r="N75" i="109" s="1"/>
  <c r="M39" i="81"/>
  <c r="M45" i="84"/>
  <c r="M33" i="65"/>
  <c r="M59" i="72"/>
  <c r="M63" i="72" s="1"/>
  <c r="K63" i="72"/>
  <c r="J79" i="77"/>
  <c r="N79" i="77" s="1"/>
  <c r="J74" i="108"/>
  <c r="N74" i="108" s="1"/>
  <c r="M53" i="72"/>
  <c r="J109" i="88"/>
  <c r="N109" i="88" s="1"/>
  <c r="S109" i="88"/>
  <c r="R109" i="88"/>
  <c r="J76" i="91"/>
  <c r="N76" i="91" s="1"/>
  <c r="J77" i="91"/>
  <c r="N77" i="91" s="1"/>
  <c r="J56" i="84"/>
  <c r="N56" i="84" s="1"/>
  <c r="R56" i="84" s="1"/>
  <c r="S56" i="84" s="1"/>
  <c r="M55" i="108"/>
  <c r="J48" i="82"/>
  <c r="N48" i="82" s="1"/>
  <c r="R48" i="82" s="1"/>
  <c r="S48" i="82" s="1"/>
  <c r="M55" i="115"/>
  <c r="N61" i="97"/>
  <c r="R61" i="97" s="1"/>
  <c r="S61" i="97" s="1"/>
  <c r="J61" i="97"/>
  <c r="J39" i="91"/>
  <c r="N39" i="91" s="1"/>
  <c r="R39" i="91" s="1"/>
  <c r="S39" i="91" s="1"/>
  <c r="J95" i="72"/>
  <c r="N95" i="72" s="1"/>
  <c r="J94" i="99"/>
  <c r="N94" i="99" s="1"/>
  <c r="J60" i="102"/>
  <c r="N60" i="102"/>
  <c r="R60" i="102" s="1"/>
  <c r="S60" i="102" s="1"/>
  <c r="M53" i="65"/>
  <c r="M39" i="110"/>
  <c r="M56" i="89"/>
  <c r="J48" i="74"/>
  <c r="N48" i="74" s="1"/>
  <c r="R48" i="74" s="1"/>
  <c r="S48" i="74" s="1"/>
  <c r="J94" i="72"/>
  <c r="N94" i="72" s="1"/>
  <c r="J101" i="88"/>
  <c r="N101" i="88" s="1"/>
  <c r="J46" i="103"/>
  <c r="N46" i="103" s="1"/>
  <c r="R46" i="103" s="1"/>
  <c r="S46" i="103" s="1"/>
  <c r="J78" i="102"/>
  <c r="N78" i="102" s="1"/>
  <c r="J50" i="65"/>
  <c r="J104" i="116"/>
  <c r="N104" i="116" s="1"/>
  <c r="S108" i="72"/>
  <c r="J108" i="72"/>
  <c r="R108" i="72"/>
  <c r="J91" i="83"/>
  <c r="N91" i="83" s="1"/>
  <c r="J48" i="91"/>
  <c r="M46" i="115"/>
  <c r="J57" i="85"/>
  <c r="R108" i="103"/>
  <c r="S108" i="103"/>
  <c r="J108" i="103"/>
  <c r="J41" i="72"/>
  <c r="N41" i="72" s="1"/>
  <c r="R41" i="72" s="1"/>
  <c r="S41" i="72" s="1"/>
  <c r="J94" i="85"/>
  <c r="N94" i="85" s="1"/>
  <c r="S107" i="115"/>
  <c r="J107" i="115"/>
  <c r="R107" i="115"/>
  <c r="J39" i="88"/>
  <c r="M56" i="76"/>
  <c r="J34" i="85"/>
  <c r="N34" i="85" s="1"/>
  <c r="R34" i="85" s="1"/>
  <c r="S34" i="85" s="1"/>
  <c r="M46" i="108"/>
  <c r="J83" i="114"/>
  <c r="N83" i="114" s="1"/>
  <c r="R107" i="77"/>
  <c r="S107" i="77"/>
  <c r="J107" i="77"/>
  <c r="M49" i="117"/>
  <c r="J56" i="71"/>
  <c r="M61" i="106"/>
  <c r="J89" i="81"/>
  <c r="N89" i="81" s="1"/>
  <c r="K63" i="102"/>
  <c r="M59" i="102"/>
  <c r="L19" i="54"/>
  <c r="J71" i="110"/>
  <c r="N71" i="110" s="1"/>
  <c r="J77" i="73"/>
  <c r="N77" i="73" s="1"/>
  <c r="M62" i="76"/>
  <c r="J53" i="99"/>
  <c r="N53" i="99" s="1"/>
  <c r="R53" i="99" s="1"/>
  <c r="S53" i="99" s="1"/>
  <c r="J73" i="78"/>
  <c r="N73" i="78" s="1"/>
  <c r="S109" i="117"/>
  <c r="R109" i="117"/>
  <c r="J109" i="117"/>
  <c r="N109" i="117" s="1"/>
  <c r="J78" i="114"/>
  <c r="N78" i="114" s="1"/>
  <c r="J48" i="110"/>
  <c r="J47" i="77"/>
  <c r="M52" i="97"/>
  <c r="J51" i="73"/>
  <c r="J80" i="107"/>
  <c r="N80" i="107" s="1"/>
  <c r="M54" i="115"/>
  <c r="M56" i="83"/>
  <c r="G111" i="104"/>
  <c r="J65" i="104"/>
  <c r="J94" i="73"/>
  <c r="N94" i="73" s="1"/>
  <c r="J39" i="108"/>
  <c r="N39" i="108" s="1"/>
  <c r="R39" i="108" s="1"/>
  <c r="S39" i="108" s="1"/>
  <c r="J96" i="105"/>
  <c r="N96" i="105" s="1"/>
  <c r="M33" i="76"/>
  <c r="M42" i="88"/>
  <c r="J89" i="107"/>
  <c r="N89" i="107" s="1"/>
  <c r="M47" i="83"/>
  <c r="J95" i="84"/>
  <c r="N95" i="84" s="1"/>
  <c r="M47" i="82"/>
  <c r="J69" i="91"/>
  <c r="N69" i="91" s="1"/>
  <c r="J39" i="106"/>
  <c r="N39" i="106" s="1"/>
  <c r="R39" i="106" s="1"/>
  <c r="S39" i="106" s="1"/>
  <c r="J71" i="114"/>
  <c r="N71" i="114" s="1"/>
  <c r="J59" i="99"/>
  <c r="G63" i="99"/>
  <c r="N59" i="99"/>
  <c r="M50" i="82"/>
  <c r="J73" i="72"/>
  <c r="N73" i="72" s="1"/>
  <c r="J88" i="87"/>
  <c r="N88" i="87" s="1"/>
  <c r="J83" i="104"/>
  <c r="N83" i="104" s="1"/>
  <c r="J41" i="92"/>
  <c r="M49" i="113"/>
  <c r="M39" i="105"/>
  <c r="J66" i="86"/>
  <c r="N66" i="86" s="1"/>
  <c r="M56" i="102"/>
  <c r="M51" i="80"/>
  <c r="J50" i="109"/>
  <c r="N50" i="109" s="1"/>
  <c r="R50" i="109" s="1"/>
  <c r="S50" i="109" s="1"/>
  <c r="J39" i="110"/>
  <c r="N39" i="110" s="1"/>
  <c r="R39" i="110" s="1"/>
  <c r="S39" i="110" s="1"/>
  <c r="J66" i="72"/>
  <c r="N66" i="72" s="1"/>
  <c r="J91" i="82"/>
  <c r="N91" i="82" s="1"/>
  <c r="J40" i="83"/>
  <c r="J69" i="77"/>
  <c r="N69" i="77" s="1"/>
  <c r="J103" i="98"/>
  <c r="N103" i="98" s="1"/>
  <c r="J52" i="75"/>
  <c r="N52" i="75" s="1"/>
  <c r="R52" i="75" s="1"/>
  <c r="S52" i="75" s="1"/>
  <c r="J68" i="98"/>
  <c r="N68" i="98" s="1"/>
  <c r="M51" i="81"/>
  <c r="M39" i="98"/>
  <c r="J54" i="80"/>
  <c r="N54" i="80" s="1"/>
  <c r="R54" i="80" s="1"/>
  <c r="S54" i="80" s="1"/>
  <c r="J79" i="101"/>
  <c r="N79" i="101" s="1"/>
  <c r="J78" i="84"/>
  <c r="N78" i="84" s="1"/>
  <c r="J96" i="82"/>
  <c r="N96" i="82" s="1"/>
  <c r="J54" i="88"/>
  <c r="J60" i="90"/>
  <c r="N60" i="90"/>
  <c r="R60" i="90" s="1"/>
  <c r="S60" i="90" s="1"/>
  <c r="J57" i="77"/>
  <c r="J78" i="99"/>
  <c r="N78" i="99" s="1"/>
  <c r="J98" i="81"/>
  <c r="N98" i="81" s="1"/>
  <c r="M40" i="84"/>
  <c r="J35" i="100"/>
  <c r="S110" i="83"/>
  <c r="J110" i="83"/>
  <c r="R110" i="83"/>
  <c r="J73" i="76"/>
  <c r="N73" i="76" s="1"/>
  <c r="J94" i="111"/>
  <c r="N94" i="111" s="1"/>
  <c r="J62" i="91"/>
  <c r="N62" i="91"/>
  <c r="R62" i="91" s="1"/>
  <c r="S62" i="91" s="1"/>
  <c r="M36" i="77"/>
  <c r="J60" i="91"/>
  <c r="N60" i="91"/>
  <c r="R60" i="91" s="1"/>
  <c r="S60" i="91" s="1"/>
  <c r="J77" i="101"/>
  <c r="N77" i="101" s="1"/>
  <c r="R109" i="85"/>
  <c r="J109" i="85"/>
  <c r="N109" i="85" s="1"/>
  <c r="S109" i="85"/>
  <c r="M48" i="73"/>
  <c r="M41" i="73"/>
  <c r="J90" i="104"/>
  <c r="N90" i="104" s="1"/>
  <c r="J81" i="65"/>
  <c r="N81" i="65" s="1"/>
  <c r="J69" i="100"/>
  <c r="N69" i="100" s="1"/>
  <c r="J51" i="101"/>
  <c r="M59" i="97"/>
  <c r="K63" i="97"/>
  <c r="J68" i="88"/>
  <c r="N68" i="88" s="1"/>
  <c r="M53" i="89"/>
  <c r="R107" i="74"/>
  <c r="J107" i="74"/>
  <c r="S107" i="74"/>
  <c r="J69" i="117"/>
  <c r="N69" i="117" s="1"/>
  <c r="J78" i="81"/>
  <c r="N78" i="81" s="1"/>
  <c r="J60" i="85"/>
  <c r="N60" i="85"/>
  <c r="R60" i="85" s="1"/>
  <c r="S60" i="85" s="1"/>
  <c r="J100" i="107"/>
  <c r="N100" i="107" s="1"/>
  <c r="M55" i="74"/>
  <c r="J53" i="73"/>
  <c r="N53" i="73" s="1"/>
  <c r="R53" i="73" s="1"/>
  <c r="S53" i="73" s="1"/>
  <c r="J101" i="111"/>
  <c r="N101" i="111" s="1"/>
  <c r="M40" i="99"/>
  <c r="N60" i="88"/>
  <c r="R60" i="88" s="1"/>
  <c r="S60" i="88" s="1"/>
  <c r="J60" i="88"/>
  <c r="S108" i="65"/>
  <c r="R108" i="65"/>
  <c r="J108" i="65"/>
  <c r="J99" i="74"/>
  <c r="N99" i="74" s="1"/>
  <c r="J57" i="72"/>
  <c r="N57" i="72" s="1"/>
  <c r="R57" i="72" s="1"/>
  <c r="S57" i="72" s="1"/>
  <c r="M32" i="89"/>
  <c r="J99" i="102"/>
  <c r="N99" i="102" s="1"/>
  <c r="M52" i="89"/>
  <c r="R109" i="87"/>
  <c r="S109" i="87"/>
  <c r="J109" i="87"/>
  <c r="N109" i="87" s="1"/>
  <c r="M40" i="116"/>
  <c r="M51" i="101"/>
  <c r="J74" i="83"/>
  <c r="N74" i="83" s="1"/>
  <c r="R110" i="107"/>
  <c r="S110" i="107"/>
  <c r="J110" i="107"/>
  <c r="J35" i="92"/>
  <c r="J65" i="102"/>
  <c r="G111" i="102"/>
  <c r="J47" i="100"/>
  <c r="M32" i="77"/>
  <c r="M38" i="87"/>
  <c r="J48" i="88"/>
  <c r="J35" i="107"/>
  <c r="M50" i="98"/>
  <c r="J38" i="91"/>
  <c r="M40" i="105"/>
  <c r="N40" i="105" s="1"/>
  <c r="R40" i="105" s="1"/>
  <c r="S40" i="105" s="1"/>
  <c r="M40" i="87"/>
  <c r="J92" i="103"/>
  <c r="N92" i="103" s="1"/>
  <c r="J87" i="77"/>
  <c r="N87" i="77" s="1"/>
  <c r="J92" i="113"/>
  <c r="N92" i="113" s="1"/>
  <c r="M40" i="83"/>
  <c r="M33" i="89"/>
  <c r="J35" i="109"/>
  <c r="J46" i="111"/>
  <c r="N46" i="111" s="1"/>
  <c r="R46" i="111" s="1"/>
  <c r="S46" i="111" s="1"/>
  <c r="M33" i="91"/>
  <c r="J66" i="82"/>
  <c r="N66" i="82" s="1"/>
  <c r="J97" i="98"/>
  <c r="N97" i="98" s="1"/>
  <c r="M57" i="73"/>
  <c r="M42" i="110"/>
  <c r="J80" i="72"/>
  <c r="N80" i="72" s="1"/>
  <c r="N60" i="98"/>
  <c r="R60" i="98" s="1"/>
  <c r="S60" i="98" s="1"/>
  <c r="J60" i="98"/>
  <c r="M60" i="90"/>
  <c r="J52" i="84"/>
  <c r="N52" i="84" s="1"/>
  <c r="R52" i="84" s="1"/>
  <c r="S52" i="84" s="1"/>
  <c r="J73" i="90"/>
  <c r="N73" i="90" s="1"/>
  <c r="J33" i="104"/>
  <c r="J78" i="100"/>
  <c r="N78" i="100" s="1"/>
  <c r="J103" i="114"/>
  <c r="N103" i="114" s="1"/>
  <c r="J34" i="89"/>
  <c r="J55" i="109"/>
  <c r="N55" i="109" s="1"/>
  <c r="R55" i="109" s="1"/>
  <c r="S55" i="109" s="1"/>
  <c r="N61" i="98"/>
  <c r="R61" i="98" s="1"/>
  <c r="S61" i="98" s="1"/>
  <c r="J61" i="98"/>
  <c r="J45" i="74"/>
  <c r="M54" i="88"/>
  <c r="J70" i="79"/>
  <c r="N70" i="79" s="1"/>
  <c r="M46" i="102"/>
  <c r="M52" i="77"/>
  <c r="S107" i="99"/>
  <c r="R107" i="99"/>
  <c r="J107" i="99"/>
  <c r="M46" i="113"/>
  <c r="J39" i="99"/>
  <c r="K63" i="90"/>
  <c r="M59" i="90"/>
  <c r="M44" i="115"/>
  <c r="J97" i="105"/>
  <c r="N97" i="105" s="1"/>
  <c r="M56" i="115"/>
  <c r="N60" i="83"/>
  <c r="R60" i="83" s="1"/>
  <c r="S60" i="83" s="1"/>
  <c r="J60" i="83"/>
  <c r="J50" i="101"/>
  <c r="J86" i="71"/>
  <c r="N86" i="71" s="1"/>
  <c r="M37" i="110"/>
  <c r="J88" i="74"/>
  <c r="N88" i="74" s="1"/>
  <c r="M55" i="76"/>
  <c r="M33" i="106"/>
  <c r="M38" i="101"/>
  <c r="M43" i="116"/>
  <c r="J49" i="109"/>
  <c r="N49" i="109" s="1"/>
  <c r="R49" i="109" s="1"/>
  <c r="S49" i="109" s="1"/>
  <c r="M33" i="88"/>
  <c r="S109" i="110"/>
  <c r="R109" i="110"/>
  <c r="J71" i="88"/>
  <c r="N71" i="88" s="1"/>
  <c r="J55" i="110"/>
  <c r="M33" i="100"/>
  <c r="M41" i="100"/>
  <c r="J35" i="90"/>
  <c r="J49" i="102"/>
  <c r="N49" i="102" s="1"/>
  <c r="R49" i="102" s="1"/>
  <c r="S49" i="102" s="1"/>
  <c r="M57" i="88"/>
  <c r="N61" i="85"/>
  <c r="R61" i="85" s="1"/>
  <c r="S61" i="85" s="1"/>
  <c r="J61" i="85"/>
  <c r="J53" i="102"/>
  <c r="N53" i="102" s="1"/>
  <c r="R53" i="102" s="1"/>
  <c r="S53" i="102" s="1"/>
  <c r="M41" i="82"/>
  <c r="R107" i="114"/>
  <c r="S107" i="114"/>
  <c r="J107" i="114"/>
  <c r="M49" i="88"/>
  <c r="G63" i="114"/>
  <c r="J59" i="114"/>
  <c r="N59" i="114"/>
  <c r="M53" i="78"/>
  <c r="M45" i="75"/>
  <c r="N45" i="75" s="1"/>
  <c r="R45" i="75" s="1"/>
  <c r="S45" i="75" s="1"/>
  <c r="J104" i="82"/>
  <c r="N104" i="82" s="1"/>
  <c r="J103" i="65"/>
  <c r="N103" i="65" s="1"/>
  <c r="M57" i="100"/>
  <c r="J43" i="102"/>
  <c r="J100" i="83"/>
  <c r="N100" i="83" s="1"/>
  <c r="J95" i="65"/>
  <c r="N95" i="65" s="1"/>
  <c r="J102" i="75"/>
  <c r="N102" i="75" s="1"/>
  <c r="J37" i="107"/>
  <c r="N37" i="107" s="1"/>
  <c r="R37" i="107" s="1"/>
  <c r="S37" i="107" s="1"/>
  <c r="J82" i="73"/>
  <c r="N82" i="73" s="1"/>
  <c r="J79" i="79"/>
  <c r="N79" i="79" s="1"/>
  <c r="M33" i="72"/>
  <c r="M46" i="76"/>
  <c r="M39" i="100"/>
  <c r="J89" i="65"/>
  <c r="N89" i="65" s="1"/>
  <c r="M60" i="97"/>
  <c r="M34" i="100"/>
  <c r="M53" i="80"/>
  <c r="N53" i="80" s="1"/>
  <c r="R53" i="80" s="1"/>
  <c r="S53" i="80" s="1"/>
  <c r="J90" i="105"/>
  <c r="N90" i="105" s="1"/>
  <c r="M44" i="72"/>
  <c r="J100" i="82"/>
  <c r="N100" i="82" s="1"/>
  <c r="J72" i="109"/>
  <c r="N72" i="109" s="1"/>
  <c r="J54" i="85"/>
  <c r="N54" i="85" s="1"/>
  <c r="R54" i="85" s="1"/>
  <c r="S54" i="85" s="1"/>
  <c r="M39" i="114"/>
  <c r="J61" i="65"/>
  <c r="N61" i="65"/>
  <c r="R61" i="65" s="1"/>
  <c r="S61" i="65" s="1"/>
  <c r="M37" i="80"/>
  <c r="J110" i="79"/>
  <c r="R110" i="79"/>
  <c r="S110" i="79"/>
  <c r="J56" i="116"/>
  <c r="N56" i="116" s="1"/>
  <c r="R56" i="116" s="1"/>
  <c r="S56" i="116" s="1"/>
  <c r="M35" i="91"/>
  <c r="J93" i="82"/>
  <c r="N93" i="82" s="1"/>
  <c r="J60" i="117"/>
  <c r="N60" i="117"/>
  <c r="R60" i="117" s="1"/>
  <c r="S60" i="117" s="1"/>
  <c r="J57" i="82"/>
  <c r="J69" i="86"/>
  <c r="N69" i="86" s="1"/>
  <c r="N61" i="76"/>
  <c r="R61" i="76" s="1"/>
  <c r="S61" i="76" s="1"/>
  <c r="J61" i="76"/>
  <c r="J108" i="92"/>
  <c r="S108" i="92"/>
  <c r="R108" i="92"/>
  <c r="M41" i="101"/>
  <c r="J101" i="82"/>
  <c r="N101" i="82" s="1"/>
  <c r="J54" i="100"/>
  <c r="N54" i="100" s="1"/>
  <c r="R54" i="100" s="1"/>
  <c r="S54" i="100" s="1"/>
  <c r="J74" i="76"/>
  <c r="N74" i="76" s="1"/>
  <c r="J82" i="76"/>
  <c r="N82" i="76" s="1"/>
  <c r="M59" i="113"/>
  <c r="K63" i="113"/>
  <c r="J45" i="72"/>
  <c r="N45" i="72" s="1"/>
  <c r="R45" i="72" s="1"/>
  <c r="S45" i="72" s="1"/>
  <c r="J84" i="101"/>
  <c r="N84" i="101" s="1"/>
  <c r="J94" i="110"/>
  <c r="N94" i="110" s="1"/>
  <c r="J45" i="65"/>
  <c r="N45" i="65" s="1"/>
  <c r="R45" i="65" s="1"/>
  <c r="S45" i="65" s="1"/>
  <c r="J92" i="100"/>
  <c r="N92" i="100" s="1"/>
  <c r="M55" i="75"/>
  <c r="M50" i="104"/>
  <c r="M53" i="91"/>
  <c r="J85" i="88"/>
  <c r="N85" i="88" s="1"/>
  <c r="J79" i="105"/>
  <c r="N79" i="105" s="1"/>
  <c r="J59" i="83"/>
  <c r="N59" i="83"/>
  <c r="G63" i="83"/>
  <c r="M42" i="81"/>
  <c r="J76" i="87"/>
  <c r="N76" i="87" s="1"/>
  <c r="J69" i="116"/>
  <c r="N69" i="116" s="1"/>
  <c r="M50" i="86"/>
  <c r="M46" i="106"/>
  <c r="J97" i="101"/>
  <c r="N97" i="101" s="1"/>
  <c r="R109" i="107"/>
  <c r="S109" i="107"/>
  <c r="J89" i="97"/>
  <c r="N89" i="97" s="1"/>
  <c r="J37" i="71"/>
  <c r="J95" i="113"/>
  <c r="N95" i="113" s="1"/>
  <c r="M61" i="107"/>
  <c r="J67" i="81"/>
  <c r="N67" i="81" s="1"/>
  <c r="J57" i="75"/>
  <c r="M59" i="91"/>
  <c r="K63" i="91"/>
  <c r="M50" i="83"/>
  <c r="N50" i="83" s="1"/>
  <c r="R50" i="83" s="1"/>
  <c r="S50" i="83" s="1"/>
  <c r="M32" i="71"/>
  <c r="J86" i="91"/>
  <c r="N86" i="91" s="1"/>
  <c r="K63" i="103"/>
  <c r="M59" i="103"/>
  <c r="M57" i="83"/>
  <c r="M37" i="88"/>
  <c r="M37" i="83"/>
  <c r="J96" i="100"/>
  <c r="N96" i="100" s="1"/>
  <c r="J51" i="113"/>
  <c r="N51" i="113" s="1"/>
  <c r="R51" i="113" s="1"/>
  <c r="S51" i="113" s="1"/>
  <c r="M47" i="92"/>
  <c r="J41" i="83"/>
  <c r="N61" i="106"/>
  <c r="R61" i="106" s="1"/>
  <c r="S61" i="106" s="1"/>
  <c r="J61" i="106"/>
  <c r="J68" i="99"/>
  <c r="N68" i="99" s="1"/>
  <c r="J45" i="108"/>
  <c r="N45" i="108" s="1"/>
  <c r="R45" i="108" s="1"/>
  <c r="S45" i="108" s="1"/>
  <c r="J98" i="91"/>
  <c r="N98" i="91" s="1"/>
  <c r="J80" i="76"/>
  <c r="N80" i="76" s="1"/>
  <c r="J32" i="99"/>
  <c r="J33" i="83"/>
  <c r="N33" i="83" s="1"/>
  <c r="R33" i="83" s="1"/>
  <c r="S33" i="83" s="1"/>
  <c r="M34" i="81"/>
  <c r="J35" i="71"/>
  <c r="J77" i="107"/>
  <c r="N77" i="107" s="1"/>
  <c r="J84" i="82"/>
  <c r="N84" i="82" s="1"/>
  <c r="J49" i="111"/>
  <c r="J46" i="82"/>
  <c r="J69" i="102"/>
  <c r="N69" i="102" s="1"/>
  <c r="J38" i="114"/>
  <c r="M60" i="106"/>
  <c r="M38" i="85"/>
  <c r="M53" i="75"/>
  <c r="J106" i="65"/>
  <c r="R106" i="65"/>
  <c r="S106" i="65"/>
  <c r="M50" i="105"/>
  <c r="J101" i="80"/>
  <c r="N101" i="80" s="1"/>
  <c r="M34" i="113"/>
  <c r="M57" i="84"/>
  <c r="J46" i="89"/>
  <c r="J56" i="90"/>
  <c r="N56" i="90" s="1"/>
  <c r="R56" i="90" s="1"/>
  <c r="S56" i="90" s="1"/>
  <c r="J61" i="109"/>
  <c r="N61" i="109"/>
  <c r="R61" i="109" s="1"/>
  <c r="S61" i="109" s="1"/>
  <c r="J70" i="80"/>
  <c r="N70" i="80" s="1"/>
  <c r="J47" i="92"/>
  <c r="J51" i="109"/>
  <c r="M41" i="107"/>
  <c r="J52" i="97"/>
  <c r="M35" i="65"/>
  <c r="M41" i="98"/>
  <c r="J103" i="100"/>
  <c r="N103" i="100" s="1"/>
  <c r="J101" i="65"/>
  <c r="N101" i="65" s="1"/>
  <c r="S110" i="103"/>
  <c r="R110" i="103"/>
  <c r="J110" i="103"/>
  <c r="J41" i="82"/>
  <c r="N41" i="82" s="1"/>
  <c r="R41" i="82" s="1"/>
  <c r="S41" i="82" s="1"/>
  <c r="J91" i="91"/>
  <c r="N91" i="91" s="1"/>
  <c r="J68" i="115"/>
  <c r="N68" i="115" s="1"/>
  <c r="J66" i="83"/>
  <c r="N66" i="83" s="1"/>
  <c r="J93" i="87"/>
  <c r="N93" i="87" s="1"/>
  <c r="J90" i="88"/>
  <c r="N90" i="88" s="1"/>
  <c r="J32" i="72"/>
  <c r="J49" i="76"/>
  <c r="J46" i="117"/>
  <c r="M49" i="72"/>
  <c r="N49" i="72" s="1"/>
  <c r="R49" i="72" s="1"/>
  <c r="S49" i="72" s="1"/>
  <c r="J38" i="73"/>
  <c r="N38" i="73" s="1"/>
  <c r="R38" i="73" s="1"/>
  <c r="S38" i="73" s="1"/>
  <c r="M37" i="113"/>
  <c r="M57" i="105"/>
  <c r="M48" i="91"/>
  <c r="J77" i="78"/>
  <c r="N77" i="78" s="1"/>
  <c r="J35" i="113"/>
  <c r="J67" i="102"/>
  <c r="N67" i="102" s="1"/>
  <c r="S108" i="75"/>
  <c r="J108" i="75"/>
  <c r="R108" i="75"/>
  <c r="M55" i="77"/>
  <c r="M60" i="114"/>
  <c r="J60" i="89"/>
  <c r="N60" i="89"/>
  <c r="R60" i="89" s="1"/>
  <c r="S60" i="89" s="1"/>
  <c r="J75" i="81"/>
  <c r="N75" i="81" s="1"/>
  <c r="J34" i="105"/>
  <c r="J66" i="116"/>
  <c r="N66" i="116" s="1"/>
  <c r="J82" i="88"/>
  <c r="N82" i="88" s="1"/>
  <c r="J70" i="110"/>
  <c r="N70" i="110" s="1"/>
  <c r="J103" i="78"/>
  <c r="N103" i="78" s="1"/>
  <c r="M51" i="90"/>
  <c r="J103" i="88"/>
  <c r="N103" i="88" s="1"/>
  <c r="J103" i="71"/>
  <c r="N103" i="71" s="1"/>
  <c r="M62" i="78"/>
  <c r="J75" i="76"/>
  <c r="N75" i="76" s="1"/>
  <c r="M45" i="83"/>
  <c r="J68" i="75"/>
  <c r="N68" i="75" s="1"/>
  <c r="J51" i="74"/>
  <c r="N51" i="74" s="1"/>
  <c r="R51" i="74" s="1"/>
  <c r="S51" i="74" s="1"/>
  <c r="R106" i="80"/>
  <c r="S106" i="80"/>
  <c r="J106" i="80"/>
  <c r="J78" i="97"/>
  <c r="N78" i="97" s="1"/>
  <c r="J86" i="84"/>
  <c r="N86" i="84" s="1"/>
  <c r="J72" i="92"/>
  <c r="N72" i="92" s="1"/>
  <c r="N62" i="115"/>
  <c r="R62" i="115" s="1"/>
  <c r="S62" i="115" s="1"/>
  <c r="J62" i="115"/>
  <c r="J86" i="77"/>
  <c r="N86" i="77" s="1"/>
  <c r="J72" i="98"/>
  <c r="N72" i="98" s="1"/>
  <c r="J99" i="85"/>
  <c r="N99" i="85" s="1"/>
  <c r="J54" i="97"/>
  <c r="N54" i="97" s="1"/>
  <c r="R54" i="97" s="1"/>
  <c r="S54" i="97" s="1"/>
  <c r="J77" i="72"/>
  <c r="N77" i="72" s="1"/>
  <c r="J93" i="110"/>
  <c r="N93" i="110" s="1"/>
  <c r="M44" i="78"/>
  <c r="J102" i="97"/>
  <c r="N102" i="97" s="1"/>
  <c r="M49" i="91"/>
  <c r="M61" i="114"/>
  <c r="M54" i="76"/>
  <c r="J34" i="110"/>
  <c r="N34" i="110" s="1"/>
  <c r="R34" i="110" s="1"/>
  <c r="S34" i="110" s="1"/>
  <c r="M50" i="89"/>
  <c r="J104" i="99"/>
  <c r="N104" i="99" s="1"/>
  <c r="M47" i="75"/>
  <c r="M47" i="76"/>
  <c r="J42" i="107"/>
  <c r="J71" i="99"/>
  <c r="N71" i="99" s="1"/>
  <c r="J19" i="54"/>
  <c r="J84" i="79"/>
  <c r="N84" i="79" s="1"/>
  <c r="J49" i="101"/>
  <c r="J41" i="106"/>
  <c r="J87" i="92"/>
  <c r="N87" i="92" s="1"/>
  <c r="J66" i="90"/>
  <c r="N66" i="90" s="1"/>
  <c r="M41" i="92"/>
  <c r="M38" i="92"/>
  <c r="M36" i="107"/>
  <c r="J92" i="65"/>
  <c r="N92" i="65" s="1"/>
  <c r="J73" i="81"/>
  <c r="N73" i="81" s="1"/>
  <c r="J89" i="79"/>
  <c r="N89" i="79" s="1"/>
  <c r="J98" i="107"/>
  <c r="N98" i="107" s="1"/>
  <c r="M59" i="110"/>
  <c r="K63" i="110"/>
  <c r="J102" i="101"/>
  <c r="N102" i="101" s="1"/>
  <c r="J41" i="90"/>
  <c r="N41" i="90" s="1"/>
  <c r="R41" i="90" s="1"/>
  <c r="S41" i="90" s="1"/>
  <c r="J62" i="97"/>
  <c r="N62" i="97"/>
  <c r="R62" i="97" s="1"/>
  <c r="S62" i="97" s="1"/>
  <c r="M36" i="80"/>
  <c r="J50" i="104"/>
  <c r="N50" i="104" s="1"/>
  <c r="R50" i="104" s="1"/>
  <c r="S50" i="104" s="1"/>
  <c r="M57" i="101"/>
  <c r="J67" i="108"/>
  <c r="N67" i="108" s="1"/>
  <c r="M43" i="113"/>
  <c r="M49" i="71"/>
  <c r="J32" i="89"/>
  <c r="J38" i="88"/>
  <c r="N38" i="88" s="1"/>
  <c r="R38" i="88" s="1"/>
  <c r="S38" i="88" s="1"/>
  <c r="M49" i="101"/>
  <c r="J38" i="65"/>
  <c r="M42" i="103"/>
  <c r="J42" i="65"/>
  <c r="J104" i="110"/>
  <c r="N104" i="110" s="1"/>
  <c r="M61" i="84"/>
  <c r="J33" i="76"/>
  <c r="N33" i="76" s="1"/>
  <c r="R33" i="76" s="1"/>
  <c r="S33" i="76" s="1"/>
  <c r="J45" i="103"/>
  <c r="J88" i="116"/>
  <c r="N88" i="116" s="1"/>
  <c r="M43" i="98"/>
  <c r="M32" i="114"/>
  <c r="M41" i="97"/>
  <c r="J59" i="105"/>
  <c r="N59" i="105"/>
  <c r="G63" i="105"/>
  <c r="M51" i="117"/>
  <c r="J51" i="103"/>
  <c r="J83" i="97"/>
  <c r="N83" i="97" s="1"/>
  <c r="R106" i="98"/>
  <c r="J106" i="98"/>
  <c r="S106" i="98"/>
  <c r="J37" i="115"/>
  <c r="N37" i="115" s="1"/>
  <c r="R37" i="115" s="1"/>
  <c r="S37" i="115" s="1"/>
  <c r="M37" i="74"/>
  <c r="M46" i="80"/>
  <c r="J39" i="98"/>
  <c r="N39" i="98" s="1"/>
  <c r="R39" i="98" s="1"/>
  <c r="S39" i="98" s="1"/>
  <c r="M36" i="117"/>
  <c r="J98" i="89"/>
  <c r="N98" i="89" s="1"/>
  <c r="J60" i="80"/>
  <c r="N60" i="80"/>
  <c r="R60" i="80" s="1"/>
  <c r="S60" i="80" s="1"/>
  <c r="J97" i="109"/>
  <c r="N97" i="109" s="1"/>
  <c r="J35" i="65"/>
  <c r="N35" i="65" s="1"/>
  <c r="R35" i="65" s="1"/>
  <c r="S35" i="65" s="1"/>
  <c r="M43" i="97"/>
  <c r="J82" i="104"/>
  <c r="N82" i="104" s="1"/>
  <c r="M33" i="114"/>
  <c r="J86" i="105"/>
  <c r="N86" i="105" s="1"/>
  <c r="J54" i="81"/>
  <c r="J102" i="106"/>
  <c r="N102" i="106" s="1"/>
  <c r="J84" i="104"/>
  <c r="N84" i="104" s="1"/>
  <c r="J95" i="88"/>
  <c r="N95" i="88" s="1"/>
  <c r="J45" i="110"/>
  <c r="J87" i="75"/>
  <c r="N87" i="75" s="1"/>
  <c r="J42" i="116"/>
  <c r="N42" i="116" s="1"/>
  <c r="R42" i="116" s="1"/>
  <c r="S42" i="116" s="1"/>
  <c r="J62" i="76"/>
  <c r="N62" i="76"/>
  <c r="R62" i="76" s="1"/>
  <c r="S62" i="76" s="1"/>
  <c r="J38" i="83"/>
  <c r="J97" i="104"/>
  <c r="N97" i="104" s="1"/>
  <c r="M54" i="109"/>
  <c r="J82" i="75"/>
  <c r="N82" i="75" s="1"/>
  <c r="J96" i="79"/>
  <c r="N96" i="79" s="1"/>
  <c r="J94" i="75"/>
  <c r="N94" i="75" s="1"/>
  <c r="M53" i="90"/>
  <c r="J96" i="81"/>
  <c r="N96" i="81" s="1"/>
  <c r="M62" i="109"/>
  <c r="M40" i="110"/>
  <c r="J75" i="84"/>
  <c r="N75" i="84" s="1"/>
  <c r="M45" i="80"/>
  <c r="M51" i="73"/>
  <c r="M61" i="117"/>
  <c r="J41" i="99"/>
  <c r="J70" i="103"/>
  <c r="N70" i="103" s="1"/>
  <c r="J47" i="75"/>
  <c r="N47" i="75" s="1"/>
  <c r="R47" i="75" s="1"/>
  <c r="S47" i="75" s="1"/>
  <c r="J95" i="106"/>
  <c r="N95" i="106" s="1"/>
  <c r="J37" i="75"/>
  <c r="N37" i="75" s="1"/>
  <c r="R37" i="75" s="1"/>
  <c r="S37" i="75" s="1"/>
  <c r="J34" i="97"/>
  <c r="J65" i="76"/>
  <c r="G111" i="76"/>
  <c r="J92" i="79"/>
  <c r="N92" i="79" s="1"/>
  <c r="M52" i="71"/>
  <c r="M55" i="80"/>
  <c r="J47" i="84"/>
  <c r="J82" i="86"/>
  <c r="N82" i="86" s="1"/>
  <c r="J67" i="99"/>
  <c r="N67" i="99" s="1"/>
  <c r="O19" i="54"/>
  <c r="M32" i="92"/>
  <c r="J67" i="97"/>
  <c r="N67" i="97" s="1"/>
  <c r="J67" i="77"/>
  <c r="N67" i="77" s="1"/>
  <c r="M61" i="101"/>
  <c r="J33" i="84"/>
  <c r="N33" i="84" s="1"/>
  <c r="R33" i="84" s="1"/>
  <c r="S33" i="84" s="1"/>
  <c r="J83" i="116"/>
  <c r="N83" i="116" s="1"/>
  <c r="M62" i="84"/>
  <c r="J82" i="72"/>
  <c r="N82" i="72" s="1"/>
  <c r="J57" i="91"/>
  <c r="N57" i="91" s="1"/>
  <c r="R57" i="91" s="1"/>
  <c r="S57" i="91" s="1"/>
  <c r="J40" i="103"/>
  <c r="J67" i="89"/>
  <c r="N67" i="89" s="1"/>
  <c r="M52" i="82"/>
  <c r="J35" i="105"/>
  <c r="N35" i="105" s="1"/>
  <c r="R35" i="105" s="1"/>
  <c r="S35" i="105" s="1"/>
  <c r="J87" i="79"/>
  <c r="N87" i="79" s="1"/>
  <c r="J43" i="85"/>
  <c r="J61" i="108"/>
  <c r="N61" i="108"/>
  <c r="R61" i="108" s="1"/>
  <c r="S61" i="108" s="1"/>
  <c r="J67" i="116"/>
  <c r="N67" i="116" s="1"/>
  <c r="J76" i="102"/>
  <c r="N76" i="102" s="1"/>
  <c r="J85" i="102"/>
  <c r="N85" i="102" s="1"/>
  <c r="J80" i="77"/>
  <c r="N80" i="77" s="1"/>
  <c r="J86" i="87"/>
  <c r="N86" i="87" s="1"/>
  <c r="S108" i="110"/>
  <c r="R108" i="110"/>
  <c r="J108" i="110"/>
  <c r="J81" i="104"/>
  <c r="N81" i="104" s="1"/>
  <c r="M40" i="104"/>
  <c r="J102" i="102"/>
  <c r="N102" i="102" s="1"/>
  <c r="J100" i="78"/>
  <c r="N100" i="78" s="1"/>
  <c r="R110" i="109"/>
  <c r="J110" i="109"/>
  <c r="S110" i="109"/>
  <c r="M54" i="83"/>
  <c r="N54" i="83" s="1"/>
  <c r="R54" i="83" s="1"/>
  <c r="S54" i="83" s="1"/>
  <c r="J75" i="83"/>
  <c r="N75" i="83" s="1"/>
  <c r="M38" i="79"/>
  <c r="N38" i="79" s="1"/>
  <c r="R38" i="79" s="1"/>
  <c r="S38" i="79" s="1"/>
  <c r="J101" i="90"/>
  <c r="N101" i="90" s="1"/>
  <c r="R106" i="100"/>
  <c r="R111" i="100" s="1"/>
  <c r="S106" i="100"/>
  <c r="S111" i="100" s="1"/>
  <c r="J106" i="100"/>
  <c r="J48" i="101"/>
  <c r="DW19" i="54"/>
  <c r="J97" i="74"/>
  <c r="N97" i="74" s="1"/>
  <c r="J56" i="65"/>
  <c r="N56" i="65" s="1"/>
  <c r="R56" i="65" s="1"/>
  <c r="S56" i="65" s="1"/>
  <c r="S110" i="115"/>
  <c r="R110" i="115"/>
  <c r="J110" i="115"/>
  <c r="M57" i="111"/>
  <c r="M37" i="82"/>
  <c r="M39" i="72"/>
  <c r="J38" i="98"/>
  <c r="N38" i="98" s="1"/>
  <c r="R38" i="98" s="1"/>
  <c r="S38" i="98" s="1"/>
  <c r="M36" i="91"/>
  <c r="J57" i="102"/>
  <c r="N57" i="102" s="1"/>
  <c r="R57" i="102" s="1"/>
  <c r="S57" i="102" s="1"/>
  <c r="J101" i="116"/>
  <c r="N101" i="116" s="1"/>
  <c r="J92" i="80"/>
  <c r="N92" i="80" s="1"/>
  <c r="J40" i="77"/>
  <c r="N40" i="77" s="1"/>
  <c r="R40" i="77" s="1"/>
  <c r="S40" i="77" s="1"/>
  <c r="J70" i="107"/>
  <c r="N70" i="107" s="1"/>
  <c r="R109" i="81"/>
  <c r="J109" i="81"/>
  <c r="N109" i="81" s="1"/>
  <c r="S109" i="81"/>
  <c r="J35" i="74"/>
  <c r="J44" i="73"/>
  <c r="J75" i="78"/>
  <c r="N75" i="78" s="1"/>
  <c r="N62" i="117"/>
  <c r="R62" i="117" s="1"/>
  <c r="S62" i="117" s="1"/>
  <c r="J62" i="117"/>
  <c r="M33" i="92"/>
  <c r="M47" i="86"/>
  <c r="J41" i="108"/>
  <c r="M34" i="107"/>
  <c r="J85" i="83"/>
  <c r="N85" i="83" s="1"/>
  <c r="J80" i="82"/>
  <c r="N80" i="82" s="1"/>
  <c r="J59" i="107"/>
  <c r="N59" i="107"/>
  <c r="G63" i="107"/>
  <c r="J83" i="109"/>
  <c r="N83" i="109" s="1"/>
  <c r="M55" i="89"/>
  <c r="J66" i="91"/>
  <c r="N66" i="91" s="1"/>
  <c r="J95" i="78"/>
  <c r="N95" i="78" s="1"/>
  <c r="S107" i="80"/>
  <c r="J107" i="80"/>
  <c r="R107" i="80"/>
  <c r="J36" i="99"/>
  <c r="J80" i="65"/>
  <c r="N80" i="65" s="1"/>
  <c r="M48" i="114"/>
  <c r="J81" i="80"/>
  <c r="N81" i="80" s="1"/>
  <c r="M48" i="87"/>
  <c r="J57" i="74"/>
  <c r="N57" i="74" s="1"/>
  <c r="R57" i="74" s="1"/>
  <c r="S57" i="74" s="1"/>
  <c r="J91" i="86"/>
  <c r="N91" i="86" s="1"/>
  <c r="M42" i="98"/>
  <c r="J86" i="101"/>
  <c r="N86" i="101" s="1"/>
  <c r="J54" i="108"/>
  <c r="N54" i="108" s="1"/>
  <c r="R54" i="108" s="1"/>
  <c r="S54" i="108" s="1"/>
  <c r="J57" i="108"/>
  <c r="J95" i="100"/>
  <c r="N95" i="100" s="1"/>
  <c r="M55" i="92"/>
  <c r="J93" i="92"/>
  <c r="N93" i="92" s="1"/>
  <c r="J87" i="91"/>
  <c r="N87" i="91" s="1"/>
  <c r="J62" i="78"/>
  <c r="N62" i="78"/>
  <c r="R62" i="78" s="1"/>
  <c r="S62" i="78" s="1"/>
  <c r="J39" i="102"/>
  <c r="N39" i="102" s="1"/>
  <c r="R39" i="102" s="1"/>
  <c r="S39" i="102" s="1"/>
  <c r="J32" i="90"/>
  <c r="J81" i="74"/>
  <c r="N81" i="74" s="1"/>
  <c r="J82" i="113"/>
  <c r="N82" i="113" s="1"/>
  <c r="J44" i="92"/>
  <c r="J76" i="90"/>
  <c r="N76" i="90" s="1"/>
  <c r="J35" i="98"/>
  <c r="J70" i="115"/>
  <c r="N70" i="115" s="1"/>
  <c r="N61" i="103"/>
  <c r="R61" i="103" s="1"/>
  <c r="S61" i="103" s="1"/>
  <c r="J61" i="103"/>
  <c r="J103" i="99"/>
  <c r="N103" i="99" s="1"/>
  <c r="J68" i="83"/>
  <c r="N68" i="83" s="1"/>
  <c r="J59" i="77"/>
  <c r="N59" i="77"/>
  <c r="G63" i="77"/>
  <c r="J99" i="72"/>
  <c r="N99" i="72" s="1"/>
  <c r="J98" i="85"/>
  <c r="N98" i="85" s="1"/>
  <c r="M61" i="111"/>
  <c r="J91" i="72"/>
  <c r="N91" i="72" s="1"/>
  <c r="J96" i="91"/>
  <c r="N96" i="91" s="1"/>
  <c r="S110" i="85"/>
  <c r="R110" i="85"/>
  <c r="J110" i="85"/>
  <c r="J37" i="106"/>
  <c r="J40" i="99"/>
  <c r="N40" i="99" s="1"/>
  <c r="R40" i="99" s="1"/>
  <c r="S40" i="99" s="1"/>
  <c r="M50" i="111"/>
  <c r="J68" i="104"/>
  <c r="N68" i="104" s="1"/>
  <c r="M49" i="78"/>
  <c r="J57" i="103"/>
  <c r="N57" i="103" s="1"/>
  <c r="R57" i="103" s="1"/>
  <c r="S57" i="103" s="1"/>
  <c r="J38" i="110"/>
  <c r="J67" i="78"/>
  <c r="N67" i="78" s="1"/>
  <c r="M41" i="117"/>
  <c r="M38" i="75"/>
  <c r="J102" i="111"/>
  <c r="N102" i="111" s="1"/>
  <c r="N59" i="90"/>
  <c r="G63" i="90"/>
  <c r="J59" i="90"/>
  <c r="J86" i="83"/>
  <c r="N86" i="83" s="1"/>
  <c r="J71" i="105"/>
  <c r="N71" i="105" s="1"/>
  <c r="J70" i="88"/>
  <c r="N70" i="88" s="1"/>
  <c r="J91" i="114"/>
  <c r="N91" i="114" s="1"/>
  <c r="J108" i="89"/>
  <c r="R108" i="89"/>
  <c r="S108" i="89"/>
  <c r="J34" i="91"/>
  <c r="N34" i="91" s="1"/>
  <c r="R34" i="91" s="1"/>
  <c r="S34" i="91" s="1"/>
  <c r="M47" i="111"/>
  <c r="N47" i="111" s="1"/>
  <c r="R47" i="111" s="1"/>
  <c r="S47" i="111" s="1"/>
  <c r="J57" i="105"/>
  <c r="J40" i="88"/>
  <c r="J108" i="73"/>
  <c r="S108" i="73"/>
  <c r="R108" i="73"/>
  <c r="J71" i="103"/>
  <c r="N71" i="103" s="1"/>
  <c r="J106" i="117"/>
  <c r="S106" i="117"/>
  <c r="R106" i="117"/>
  <c r="J94" i="100"/>
  <c r="N94" i="100" s="1"/>
  <c r="J42" i="97"/>
  <c r="M33" i="104"/>
  <c r="M37" i="114"/>
  <c r="M52" i="114"/>
  <c r="M34" i="108"/>
  <c r="J42" i="72"/>
  <c r="J42" i="87"/>
  <c r="J83" i="103"/>
  <c r="N83" i="103" s="1"/>
  <c r="J73" i="71"/>
  <c r="N73" i="71" s="1"/>
  <c r="M49" i="100"/>
  <c r="J72" i="77"/>
  <c r="N72" i="77" s="1"/>
  <c r="M61" i="74"/>
  <c r="M57" i="108"/>
  <c r="J66" i="100"/>
  <c r="N66" i="100" s="1"/>
  <c r="J56" i="113"/>
  <c r="J48" i="75"/>
  <c r="N48" i="75" s="1"/>
  <c r="R48" i="75" s="1"/>
  <c r="S48" i="75" s="1"/>
  <c r="J65" i="99"/>
  <c r="G111" i="99"/>
  <c r="J54" i="72"/>
  <c r="N54" i="72" s="1"/>
  <c r="R54" i="72" s="1"/>
  <c r="S54" i="72" s="1"/>
  <c r="M61" i="79"/>
  <c r="J45" i="88"/>
  <c r="N45" i="88" s="1"/>
  <c r="R45" i="88" s="1"/>
  <c r="S45" i="88" s="1"/>
  <c r="J66" i="110"/>
  <c r="N66" i="110" s="1"/>
  <c r="J102" i="107"/>
  <c r="N102" i="107" s="1"/>
  <c r="M35" i="79"/>
  <c r="J76" i="106"/>
  <c r="N76" i="106" s="1"/>
  <c r="J48" i="92"/>
  <c r="J32" i="97"/>
  <c r="N32" i="97" s="1"/>
  <c r="J106" i="76"/>
  <c r="S106" i="76"/>
  <c r="R106" i="76"/>
  <c r="J103" i="111"/>
  <c r="N103" i="111" s="1"/>
  <c r="J102" i="99"/>
  <c r="N102" i="99" s="1"/>
  <c r="J37" i="88"/>
  <c r="J46" i="78"/>
  <c r="J83" i="90"/>
  <c r="N83" i="90" s="1"/>
  <c r="J56" i="76"/>
  <c r="N56" i="76" s="1"/>
  <c r="R56" i="76" s="1"/>
  <c r="S56" i="76" s="1"/>
  <c r="J69" i="80"/>
  <c r="N69" i="80" s="1"/>
  <c r="J61" i="90"/>
  <c r="N61" i="90"/>
  <c r="R61" i="90" s="1"/>
  <c r="S61" i="90" s="1"/>
  <c r="M38" i="82"/>
  <c r="J98" i="115"/>
  <c r="N98" i="115" s="1"/>
  <c r="M49" i="92"/>
  <c r="J76" i="71"/>
  <c r="N76" i="71" s="1"/>
  <c r="M35" i="71"/>
  <c r="J35" i="85"/>
  <c r="M54" i="91"/>
  <c r="J100" i="65"/>
  <c r="N100" i="65" s="1"/>
  <c r="M42" i="108"/>
  <c r="M34" i="85"/>
  <c r="J89" i="89"/>
  <c r="N89" i="89" s="1"/>
  <c r="J107" i="108"/>
  <c r="S107" i="108"/>
  <c r="R107" i="108"/>
  <c r="J110" i="87"/>
  <c r="S110" i="87"/>
  <c r="R110" i="87"/>
  <c r="M62" i="79"/>
  <c r="J75" i="116"/>
  <c r="N75" i="116" s="1"/>
  <c r="M35" i="104"/>
  <c r="M42" i="113"/>
  <c r="M47" i="84"/>
  <c r="M32" i="83"/>
  <c r="J51" i="90"/>
  <c r="N51" i="90" s="1"/>
  <c r="R51" i="90" s="1"/>
  <c r="S51" i="90" s="1"/>
  <c r="J72" i="115"/>
  <c r="N72" i="115" s="1"/>
  <c r="J55" i="89"/>
  <c r="J83" i="72"/>
  <c r="N83" i="72" s="1"/>
  <c r="M42" i="97"/>
  <c r="J95" i="110"/>
  <c r="N95" i="110" s="1"/>
  <c r="J61" i="89"/>
  <c r="N61" i="89"/>
  <c r="R61" i="89" s="1"/>
  <c r="S61" i="89" s="1"/>
  <c r="M40" i="65"/>
  <c r="J67" i="115"/>
  <c r="N67" i="115" s="1"/>
  <c r="J66" i="65"/>
  <c r="N66" i="65" s="1"/>
  <c r="J36" i="114"/>
  <c r="M34" i="89"/>
  <c r="N34" i="89" s="1"/>
  <c r="R34" i="89" s="1"/>
  <c r="S34" i="89" s="1"/>
  <c r="J71" i="72"/>
  <c r="N71" i="72" s="1"/>
  <c r="M61" i="80"/>
  <c r="J95" i="117"/>
  <c r="N95" i="117" s="1"/>
  <c r="M42" i="87"/>
  <c r="J33" i="72"/>
  <c r="N33" i="72" s="1"/>
  <c r="R33" i="72" s="1"/>
  <c r="S33" i="72" s="1"/>
  <c r="J68" i="84"/>
  <c r="N68" i="84" s="1"/>
  <c r="J66" i="88"/>
  <c r="N66" i="88" s="1"/>
  <c r="J74" i="107"/>
  <c r="N74" i="107" s="1"/>
  <c r="J81" i="77"/>
  <c r="N81" i="77" s="1"/>
  <c r="J101" i="84"/>
  <c r="N101" i="84" s="1"/>
  <c r="J51" i="106"/>
  <c r="N51" i="106" s="1"/>
  <c r="R51" i="106" s="1"/>
  <c r="S51" i="106" s="1"/>
  <c r="J51" i="102"/>
  <c r="J103" i="106"/>
  <c r="N103" i="106" s="1"/>
  <c r="R106" i="109"/>
  <c r="S106" i="109"/>
  <c r="J106" i="109"/>
  <c r="M39" i="85"/>
  <c r="J79" i="113"/>
  <c r="N79" i="113" s="1"/>
  <c r="J89" i="84"/>
  <c r="N89" i="84" s="1"/>
  <c r="J89" i="88"/>
  <c r="N89" i="88" s="1"/>
  <c r="G63" i="103"/>
  <c r="J59" i="103"/>
  <c r="N59" i="103"/>
  <c r="J56" i="92"/>
  <c r="J62" i="113"/>
  <c r="N62" i="113"/>
  <c r="R62" i="113" s="1"/>
  <c r="S62" i="113" s="1"/>
  <c r="J43" i="87"/>
  <c r="N43" i="87" s="1"/>
  <c r="R43" i="87" s="1"/>
  <c r="S43" i="87" s="1"/>
  <c r="M49" i="87"/>
  <c r="J36" i="89"/>
  <c r="G63" i="81"/>
  <c r="J59" i="81"/>
  <c r="J63" i="81" s="1"/>
  <c r="N59" i="81"/>
  <c r="J48" i="115"/>
  <c r="J87" i="74"/>
  <c r="N87" i="74" s="1"/>
  <c r="J85" i="92"/>
  <c r="N85" i="92" s="1"/>
  <c r="M37" i="84"/>
  <c r="M51" i="102"/>
  <c r="M42" i="84"/>
  <c r="J36" i="113"/>
  <c r="N36" i="113" s="1"/>
  <c r="R36" i="113" s="1"/>
  <c r="S36" i="113" s="1"/>
  <c r="J56" i="79"/>
  <c r="N56" i="79" s="1"/>
  <c r="R56" i="79" s="1"/>
  <c r="S56" i="79" s="1"/>
  <c r="J82" i="102"/>
  <c r="N82" i="102" s="1"/>
  <c r="J89" i="87"/>
  <c r="N89" i="87" s="1"/>
  <c r="J71" i="83"/>
  <c r="N71" i="83" s="1"/>
  <c r="J65" i="103"/>
  <c r="G111" i="103"/>
  <c r="J43" i="116"/>
  <c r="N43" i="116" s="1"/>
  <c r="R43" i="116" s="1"/>
  <c r="S43" i="116" s="1"/>
  <c r="M54" i="116"/>
  <c r="M45" i="116"/>
  <c r="J96" i="106"/>
  <c r="N96" i="106" s="1"/>
  <c r="J32" i="88"/>
  <c r="M38" i="80"/>
  <c r="M35" i="72"/>
  <c r="R107" i="65"/>
  <c r="S107" i="65"/>
  <c r="J107" i="65"/>
  <c r="J43" i="78"/>
  <c r="N43" i="78" s="1"/>
  <c r="R43" i="78" s="1"/>
  <c r="S43" i="78" s="1"/>
  <c r="J101" i="83"/>
  <c r="N101" i="83" s="1"/>
  <c r="J91" i="102"/>
  <c r="N91" i="102" s="1"/>
  <c r="J45" i="104"/>
  <c r="N45" i="104" s="1"/>
  <c r="R45" i="104" s="1"/>
  <c r="S45" i="104" s="1"/>
  <c r="J52" i="76"/>
  <c r="J74" i="92"/>
  <c r="N74" i="92" s="1"/>
  <c r="J78" i="65"/>
  <c r="N78" i="65" s="1"/>
  <c r="J43" i="100"/>
  <c r="N43" i="100" s="1"/>
  <c r="R43" i="100" s="1"/>
  <c r="S43" i="100" s="1"/>
  <c r="J66" i="78"/>
  <c r="N66" i="78" s="1"/>
  <c r="J60" i="109"/>
  <c r="N60" i="109"/>
  <c r="R60" i="109" s="1"/>
  <c r="S60" i="109" s="1"/>
  <c r="J41" i="114"/>
  <c r="J104" i="106"/>
  <c r="N104" i="106" s="1"/>
  <c r="J71" i="104"/>
  <c r="N71" i="104" s="1"/>
  <c r="M47" i="81"/>
  <c r="M46" i="75"/>
  <c r="M60" i="78"/>
  <c r="J68" i="81"/>
  <c r="N68" i="81" s="1"/>
  <c r="M32" i="103"/>
  <c r="J55" i="101"/>
  <c r="N55" i="101" s="1"/>
  <c r="R55" i="101" s="1"/>
  <c r="S55" i="101" s="1"/>
  <c r="M36" i="65"/>
  <c r="M59" i="98"/>
  <c r="K63" i="98"/>
  <c r="M33" i="87"/>
  <c r="N33" i="87" s="1"/>
  <c r="R33" i="87" s="1"/>
  <c r="S33" i="87" s="1"/>
  <c r="J44" i="78"/>
  <c r="N44" i="78" s="1"/>
  <c r="R44" i="78" s="1"/>
  <c r="S44" i="78" s="1"/>
  <c r="M39" i="65"/>
  <c r="M41" i="116"/>
  <c r="J36" i="101"/>
  <c r="J53" i="109"/>
  <c r="J53" i="97"/>
  <c r="J48" i="109"/>
  <c r="J96" i="107"/>
  <c r="N96" i="107" s="1"/>
  <c r="M60" i="89"/>
  <c r="M34" i="88"/>
  <c r="J50" i="86"/>
  <c r="J38" i="89"/>
  <c r="N38" i="89" s="1"/>
  <c r="R38" i="89" s="1"/>
  <c r="S38" i="89" s="1"/>
  <c r="J50" i="91"/>
  <c r="J38" i="85"/>
  <c r="N38" i="85" s="1"/>
  <c r="R38" i="85" s="1"/>
  <c r="S38" i="85" s="1"/>
  <c r="J47" i="78"/>
  <c r="N47" i="78" s="1"/>
  <c r="R47" i="78" s="1"/>
  <c r="S47" i="78" s="1"/>
  <c r="J109" i="91"/>
  <c r="N109" i="91" s="1"/>
  <c r="R109" i="91"/>
  <c r="S109" i="91"/>
  <c r="M33" i="116"/>
  <c r="J73" i="98"/>
  <c r="N73" i="98" s="1"/>
  <c r="M43" i="72"/>
  <c r="M48" i="76"/>
  <c r="J40" i="114"/>
  <c r="N40" i="114" s="1"/>
  <c r="R40" i="114" s="1"/>
  <c r="S40" i="114" s="1"/>
  <c r="J84" i="65"/>
  <c r="N84" i="65" s="1"/>
  <c r="J101" i="85"/>
  <c r="N101" i="85" s="1"/>
  <c r="J73" i="86"/>
  <c r="N73" i="86" s="1"/>
  <c r="J87" i="90"/>
  <c r="N87" i="90" s="1"/>
  <c r="M33" i="86"/>
  <c r="J88" i="102"/>
  <c r="N88" i="102" s="1"/>
  <c r="J84" i="83"/>
  <c r="N84" i="83" s="1"/>
  <c r="J42" i="108"/>
  <c r="N42" i="108" s="1"/>
  <c r="R42" i="108" s="1"/>
  <c r="S42" i="108" s="1"/>
  <c r="J83" i="74"/>
  <c r="N83" i="74" s="1"/>
  <c r="M53" i="82"/>
  <c r="J83" i="84"/>
  <c r="N83" i="84" s="1"/>
  <c r="J65" i="82"/>
  <c r="G111" i="82"/>
  <c r="J90" i="97"/>
  <c r="N90" i="97" s="1"/>
  <c r="J55" i="81"/>
  <c r="J39" i="80"/>
  <c r="N39" i="80" s="1"/>
  <c r="R39" i="80" s="1"/>
  <c r="S39" i="80" s="1"/>
  <c r="J37" i="81"/>
  <c r="N37" i="81" s="1"/>
  <c r="R37" i="81" s="1"/>
  <c r="S37" i="81" s="1"/>
  <c r="M43" i="75"/>
  <c r="J75" i="86"/>
  <c r="N75" i="86" s="1"/>
  <c r="M46" i="78"/>
  <c r="J51" i="110"/>
  <c r="N51" i="110" s="1"/>
  <c r="R51" i="110" s="1"/>
  <c r="S51" i="110" s="1"/>
  <c r="J89" i="110"/>
  <c r="N89" i="110" s="1"/>
  <c r="J38" i="80"/>
  <c r="M61" i="100"/>
  <c r="J54" i="77"/>
  <c r="N54" i="77" s="1"/>
  <c r="R54" i="77" s="1"/>
  <c r="S54" i="77" s="1"/>
  <c r="J90" i="86"/>
  <c r="N90" i="86" s="1"/>
  <c r="J77" i="99"/>
  <c r="N77" i="99" s="1"/>
  <c r="J74" i="89"/>
  <c r="N74" i="89" s="1"/>
  <c r="J85" i="109"/>
  <c r="N85" i="109" s="1"/>
  <c r="J73" i="99"/>
  <c r="N73" i="99" s="1"/>
  <c r="J90" i="107"/>
  <c r="N90" i="107" s="1"/>
  <c r="J96" i="115"/>
  <c r="N96" i="115" s="1"/>
  <c r="J41" i="77"/>
  <c r="N41" i="77" s="1"/>
  <c r="R41" i="77" s="1"/>
  <c r="S41" i="77" s="1"/>
  <c r="G63" i="108"/>
  <c r="N59" i="108"/>
  <c r="J59" i="108"/>
  <c r="J62" i="89"/>
  <c r="N62" i="89"/>
  <c r="R62" i="89" s="1"/>
  <c r="S62" i="89" s="1"/>
  <c r="J48" i="117"/>
  <c r="M55" i="99"/>
  <c r="J67" i="114"/>
  <c r="N67" i="114" s="1"/>
  <c r="J37" i="73"/>
  <c r="J73" i="87"/>
  <c r="N73" i="87" s="1"/>
  <c r="J93" i="79"/>
  <c r="N93" i="79" s="1"/>
  <c r="J61" i="71"/>
  <c r="N61" i="71"/>
  <c r="R61" i="71" s="1"/>
  <c r="S61" i="71" s="1"/>
  <c r="M45" i="77"/>
  <c r="J45" i="109"/>
  <c r="N45" i="109" s="1"/>
  <c r="R45" i="109" s="1"/>
  <c r="S45" i="109" s="1"/>
  <c r="J91" i="88"/>
  <c r="N91" i="88" s="1"/>
  <c r="M49" i="107"/>
  <c r="M35" i="111"/>
  <c r="J35" i="88"/>
  <c r="M35" i="89"/>
  <c r="M51" i="114"/>
  <c r="J52" i="113"/>
  <c r="S110" i="97"/>
  <c r="J110" i="97"/>
  <c r="R110" i="97"/>
  <c r="J56" i="109"/>
  <c r="N56" i="109" s="1"/>
  <c r="R56" i="109" s="1"/>
  <c r="S56" i="109" s="1"/>
  <c r="J56" i="110"/>
  <c r="N56" i="110" s="1"/>
  <c r="R56" i="110" s="1"/>
  <c r="S56" i="110" s="1"/>
  <c r="M62" i="116"/>
  <c r="M63" i="116" s="1"/>
  <c r="M49" i="106"/>
  <c r="J79" i="115"/>
  <c r="N79" i="115" s="1"/>
  <c r="J50" i="77"/>
  <c r="J104" i="103"/>
  <c r="N104" i="103" s="1"/>
  <c r="J82" i="108"/>
  <c r="N82" i="108" s="1"/>
  <c r="J62" i="86"/>
  <c r="N62" i="86"/>
  <c r="R62" i="86" s="1"/>
  <c r="S62" i="86" s="1"/>
  <c r="M44" i="98"/>
  <c r="J68" i="116"/>
  <c r="N68" i="116" s="1"/>
  <c r="M43" i="74"/>
  <c r="M62" i="92"/>
  <c r="M60" i="88"/>
  <c r="J98" i="76"/>
  <c r="N98" i="76" s="1"/>
  <c r="M37" i="97"/>
  <c r="J44" i="113"/>
  <c r="M48" i="72"/>
  <c r="J75" i="104"/>
  <c r="N75" i="104" s="1"/>
  <c r="J101" i="99"/>
  <c r="N101" i="99" s="1"/>
  <c r="J84" i="91"/>
  <c r="N84" i="91" s="1"/>
  <c r="M41" i="103"/>
  <c r="M53" i="99"/>
  <c r="S107" i="85"/>
  <c r="J107" i="85"/>
  <c r="R107" i="85"/>
  <c r="M60" i="113"/>
  <c r="M48" i="92"/>
  <c r="J79" i="90"/>
  <c r="N79" i="90" s="1"/>
  <c r="J88" i="103"/>
  <c r="N88" i="103" s="1"/>
  <c r="R109" i="101"/>
  <c r="S109" i="101"/>
  <c r="J109" i="101"/>
  <c r="N109" i="101" s="1"/>
  <c r="J75" i="88"/>
  <c r="N75" i="88" s="1"/>
  <c r="M36" i="87"/>
  <c r="M39" i="82"/>
  <c r="N39" i="82" s="1"/>
  <c r="R39" i="82" s="1"/>
  <c r="S39" i="82" s="1"/>
  <c r="J39" i="100"/>
  <c r="J96" i="113"/>
  <c r="N96" i="113" s="1"/>
  <c r="J44" i="99"/>
  <c r="N44" i="99" s="1"/>
  <c r="R44" i="99" s="1"/>
  <c r="S44" i="99" s="1"/>
  <c r="J70" i="75"/>
  <c r="N70" i="75" s="1"/>
  <c r="M50" i="99"/>
  <c r="J47" i="116"/>
  <c r="N47" i="116" s="1"/>
  <c r="R47" i="116" s="1"/>
  <c r="S47" i="116" s="1"/>
  <c r="J38" i="90"/>
  <c r="N38" i="90" s="1"/>
  <c r="R38" i="90" s="1"/>
  <c r="S38" i="90" s="1"/>
  <c r="M60" i="103"/>
  <c r="J51" i="88"/>
  <c r="M48" i="89"/>
  <c r="M43" i="76"/>
  <c r="S110" i="117"/>
  <c r="J110" i="117"/>
  <c r="R110" i="117"/>
  <c r="J59" i="71"/>
  <c r="G63" i="71"/>
  <c r="N59" i="71"/>
  <c r="J84" i="102"/>
  <c r="N84" i="102" s="1"/>
  <c r="M34" i="92"/>
  <c r="J35" i="76"/>
  <c r="N35" i="76" s="1"/>
  <c r="R35" i="76" s="1"/>
  <c r="S35" i="76" s="1"/>
  <c r="J36" i="81"/>
  <c r="N36" i="81" s="1"/>
  <c r="R36" i="81" s="1"/>
  <c r="S36" i="81" s="1"/>
  <c r="J74" i="91"/>
  <c r="N74" i="91" s="1"/>
  <c r="M46" i="65"/>
  <c r="M60" i="75"/>
  <c r="R106" i="77"/>
  <c r="S106" i="77"/>
  <c r="J106" i="77"/>
  <c r="M47" i="91"/>
  <c r="J57" i="116"/>
  <c r="N57" i="116" s="1"/>
  <c r="R57" i="116" s="1"/>
  <c r="S57" i="116" s="1"/>
  <c r="M50" i="74"/>
  <c r="J102" i="86"/>
  <c r="N102" i="86" s="1"/>
  <c r="J100" i="86"/>
  <c r="N100" i="86" s="1"/>
  <c r="J35" i="99"/>
  <c r="N35" i="99" s="1"/>
  <c r="R35" i="99" s="1"/>
  <c r="S35" i="99" s="1"/>
  <c r="J90" i="87"/>
  <c r="N90" i="87" s="1"/>
  <c r="J104" i="80"/>
  <c r="N104" i="80" s="1"/>
  <c r="J70" i="90"/>
  <c r="N70" i="90" s="1"/>
  <c r="J78" i="117"/>
  <c r="N78" i="117" s="1"/>
  <c r="M52" i="76"/>
  <c r="J68" i="111"/>
  <c r="N68" i="111" s="1"/>
  <c r="J99" i="82"/>
  <c r="N99" i="82" s="1"/>
  <c r="J39" i="73"/>
  <c r="N39" i="73" s="1"/>
  <c r="R39" i="73" s="1"/>
  <c r="S39" i="73" s="1"/>
  <c r="J71" i="90"/>
  <c r="N71" i="90" s="1"/>
  <c r="J42" i="117"/>
  <c r="N42" i="117" s="1"/>
  <c r="R42" i="117" s="1"/>
  <c r="S42" i="117" s="1"/>
  <c r="J79" i="109"/>
  <c r="N79" i="109" s="1"/>
  <c r="J70" i="116"/>
  <c r="N70" i="116" s="1"/>
  <c r="J35" i="84"/>
  <c r="M35" i="74"/>
  <c r="J55" i="108"/>
  <c r="M48" i="100"/>
  <c r="J88" i="84"/>
  <c r="N88" i="84" s="1"/>
  <c r="J82" i="84"/>
  <c r="N82" i="84" s="1"/>
  <c r="J101" i="75"/>
  <c r="N101" i="75" s="1"/>
  <c r="J56" i="114"/>
  <c r="J70" i="109"/>
  <c r="N70" i="109" s="1"/>
  <c r="J66" i="85"/>
  <c r="N66" i="85" s="1"/>
  <c r="M53" i="117"/>
  <c r="J78" i="76"/>
  <c r="N78" i="76" s="1"/>
  <c r="J69" i="76"/>
  <c r="N69" i="76" s="1"/>
  <c r="J49" i="115"/>
  <c r="N49" i="115" s="1"/>
  <c r="R49" i="115" s="1"/>
  <c r="S49" i="115" s="1"/>
  <c r="J87" i="80"/>
  <c r="N87" i="80" s="1"/>
  <c r="J37" i="99"/>
  <c r="N37" i="99" s="1"/>
  <c r="R37" i="99" s="1"/>
  <c r="S37" i="99" s="1"/>
  <c r="M32" i="101"/>
  <c r="J97" i="116"/>
  <c r="N97" i="116" s="1"/>
  <c r="M33" i="71"/>
  <c r="J77" i="104"/>
  <c r="N77" i="104" s="1"/>
  <c r="J71" i="92"/>
  <c r="N71" i="92" s="1"/>
  <c r="M33" i="78"/>
  <c r="J43" i="71"/>
  <c r="J101" i="108"/>
  <c r="N101" i="108" s="1"/>
  <c r="J36" i="98"/>
  <c r="N36" i="98" s="1"/>
  <c r="R36" i="98" s="1"/>
  <c r="S36" i="98" s="1"/>
  <c r="J92" i="74"/>
  <c r="N92" i="74" s="1"/>
  <c r="J71" i="65"/>
  <c r="N71" i="65" s="1"/>
  <c r="J44" i="97"/>
  <c r="J88" i="106"/>
  <c r="N88" i="106" s="1"/>
  <c r="M61" i="108"/>
  <c r="M44" i="88"/>
  <c r="J77" i="114"/>
  <c r="N77" i="114" s="1"/>
  <c r="M53" i="83"/>
  <c r="M53" i="116"/>
  <c r="M41" i="85"/>
  <c r="J90" i="91"/>
  <c r="N90" i="91" s="1"/>
  <c r="M59" i="82"/>
  <c r="M63" i="82" s="1"/>
  <c r="K63" i="82"/>
  <c r="M41" i="99"/>
  <c r="J34" i="72"/>
  <c r="N34" i="72" s="1"/>
  <c r="R34" i="72" s="1"/>
  <c r="S34" i="72" s="1"/>
  <c r="AJ19" i="54"/>
  <c r="M35" i="109"/>
  <c r="J79" i="116"/>
  <c r="N79" i="116" s="1"/>
  <c r="J75" i="107"/>
  <c r="N75" i="107" s="1"/>
  <c r="J61" i="99"/>
  <c r="N61" i="99"/>
  <c r="R61" i="99" s="1"/>
  <c r="S61" i="99" s="1"/>
  <c r="J78" i="105"/>
  <c r="N78" i="105" s="1"/>
  <c r="M62" i="89"/>
  <c r="J86" i="107"/>
  <c r="N86" i="107" s="1"/>
  <c r="J44" i="81"/>
  <c r="J53" i="72"/>
  <c r="N53" i="72" s="1"/>
  <c r="R53" i="72" s="1"/>
  <c r="S53" i="72" s="1"/>
  <c r="M43" i="71"/>
  <c r="G111" i="117"/>
  <c r="J65" i="117"/>
  <c r="M40" i="88"/>
  <c r="J92" i="75"/>
  <c r="N92" i="75" s="1"/>
  <c r="J57" i="107"/>
  <c r="J34" i="115"/>
  <c r="J91" i="92"/>
  <c r="N91" i="92" s="1"/>
  <c r="J42" i="106"/>
  <c r="J33" i="73"/>
  <c r="N33" i="73" s="1"/>
  <c r="R33" i="73" s="1"/>
  <c r="S33" i="73" s="1"/>
  <c r="J103" i="97"/>
  <c r="N103" i="97" s="1"/>
  <c r="J52" i="111"/>
  <c r="N52" i="111" s="1"/>
  <c r="R52" i="111" s="1"/>
  <c r="S52" i="111" s="1"/>
  <c r="J66" i="113"/>
  <c r="N66" i="113" s="1"/>
  <c r="M57" i="74"/>
  <c r="I19" i="54"/>
  <c r="I18" i="54"/>
  <c r="M50" i="72"/>
  <c r="M40" i="108"/>
  <c r="J45" i="77"/>
  <c r="N45" i="77" s="1"/>
  <c r="R45" i="77" s="1"/>
  <c r="S45" i="77" s="1"/>
  <c r="J54" i="103"/>
  <c r="N54" i="103" s="1"/>
  <c r="R54" i="103" s="1"/>
  <c r="S54" i="103" s="1"/>
  <c r="M41" i="102"/>
  <c r="J94" i="89"/>
  <c r="N94" i="89" s="1"/>
  <c r="J40" i="92"/>
  <c r="J96" i="103"/>
  <c r="N96" i="103" s="1"/>
  <c r="M46" i="88"/>
  <c r="J87" i="106"/>
  <c r="N87" i="106" s="1"/>
  <c r="M56" i="71"/>
  <c r="J54" i="78"/>
  <c r="N54" i="78" s="1"/>
  <c r="R54" i="78" s="1"/>
  <c r="S54" i="78" s="1"/>
  <c r="R110" i="88"/>
  <c r="J110" i="88"/>
  <c r="S110" i="88"/>
  <c r="J102" i="82"/>
  <c r="N102" i="82" s="1"/>
  <c r="J80" i="100"/>
  <c r="N80" i="100" s="1"/>
  <c r="N62" i="71"/>
  <c r="R62" i="71" s="1"/>
  <c r="S62" i="71" s="1"/>
  <c r="J62" i="71"/>
  <c r="J51" i="115"/>
  <c r="J81" i="72"/>
  <c r="N81" i="72" s="1"/>
  <c r="J40" i="79"/>
  <c r="M48" i="81"/>
  <c r="J90" i="115"/>
  <c r="N90" i="115" s="1"/>
  <c r="J32" i="73"/>
  <c r="J60" i="100"/>
  <c r="N60" i="100"/>
  <c r="R60" i="100" s="1"/>
  <c r="S60" i="100" s="1"/>
  <c r="J82" i="107"/>
  <c r="N82" i="107" s="1"/>
  <c r="J41" i="87"/>
  <c r="J107" i="87"/>
  <c r="R107" i="87"/>
  <c r="S107" i="87"/>
  <c r="J100" i="103"/>
  <c r="N100" i="103" s="1"/>
  <c r="J88" i="72"/>
  <c r="N88" i="72" s="1"/>
  <c r="J85" i="73"/>
  <c r="N85" i="73" s="1"/>
  <c r="K63" i="92"/>
  <c r="M59" i="92"/>
  <c r="J44" i="72"/>
  <c r="N44" i="72" s="1"/>
  <c r="R44" i="72" s="1"/>
  <c r="S44" i="72" s="1"/>
  <c r="M48" i="106"/>
  <c r="J56" i="81"/>
  <c r="N56" i="81" s="1"/>
  <c r="R56" i="81" s="1"/>
  <c r="S56" i="81" s="1"/>
  <c r="J89" i="76"/>
  <c r="N89" i="76" s="1"/>
  <c r="J79" i="91"/>
  <c r="N79" i="91" s="1"/>
  <c r="J41" i="117"/>
  <c r="N41" i="117" s="1"/>
  <c r="R41" i="117" s="1"/>
  <c r="S41" i="117" s="1"/>
  <c r="J32" i="106"/>
  <c r="J87" i="84"/>
  <c r="N87" i="84" s="1"/>
  <c r="J77" i="77"/>
  <c r="N77" i="77" s="1"/>
  <c r="J82" i="74"/>
  <c r="N82" i="74" s="1"/>
  <c r="J38" i="81"/>
  <c r="J78" i="92"/>
  <c r="N78" i="92" s="1"/>
  <c r="J68" i="102"/>
  <c r="N68" i="102" s="1"/>
  <c r="J92" i="99"/>
  <c r="N92" i="99" s="1"/>
  <c r="K63" i="106"/>
  <c r="M59" i="106"/>
  <c r="M52" i="108"/>
  <c r="M45" i="82"/>
  <c r="K63" i="105"/>
  <c r="M59" i="105"/>
  <c r="J102" i="116"/>
  <c r="N102" i="116" s="1"/>
  <c r="J79" i="72"/>
  <c r="N79" i="72" s="1"/>
  <c r="M44" i="117"/>
  <c r="M35" i="102"/>
  <c r="J95" i="75"/>
  <c r="N95" i="75" s="1"/>
  <c r="J48" i="105"/>
  <c r="J90" i="78"/>
  <c r="N90" i="78" s="1"/>
  <c r="J73" i="109"/>
  <c r="N73" i="109" s="1"/>
  <c r="J33" i="65"/>
  <c r="N33" i="65" s="1"/>
  <c r="R33" i="65" s="1"/>
  <c r="S33" i="65" s="1"/>
  <c r="J81" i="97"/>
  <c r="N81" i="97" s="1"/>
  <c r="J49" i="78"/>
  <c r="N49" i="78" s="1"/>
  <c r="R49" i="78" s="1"/>
  <c r="S49" i="78" s="1"/>
  <c r="J80" i="108"/>
  <c r="N80" i="108" s="1"/>
  <c r="J71" i="98"/>
  <c r="N71" i="98" s="1"/>
  <c r="J52" i="89"/>
  <c r="J76" i="89"/>
  <c r="N76" i="89" s="1"/>
  <c r="J42" i="88"/>
  <c r="N42" i="88" s="1"/>
  <c r="R42" i="88" s="1"/>
  <c r="S42" i="88" s="1"/>
  <c r="J81" i="115"/>
  <c r="N81" i="115" s="1"/>
  <c r="J36" i="79"/>
  <c r="N36" i="79" s="1"/>
  <c r="R36" i="79" s="1"/>
  <c r="S36" i="79" s="1"/>
  <c r="J71" i="111"/>
  <c r="N71" i="111" s="1"/>
  <c r="J37" i="90"/>
  <c r="N37" i="90" s="1"/>
  <c r="R37" i="90" s="1"/>
  <c r="S37" i="90" s="1"/>
  <c r="M61" i="82"/>
  <c r="J48" i="84"/>
  <c r="N61" i="84"/>
  <c r="R61" i="84" s="1"/>
  <c r="S61" i="84" s="1"/>
  <c r="J61" i="84"/>
  <c r="J41" i="113"/>
  <c r="N41" i="113" s="1"/>
  <c r="R41" i="113" s="1"/>
  <c r="S41" i="113" s="1"/>
  <c r="J47" i="115"/>
  <c r="N47" i="115" s="1"/>
  <c r="R47" i="115" s="1"/>
  <c r="S47" i="115" s="1"/>
  <c r="J57" i="98"/>
  <c r="N57" i="98" s="1"/>
  <c r="R57" i="98" s="1"/>
  <c r="S57" i="98" s="1"/>
  <c r="M54" i="87"/>
  <c r="J41" i="78"/>
  <c r="J51" i="100"/>
  <c r="N51" i="100" s="1"/>
  <c r="R51" i="100" s="1"/>
  <c r="S51" i="100" s="1"/>
  <c r="J53" i="86"/>
  <c r="M38" i="116"/>
  <c r="J80" i="71"/>
  <c r="N80" i="71" s="1"/>
  <c r="M60" i="80"/>
  <c r="J33" i="115"/>
  <c r="N33" i="115" s="1"/>
  <c r="R33" i="115" s="1"/>
  <c r="S33" i="115" s="1"/>
  <c r="M32" i="111"/>
  <c r="J52" i="108"/>
  <c r="N52" i="108" s="1"/>
  <c r="R52" i="108" s="1"/>
  <c r="S52" i="108" s="1"/>
  <c r="J86" i="74"/>
  <c r="N86" i="74" s="1"/>
  <c r="J49" i="114"/>
  <c r="J77" i="80"/>
  <c r="N77" i="80" s="1"/>
  <c r="J108" i="101"/>
  <c r="S108" i="101"/>
  <c r="R108" i="101"/>
  <c r="J33" i="98"/>
  <c r="J100" i="85"/>
  <c r="N100" i="85" s="1"/>
  <c r="J79" i="106"/>
  <c r="N79" i="106" s="1"/>
  <c r="M52" i="103"/>
  <c r="J99" i="87"/>
  <c r="N99" i="87" s="1"/>
  <c r="J53" i="77"/>
  <c r="N53" i="77" s="1"/>
  <c r="R53" i="77" s="1"/>
  <c r="S53" i="77" s="1"/>
  <c r="M39" i="87"/>
  <c r="J40" i="65"/>
  <c r="N40" i="65" s="1"/>
  <c r="R40" i="65" s="1"/>
  <c r="S40" i="65" s="1"/>
  <c r="J42" i="76"/>
  <c r="J37" i="82"/>
  <c r="N37" i="82" s="1"/>
  <c r="R37" i="82" s="1"/>
  <c r="S37" i="82" s="1"/>
  <c r="J86" i="90"/>
  <c r="N86" i="90" s="1"/>
  <c r="M43" i="111"/>
  <c r="N43" i="111" s="1"/>
  <c r="R43" i="111" s="1"/>
  <c r="S43" i="111" s="1"/>
  <c r="J73" i="106"/>
  <c r="N73" i="106" s="1"/>
  <c r="M51" i="116"/>
  <c r="M54" i="110"/>
  <c r="J103" i="82"/>
  <c r="N103" i="82" s="1"/>
  <c r="J84" i="75"/>
  <c r="N84" i="75" s="1"/>
  <c r="J52" i="83"/>
  <c r="J54" i="99"/>
  <c r="N54" i="99" s="1"/>
  <c r="R54" i="99" s="1"/>
  <c r="S54" i="99" s="1"/>
  <c r="J87" i="117"/>
  <c r="N87" i="117" s="1"/>
  <c r="K63" i="73"/>
  <c r="M59" i="73"/>
  <c r="M63" i="73" s="1"/>
  <c r="J68" i="113"/>
  <c r="N68" i="113" s="1"/>
  <c r="M61" i="110"/>
  <c r="J39" i="85"/>
  <c r="M39" i="77"/>
  <c r="M55" i="86"/>
  <c r="J68" i="80"/>
  <c r="N68" i="80" s="1"/>
  <c r="J44" i="91"/>
  <c r="J97" i="79"/>
  <c r="N97" i="79" s="1"/>
  <c r="M62" i="98"/>
  <c r="M32" i="107"/>
  <c r="M36" i="83"/>
  <c r="M38" i="102"/>
  <c r="N38" i="102" s="1"/>
  <c r="R38" i="102" s="1"/>
  <c r="S38" i="102" s="1"/>
  <c r="J69" i="107"/>
  <c r="N69" i="107" s="1"/>
  <c r="J77" i="97"/>
  <c r="N77" i="97" s="1"/>
  <c r="J43" i="84"/>
  <c r="S107" i="105"/>
  <c r="R107" i="105"/>
  <c r="J107" i="105"/>
  <c r="J72" i="103"/>
  <c r="N72" i="103" s="1"/>
  <c r="J87" i="102"/>
  <c r="N87" i="102" s="1"/>
  <c r="J39" i="78"/>
  <c r="M56" i="87"/>
  <c r="K63" i="117"/>
  <c r="M59" i="117"/>
  <c r="J71" i="76"/>
  <c r="N71" i="76" s="1"/>
  <c r="J51" i="104"/>
  <c r="J86" i="106"/>
  <c r="N86" i="106" s="1"/>
  <c r="M42" i="76"/>
  <c r="J52" i="103"/>
  <c r="M52" i="98"/>
  <c r="J65" i="81"/>
  <c r="G111" i="81"/>
  <c r="J43" i="83"/>
  <c r="N43" i="83" s="1"/>
  <c r="R43" i="83" s="1"/>
  <c r="S43" i="83" s="1"/>
  <c r="J40" i="110"/>
  <c r="N40" i="110" s="1"/>
  <c r="R40" i="110" s="1"/>
  <c r="S40" i="110" s="1"/>
  <c r="J36" i="97"/>
  <c r="M35" i="82"/>
  <c r="J69" i="79"/>
  <c r="N69" i="79" s="1"/>
  <c r="J91" i="74"/>
  <c r="N91" i="74" s="1"/>
  <c r="J84" i="78"/>
  <c r="N84" i="78" s="1"/>
  <c r="J104" i="77"/>
  <c r="N104" i="77" s="1"/>
  <c r="J74" i="80"/>
  <c r="N74" i="80" s="1"/>
  <c r="M40" i="86"/>
  <c r="J39" i="65"/>
  <c r="J73" i="113"/>
  <c r="N73" i="113" s="1"/>
  <c r="M36" i="89"/>
  <c r="J45" i="115"/>
  <c r="J57" i="83"/>
  <c r="N57" i="83" s="1"/>
  <c r="R57" i="83" s="1"/>
  <c r="S57" i="83" s="1"/>
  <c r="J60" i="113"/>
  <c r="N60" i="113"/>
  <c r="R60" i="113" s="1"/>
  <c r="S60" i="113" s="1"/>
  <c r="J110" i="89"/>
  <c r="S110" i="89"/>
  <c r="R110" i="89"/>
  <c r="J91" i="79"/>
  <c r="N91" i="79" s="1"/>
  <c r="J35" i="116"/>
  <c r="N35" i="116" s="1"/>
  <c r="R35" i="116" s="1"/>
  <c r="S35" i="116" s="1"/>
  <c r="M49" i="82"/>
  <c r="J66" i="101"/>
  <c r="N66" i="101" s="1"/>
  <c r="M42" i="106"/>
  <c r="J67" i="75"/>
  <c r="N67" i="75" s="1"/>
  <c r="M51" i="88"/>
  <c r="J92" i="97"/>
  <c r="N92" i="97" s="1"/>
  <c r="N59" i="73"/>
  <c r="J59" i="73"/>
  <c r="G63" i="73"/>
  <c r="M48" i="99"/>
  <c r="J47" i="106"/>
  <c r="M33" i="82"/>
  <c r="N59" i="98"/>
  <c r="J59" i="98"/>
  <c r="G63" i="98"/>
  <c r="J50" i="85"/>
  <c r="N50" i="85" s="1"/>
  <c r="R50" i="85" s="1"/>
  <c r="S50" i="85" s="1"/>
  <c r="J76" i="116"/>
  <c r="N76" i="116" s="1"/>
  <c r="M44" i="73"/>
  <c r="J75" i="101"/>
  <c r="N75" i="101" s="1"/>
  <c r="J43" i="115"/>
  <c r="M38" i="76"/>
  <c r="J42" i="71"/>
  <c r="J42" i="103"/>
  <c r="N42" i="103" s="1"/>
  <c r="R42" i="103" s="1"/>
  <c r="S42" i="103" s="1"/>
  <c r="J95" i="115"/>
  <c r="N95" i="115" s="1"/>
  <c r="J38" i="111"/>
  <c r="J49" i="83"/>
  <c r="N49" i="83" s="1"/>
  <c r="R49" i="83" s="1"/>
  <c r="S49" i="83" s="1"/>
  <c r="J93" i="85"/>
  <c r="N93" i="85" s="1"/>
  <c r="J92" i="78"/>
  <c r="N92" i="78" s="1"/>
  <c r="J87" i="110"/>
  <c r="N87" i="110" s="1"/>
  <c r="J104" i="79"/>
  <c r="N104" i="79" s="1"/>
  <c r="J55" i="99"/>
  <c r="J88" i="90"/>
  <c r="N88" i="90" s="1"/>
  <c r="J36" i="92"/>
  <c r="J61" i="92"/>
  <c r="N61" i="92"/>
  <c r="R61" i="92" s="1"/>
  <c r="S61" i="92" s="1"/>
  <c r="M48" i="117"/>
  <c r="M45" i="78"/>
  <c r="J89" i="104"/>
  <c r="N89" i="104" s="1"/>
  <c r="J43" i="104"/>
  <c r="M39" i="88"/>
  <c r="M44" i="105"/>
  <c r="M49" i="84"/>
  <c r="J83" i="80"/>
  <c r="N83" i="80" s="1"/>
  <c r="J34" i="108"/>
  <c r="M32" i="117"/>
  <c r="J67" i="83"/>
  <c r="N67" i="83" s="1"/>
  <c r="J46" i="113"/>
  <c r="J41" i="115"/>
  <c r="J104" i="92"/>
  <c r="N104" i="92" s="1"/>
  <c r="J78" i="111"/>
  <c r="N78" i="111" s="1"/>
  <c r="J86" i="115"/>
  <c r="N86" i="115" s="1"/>
  <c r="J88" i="113"/>
  <c r="N88" i="113" s="1"/>
  <c r="J73" i="91"/>
  <c r="N73" i="91" s="1"/>
  <c r="J74" i="110"/>
  <c r="N74" i="110" s="1"/>
  <c r="M34" i="105"/>
  <c r="M42" i="89"/>
  <c r="J35" i="83"/>
  <c r="J49" i="100"/>
  <c r="N49" i="100" s="1"/>
  <c r="R49" i="100" s="1"/>
  <c r="S49" i="100" s="1"/>
  <c r="M51" i="97"/>
  <c r="J98" i="110"/>
  <c r="N98" i="110" s="1"/>
  <c r="M36" i="73"/>
  <c r="J70" i="105"/>
  <c r="N70" i="105" s="1"/>
  <c r="J103" i="90"/>
  <c r="N103" i="90" s="1"/>
  <c r="J55" i="65"/>
  <c r="M46" i="117"/>
  <c r="J38" i="107"/>
  <c r="N38" i="107" s="1"/>
  <c r="R38" i="107" s="1"/>
  <c r="S38" i="107" s="1"/>
  <c r="J32" i="98"/>
  <c r="M49" i="74"/>
  <c r="N49" i="74" s="1"/>
  <c r="R49" i="74" s="1"/>
  <c r="S49" i="74" s="1"/>
  <c r="J76" i="84"/>
  <c r="N76" i="84" s="1"/>
  <c r="J94" i="117"/>
  <c r="N94" i="117" s="1"/>
  <c r="J72" i="72"/>
  <c r="N72" i="72" s="1"/>
  <c r="J91" i="116"/>
  <c r="N91" i="116" s="1"/>
  <c r="J35" i="104"/>
  <c r="J72" i="91"/>
  <c r="N72" i="91" s="1"/>
  <c r="J88" i="81"/>
  <c r="N88" i="81" s="1"/>
  <c r="J69" i="108"/>
  <c r="N69" i="108" s="1"/>
  <c r="J83" i="83"/>
  <c r="N83" i="83" s="1"/>
  <c r="J46" i="88"/>
  <c r="J71" i="78"/>
  <c r="N71" i="78" s="1"/>
  <c r="J93" i="75"/>
  <c r="N93" i="75" s="1"/>
  <c r="J65" i="115"/>
  <c r="G111" i="115"/>
  <c r="J83" i="108"/>
  <c r="N83" i="108" s="1"/>
  <c r="M35" i="87"/>
  <c r="J45" i="86"/>
  <c r="J68" i="100"/>
  <c r="N68" i="100" s="1"/>
  <c r="M40" i="92"/>
  <c r="J102" i="71"/>
  <c r="N102" i="71" s="1"/>
  <c r="N62" i="74"/>
  <c r="R62" i="74" s="1"/>
  <c r="S62" i="74" s="1"/>
  <c r="J62" i="74"/>
  <c r="R108" i="82"/>
  <c r="J108" i="82"/>
  <c r="S108" i="82"/>
  <c r="J84" i="106"/>
  <c r="N84" i="106" s="1"/>
  <c r="J67" i="98"/>
  <c r="N67" i="98" s="1"/>
  <c r="J41" i="116"/>
  <c r="M42" i="86"/>
  <c r="N42" i="86" s="1"/>
  <c r="R42" i="86" s="1"/>
  <c r="S42" i="86" s="1"/>
  <c r="J106" i="105"/>
  <c r="S106" i="105"/>
  <c r="R106" i="105"/>
  <c r="J62" i="114"/>
  <c r="N62" i="114"/>
  <c r="R62" i="114" s="1"/>
  <c r="S62" i="114" s="1"/>
  <c r="J48" i="72"/>
  <c r="J41" i="74"/>
  <c r="N41" i="74" s="1"/>
  <c r="R41" i="74" s="1"/>
  <c r="S41" i="74" s="1"/>
  <c r="M37" i="86"/>
  <c r="J53" i="65"/>
  <c r="N53" i="65" s="1"/>
  <c r="R53" i="65" s="1"/>
  <c r="S53" i="65" s="1"/>
  <c r="M55" i="110"/>
  <c r="J47" i="108"/>
  <c r="N47" i="108" s="1"/>
  <c r="R47" i="108" s="1"/>
  <c r="S47" i="108" s="1"/>
  <c r="M36" i="86"/>
  <c r="J33" i="101"/>
  <c r="N33" i="101" s="1"/>
  <c r="R33" i="101" s="1"/>
  <c r="S33" i="101" s="1"/>
  <c r="M40" i="79"/>
  <c r="J104" i="84"/>
  <c r="N104" i="84" s="1"/>
  <c r="J101" i="73"/>
  <c r="N101" i="73" s="1"/>
  <c r="J71" i="116"/>
  <c r="N71" i="116" s="1"/>
  <c r="M36" i="97"/>
  <c r="G63" i="97"/>
  <c r="J59" i="97"/>
  <c r="N59" i="97"/>
  <c r="J44" i="101"/>
  <c r="N44" i="101" s="1"/>
  <c r="R44" i="101" s="1"/>
  <c r="S44" i="101" s="1"/>
  <c r="J94" i="116"/>
  <c r="N94" i="116" s="1"/>
  <c r="J87" i="88"/>
  <c r="N87" i="88" s="1"/>
  <c r="J102" i="79"/>
  <c r="N102" i="79" s="1"/>
  <c r="M36" i="99"/>
  <c r="M43" i="104"/>
  <c r="J56" i="111"/>
  <c r="N56" i="111" s="1"/>
  <c r="R56" i="111" s="1"/>
  <c r="S56" i="111" s="1"/>
  <c r="J79" i="81"/>
  <c r="N79" i="81" s="1"/>
  <c r="J101" i="109"/>
  <c r="N101" i="109" s="1"/>
  <c r="J48" i="86"/>
  <c r="J92" i="106"/>
  <c r="N92" i="106" s="1"/>
  <c r="M62" i="80"/>
  <c r="N62" i="83"/>
  <c r="R62" i="83" s="1"/>
  <c r="S62" i="83" s="1"/>
  <c r="J62" i="83"/>
  <c r="J49" i="79"/>
  <c r="J44" i="117"/>
  <c r="J57" i="97"/>
  <c r="M51" i="115"/>
  <c r="M47" i="100"/>
  <c r="J32" i="117"/>
  <c r="M34" i="86"/>
  <c r="J74" i="71"/>
  <c r="N74" i="71" s="1"/>
  <c r="J40" i="111"/>
  <c r="N40" i="111" s="1"/>
  <c r="R40" i="111" s="1"/>
  <c r="S40" i="111" s="1"/>
  <c r="M61" i="87"/>
  <c r="M32" i="110"/>
  <c r="M49" i="80"/>
  <c r="M49" i="76"/>
  <c r="J79" i="76"/>
  <c r="N79" i="76" s="1"/>
  <c r="J47" i="109"/>
  <c r="N47" i="109" s="1"/>
  <c r="R47" i="109" s="1"/>
  <c r="S47" i="109" s="1"/>
  <c r="M50" i="65"/>
  <c r="J77" i="116"/>
  <c r="N77" i="116" s="1"/>
  <c r="J55" i="104"/>
  <c r="N55" i="104" s="1"/>
  <c r="R55" i="104" s="1"/>
  <c r="S55" i="104" s="1"/>
  <c r="J37" i="83"/>
  <c r="R109" i="111"/>
  <c r="J109" i="111"/>
  <c r="N109" i="111" s="1"/>
  <c r="S109" i="111"/>
  <c r="J53" i="98"/>
  <c r="M61" i="105"/>
  <c r="J34" i="71"/>
  <c r="N34" i="71" s="1"/>
  <c r="R34" i="71" s="1"/>
  <c r="S34" i="71" s="1"/>
  <c r="J95" i="97"/>
  <c r="N95" i="97" s="1"/>
  <c r="G63" i="74"/>
  <c r="J59" i="74"/>
  <c r="N59" i="74"/>
  <c r="J52" i="82"/>
  <c r="J92" i="109"/>
  <c r="N92" i="109" s="1"/>
  <c r="J98" i="92"/>
  <c r="N98" i="92" s="1"/>
  <c r="J66" i="109"/>
  <c r="N66" i="109" s="1"/>
  <c r="M51" i="82"/>
  <c r="M54" i="90"/>
  <c r="M45" i="98"/>
  <c r="J80" i="105"/>
  <c r="N80" i="105" s="1"/>
  <c r="J96" i="73"/>
  <c r="N96" i="73" s="1"/>
  <c r="J49" i="106"/>
  <c r="N49" i="106" s="1"/>
  <c r="R49" i="106" s="1"/>
  <c r="S49" i="106" s="1"/>
  <c r="J75" i="89"/>
  <c r="N75" i="89" s="1"/>
  <c r="M53" i="98"/>
  <c r="M41" i="91"/>
  <c r="J34" i="83"/>
  <c r="N34" i="83" s="1"/>
  <c r="R34" i="83" s="1"/>
  <c r="S34" i="83" s="1"/>
  <c r="R106" i="88"/>
  <c r="S106" i="88"/>
  <c r="J106" i="88"/>
  <c r="J85" i="106"/>
  <c r="N85" i="106" s="1"/>
  <c r="M40" i="75"/>
  <c r="N40" i="75" s="1"/>
  <c r="R40" i="75" s="1"/>
  <c r="S40" i="75" s="1"/>
  <c r="J41" i="111"/>
  <c r="N41" i="111" s="1"/>
  <c r="R41" i="111" s="1"/>
  <c r="S41" i="111" s="1"/>
  <c r="J36" i="103"/>
  <c r="N36" i="103" s="1"/>
  <c r="R36" i="103" s="1"/>
  <c r="S36" i="103" s="1"/>
  <c r="J34" i="113"/>
  <c r="N34" i="113" s="1"/>
  <c r="R34" i="113" s="1"/>
  <c r="S34" i="113" s="1"/>
  <c r="J73" i="65"/>
  <c r="N73" i="65" s="1"/>
  <c r="J93" i="97"/>
  <c r="N93" i="97" s="1"/>
  <c r="J73" i="83"/>
  <c r="N73" i="83" s="1"/>
  <c r="M35" i="114"/>
  <c r="J61" i="111"/>
  <c r="N61" i="111"/>
  <c r="R61" i="111" s="1"/>
  <c r="S61" i="111" s="1"/>
  <c r="M46" i="85"/>
  <c r="J69" i="87"/>
  <c r="N69" i="87" s="1"/>
  <c r="J52" i="102"/>
  <c r="N52" i="102" s="1"/>
  <c r="R52" i="102" s="1"/>
  <c r="S52" i="102" s="1"/>
  <c r="M48" i="116"/>
  <c r="J54" i="109"/>
  <c r="J54" i="115"/>
  <c r="J44" i="89"/>
  <c r="N44" i="89" s="1"/>
  <c r="R44" i="89" s="1"/>
  <c r="S44" i="89" s="1"/>
  <c r="J98" i="71"/>
  <c r="N98" i="71" s="1"/>
  <c r="J41" i="98"/>
  <c r="J41" i="79"/>
  <c r="J86" i="116"/>
  <c r="N86" i="116" s="1"/>
  <c r="R109" i="78"/>
  <c r="J109" i="78"/>
  <c r="N109" i="78" s="1"/>
  <c r="S109" i="78"/>
  <c r="M32" i="90"/>
  <c r="N60" i="73"/>
  <c r="R60" i="73" s="1"/>
  <c r="S60" i="73" s="1"/>
  <c r="J60" i="73"/>
  <c r="M43" i="102"/>
  <c r="J89" i="80"/>
  <c r="N89" i="80" s="1"/>
  <c r="R107" i="75"/>
  <c r="R111" i="75" s="1"/>
  <c r="J107" i="75"/>
  <c r="S107" i="75"/>
  <c r="M48" i="104"/>
  <c r="N48" i="104" s="1"/>
  <c r="R48" i="104" s="1"/>
  <c r="S48" i="104" s="1"/>
  <c r="J60" i="87"/>
  <c r="N60" i="87"/>
  <c r="R60" i="87" s="1"/>
  <c r="S60" i="87" s="1"/>
  <c r="J54" i="114"/>
  <c r="J99" i="99"/>
  <c r="N99" i="99" s="1"/>
  <c r="J38" i="115"/>
  <c r="M41" i="84"/>
  <c r="S106" i="99"/>
  <c r="R106" i="99"/>
  <c r="J106" i="99"/>
  <c r="M32" i="76"/>
  <c r="J49" i="113"/>
  <c r="J45" i="105"/>
  <c r="N45" i="105" s="1"/>
  <c r="R45" i="105" s="1"/>
  <c r="S45" i="105" s="1"/>
  <c r="J54" i="86"/>
  <c r="J100" i="100"/>
  <c r="N100" i="100" s="1"/>
  <c r="J72" i="105"/>
  <c r="N72" i="105" s="1"/>
  <c r="J73" i="77"/>
  <c r="N73" i="77" s="1"/>
  <c r="J66" i="98"/>
  <c r="N66" i="98" s="1"/>
  <c r="J85" i="117"/>
  <c r="N85" i="117" s="1"/>
  <c r="J98" i="78"/>
  <c r="N98" i="78" s="1"/>
  <c r="J50" i="92"/>
  <c r="J102" i="104"/>
  <c r="N102" i="104" s="1"/>
  <c r="M35" i="101"/>
  <c r="N35" i="101" s="1"/>
  <c r="R35" i="101" s="1"/>
  <c r="S35" i="101" s="1"/>
  <c r="J45" i="91"/>
  <c r="N45" i="91" s="1"/>
  <c r="R45" i="91" s="1"/>
  <c r="S45" i="91" s="1"/>
  <c r="J86" i="73"/>
  <c r="N86" i="73" s="1"/>
  <c r="J50" i="75"/>
  <c r="N50" i="75" s="1"/>
  <c r="R50" i="75" s="1"/>
  <c r="S50" i="75" s="1"/>
  <c r="M35" i="103"/>
  <c r="J103" i="81"/>
  <c r="N103" i="81" s="1"/>
  <c r="M41" i="65"/>
  <c r="M37" i="105"/>
  <c r="J82" i="89"/>
  <c r="N82" i="89" s="1"/>
  <c r="N61" i="78"/>
  <c r="R61" i="78" s="1"/>
  <c r="S61" i="78" s="1"/>
  <c r="J61" i="78"/>
  <c r="J72" i="83"/>
  <c r="N72" i="83" s="1"/>
  <c r="J79" i="73"/>
  <c r="N79" i="73" s="1"/>
  <c r="J98" i="117"/>
  <c r="N98" i="117" s="1"/>
  <c r="M39" i="74"/>
  <c r="M61" i="115"/>
  <c r="J32" i="101"/>
  <c r="J48" i="103"/>
  <c r="N48" i="103" s="1"/>
  <c r="R48" i="103" s="1"/>
  <c r="S48" i="103" s="1"/>
  <c r="M54" i="107"/>
  <c r="G111" i="116"/>
  <c r="J65" i="116"/>
  <c r="J42" i="101"/>
  <c r="M52" i="104"/>
  <c r="M34" i="109"/>
  <c r="N34" i="109" s="1"/>
  <c r="R34" i="109" s="1"/>
  <c r="S34" i="109" s="1"/>
  <c r="J53" i="82"/>
  <c r="J37" i="105"/>
  <c r="R106" i="91"/>
  <c r="J106" i="91"/>
  <c r="S106" i="91"/>
  <c r="J65" i="87"/>
  <c r="G111" i="87"/>
  <c r="J54" i="111"/>
  <c r="N54" i="111" s="1"/>
  <c r="R54" i="111" s="1"/>
  <c r="S54" i="111" s="1"/>
  <c r="M60" i="71"/>
  <c r="J87" i="103"/>
  <c r="N87" i="103" s="1"/>
  <c r="J83" i="77"/>
  <c r="N83" i="77" s="1"/>
  <c r="R106" i="71"/>
  <c r="R111" i="71" s="1"/>
  <c r="J106" i="71"/>
  <c r="S106" i="71"/>
  <c r="J49" i="80"/>
  <c r="N49" i="80" s="1"/>
  <c r="R49" i="80" s="1"/>
  <c r="S49" i="80" s="1"/>
  <c r="M57" i="87"/>
  <c r="J56" i="83"/>
  <c r="N56" i="83" s="1"/>
  <c r="R56" i="83" s="1"/>
  <c r="S56" i="83" s="1"/>
  <c r="J83" i="99"/>
  <c r="N83" i="99" s="1"/>
  <c r="J106" i="73"/>
  <c r="S106" i="73"/>
  <c r="R106" i="73"/>
  <c r="M33" i="90"/>
  <c r="J103" i="103"/>
  <c r="N103" i="103" s="1"/>
  <c r="J103" i="101"/>
  <c r="N103" i="101" s="1"/>
  <c r="J91" i="90"/>
  <c r="N91" i="90" s="1"/>
  <c r="J32" i="86"/>
  <c r="M42" i="74"/>
  <c r="J68" i="91"/>
  <c r="N68" i="91" s="1"/>
  <c r="M40" i="85"/>
  <c r="J33" i="116"/>
  <c r="J49" i="105"/>
  <c r="J110" i="100"/>
  <c r="R110" i="100"/>
  <c r="S110" i="100"/>
  <c r="J44" i="74"/>
  <c r="J55" i="78"/>
  <c r="J82" i="98"/>
  <c r="N82" i="98" s="1"/>
  <c r="J38" i="84"/>
  <c r="J49" i="110"/>
  <c r="N49" i="110" s="1"/>
  <c r="R49" i="110" s="1"/>
  <c r="S49" i="110" s="1"/>
  <c r="M33" i="109"/>
  <c r="M35" i="97"/>
  <c r="J70" i="87"/>
  <c r="N70" i="87" s="1"/>
  <c r="M51" i="77"/>
  <c r="J75" i="97"/>
  <c r="N75" i="97" s="1"/>
  <c r="J55" i="116"/>
  <c r="M43" i="85"/>
  <c r="J51" i="76"/>
  <c r="N51" i="76" s="1"/>
  <c r="R51" i="76" s="1"/>
  <c r="S51" i="76" s="1"/>
  <c r="J66" i="103"/>
  <c r="N66" i="103" s="1"/>
  <c r="J48" i="113"/>
  <c r="N48" i="113" s="1"/>
  <c r="R48" i="113" s="1"/>
  <c r="S48" i="113" s="1"/>
  <c r="J89" i="109"/>
  <c r="N89" i="109" s="1"/>
  <c r="J104" i="98"/>
  <c r="N104" i="98" s="1"/>
  <c r="J44" i="88"/>
  <c r="M50" i="102"/>
  <c r="J39" i="77"/>
  <c r="N39" i="77" s="1"/>
  <c r="R39" i="77" s="1"/>
  <c r="S39" i="77" s="1"/>
  <c r="J46" i="97"/>
  <c r="N46" i="97" s="1"/>
  <c r="R46" i="97" s="1"/>
  <c r="S46" i="97" s="1"/>
  <c r="J79" i="75"/>
  <c r="N79" i="75" s="1"/>
  <c r="J67" i="80"/>
  <c r="N67" i="80" s="1"/>
  <c r="J70" i="81"/>
  <c r="N70" i="81" s="1"/>
  <c r="J69" i="88"/>
  <c r="N69" i="88" s="1"/>
  <c r="J87" i="114"/>
  <c r="N87" i="114" s="1"/>
  <c r="J69" i="98"/>
  <c r="N69" i="98" s="1"/>
  <c r="J50" i="115"/>
  <c r="J55" i="87"/>
  <c r="M41" i="114"/>
  <c r="J72" i="71"/>
  <c r="N72" i="71" s="1"/>
  <c r="N60" i="74"/>
  <c r="R60" i="74" s="1"/>
  <c r="S60" i="74" s="1"/>
  <c r="J60" i="74"/>
  <c r="J75" i="114"/>
  <c r="N75" i="114" s="1"/>
  <c r="J59" i="76"/>
  <c r="N59" i="76"/>
  <c r="G63" i="76"/>
  <c r="J36" i="74"/>
  <c r="J52" i="74"/>
  <c r="J79" i="78"/>
  <c r="N79" i="78" s="1"/>
  <c r="J68" i="117"/>
  <c r="N68" i="117" s="1"/>
  <c r="J86" i="103"/>
  <c r="N86" i="103" s="1"/>
  <c r="J36" i="102"/>
  <c r="M48" i="65"/>
  <c r="N48" i="65" s="1"/>
  <c r="R48" i="65" s="1"/>
  <c r="S48" i="65" s="1"/>
  <c r="M54" i="106"/>
  <c r="N54" i="106" s="1"/>
  <c r="R54" i="106" s="1"/>
  <c r="S54" i="106" s="1"/>
  <c r="J32" i="105"/>
  <c r="G111" i="92"/>
  <c r="J65" i="92"/>
  <c r="J77" i="100"/>
  <c r="N77" i="100" s="1"/>
  <c r="J84" i="90"/>
  <c r="N84" i="90" s="1"/>
  <c r="J32" i="102"/>
  <c r="M59" i="85"/>
  <c r="K63" i="85"/>
  <c r="J65" i="88"/>
  <c r="G111" i="88"/>
  <c r="J94" i="92"/>
  <c r="N94" i="92" s="1"/>
  <c r="M62" i="83"/>
  <c r="J33" i="75"/>
  <c r="N33" i="75" s="1"/>
  <c r="R33" i="75" s="1"/>
  <c r="S33" i="75" s="1"/>
  <c r="M32" i="102"/>
  <c r="J87" i="71"/>
  <c r="N87" i="71" s="1"/>
  <c r="M53" i="88"/>
  <c r="M37" i="71"/>
  <c r="J47" i="117"/>
  <c r="N47" i="117" s="1"/>
  <c r="R47" i="117" s="1"/>
  <c r="S47" i="117" s="1"/>
  <c r="J85" i="71"/>
  <c r="N85" i="71" s="1"/>
  <c r="J47" i="80"/>
  <c r="N47" i="80" s="1"/>
  <c r="R47" i="80" s="1"/>
  <c r="S47" i="80" s="1"/>
  <c r="J39" i="101"/>
  <c r="N39" i="101" s="1"/>
  <c r="R39" i="101" s="1"/>
  <c r="S39" i="101" s="1"/>
  <c r="J66" i="108"/>
  <c r="N66" i="108" s="1"/>
  <c r="R106" i="116"/>
  <c r="S106" i="116"/>
  <c r="J106" i="116"/>
  <c r="M46" i="105"/>
  <c r="J98" i="113"/>
  <c r="N98" i="113" s="1"/>
  <c r="J54" i="113"/>
  <c r="N54" i="113" s="1"/>
  <c r="R54" i="113" s="1"/>
  <c r="S54" i="113" s="1"/>
  <c r="R109" i="105"/>
  <c r="J109" i="105"/>
  <c r="N109" i="105" s="1"/>
  <c r="S109" i="105"/>
  <c r="J46" i="81"/>
  <c r="N46" i="81" s="1"/>
  <c r="R46" i="81" s="1"/>
  <c r="S46" i="81" s="1"/>
  <c r="J42" i="91"/>
  <c r="J88" i="82"/>
  <c r="N88" i="82" s="1"/>
  <c r="M41" i="75"/>
  <c r="J34" i="114"/>
  <c r="J71" i="80"/>
  <c r="N71" i="80" s="1"/>
  <c r="J85" i="72"/>
  <c r="N85" i="72" s="1"/>
  <c r="J85" i="105"/>
  <c r="N85" i="105" s="1"/>
  <c r="M51" i="108"/>
  <c r="M53" i="86"/>
  <c r="N53" i="86" s="1"/>
  <c r="R53" i="86" s="1"/>
  <c r="S53" i="86" s="1"/>
  <c r="M52" i="100"/>
  <c r="J78" i="113"/>
  <c r="N78" i="113" s="1"/>
  <c r="M50" i="113"/>
  <c r="J95" i="99"/>
  <c r="N95" i="99" s="1"/>
  <c r="M36" i="105"/>
  <c r="J47" i="85"/>
  <c r="J101" i="72"/>
  <c r="N101" i="72" s="1"/>
  <c r="J92" i="73"/>
  <c r="N92" i="73" s="1"/>
  <c r="M44" i="113"/>
  <c r="J91" i="104"/>
  <c r="N91" i="104" s="1"/>
  <c r="J50" i="102"/>
  <c r="N50" i="102" s="1"/>
  <c r="R50" i="102" s="1"/>
  <c r="S50" i="102" s="1"/>
  <c r="J35" i="111"/>
  <c r="J66" i="81"/>
  <c r="N66" i="81" s="1"/>
  <c r="M61" i="65"/>
  <c r="J53" i="81"/>
  <c r="M42" i="105"/>
  <c r="J80" i="115"/>
  <c r="N80" i="115" s="1"/>
  <c r="J36" i="110"/>
  <c r="N36" i="110" s="1"/>
  <c r="R36" i="110" s="1"/>
  <c r="S36" i="110" s="1"/>
  <c r="J54" i="104"/>
  <c r="N54" i="104" s="1"/>
  <c r="R54" i="104" s="1"/>
  <c r="S54" i="104" s="1"/>
  <c r="J102" i="73"/>
  <c r="N102" i="73" s="1"/>
  <c r="J91" i="105"/>
  <c r="N91" i="105" s="1"/>
  <c r="J39" i="117"/>
  <c r="J33" i="106"/>
  <c r="J103" i="87"/>
  <c r="N103" i="87" s="1"/>
  <c r="M48" i="105"/>
  <c r="J71" i="117"/>
  <c r="N71" i="117" s="1"/>
  <c r="J68" i="78"/>
  <c r="N68" i="78" s="1"/>
  <c r="J102" i="110"/>
  <c r="N102" i="110" s="1"/>
  <c r="J86" i="89"/>
  <c r="N86" i="89" s="1"/>
  <c r="J53" i="116"/>
  <c r="N53" i="116" s="1"/>
  <c r="R53" i="116" s="1"/>
  <c r="S53" i="116" s="1"/>
  <c r="J43" i="92"/>
  <c r="N43" i="92" s="1"/>
  <c r="R43" i="92" s="1"/>
  <c r="S43" i="92" s="1"/>
  <c r="J36" i="115"/>
  <c r="N36" i="115" s="1"/>
  <c r="R36" i="115" s="1"/>
  <c r="S36" i="115" s="1"/>
  <c r="J68" i="105"/>
  <c r="N68" i="105" s="1"/>
  <c r="M32" i="113"/>
  <c r="J93" i="83"/>
  <c r="N93" i="83" s="1"/>
  <c r="J46" i="83"/>
  <c r="J46" i="104"/>
  <c r="J49" i="116"/>
  <c r="N49" i="116" s="1"/>
  <c r="R49" i="116" s="1"/>
  <c r="S49" i="116" s="1"/>
  <c r="S109" i="86"/>
  <c r="R109" i="86"/>
  <c r="J109" i="86"/>
  <c r="N109" i="86" s="1"/>
  <c r="J48" i="77"/>
  <c r="N48" i="77" s="1"/>
  <c r="R48" i="77" s="1"/>
  <c r="S48" i="77" s="1"/>
  <c r="J43" i="74"/>
  <c r="N43" i="74" s="1"/>
  <c r="R43" i="74" s="1"/>
  <c r="S43" i="74" s="1"/>
  <c r="J50" i="81"/>
  <c r="N50" i="81" s="1"/>
  <c r="R50" i="81" s="1"/>
  <c r="S50" i="81" s="1"/>
  <c r="J55" i="117"/>
  <c r="N55" i="117" s="1"/>
  <c r="R55" i="117" s="1"/>
  <c r="S55" i="117" s="1"/>
  <c r="J69" i="113"/>
  <c r="N69" i="113" s="1"/>
  <c r="J104" i="75"/>
  <c r="N104" i="75" s="1"/>
  <c r="M33" i="98"/>
  <c r="J37" i="109"/>
  <c r="N37" i="109" s="1"/>
  <c r="R37" i="109" s="1"/>
  <c r="S37" i="109" s="1"/>
  <c r="M61" i="85"/>
  <c r="J90" i="110"/>
  <c r="N90" i="110" s="1"/>
  <c r="R110" i="84"/>
  <c r="J110" i="84"/>
  <c r="S110" i="84"/>
  <c r="J85" i="80"/>
  <c r="N85" i="80" s="1"/>
  <c r="J87" i="78"/>
  <c r="N87" i="78" s="1"/>
  <c r="N59" i="87"/>
  <c r="G63" i="87"/>
  <c r="J59" i="87"/>
  <c r="J57" i="99"/>
  <c r="N57" i="99" s="1"/>
  <c r="R57" i="99" s="1"/>
  <c r="S57" i="99" s="1"/>
  <c r="N62" i="88"/>
  <c r="R62" i="88" s="1"/>
  <c r="S62" i="88" s="1"/>
  <c r="J62" i="88"/>
  <c r="J78" i="98"/>
  <c r="N78" i="98" s="1"/>
  <c r="J50" i="103"/>
  <c r="N50" i="103" s="1"/>
  <c r="R50" i="103" s="1"/>
  <c r="S50" i="103" s="1"/>
  <c r="M34" i="103"/>
  <c r="J81" i="83"/>
  <c r="N81" i="83" s="1"/>
  <c r="M42" i="111"/>
  <c r="M36" i="114"/>
  <c r="J86" i="65"/>
  <c r="N86" i="65" s="1"/>
  <c r="M55" i="107"/>
  <c r="J100" i="77"/>
  <c r="N100" i="77" s="1"/>
  <c r="M52" i="99"/>
  <c r="M51" i="105"/>
  <c r="M59" i="100"/>
  <c r="K63" i="100"/>
  <c r="M62" i="90"/>
  <c r="M46" i="97"/>
  <c r="J85" i="99"/>
  <c r="N85" i="99" s="1"/>
  <c r="M38" i="99"/>
  <c r="G63" i="65"/>
  <c r="J59" i="65"/>
  <c r="J63" i="65" s="1"/>
  <c r="N59" i="65"/>
  <c r="J43" i="106"/>
  <c r="J34" i="111"/>
  <c r="G111" i="86"/>
  <c r="J65" i="86"/>
  <c r="M48" i="78"/>
  <c r="J84" i="109"/>
  <c r="N84" i="109" s="1"/>
  <c r="J90" i="103"/>
  <c r="N90" i="103" s="1"/>
  <c r="M56" i="106"/>
  <c r="J44" i="86"/>
  <c r="N44" i="86" s="1"/>
  <c r="R44" i="86" s="1"/>
  <c r="S44" i="86" s="1"/>
  <c r="J92" i="104"/>
  <c r="N92" i="104" s="1"/>
  <c r="M48" i="109"/>
  <c r="J79" i="110"/>
  <c r="N79" i="110" s="1"/>
  <c r="N61" i="77"/>
  <c r="R61" i="77" s="1"/>
  <c r="S61" i="77" s="1"/>
  <c r="J61" i="77"/>
  <c r="J106" i="78"/>
  <c r="S106" i="78"/>
  <c r="S111" i="78" s="1"/>
  <c r="R106" i="78"/>
  <c r="R111" i="78" s="1"/>
  <c r="J38" i="72"/>
  <c r="N38" i="72" s="1"/>
  <c r="R38" i="72" s="1"/>
  <c r="S38" i="72" s="1"/>
  <c r="M52" i="73"/>
  <c r="M60" i="74"/>
  <c r="J57" i="92"/>
  <c r="J76" i="82"/>
  <c r="N76" i="82" s="1"/>
  <c r="M33" i="111"/>
  <c r="J32" i="114"/>
  <c r="J57" i="110"/>
  <c r="N57" i="110" s="1"/>
  <c r="R57" i="110" s="1"/>
  <c r="S57" i="110" s="1"/>
  <c r="M38" i="110"/>
  <c r="J57" i="89"/>
  <c r="N57" i="89" s="1"/>
  <c r="R57" i="89" s="1"/>
  <c r="S57" i="89" s="1"/>
  <c r="J34" i="65"/>
  <c r="J53" i="100"/>
  <c r="N53" i="100" s="1"/>
  <c r="R53" i="100" s="1"/>
  <c r="S53" i="100" s="1"/>
  <c r="N61" i="100"/>
  <c r="R61" i="100" s="1"/>
  <c r="S61" i="100" s="1"/>
  <c r="J61" i="100"/>
  <c r="J101" i="100"/>
  <c r="N101" i="100" s="1"/>
  <c r="J95" i="104"/>
  <c r="N95" i="104" s="1"/>
  <c r="J79" i="97"/>
  <c r="N79" i="97" s="1"/>
  <c r="J88" i="105"/>
  <c r="N88" i="105" s="1"/>
  <c r="J89" i="74"/>
  <c r="N89" i="74" s="1"/>
  <c r="J93" i="77"/>
  <c r="N93" i="77" s="1"/>
  <c r="M60" i="100"/>
  <c r="J87" i="97"/>
  <c r="N87" i="97" s="1"/>
  <c r="J39" i="104"/>
  <c r="N39" i="104" s="1"/>
  <c r="R39" i="104" s="1"/>
  <c r="S39" i="104" s="1"/>
  <c r="J73" i="80"/>
  <c r="N73" i="80" s="1"/>
  <c r="M49" i="81"/>
  <c r="M40" i="82"/>
  <c r="J33" i="111"/>
  <c r="J72" i="89"/>
  <c r="N72" i="89" s="1"/>
  <c r="M55" i="114"/>
  <c r="J101" i="113"/>
  <c r="N101" i="113" s="1"/>
  <c r="J66" i="104"/>
  <c r="N66" i="104" s="1"/>
  <c r="J40" i="109"/>
  <c r="N40" i="109" s="1"/>
  <c r="R40" i="109" s="1"/>
  <c r="S40" i="109" s="1"/>
  <c r="M45" i="115"/>
  <c r="M34" i="91"/>
  <c r="J40" i="81"/>
  <c r="J38" i="105"/>
  <c r="J48" i="99"/>
  <c r="M33" i="108"/>
  <c r="J70" i="117"/>
  <c r="N70" i="117" s="1"/>
  <c r="J43" i="65"/>
  <c r="M56" i="100"/>
  <c r="J84" i="76"/>
  <c r="N84" i="76" s="1"/>
  <c r="J77" i="84"/>
  <c r="N77" i="84" s="1"/>
  <c r="J52" i="92"/>
  <c r="J101" i="104"/>
  <c r="N101" i="104" s="1"/>
  <c r="J109" i="80"/>
  <c r="N109" i="80" s="1"/>
  <c r="S109" i="80"/>
  <c r="R109" i="80"/>
  <c r="J40" i="102"/>
  <c r="J76" i="111"/>
  <c r="N76" i="111" s="1"/>
  <c r="M38" i="77"/>
  <c r="J53" i="89"/>
  <c r="N53" i="89" s="1"/>
  <c r="R53" i="89" s="1"/>
  <c r="S53" i="89" s="1"/>
  <c r="J62" i="87"/>
  <c r="N62" i="87"/>
  <c r="R62" i="87" s="1"/>
  <c r="S62" i="87" s="1"/>
  <c r="J73" i="114"/>
  <c r="N73" i="114" s="1"/>
  <c r="J94" i="103"/>
  <c r="N94" i="103" s="1"/>
  <c r="J33" i="92"/>
  <c r="N33" i="92" s="1"/>
  <c r="R33" i="92" s="1"/>
  <c r="S33" i="92" s="1"/>
  <c r="J86" i="76"/>
  <c r="N86" i="76" s="1"/>
  <c r="M43" i="106"/>
  <c r="J65" i="85"/>
  <c r="G111" i="85"/>
  <c r="J92" i="117"/>
  <c r="N92" i="117" s="1"/>
  <c r="J32" i="78"/>
  <c r="M47" i="107"/>
  <c r="J52" i="107"/>
  <c r="N52" i="107" s="1"/>
  <c r="R52" i="107" s="1"/>
  <c r="S52" i="107" s="1"/>
  <c r="J76" i="73"/>
  <c r="N76" i="73" s="1"/>
  <c r="J90" i="72"/>
  <c r="N90" i="72" s="1"/>
  <c r="J65" i="90"/>
  <c r="G111" i="90"/>
  <c r="J90" i="92"/>
  <c r="N90" i="92" s="1"/>
  <c r="J35" i="110"/>
  <c r="N35" i="110" s="1"/>
  <c r="R35" i="110" s="1"/>
  <c r="S35" i="110" s="1"/>
  <c r="M32" i="72"/>
  <c r="J83" i="89"/>
  <c r="N83" i="89" s="1"/>
  <c r="M61" i="90"/>
  <c r="J57" i="87"/>
  <c r="J95" i="85"/>
  <c r="N95" i="85" s="1"/>
  <c r="J57" i="81"/>
  <c r="N57" i="81" s="1"/>
  <c r="R57" i="81" s="1"/>
  <c r="S57" i="81" s="1"/>
  <c r="J97" i="91"/>
  <c r="N97" i="91" s="1"/>
  <c r="J47" i="107"/>
  <c r="J97" i="108"/>
  <c r="N97" i="108" s="1"/>
  <c r="M35" i="83"/>
  <c r="J99" i="100"/>
  <c r="N99" i="100" s="1"/>
  <c r="R107" i="76"/>
  <c r="S107" i="76"/>
  <c r="J107" i="76"/>
  <c r="AC19" i="54"/>
  <c r="J52" i="105"/>
  <c r="N52" i="105" s="1"/>
  <c r="R52" i="105" s="1"/>
  <c r="S52" i="105" s="1"/>
  <c r="M36" i="111"/>
  <c r="J92" i="111"/>
  <c r="N92" i="111" s="1"/>
  <c r="J103" i="110"/>
  <c r="N103" i="110" s="1"/>
  <c r="J80" i="103"/>
  <c r="N80" i="103" s="1"/>
  <c r="J92" i="81"/>
  <c r="N92" i="81" s="1"/>
  <c r="R109" i="65"/>
  <c r="S109" i="65"/>
  <c r="J109" i="65"/>
  <c r="N109" i="65" s="1"/>
  <c r="J50" i="114"/>
  <c r="N50" i="114" s="1"/>
  <c r="R50" i="114" s="1"/>
  <c r="S50" i="114" s="1"/>
  <c r="J39" i="116"/>
  <c r="J94" i="90"/>
  <c r="N94" i="90" s="1"/>
  <c r="J90" i="77"/>
  <c r="N90" i="77" s="1"/>
  <c r="J71" i="74"/>
  <c r="N71" i="74" s="1"/>
  <c r="J88" i="109"/>
  <c r="N88" i="109" s="1"/>
  <c r="R106" i="107"/>
  <c r="J106" i="107"/>
  <c r="S106" i="107"/>
  <c r="J89" i="101"/>
  <c r="N89" i="101" s="1"/>
  <c r="J50" i="82"/>
  <c r="N50" i="82" s="1"/>
  <c r="R50" i="82" s="1"/>
  <c r="S50" i="82" s="1"/>
  <c r="J80" i="97"/>
  <c r="N80" i="97" s="1"/>
  <c r="J50" i="117"/>
  <c r="M51" i="103"/>
  <c r="J68" i="114"/>
  <c r="N68" i="114" s="1"/>
  <c r="J82" i="79"/>
  <c r="N82" i="79" s="1"/>
  <c r="M33" i="77"/>
  <c r="N33" i="77" s="1"/>
  <c r="R33" i="77" s="1"/>
  <c r="S33" i="77" s="1"/>
  <c r="M34" i="65"/>
  <c r="J99" i="65"/>
  <c r="N99" i="65" s="1"/>
  <c r="J86" i="81"/>
  <c r="N86" i="81" s="1"/>
  <c r="J53" i="85"/>
  <c r="N53" i="85" s="1"/>
  <c r="R53" i="85" s="1"/>
  <c r="S53" i="85" s="1"/>
  <c r="J95" i="98"/>
  <c r="N95" i="98" s="1"/>
  <c r="J53" i="114"/>
  <c r="N53" i="114" s="1"/>
  <c r="R53" i="114" s="1"/>
  <c r="S53" i="114" s="1"/>
  <c r="M38" i="106"/>
  <c r="N38" i="106" s="1"/>
  <c r="R38" i="106" s="1"/>
  <c r="S38" i="106" s="1"/>
  <c r="M46" i="114"/>
  <c r="N46" i="114" s="1"/>
  <c r="R46" i="114" s="1"/>
  <c r="S46" i="114" s="1"/>
  <c r="J37" i="117"/>
  <c r="N37" i="117" s="1"/>
  <c r="R37" i="117" s="1"/>
  <c r="S37" i="117" s="1"/>
  <c r="M61" i="78"/>
  <c r="J41" i="81"/>
  <c r="N41" i="81" s="1"/>
  <c r="R41" i="81" s="1"/>
  <c r="S41" i="81" s="1"/>
  <c r="J96" i="116"/>
  <c r="N96" i="116" s="1"/>
  <c r="J83" i="65"/>
  <c r="N83" i="65" s="1"/>
  <c r="J88" i="65"/>
  <c r="N88" i="65" s="1"/>
  <c r="J87" i="113"/>
  <c r="N87" i="113" s="1"/>
  <c r="J35" i="108"/>
  <c r="N35" i="108" s="1"/>
  <c r="R35" i="108" s="1"/>
  <c r="S35" i="108" s="1"/>
  <c r="J69" i="109"/>
  <c r="N69" i="109" s="1"/>
  <c r="M45" i="106"/>
  <c r="G111" i="73"/>
  <c r="J65" i="73"/>
  <c r="M34" i="80"/>
  <c r="M54" i="79"/>
  <c r="J43" i="103"/>
  <c r="N43" i="103" s="1"/>
  <c r="R43" i="103" s="1"/>
  <c r="S43" i="103" s="1"/>
  <c r="J52" i="73"/>
  <c r="N52" i="73" s="1"/>
  <c r="R52" i="73" s="1"/>
  <c r="S52" i="73" s="1"/>
  <c r="J90" i="117"/>
  <c r="N90" i="117" s="1"/>
  <c r="J48" i="97"/>
  <c r="J66" i="84"/>
  <c r="N66" i="84" s="1"/>
  <c r="J98" i="65"/>
  <c r="N98" i="65" s="1"/>
  <c r="M42" i="114"/>
  <c r="N42" i="114" s="1"/>
  <c r="R42" i="114" s="1"/>
  <c r="S42" i="114" s="1"/>
  <c r="J68" i="107"/>
  <c r="N68" i="107" s="1"/>
  <c r="J37" i="113"/>
  <c r="N37" i="113" s="1"/>
  <c r="R37" i="113" s="1"/>
  <c r="S37" i="113" s="1"/>
  <c r="J82" i="91"/>
  <c r="N82" i="91" s="1"/>
  <c r="M43" i="80"/>
  <c r="J42" i="105"/>
  <c r="J46" i="72"/>
  <c r="N46" i="72" s="1"/>
  <c r="R46" i="72" s="1"/>
  <c r="S46" i="72" s="1"/>
  <c r="J51" i="79"/>
  <c r="N51" i="79" s="1"/>
  <c r="R51" i="79" s="1"/>
  <c r="S51" i="79" s="1"/>
  <c r="M54" i="114"/>
  <c r="J66" i="76"/>
  <c r="N66" i="76" s="1"/>
  <c r="J60" i="105"/>
  <c r="N60" i="105"/>
  <c r="R60" i="105" s="1"/>
  <c r="S60" i="105" s="1"/>
  <c r="J57" i="73"/>
  <c r="R109" i="114"/>
  <c r="J109" i="114"/>
  <c r="N109" i="114" s="1"/>
  <c r="S109" i="114"/>
  <c r="J86" i="97"/>
  <c r="N86" i="97" s="1"/>
  <c r="J81" i="100"/>
  <c r="N81" i="100" s="1"/>
  <c r="M36" i="74"/>
  <c r="J97" i="80"/>
  <c r="N97" i="80" s="1"/>
  <c r="M37" i="73"/>
  <c r="J46" i="105"/>
  <c r="J71" i="113"/>
  <c r="N71" i="113" s="1"/>
  <c r="J36" i="91"/>
  <c r="M32" i="88"/>
  <c r="J51" i="77"/>
  <c r="J97" i="71"/>
  <c r="N97" i="71" s="1"/>
  <c r="J71" i="115"/>
  <c r="N71" i="115" s="1"/>
  <c r="M43" i="89"/>
  <c r="J84" i="111"/>
  <c r="N84" i="111" s="1"/>
  <c r="J47" i="110"/>
  <c r="G12" i="49"/>
  <c r="BH5" i="122" s="1"/>
  <c r="BG5" i="122"/>
  <c r="G13" i="49"/>
  <c r="BJ5" i="122" s="1"/>
  <c r="BI5" i="122"/>
  <c r="P18" i="54"/>
  <c r="K18" i="54"/>
  <c r="DS18" i="54"/>
  <c r="DV18" i="54"/>
  <c r="AJ18" i="54"/>
  <c r="AG18" i="54"/>
  <c r="DW18" i="54"/>
  <c r="DT18" i="54"/>
  <c r="AK112" i="60"/>
  <c r="DX18" i="54"/>
  <c r="Y18" i="54"/>
  <c r="L18" i="54"/>
  <c r="O18" i="54"/>
  <c r="X18" i="54"/>
  <c r="AE18" i="54"/>
  <c r="N18" i="54"/>
  <c r="AM18" i="54"/>
  <c r="AW112" i="60"/>
  <c r="AE112" i="60"/>
  <c r="S112" i="60"/>
  <c r="AK18" i="54"/>
  <c r="AA18" i="54"/>
  <c r="Z18" i="54"/>
  <c r="AI18" i="54"/>
  <c r="AD18" i="54"/>
  <c r="AC18" i="54"/>
  <c r="M18" i="54"/>
  <c r="DU18" i="54"/>
  <c r="J18" i="54"/>
  <c r="J63" i="114" l="1"/>
  <c r="N43" i="106"/>
  <c r="R43" i="106" s="1"/>
  <c r="S43" i="106" s="1"/>
  <c r="J63" i="87"/>
  <c r="N44" i="74"/>
  <c r="R44" i="74" s="1"/>
  <c r="S44" i="74" s="1"/>
  <c r="R111" i="105"/>
  <c r="N34" i="108"/>
  <c r="R34" i="108" s="1"/>
  <c r="S34" i="108" s="1"/>
  <c r="N43" i="115"/>
  <c r="R43" i="115" s="1"/>
  <c r="S43" i="115" s="1"/>
  <c r="N51" i="104"/>
  <c r="R51" i="104" s="1"/>
  <c r="S51" i="104" s="1"/>
  <c r="N51" i="115"/>
  <c r="R51" i="115" s="1"/>
  <c r="S51" i="115" s="1"/>
  <c r="N43" i="71"/>
  <c r="R43" i="71" s="1"/>
  <c r="S43" i="71" s="1"/>
  <c r="N48" i="115"/>
  <c r="R48" i="115" s="1"/>
  <c r="S48" i="115" s="1"/>
  <c r="N44" i="73"/>
  <c r="R44" i="73" s="1"/>
  <c r="S44" i="73" s="1"/>
  <c r="N47" i="84"/>
  <c r="R47" i="84" s="1"/>
  <c r="S47" i="84" s="1"/>
  <c r="N46" i="117"/>
  <c r="R46" i="117" s="1"/>
  <c r="S46" i="117" s="1"/>
  <c r="M63" i="91"/>
  <c r="N43" i="102"/>
  <c r="R43" i="102" s="1"/>
  <c r="S43" i="102" s="1"/>
  <c r="N35" i="109"/>
  <c r="R35" i="109" s="1"/>
  <c r="S35" i="109" s="1"/>
  <c r="N38" i="91"/>
  <c r="R38" i="91" s="1"/>
  <c r="S38" i="91" s="1"/>
  <c r="N54" i="88"/>
  <c r="R54" i="88" s="1"/>
  <c r="S54" i="88" s="1"/>
  <c r="N47" i="77"/>
  <c r="R47" i="77" s="1"/>
  <c r="S47" i="77" s="1"/>
  <c r="N34" i="99"/>
  <c r="R34" i="99" s="1"/>
  <c r="S34" i="99" s="1"/>
  <c r="N36" i="71"/>
  <c r="R36" i="71" s="1"/>
  <c r="S36" i="71" s="1"/>
  <c r="N36" i="78"/>
  <c r="R36" i="78" s="1"/>
  <c r="S36" i="78" s="1"/>
  <c r="N37" i="78"/>
  <c r="R37" i="78" s="1"/>
  <c r="S37" i="78" s="1"/>
  <c r="R111" i="87"/>
  <c r="N35" i="115"/>
  <c r="R35" i="115" s="1"/>
  <c r="S35" i="115" s="1"/>
  <c r="N41" i="91"/>
  <c r="R41" i="91" s="1"/>
  <c r="S41" i="91" s="1"/>
  <c r="J63" i="116"/>
  <c r="N38" i="100"/>
  <c r="R38" i="100" s="1"/>
  <c r="S38" i="100" s="1"/>
  <c r="N41" i="105"/>
  <c r="R41" i="105" s="1"/>
  <c r="S41" i="105" s="1"/>
  <c r="N54" i="89"/>
  <c r="R54" i="89" s="1"/>
  <c r="S54" i="89" s="1"/>
  <c r="N53" i="87"/>
  <c r="R53" i="87" s="1"/>
  <c r="S53" i="87" s="1"/>
  <c r="N57" i="100"/>
  <c r="R57" i="100" s="1"/>
  <c r="S57" i="100" s="1"/>
  <c r="N56" i="117"/>
  <c r="R56" i="117" s="1"/>
  <c r="S56" i="117" s="1"/>
  <c r="N51" i="84"/>
  <c r="R51" i="84" s="1"/>
  <c r="S51" i="84" s="1"/>
  <c r="N38" i="78"/>
  <c r="R38" i="78" s="1"/>
  <c r="S38" i="78" s="1"/>
  <c r="N43" i="114"/>
  <c r="R43" i="114" s="1"/>
  <c r="S43" i="114" s="1"/>
  <c r="N48" i="85"/>
  <c r="R48" i="85" s="1"/>
  <c r="S48" i="85" s="1"/>
  <c r="N47" i="72"/>
  <c r="R47" i="72" s="1"/>
  <c r="S47" i="72" s="1"/>
  <c r="J63" i="105"/>
  <c r="M63" i="100"/>
  <c r="N37" i="105"/>
  <c r="R37" i="105" s="1"/>
  <c r="S37" i="105" s="1"/>
  <c r="N53" i="98"/>
  <c r="R53" i="98" s="1"/>
  <c r="S53" i="98" s="1"/>
  <c r="S111" i="105"/>
  <c r="N47" i="106"/>
  <c r="R47" i="106" s="1"/>
  <c r="S47" i="106" s="1"/>
  <c r="N37" i="73"/>
  <c r="R37" i="73" s="1"/>
  <c r="S37" i="73" s="1"/>
  <c r="N56" i="92"/>
  <c r="R56" i="92" s="1"/>
  <c r="S56" i="92" s="1"/>
  <c r="N35" i="74"/>
  <c r="R35" i="74" s="1"/>
  <c r="S35" i="74" s="1"/>
  <c r="N38" i="83"/>
  <c r="R38" i="83" s="1"/>
  <c r="S38" i="83" s="1"/>
  <c r="S111" i="98"/>
  <c r="N51" i="82"/>
  <c r="R51" i="82" s="1"/>
  <c r="S51" i="82" s="1"/>
  <c r="N47" i="88"/>
  <c r="R47" i="88" s="1"/>
  <c r="S47" i="88" s="1"/>
  <c r="N50" i="88"/>
  <c r="R50" i="88" s="1"/>
  <c r="S50" i="88" s="1"/>
  <c r="N44" i="114"/>
  <c r="R44" i="114" s="1"/>
  <c r="S44" i="114" s="1"/>
  <c r="N42" i="104"/>
  <c r="R42" i="104" s="1"/>
  <c r="S42" i="104" s="1"/>
  <c r="N48" i="76"/>
  <c r="R48" i="76" s="1"/>
  <c r="S48" i="76" s="1"/>
  <c r="N57" i="101"/>
  <c r="R57" i="101" s="1"/>
  <c r="S57" i="101" s="1"/>
  <c r="N41" i="80"/>
  <c r="R41" i="80" s="1"/>
  <c r="S41" i="80" s="1"/>
  <c r="N36" i="106"/>
  <c r="R36" i="106" s="1"/>
  <c r="S36" i="106" s="1"/>
  <c r="N52" i="117"/>
  <c r="R52" i="117" s="1"/>
  <c r="S52" i="117" s="1"/>
  <c r="N52" i="115"/>
  <c r="R52" i="115" s="1"/>
  <c r="S52" i="115" s="1"/>
  <c r="N45" i="82"/>
  <c r="R45" i="82" s="1"/>
  <c r="S45" i="82" s="1"/>
  <c r="N50" i="90"/>
  <c r="R50" i="90" s="1"/>
  <c r="S50" i="90" s="1"/>
  <c r="N55" i="79"/>
  <c r="R55" i="79" s="1"/>
  <c r="S55" i="79" s="1"/>
  <c r="S111" i="103"/>
  <c r="N44" i="111"/>
  <c r="R44" i="111" s="1"/>
  <c r="S44" i="111" s="1"/>
  <c r="N35" i="72"/>
  <c r="R35" i="72" s="1"/>
  <c r="S35" i="72" s="1"/>
  <c r="N51" i="65"/>
  <c r="R51" i="65" s="1"/>
  <c r="S51" i="65" s="1"/>
  <c r="N55" i="90"/>
  <c r="R55" i="90" s="1"/>
  <c r="S55" i="90" s="1"/>
  <c r="N35" i="78"/>
  <c r="R35" i="78" s="1"/>
  <c r="S35" i="78" s="1"/>
  <c r="J63" i="106"/>
  <c r="M63" i="108"/>
  <c r="N36" i="73"/>
  <c r="R36" i="73" s="1"/>
  <c r="S36" i="73" s="1"/>
  <c r="N33" i="86"/>
  <c r="R33" i="86" s="1"/>
  <c r="S33" i="86" s="1"/>
  <c r="N56" i="88"/>
  <c r="R56" i="88" s="1"/>
  <c r="S56" i="88" s="1"/>
  <c r="N35" i="81"/>
  <c r="R35" i="81" s="1"/>
  <c r="S35" i="81" s="1"/>
  <c r="N47" i="81"/>
  <c r="R47" i="81" s="1"/>
  <c r="S47" i="81" s="1"/>
  <c r="N52" i="74"/>
  <c r="R52" i="74" s="1"/>
  <c r="S52" i="74" s="1"/>
  <c r="M63" i="117"/>
  <c r="S111" i="77"/>
  <c r="N36" i="114"/>
  <c r="R36" i="114" s="1"/>
  <c r="S36" i="114" s="1"/>
  <c r="N46" i="78"/>
  <c r="R46" i="78" s="1"/>
  <c r="S46" i="78" s="1"/>
  <c r="N48" i="92"/>
  <c r="R48" i="92" s="1"/>
  <c r="S48" i="92" s="1"/>
  <c r="N57" i="108"/>
  <c r="R57" i="108" s="1"/>
  <c r="S57" i="108" s="1"/>
  <c r="N41" i="108"/>
  <c r="R41" i="108" s="1"/>
  <c r="S41" i="108" s="1"/>
  <c r="N42" i="65"/>
  <c r="R42" i="65" s="1"/>
  <c r="S42" i="65" s="1"/>
  <c r="N34" i="81"/>
  <c r="R34" i="81" s="1"/>
  <c r="S34" i="81" s="1"/>
  <c r="S111" i="97"/>
  <c r="N36" i="87"/>
  <c r="R36" i="87" s="1"/>
  <c r="S36" i="87" s="1"/>
  <c r="N43" i="80"/>
  <c r="R43" i="80" s="1"/>
  <c r="S43" i="80" s="1"/>
  <c r="N40" i="85"/>
  <c r="R40" i="85" s="1"/>
  <c r="S40" i="85" s="1"/>
  <c r="N36" i="83"/>
  <c r="R36" i="83" s="1"/>
  <c r="S36" i="83" s="1"/>
  <c r="N53" i="90"/>
  <c r="R53" i="90" s="1"/>
  <c r="S53" i="90" s="1"/>
  <c r="N38" i="82"/>
  <c r="R38" i="82" s="1"/>
  <c r="S38" i="82" s="1"/>
  <c r="N33" i="103"/>
  <c r="R33" i="103" s="1"/>
  <c r="S33" i="103" s="1"/>
  <c r="N50" i="97"/>
  <c r="R50" i="97" s="1"/>
  <c r="S50" i="97" s="1"/>
  <c r="N36" i="109"/>
  <c r="R36" i="109" s="1"/>
  <c r="S36" i="109" s="1"/>
  <c r="N55" i="107"/>
  <c r="R55" i="107" s="1"/>
  <c r="S55" i="107" s="1"/>
  <c r="N35" i="80"/>
  <c r="R35" i="80" s="1"/>
  <c r="S35" i="80" s="1"/>
  <c r="N45" i="79"/>
  <c r="R45" i="79" s="1"/>
  <c r="S45" i="79" s="1"/>
  <c r="N42" i="90"/>
  <c r="R42" i="90" s="1"/>
  <c r="S42" i="90" s="1"/>
  <c r="N39" i="90"/>
  <c r="R39" i="90" s="1"/>
  <c r="S39" i="90" s="1"/>
  <c r="N41" i="65"/>
  <c r="R41" i="65" s="1"/>
  <c r="S41" i="65" s="1"/>
  <c r="N33" i="114"/>
  <c r="R33" i="114" s="1"/>
  <c r="S33" i="114" s="1"/>
  <c r="N42" i="75"/>
  <c r="R42" i="75" s="1"/>
  <c r="S42" i="75" s="1"/>
  <c r="N52" i="91"/>
  <c r="R52" i="91" s="1"/>
  <c r="S52" i="91" s="1"/>
  <c r="N44" i="103"/>
  <c r="R44" i="103" s="1"/>
  <c r="S44" i="103" s="1"/>
  <c r="N44" i="84"/>
  <c r="R44" i="84" s="1"/>
  <c r="S44" i="84" s="1"/>
  <c r="N39" i="107"/>
  <c r="R39" i="107" s="1"/>
  <c r="S39" i="107" s="1"/>
  <c r="N56" i="103"/>
  <c r="R56" i="103" s="1"/>
  <c r="S56" i="103" s="1"/>
  <c r="R111" i="84"/>
  <c r="N33" i="89"/>
  <c r="R33" i="89" s="1"/>
  <c r="S33" i="89" s="1"/>
  <c r="N48" i="73"/>
  <c r="R48" i="73" s="1"/>
  <c r="S48" i="73" s="1"/>
  <c r="N53" i="88"/>
  <c r="R53" i="88" s="1"/>
  <c r="S53" i="88" s="1"/>
  <c r="N44" i="85"/>
  <c r="R44" i="85" s="1"/>
  <c r="S44" i="85" s="1"/>
  <c r="J63" i="88"/>
  <c r="N55" i="91"/>
  <c r="R55" i="91" s="1"/>
  <c r="S55" i="91" s="1"/>
  <c r="N56" i="72"/>
  <c r="R56" i="72" s="1"/>
  <c r="S56" i="72" s="1"/>
  <c r="N53" i="92"/>
  <c r="R53" i="92" s="1"/>
  <c r="S53" i="92" s="1"/>
  <c r="N42" i="91"/>
  <c r="R42" i="91" s="1"/>
  <c r="S42" i="91" s="1"/>
  <c r="S111" i="88"/>
  <c r="N35" i="83"/>
  <c r="R35" i="83" s="1"/>
  <c r="S35" i="83" s="1"/>
  <c r="N36" i="92"/>
  <c r="R36" i="92" s="1"/>
  <c r="S36" i="92" s="1"/>
  <c r="N43" i="84"/>
  <c r="R43" i="84" s="1"/>
  <c r="S43" i="84" s="1"/>
  <c r="N44" i="91"/>
  <c r="R44" i="91" s="1"/>
  <c r="S44" i="91" s="1"/>
  <c r="N51" i="88"/>
  <c r="R51" i="88" s="1"/>
  <c r="S51" i="88" s="1"/>
  <c r="N48" i="109"/>
  <c r="R48" i="109" s="1"/>
  <c r="S48" i="109" s="1"/>
  <c r="N38" i="114"/>
  <c r="R38" i="114" s="1"/>
  <c r="S38" i="114" s="1"/>
  <c r="N48" i="88"/>
  <c r="R48" i="88" s="1"/>
  <c r="S48" i="88" s="1"/>
  <c r="N40" i="83"/>
  <c r="R40" i="83" s="1"/>
  <c r="S40" i="83" s="1"/>
  <c r="N56" i="102"/>
  <c r="R56" i="102" s="1"/>
  <c r="S56" i="102" s="1"/>
  <c r="N40" i="97"/>
  <c r="R40" i="97" s="1"/>
  <c r="S40" i="97" s="1"/>
  <c r="N56" i="97"/>
  <c r="R56" i="97" s="1"/>
  <c r="S56" i="97" s="1"/>
  <c r="N37" i="110"/>
  <c r="R37" i="110" s="1"/>
  <c r="S37" i="110" s="1"/>
  <c r="M63" i="65"/>
  <c r="N46" i="109"/>
  <c r="R46" i="109" s="1"/>
  <c r="S46" i="109" s="1"/>
  <c r="N49" i="117"/>
  <c r="R49" i="117" s="1"/>
  <c r="S49" i="117" s="1"/>
  <c r="N41" i="97"/>
  <c r="R41" i="97" s="1"/>
  <c r="S41" i="97" s="1"/>
  <c r="N38" i="97"/>
  <c r="R38" i="97" s="1"/>
  <c r="S38" i="97" s="1"/>
  <c r="N57" i="85"/>
  <c r="R57" i="85" s="1"/>
  <c r="S57" i="85" s="1"/>
  <c r="N37" i="80"/>
  <c r="R37" i="80" s="1"/>
  <c r="S37" i="80" s="1"/>
  <c r="N35" i="102"/>
  <c r="R35" i="102" s="1"/>
  <c r="S35" i="102" s="1"/>
  <c r="N54" i="102"/>
  <c r="R54" i="102" s="1"/>
  <c r="S54" i="102" s="1"/>
  <c r="N33" i="100"/>
  <c r="R33" i="100" s="1"/>
  <c r="S33" i="100" s="1"/>
  <c r="N33" i="85"/>
  <c r="R33" i="85" s="1"/>
  <c r="S33" i="85" s="1"/>
  <c r="N43" i="107"/>
  <c r="R43" i="107" s="1"/>
  <c r="S43" i="107" s="1"/>
  <c r="N39" i="103"/>
  <c r="R39" i="103" s="1"/>
  <c r="S39" i="103" s="1"/>
  <c r="N39" i="76"/>
  <c r="R39" i="76" s="1"/>
  <c r="S39" i="76" s="1"/>
  <c r="N42" i="110"/>
  <c r="R42" i="110" s="1"/>
  <c r="S42" i="110" s="1"/>
  <c r="N46" i="86"/>
  <c r="R46" i="86" s="1"/>
  <c r="S46" i="86" s="1"/>
  <c r="N49" i="88"/>
  <c r="R49" i="88" s="1"/>
  <c r="S49" i="88" s="1"/>
  <c r="N49" i="90"/>
  <c r="R49" i="90" s="1"/>
  <c r="S49" i="90" s="1"/>
  <c r="S111" i="76"/>
  <c r="N41" i="116"/>
  <c r="R41" i="116" s="1"/>
  <c r="S41" i="116" s="1"/>
  <c r="N45" i="115"/>
  <c r="R45" i="115" s="1"/>
  <c r="S45" i="115" s="1"/>
  <c r="N38" i="81"/>
  <c r="R38" i="81" s="1"/>
  <c r="S38" i="81" s="1"/>
  <c r="N40" i="84"/>
  <c r="R40" i="84" s="1"/>
  <c r="S40" i="84" s="1"/>
  <c r="R111" i="102"/>
  <c r="N42" i="99"/>
  <c r="R42" i="99" s="1"/>
  <c r="S42" i="99" s="1"/>
  <c r="N37" i="101"/>
  <c r="R37" i="101" s="1"/>
  <c r="S37" i="101" s="1"/>
  <c r="M63" i="115"/>
  <c r="N51" i="114"/>
  <c r="R51" i="114" s="1"/>
  <c r="S51" i="114" s="1"/>
  <c r="N51" i="117"/>
  <c r="R51" i="117" s="1"/>
  <c r="S51" i="117" s="1"/>
  <c r="N45" i="114"/>
  <c r="R45" i="114" s="1"/>
  <c r="S45" i="114" s="1"/>
  <c r="N52" i="71"/>
  <c r="R52" i="71" s="1"/>
  <c r="S52" i="71" s="1"/>
  <c r="N43" i="77"/>
  <c r="R43" i="77" s="1"/>
  <c r="S43" i="77" s="1"/>
  <c r="N36" i="77"/>
  <c r="R36" i="77" s="1"/>
  <c r="S36" i="77" s="1"/>
  <c r="N41" i="107"/>
  <c r="R41" i="107" s="1"/>
  <c r="S41" i="107" s="1"/>
  <c r="N50" i="105"/>
  <c r="R50" i="105" s="1"/>
  <c r="S50" i="105" s="1"/>
  <c r="N48" i="81"/>
  <c r="R48" i="81" s="1"/>
  <c r="S48" i="81" s="1"/>
  <c r="N52" i="110"/>
  <c r="R52" i="110" s="1"/>
  <c r="S52" i="110" s="1"/>
  <c r="N36" i="72"/>
  <c r="R36" i="72" s="1"/>
  <c r="S36" i="72" s="1"/>
  <c r="N39" i="115"/>
  <c r="R39" i="115" s="1"/>
  <c r="S39" i="115" s="1"/>
  <c r="N55" i="103"/>
  <c r="R55" i="103" s="1"/>
  <c r="S55" i="103" s="1"/>
  <c r="N44" i="77"/>
  <c r="R44" i="77" s="1"/>
  <c r="S44" i="77" s="1"/>
  <c r="N43" i="99"/>
  <c r="R43" i="99" s="1"/>
  <c r="S43" i="99" s="1"/>
  <c r="N40" i="90"/>
  <c r="R40" i="90" s="1"/>
  <c r="S40" i="90" s="1"/>
  <c r="N38" i="109"/>
  <c r="R38" i="109" s="1"/>
  <c r="S38" i="109" s="1"/>
  <c r="N47" i="104"/>
  <c r="R47" i="104" s="1"/>
  <c r="S47" i="104" s="1"/>
  <c r="N39" i="109"/>
  <c r="R39" i="109" s="1"/>
  <c r="S39" i="109" s="1"/>
  <c r="N51" i="83"/>
  <c r="R51" i="83" s="1"/>
  <c r="S51" i="83" s="1"/>
  <c r="N44" i="87"/>
  <c r="R44" i="87" s="1"/>
  <c r="S44" i="87" s="1"/>
  <c r="N51" i="107"/>
  <c r="R51" i="107" s="1"/>
  <c r="S51" i="107" s="1"/>
  <c r="N47" i="113"/>
  <c r="R47" i="113" s="1"/>
  <c r="S47" i="113" s="1"/>
  <c r="N34" i="76"/>
  <c r="R34" i="76" s="1"/>
  <c r="S34" i="76" s="1"/>
  <c r="N57" i="114"/>
  <c r="R57" i="114" s="1"/>
  <c r="S57" i="114" s="1"/>
  <c r="N38" i="76"/>
  <c r="R38" i="76" s="1"/>
  <c r="S38" i="76" s="1"/>
  <c r="N44" i="107"/>
  <c r="R44" i="107" s="1"/>
  <c r="S44" i="107" s="1"/>
  <c r="N38" i="87"/>
  <c r="R38" i="87" s="1"/>
  <c r="S38" i="87" s="1"/>
  <c r="N37" i="84"/>
  <c r="R37" i="84" s="1"/>
  <c r="S37" i="84" s="1"/>
  <c r="N54" i="73"/>
  <c r="R54" i="73" s="1"/>
  <c r="S54" i="73" s="1"/>
  <c r="N48" i="106"/>
  <c r="R48" i="106" s="1"/>
  <c r="S48" i="106" s="1"/>
  <c r="N46" i="82"/>
  <c r="R46" i="82" s="1"/>
  <c r="S46" i="82" s="1"/>
  <c r="N41" i="92"/>
  <c r="R41" i="92" s="1"/>
  <c r="S41" i="92" s="1"/>
  <c r="N36" i="86"/>
  <c r="R36" i="86" s="1"/>
  <c r="S36" i="86" s="1"/>
  <c r="N55" i="115"/>
  <c r="R55" i="115" s="1"/>
  <c r="S55" i="115" s="1"/>
  <c r="N54" i="71"/>
  <c r="R54" i="71" s="1"/>
  <c r="S54" i="71" s="1"/>
  <c r="N52" i="88"/>
  <c r="R52" i="88" s="1"/>
  <c r="S52" i="88" s="1"/>
  <c r="N33" i="71"/>
  <c r="R33" i="71" s="1"/>
  <c r="S33" i="71" s="1"/>
  <c r="N57" i="113"/>
  <c r="R57" i="113" s="1"/>
  <c r="S57" i="113" s="1"/>
  <c r="J63" i="101"/>
  <c r="N53" i="91"/>
  <c r="R53" i="91" s="1"/>
  <c r="S53" i="91" s="1"/>
  <c r="N46" i="98"/>
  <c r="R46" i="98" s="1"/>
  <c r="S46" i="98" s="1"/>
  <c r="N38" i="117"/>
  <c r="R38" i="117" s="1"/>
  <c r="S38" i="117" s="1"/>
  <c r="N54" i="98"/>
  <c r="R54" i="98" s="1"/>
  <c r="S54" i="98" s="1"/>
  <c r="N48" i="100"/>
  <c r="R48" i="100" s="1"/>
  <c r="S48" i="100" s="1"/>
  <c r="N54" i="75"/>
  <c r="R54" i="75" s="1"/>
  <c r="S54" i="75" s="1"/>
  <c r="N43" i="110"/>
  <c r="R43" i="110" s="1"/>
  <c r="S43" i="110" s="1"/>
  <c r="N56" i="100"/>
  <c r="R56" i="100" s="1"/>
  <c r="S56" i="100" s="1"/>
  <c r="N55" i="73"/>
  <c r="R55" i="73" s="1"/>
  <c r="S55" i="73" s="1"/>
  <c r="N45" i="84"/>
  <c r="R45" i="84" s="1"/>
  <c r="S45" i="84" s="1"/>
  <c r="N33" i="88"/>
  <c r="R33" i="88" s="1"/>
  <c r="S33" i="88" s="1"/>
  <c r="N38" i="113"/>
  <c r="R38" i="113" s="1"/>
  <c r="S38" i="113" s="1"/>
  <c r="N37" i="104"/>
  <c r="R37" i="104" s="1"/>
  <c r="S37" i="104" s="1"/>
  <c r="N50" i="98"/>
  <c r="R50" i="98" s="1"/>
  <c r="S50" i="98" s="1"/>
  <c r="N40" i="78"/>
  <c r="R40" i="78" s="1"/>
  <c r="S40" i="78" s="1"/>
  <c r="N40" i="81"/>
  <c r="R40" i="81" s="1"/>
  <c r="S40" i="81" s="1"/>
  <c r="N36" i="102"/>
  <c r="R36" i="102" s="1"/>
  <c r="S36" i="102" s="1"/>
  <c r="N35" i="84"/>
  <c r="R35" i="84" s="1"/>
  <c r="S35" i="84" s="1"/>
  <c r="N50" i="74"/>
  <c r="R50" i="74" s="1"/>
  <c r="S50" i="74" s="1"/>
  <c r="N36" i="101"/>
  <c r="R36" i="101" s="1"/>
  <c r="S36" i="101" s="1"/>
  <c r="N38" i="110"/>
  <c r="R38" i="110" s="1"/>
  <c r="S38" i="110" s="1"/>
  <c r="N43" i="85"/>
  <c r="R43" i="85" s="1"/>
  <c r="S43" i="85" s="1"/>
  <c r="N45" i="110"/>
  <c r="R45" i="110" s="1"/>
  <c r="S45" i="110" s="1"/>
  <c r="R111" i="65"/>
  <c r="N49" i="111"/>
  <c r="R49" i="111" s="1"/>
  <c r="S49" i="111" s="1"/>
  <c r="N42" i="81"/>
  <c r="R42" i="81" s="1"/>
  <c r="S42" i="81" s="1"/>
  <c r="N47" i="100"/>
  <c r="R47" i="100" s="1"/>
  <c r="S47" i="100" s="1"/>
  <c r="N51" i="73"/>
  <c r="R51" i="73" s="1"/>
  <c r="S51" i="73" s="1"/>
  <c r="N45" i="98"/>
  <c r="R45" i="98" s="1"/>
  <c r="S45" i="98" s="1"/>
  <c r="N37" i="103"/>
  <c r="R37" i="103" s="1"/>
  <c r="S37" i="103" s="1"/>
  <c r="N46" i="85"/>
  <c r="R46" i="85" s="1"/>
  <c r="S46" i="85" s="1"/>
  <c r="S111" i="106"/>
  <c r="N36" i="105"/>
  <c r="R36" i="105" s="1"/>
  <c r="S36" i="105" s="1"/>
  <c r="N44" i="115"/>
  <c r="R44" i="115" s="1"/>
  <c r="S44" i="115" s="1"/>
  <c r="J63" i="75"/>
  <c r="R111" i="92"/>
  <c r="R111" i="108"/>
  <c r="N38" i="75"/>
  <c r="R38" i="75" s="1"/>
  <c r="S38" i="75" s="1"/>
  <c r="N41" i="85"/>
  <c r="R41" i="85" s="1"/>
  <c r="S41" i="85" s="1"/>
  <c r="N53" i="107"/>
  <c r="R53" i="107" s="1"/>
  <c r="S53" i="107" s="1"/>
  <c r="N46" i="77"/>
  <c r="R46" i="77" s="1"/>
  <c r="S46" i="77" s="1"/>
  <c r="N37" i="65"/>
  <c r="R37" i="65" s="1"/>
  <c r="S37" i="65" s="1"/>
  <c r="N55" i="106"/>
  <c r="R55" i="106" s="1"/>
  <c r="S55" i="106" s="1"/>
  <c r="M63" i="99"/>
  <c r="N46" i="75"/>
  <c r="R46" i="75" s="1"/>
  <c r="S46" i="75" s="1"/>
  <c r="N57" i="71"/>
  <c r="R57" i="71" s="1"/>
  <c r="S57" i="71" s="1"/>
  <c r="N43" i="91"/>
  <c r="R43" i="91" s="1"/>
  <c r="S43" i="91" s="1"/>
  <c r="N49" i="89"/>
  <c r="R49" i="89" s="1"/>
  <c r="S49" i="89" s="1"/>
  <c r="N56" i="82"/>
  <c r="R56" i="82" s="1"/>
  <c r="S56" i="82" s="1"/>
  <c r="N63" i="114"/>
  <c r="R59" i="114"/>
  <c r="M58" i="72"/>
  <c r="R111" i="91"/>
  <c r="R111" i="107"/>
  <c r="J58" i="78"/>
  <c r="N32" i="78"/>
  <c r="N63" i="81"/>
  <c r="R59" i="81"/>
  <c r="R32" i="97"/>
  <c r="N65" i="102"/>
  <c r="J111" i="102"/>
  <c r="M58" i="88"/>
  <c r="N54" i="109"/>
  <c r="R54" i="109" s="1"/>
  <c r="S54" i="109" s="1"/>
  <c r="J63" i="100"/>
  <c r="N49" i="84"/>
  <c r="R49" i="84" s="1"/>
  <c r="S49" i="84" s="1"/>
  <c r="N41" i="88"/>
  <c r="R41" i="88" s="1"/>
  <c r="S41" i="88" s="1"/>
  <c r="N40" i="106"/>
  <c r="R40" i="106" s="1"/>
  <c r="S40" i="106" s="1"/>
  <c r="N45" i="113"/>
  <c r="R45" i="113" s="1"/>
  <c r="S45" i="113" s="1"/>
  <c r="J58" i="89"/>
  <c r="N32" i="89"/>
  <c r="N65" i="91"/>
  <c r="J111" i="91"/>
  <c r="N65" i="106"/>
  <c r="J111" i="106"/>
  <c r="M58" i="75"/>
  <c r="R111" i="99"/>
  <c r="N32" i="90"/>
  <c r="M58" i="90"/>
  <c r="N32" i="106"/>
  <c r="J58" i="106"/>
  <c r="R59" i="108"/>
  <c r="N63" i="108"/>
  <c r="J63" i="109"/>
  <c r="N38" i="108"/>
  <c r="R38" i="108" s="1"/>
  <c r="S38" i="108" s="1"/>
  <c r="N65" i="111"/>
  <c r="J111" i="111"/>
  <c r="R59" i="86"/>
  <c r="N63" i="86"/>
  <c r="R59" i="109"/>
  <c r="N63" i="109"/>
  <c r="N51" i="77"/>
  <c r="R51" i="77" s="1"/>
  <c r="S51" i="77" s="1"/>
  <c r="N32" i="86"/>
  <c r="J58" i="86"/>
  <c r="N32" i="98"/>
  <c r="J58" i="98"/>
  <c r="N46" i="89"/>
  <c r="R46" i="89" s="1"/>
  <c r="S46" i="89" s="1"/>
  <c r="N36" i="107"/>
  <c r="R36" i="107" s="1"/>
  <c r="S36" i="107" s="1"/>
  <c r="M63" i="74"/>
  <c r="N63" i="103"/>
  <c r="R59" i="103"/>
  <c r="S111" i="109"/>
  <c r="J58" i="90"/>
  <c r="N65" i="98"/>
  <c r="J111" i="98"/>
  <c r="J63" i="115"/>
  <c r="N49" i="85"/>
  <c r="R49" i="85" s="1"/>
  <c r="S49" i="85" s="1"/>
  <c r="M58" i="86"/>
  <c r="N37" i="114"/>
  <c r="R37" i="114" s="1"/>
  <c r="S37" i="114" s="1"/>
  <c r="R59" i="111"/>
  <c r="N63" i="111"/>
  <c r="N39" i="79"/>
  <c r="R39" i="79" s="1"/>
  <c r="S39" i="79" s="1"/>
  <c r="S111" i="89"/>
  <c r="N56" i="99"/>
  <c r="R56" i="99" s="1"/>
  <c r="S56" i="99" s="1"/>
  <c r="N56" i="101"/>
  <c r="R56" i="101" s="1"/>
  <c r="S56" i="101" s="1"/>
  <c r="N45" i="116"/>
  <c r="R45" i="116" s="1"/>
  <c r="S45" i="116" s="1"/>
  <c r="R59" i="102"/>
  <c r="N63" i="102"/>
  <c r="N50" i="73"/>
  <c r="R50" i="73" s="1"/>
  <c r="S50" i="73" s="1"/>
  <c r="N39" i="86"/>
  <c r="R39" i="86" s="1"/>
  <c r="S39" i="86" s="1"/>
  <c r="R111" i="103"/>
  <c r="N63" i="100"/>
  <c r="R59" i="100"/>
  <c r="N46" i="76"/>
  <c r="R46" i="76" s="1"/>
  <c r="S46" i="76" s="1"/>
  <c r="N39" i="97"/>
  <c r="R39" i="97" s="1"/>
  <c r="S39" i="97" s="1"/>
  <c r="M58" i="107"/>
  <c r="N32" i="108"/>
  <c r="M58" i="108"/>
  <c r="J58" i="114"/>
  <c r="N32" i="114"/>
  <c r="M58" i="113"/>
  <c r="N55" i="110"/>
  <c r="R55" i="110" s="1"/>
  <c r="S55" i="110" s="1"/>
  <c r="N65" i="117"/>
  <c r="J111" i="117"/>
  <c r="M58" i="87"/>
  <c r="N40" i="76"/>
  <c r="R40" i="76" s="1"/>
  <c r="S40" i="76" s="1"/>
  <c r="N65" i="89"/>
  <c r="J111" i="89"/>
  <c r="M63" i="79"/>
  <c r="N41" i="103"/>
  <c r="R41" i="103" s="1"/>
  <c r="S41" i="103" s="1"/>
  <c r="N33" i="81"/>
  <c r="R33" i="81" s="1"/>
  <c r="S33" i="81" s="1"/>
  <c r="N65" i="83"/>
  <c r="J111" i="83"/>
  <c r="N40" i="116"/>
  <c r="R40" i="116" s="1"/>
  <c r="S40" i="116" s="1"/>
  <c r="M58" i="80"/>
  <c r="N35" i="77"/>
  <c r="R35" i="77" s="1"/>
  <c r="S35" i="77" s="1"/>
  <c r="J63" i="111"/>
  <c r="J58" i="107"/>
  <c r="N32" i="107"/>
  <c r="N65" i="74"/>
  <c r="J111" i="74"/>
  <c r="N51" i="87"/>
  <c r="R51" i="87" s="1"/>
  <c r="S51" i="87" s="1"/>
  <c r="N40" i="71"/>
  <c r="R40" i="71" s="1"/>
  <c r="S40" i="71" s="1"/>
  <c r="J58" i="79"/>
  <c r="N32" i="79"/>
  <c r="N47" i="82"/>
  <c r="R47" i="82" s="1"/>
  <c r="S47" i="82" s="1"/>
  <c r="N37" i="72"/>
  <c r="R37" i="72" s="1"/>
  <c r="S37" i="72" s="1"/>
  <c r="R59" i="116"/>
  <c r="N63" i="116"/>
  <c r="N41" i="89"/>
  <c r="R41" i="89" s="1"/>
  <c r="S41" i="89" s="1"/>
  <c r="M58" i="78"/>
  <c r="N52" i="77"/>
  <c r="R52" i="77" s="1"/>
  <c r="S52" i="77" s="1"/>
  <c r="M63" i="86"/>
  <c r="N33" i="80"/>
  <c r="R33" i="80" s="1"/>
  <c r="S33" i="80" s="1"/>
  <c r="N39" i="87"/>
  <c r="R39" i="87" s="1"/>
  <c r="S39" i="87" s="1"/>
  <c r="J58" i="83"/>
  <c r="N32" i="83"/>
  <c r="M58" i="106"/>
  <c r="N32" i="84"/>
  <c r="J58" i="84"/>
  <c r="R59" i="105"/>
  <c r="N63" i="105"/>
  <c r="N37" i="97"/>
  <c r="R37" i="97" s="1"/>
  <c r="S37" i="97" s="1"/>
  <c r="R59" i="84"/>
  <c r="N63" i="84"/>
  <c r="N34" i="88"/>
  <c r="R34" i="88" s="1"/>
  <c r="S34" i="88" s="1"/>
  <c r="M63" i="89"/>
  <c r="N65" i="108"/>
  <c r="J111" i="108"/>
  <c r="N38" i="103"/>
  <c r="R38" i="103" s="1"/>
  <c r="S38" i="103" s="1"/>
  <c r="N47" i="107"/>
  <c r="R47" i="107" s="1"/>
  <c r="S47" i="107" s="1"/>
  <c r="R59" i="65"/>
  <c r="N63" i="65"/>
  <c r="N65" i="92"/>
  <c r="J111" i="92"/>
  <c r="S111" i="99"/>
  <c r="R59" i="90"/>
  <c r="N63" i="90"/>
  <c r="N52" i="97"/>
  <c r="R52" i="97" s="1"/>
  <c r="S52" i="97" s="1"/>
  <c r="R59" i="83"/>
  <c r="N63" i="83"/>
  <c r="R59" i="87"/>
  <c r="N63" i="87"/>
  <c r="N53" i="82"/>
  <c r="R53" i="82" s="1"/>
  <c r="S53" i="82" s="1"/>
  <c r="J58" i="101"/>
  <c r="N32" i="101"/>
  <c r="N52" i="82"/>
  <c r="R52" i="82" s="1"/>
  <c r="S52" i="82" s="1"/>
  <c r="N32" i="117"/>
  <c r="J58" i="117"/>
  <c r="N52" i="114"/>
  <c r="R52" i="114" s="1"/>
  <c r="S52" i="114" s="1"/>
  <c r="M63" i="101"/>
  <c r="N41" i="84"/>
  <c r="R41" i="84" s="1"/>
  <c r="S41" i="84" s="1"/>
  <c r="J58" i="71"/>
  <c r="N32" i="71"/>
  <c r="N47" i="103"/>
  <c r="R47" i="103" s="1"/>
  <c r="S47" i="103" s="1"/>
  <c r="J63" i="82"/>
  <c r="N55" i="98"/>
  <c r="R55" i="98" s="1"/>
  <c r="S55" i="98" s="1"/>
  <c r="N53" i="75"/>
  <c r="R53" i="75" s="1"/>
  <c r="S53" i="75" s="1"/>
  <c r="N43" i="65"/>
  <c r="R43" i="65" s="1"/>
  <c r="S43" i="65" s="1"/>
  <c r="N32" i="74"/>
  <c r="J58" i="74"/>
  <c r="N65" i="71"/>
  <c r="J111" i="71"/>
  <c r="M63" i="80"/>
  <c r="N63" i="75"/>
  <c r="R59" i="75"/>
  <c r="N48" i="89"/>
  <c r="R48" i="89" s="1"/>
  <c r="S48" i="89" s="1"/>
  <c r="N52" i="87"/>
  <c r="R52" i="87" s="1"/>
  <c r="S52" i="87" s="1"/>
  <c r="N48" i="107"/>
  <c r="R48" i="107" s="1"/>
  <c r="S48" i="107" s="1"/>
  <c r="M63" i="84"/>
  <c r="J58" i="80"/>
  <c r="N32" i="80"/>
  <c r="N34" i="75"/>
  <c r="R34" i="75" s="1"/>
  <c r="S34" i="75" s="1"/>
  <c r="N50" i="89"/>
  <c r="R50" i="89" s="1"/>
  <c r="S50" i="89" s="1"/>
  <c r="N45" i="76"/>
  <c r="R45" i="76" s="1"/>
  <c r="S45" i="76" s="1"/>
  <c r="S111" i="104"/>
  <c r="N35" i="97"/>
  <c r="R35" i="97" s="1"/>
  <c r="S35" i="97" s="1"/>
  <c r="N65" i="72"/>
  <c r="J111" i="72"/>
  <c r="M63" i="87"/>
  <c r="N34" i="107"/>
  <c r="R34" i="107" s="1"/>
  <c r="S34" i="107" s="1"/>
  <c r="N49" i="97"/>
  <c r="R49" i="97" s="1"/>
  <c r="S49" i="97" s="1"/>
  <c r="N34" i="114"/>
  <c r="R34" i="114" s="1"/>
  <c r="S34" i="114" s="1"/>
  <c r="N65" i="114"/>
  <c r="J111" i="114"/>
  <c r="N45" i="107"/>
  <c r="R45" i="107" s="1"/>
  <c r="S45" i="107" s="1"/>
  <c r="N56" i="77"/>
  <c r="R56" i="77" s="1"/>
  <c r="S56" i="77" s="1"/>
  <c r="N35" i="104"/>
  <c r="R35" i="104" s="1"/>
  <c r="S35" i="104" s="1"/>
  <c r="N38" i="111"/>
  <c r="R38" i="111" s="1"/>
  <c r="S38" i="111" s="1"/>
  <c r="N65" i="81"/>
  <c r="J111" i="81"/>
  <c r="N49" i="82"/>
  <c r="R49" i="82" s="1"/>
  <c r="S49" i="82" s="1"/>
  <c r="N57" i="92"/>
  <c r="R57" i="92" s="1"/>
  <c r="S57" i="92" s="1"/>
  <c r="N33" i="106"/>
  <c r="R33" i="106" s="1"/>
  <c r="S33" i="106" s="1"/>
  <c r="N51" i="97"/>
  <c r="R51" i="97" s="1"/>
  <c r="S51" i="97" s="1"/>
  <c r="R111" i="113"/>
  <c r="N48" i="102"/>
  <c r="R48" i="102" s="1"/>
  <c r="S48" i="102" s="1"/>
  <c r="R111" i="85"/>
  <c r="R111" i="79"/>
  <c r="J63" i="79"/>
  <c r="N33" i="78"/>
  <c r="R33" i="78" s="1"/>
  <c r="S33" i="78" s="1"/>
  <c r="N42" i="89"/>
  <c r="R42" i="89" s="1"/>
  <c r="S42" i="89" s="1"/>
  <c r="S111" i="86"/>
  <c r="J58" i="91"/>
  <c r="N32" i="91"/>
  <c r="S111" i="87"/>
  <c r="N34" i="102"/>
  <c r="R34" i="102" s="1"/>
  <c r="S34" i="102" s="1"/>
  <c r="S111" i="114"/>
  <c r="J58" i="108"/>
  <c r="N35" i="89"/>
  <c r="R35" i="89" s="1"/>
  <c r="S35" i="89" s="1"/>
  <c r="R111" i="111"/>
  <c r="J63" i="113"/>
  <c r="N52" i="98"/>
  <c r="R52" i="98" s="1"/>
  <c r="S52" i="98" s="1"/>
  <c r="N51" i="92"/>
  <c r="R51" i="92" s="1"/>
  <c r="S51" i="92" s="1"/>
  <c r="N50" i="72"/>
  <c r="R50" i="72" s="1"/>
  <c r="S50" i="72" s="1"/>
  <c r="N50" i="116"/>
  <c r="R50" i="116" s="1"/>
  <c r="S50" i="116" s="1"/>
  <c r="N63" i="92"/>
  <c r="R59" i="92"/>
  <c r="N56" i="87"/>
  <c r="R56" i="87" s="1"/>
  <c r="S56" i="87" s="1"/>
  <c r="M63" i="77"/>
  <c r="N47" i="76"/>
  <c r="R47" i="76" s="1"/>
  <c r="S47" i="76" s="1"/>
  <c r="N51" i="75"/>
  <c r="R51" i="75" s="1"/>
  <c r="S51" i="75" s="1"/>
  <c r="N55" i="114"/>
  <c r="R55" i="114" s="1"/>
  <c r="S55" i="114" s="1"/>
  <c r="N48" i="114"/>
  <c r="R48" i="114" s="1"/>
  <c r="S48" i="114" s="1"/>
  <c r="N43" i="90"/>
  <c r="R43" i="90" s="1"/>
  <c r="S43" i="90" s="1"/>
  <c r="N43" i="88"/>
  <c r="R43" i="88" s="1"/>
  <c r="S43" i="88" s="1"/>
  <c r="M63" i="88"/>
  <c r="R111" i="115"/>
  <c r="N54" i="76"/>
  <c r="R54" i="76" s="1"/>
  <c r="S54" i="76" s="1"/>
  <c r="N43" i="105"/>
  <c r="R43" i="105" s="1"/>
  <c r="S43" i="105" s="1"/>
  <c r="N40" i="115"/>
  <c r="R40" i="115" s="1"/>
  <c r="S40" i="115" s="1"/>
  <c r="N54" i="84"/>
  <c r="R54" i="84" s="1"/>
  <c r="S54" i="84" s="1"/>
  <c r="N63" i="72"/>
  <c r="R59" i="72"/>
  <c r="N37" i="92"/>
  <c r="R37" i="92" s="1"/>
  <c r="S37" i="92" s="1"/>
  <c r="M63" i="76"/>
  <c r="N47" i="65"/>
  <c r="R47" i="65" s="1"/>
  <c r="S47" i="65" s="1"/>
  <c r="N50" i="117"/>
  <c r="R50" i="117" s="1"/>
  <c r="S50" i="117" s="1"/>
  <c r="N48" i="99"/>
  <c r="R48" i="99" s="1"/>
  <c r="S48" i="99" s="1"/>
  <c r="N32" i="105"/>
  <c r="J58" i="105"/>
  <c r="N54" i="86"/>
  <c r="R54" i="86" s="1"/>
  <c r="S54" i="86" s="1"/>
  <c r="M63" i="105"/>
  <c r="N44" i="97"/>
  <c r="R44" i="97" s="1"/>
  <c r="S44" i="97" s="1"/>
  <c r="J63" i="103"/>
  <c r="N42" i="97"/>
  <c r="R42" i="97" s="1"/>
  <c r="S42" i="97" s="1"/>
  <c r="N57" i="78"/>
  <c r="R57" i="78" s="1"/>
  <c r="S57" i="78" s="1"/>
  <c r="N42" i="73"/>
  <c r="R42" i="73" s="1"/>
  <c r="S42" i="73" s="1"/>
  <c r="N52" i="85"/>
  <c r="R52" i="85" s="1"/>
  <c r="S52" i="85" s="1"/>
  <c r="N34" i="73"/>
  <c r="R34" i="73" s="1"/>
  <c r="S34" i="73" s="1"/>
  <c r="J58" i="111"/>
  <c r="N32" i="111"/>
  <c r="N43" i="75"/>
  <c r="R43" i="75" s="1"/>
  <c r="S43" i="75" s="1"/>
  <c r="N51" i="85"/>
  <c r="R51" i="85" s="1"/>
  <c r="S51" i="85" s="1"/>
  <c r="R59" i="88"/>
  <c r="N63" i="88"/>
  <c r="N47" i="110"/>
  <c r="R47" i="110" s="1"/>
  <c r="S47" i="110" s="1"/>
  <c r="N65" i="90"/>
  <c r="J111" i="90"/>
  <c r="N65" i="85"/>
  <c r="J111" i="85"/>
  <c r="N52" i="92"/>
  <c r="R52" i="92" s="1"/>
  <c r="S52" i="92" s="1"/>
  <c r="N38" i="105"/>
  <c r="R38" i="105" s="1"/>
  <c r="S38" i="105" s="1"/>
  <c r="N48" i="78"/>
  <c r="R48" i="78" s="1"/>
  <c r="S48" i="78" s="1"/>
  <c r="N53" i="81"/>
  <c r="R53" i="81" s="1"/>
  <c r="S53" i="81" s="1"/>
  <c r="S111" i="116"/>
  <c r="N55" i="87"/>
  <c r="R55" i="87" s="1"/>
  <c r="S55" i="87" s="1"/>
  <c r="N49" i="105"/>
  <c r="R49" i="105" s="1"/>
  <c r="S49" i="105" s="1"/>
  <c r="N50" i="92"/>
  <c r="R50" i="92" s="1"/>
  <c r="S50" i="92" s="1"/>
  <c r="R111" i="88"/>
  <c r="J63" i="74"/>
  <c r="N55" i="65"/>
  <c r="R55" i="65" s="1"/>
  <c r="S55" i="65" s="1"/>
  <c r="N41" i="115"/>
  <c r="R41" i="115" s="1"/>
  <c r="S41" i="115" s="1"/>
  <c r="J63" i="73"/>
  <c r="N49" i="114"/>
  <c r="R49" i="114" s="1"/>
  <c r="S49" i="114" s="1"/>
  <c r="N48" i="101"/>
  <c r="R48" i="101" s="1"/>
  <c r="S48" i="101" s="1"/>
  <c r="R111" i="110"/>
  <c r="N36" i="117"/>
  <c r="R36" i="117" s="1"/>
  <c r="S36" i="117" s="1"/>
  <c r="N38" i="65"/>
  <c r="R38" i="65" s="1"/>
  <c r="S38" i="65" s="1"/>
  <c r="N47" i="92"/>
  <c r="R47" i="92" s="1"/>
  <c r="S47" i="92" s="1"/>
  <c r="N41" i="83"/>
  <c r="R41" i="83" s="1"/>
  <c r="S41" i="83" s="1"/>
  <c r="N35" i="90"/>
  <c r="R35" i="90" s="1"/>
  <c r="S35" i="90" s="1"/>
  <c r="N50" i="101"/>
  <c r="R50" i="101" s="1"/>
  <c r="S50" i="101" s="1"/>
  <c r="N39" i="99"/>
  <c r="R39" i="99" s="1"/>
  <c r="S39" i="99" s="1"/>
  <c r="N33" i="104"/>
  <c r="R33" i="104" s="1"/>
  <c r="S33" i="104" s="1"/>
  <c r="N50" i="65"/>
  <c r="R50" i="65" s="1"/>
  <c r="S50" i="65" s="1"/>
  <c r="N38" i="104"/>
  <c r="R38" i="104" s="1"/>
  <c r="S38" i="104" s="1"/>
  <c r="N40" i="107"/>
  <c r="R40" i="107" s="1"/>
  <c r="S40" i="107" s="1"/>
  <c r="N49" i="92"/>
  <c r="R49" i="92" s="1"/>
  <c r="S49" i="92" s="1"/>
  <c r="M63" i="78"/>
  <c r="N34" i="77"/>
  <c r="R34" i="77" s="1"/>
  <c r="S34" i="77" s="1"/>
  <c r="N49" i="81"/>
  <c r="R49" i="81" s="1"/>
  <c r="S49" i="81" s="1"/>
  <c r="N46" i="84"/>
  <c r="R46" i="84" s="1"/>
  <c r="S46" i="84" s="1"/>
  <c r="M58" i="81"/>
  <c r="N65" i="100"/>
  <c r="J111" i="100"/>
  <c r="N40" i="104"/>
  <c r="R40" i="104" s="1"/>
  <c r="S40" i="104" s="1"/>
  <c r="J58" i="82"/>
  <c r="N40" i="72"/>
  <c r="R40" i="72" s="1"/>
  <c r="S40" i="72" s="1"/>
  <c r="N52" i="101"/>
  <c r="R52" i="101" s="1"/>
  <c r="S52" i="101" s="1"/>
  <c r="N34" i="100"/>
  <c r="R34" i="100" s="1"/>
  <c r="S34" i="100" s="1"/>
  <c r="N56" i="106"/>
  <c r="R56" i="106" s="1"/>
  <c r="S56" i="106" s="1"/>
  <c r="N56" i="78"/>
  <c r="R56" i="78" s="1"/>
  <c r="S56" i="78" s="1"/>
  <c r="N35" i="117"/>
  <c r="R35" i="117" s="1"/>
  <c r="S35" i="117" s="1"/>
  <c r="N51" i="80"/>
  <c r="R51" i="80" s="1"/>
  <c r="S51" i="80" s="1"/>
  <c r="N47" i="79"/>
  <c r="R47" i="79" s="1"/>
  <c r="S47" i="79" s="1"/>
  <c r="N44" i="76"/>
  <c r="R44" i="76" s="1"/>
  <c r="S44" i="76" s="1"/>
  <c r="N63" i="110"/>
  <c r="R59" i="110"/>
  <c r="N39" i="84"/>
  <c r="R39" i="84" s="1"/>
  <c r="S39" i="84" s="1"/>
  <c r="M63" i="81"/>
  <c r="M58" i="91"/>
  <c r="N50" i="78"/>
  <c r="R50" i="78" s="1"/>
  <c r="S50" i="78" s="1"/>
  <c r="N41" i="102"/>
  <c r="R41" i="102" s="1"/>
  <c r="S41" i="102" s="1"/>
  <c r="M63" i="83"/>
  <c r="R59" i="79"/>
  <c r="N63" i="79"/>
  <c r="M63" i="104"/>
  <c r="M58" i="84"/>
  <c r="N49" i="107"/>
  <c r="R49" i="107" s="1"/>
  <c r="S49" i="107" s="1"/>
  <c r="M58" i="79"/>
  <c r="N54" i="92"/>
  <c r="R54" i="92" s="1"/>
  <c r="S54" i="92" s="1"/>
  <c r="N46" i="80"/>
  <c r="R46" i="80" s="1"/>
  <c r="S46" i="80" s="1"/>
  <c r="N33" i="107"/>
  <c r="R33" i="107" s="1"/>
  <c r="S33" i="107" s="1"/>
  <c r="N65" i="78"/>
  <c r="J111" i="78"/>
  <c r="N53" i="106"/>
  <c r="R53" i="106" s="1"/>
  <c r="S53" i="106" s="1"/>
  <c r="N53" i="105"/>
  <c r="R53" i="105" s="1"/>
  <c r="S53" i="105" s="1"/>
  <c r="N46" i="115"/>
  <c r="R46" i="115" s="1"/>
  <c r="S46" i="115" s="1"/>
  <c r="N39" i="81"/>
  <c r="R39" i="81" s="1"/>
  <c r="S39" i="81" s="1"/>
  <c r="N39" i="74"/>
  <c r="R39" i="74" s="1"/>
  <c r="S39" i="74" s="1"/>
  <c r="R111" i="114"/>
  <c r="N56" i="105"/>
  <c r="R56" i="105" s="1"/>
  <c r="S56" i="105" s="1"/>
  <c r="N48" i="98"/>
  <c r="R48" i="98" s="1"/>
  <c r="S48" i="98" s="1"/>
  <c r="S111" i="111"/>
  <c r="N63" i="113"/>
  <c r="R59" i="113"/>
  <c r="N54" i="101"/>
  <c r="R54" i="101" s="1"/>
  <c r="S54" i="101" s="1"/>
  <c r="N37" i="102"/>
  <c r="R37" i="102" s="1"/>
  <c r="S37" i="102" s="1"/>
  <c r="N56" i="115"/>
  <c r="R56" i="115" s="1"/>
  <c r="S56" i="115" s="1"/>
  <c r="M63" i="111"/>
  <c r="N47" i="102"/>
  <c r="R47" i="102" s="1"/>
  <c r="S47" i="102" s="1"/>
  <c r="N55" i="77"/>
  <c r="R55" i="77" s="1"/>
  <c r="S55" i="77" s="1"/>
  <c r="N44" i="104"/>
  <c r="R44" i="104" s="1"/>
  <c r="S44" i="104" s="1"/>
  <c r="N34" i="86"/>
  <c r="R34" i="86" s="1"/>
  <c r="S34" i="86" s="1"/>
  <c r="N52" i="90"/>
  <c r="R52" i="90" s="1"/>
  <c r="S52" i="90" s="1"/>
  <c r="N32" i="103"/>
  <c r="J58" i="103"/>
  <c r="N55" i="74"/>
  <c r="R55" i="74" s="1"/>
  <c r="S55" i="74" s="1"/>
  <c r="N51" i="71"/>
  <c r="R51" i="71" s="1"/>
  <c r="S51" i="71" s="1"/>
  <c r="N42" i="109"/>
  <c r="R42" i="109" s="1"/>
  <c r="S42" i="109" s="1"/>
  <c r="N56" i="107"/>
  <c r="R56" i="107" s="1"/>
  <c r="S56" i="107" s="1"/>
  <c r="N39" i="114"/>
  <c r="R39" i="114" s="1"/>
  <c r="S39" i="114" s="1"/>
  <c r="M63" i="75"/>
  <c r="N33" i="102"/>
  <c r="R33" i="102" s="1"/>
  <c r="S33" i="102" s="1"/>
  <c r="J63" i="72"/>
  <c r="N37" i="76"/>
  <c r="R37" i="76" s="1"/>
  <c r="S37" i="76" s="1"/>
  <c r="N53" i="103"/>
  <c r="R53" i="103" s="1"/>
  <c r="S53" i="103" s="1"/>
  <c r="N65" i="73"/>
  <c r="J111" i="73"/>
  <c r="R111" i="77"/>
  <c r="N65" i="99"/>
  <c r="J111" i="99"/>
  <c r="N57" i="90"/>
  <c r="R57" i="90" s="1"/>
  <c r="S57" i="90" s="1"/>
  <c r="N44" i="110"/>
  <c r="R44" i="110" s="1"/>
  <c r="S44" i="110" s="1"/>
  <c r="N65" i="105"/>
  <c r="J111" i="105"/>
  <c r="N65" i="79"/>
  <c r="J111" i="79"/>
  <c r="S111" i="115"/>
  <c r="M58" i="101"/>
  <c r="N44" i="98"/>
  <c r="R44" i="98" s="1"/>
  <c r="S44" i="98" s="1"/>
  <c r="N41" i="114"/>
  <c r="R41" i="114" s="1"/>
  <c r="S41" i="114" s="1"/>
  <c r="R111" i="76"/>
  <c r="N42" i="72"/>
  <c r="R42" i="72" s="1"/>
  <c r="S42" i="72" s="1"/>
  <c r="N65" i="76"/>
  <c r="J111" i="76"/>
  <c r="N51" i="103"/>
  <c r="R51" i="103" s="1"/>
  <c r="S51" i="103" s="1"/>
  <c r="N32" i="99"/>
  <c r="J58" i="99"/>
  <c r="J63" i="99"/>
  <c r="N54" i="115"/>
  <c r="R54" i="115" s="1"/>
  <c r="S54" i="115" s="1"/>
  <c r="N43" i="113"/>
  <c r="R43" i="113" s="1"/>
  <c r="S43" i="113" s="1"/>
  <c r="R111" i="97"/>
  <c r="N50" i="111"/>
  <c r="R50" i="111" s="1"/>
  <c r="S50" i="111" s="1"/>
  <c r="R59" i="117"/>
  <c r="N63" i="117"/>
  <c r="N65" i="109"/>
  <c r="J111" i="109"/>
  <c r="N65" i="107"/>
  <c r="J111" i="107"/>
  <c r="N51" i="105"/>
  <c r="R51" i="105" s="1"/>
  <c r="S51" i="105" s="1"/>
  <c r="N50" i="113"/>
  <c r="R50" i="113" s="1"/>
  <c r="S50" i="113" s="1"/>
  <c r="N48" i="86"/>
  <c r="R48" i="86" s="1"/>
  <c r="S48" i="86" s="1"/>
  <c r="N46" i="71"/>
  <c r="R46" i="71" s="1"/>
  <c r="S46" i="71" s="1"/>
  <c r="N54" i="116"/>
  <c r="R54" i="116" s="1"/>
  <c r="S54" i="116" s="1"/>
  <c r="N40" i="108"/>
  <c r="R40" i="108" s="1"/>
  <c r="S40" i="108" s="1"/>
  <c r="J63" i="104"/>
  <c r="N55" i="84"/>
  <c r="R55" i="84" s="1"/>
  <c r="S55" i="84" s="1"/>
  <c r="N56" i="86"/>
  <c r="R56" i="86" s="1"/>
  <c r="S56" i="86" s="1"/>
  <c r="N33" i="82"/>
  <c r="R33" i="82" s="1"/>
  <c r="S33" i="82" s="1"/>
  <c r="N37" i="74"/>
  <c r="R37" i="74" s="1"/>
  <c r="S37" i="74" s="1"/>
  <c r="N34" i="92"/>
  <c r="R34" i="92" s="1"/>
  <c r="S34" i="92" s="1"/>
  <c r="J63" i="110"/>
  <c r="N44" i="105"/>
  <c r="R44" i="105" s="1"/>
  <c r="S44" i="105" s="1"/>
  <c r="S111" i="72"/>
  <c r="S111" i="85"/>
  <c r="N32" i="109"/>
  <c r="J58" i="109"/>
  <c r="N33" i="108"/>
  <c r="R33" i="108" s="1"/>
  <c r="S33" i="108" s="1"/>
  <c r="N35" i="75"/>
  <c r="R35" i="75" s="1"/>
  <c r="S35" i="75" s="1"/>
  <c r="N65" i="113"/>
  <c r="J111" i="113"/>
  <c r="N32" i="81"/>
  <c r="J58" i="81"/>
  <c r="J112" i="81" s="1"/>
  <c r="J22" i="81" s="1"/>
  <c r="N57" i="115"/>
  <c r="R57" i="115" s="1"/>
  <c r="S57" i="115" s="1"/>
  <c r="N65" i="77"/>
  <c r="J111" i="77"/>
  <c r="N65" i="84"/>
  <c r="J111" i="84"/>
  <c r="N55" i="105"/>
  <c r="R55" i="105" s="1"/>
  <c r="S55" i="105" s="1"/>
  <c r="N51" i="81"/>
  <c r="R51" i="81" s="1"/>
  <c r="S51" i="81" s="1"/>
  <c r="N47" i="90"/>
  <c r="R47" i="90" s="1"/>
  <c r="S47" i="90" s="1"/>
  <c r="N36" i="111"/>
  <c r="R36" i="111" s="1"/>
  <c r="S36" i="111" s="1"/>
  <c r="N51" i="78"/>
  <c r="R51" i="78" s="1"/>
  <c r="S51" i="78" s="1"/>
  <c r="N42" i="85"/>
  <c r="R42" i="85" s="1"/>
  <c r="S42" i="85" s="1"/>
  <c r="N34" i="90"/>
  <c r="R34" i="90" s="1"/>
  <c r="S34" i="90" s="1"/>
  <c r="N47" i="73"/>
  <c r="R47" i="73" s="1"/>
  <c r="S47" i="73" s="1"/>
  <c r="J58" i="116"/>
  <c r="N42" i="111"/>
  <c r="R42" i="111" s="1"/>
  <c r="S42" i="111" s="1"/>
  <c r="J63" i="89"/>
  <c r="N45" i="83"/>
  <c r="R45" i="83" s="1"/>
  <c r="S45" i="83" s="1"/>
  <c r="N45" i="102"/>
  <c r="R45" i="102" s="1"/>
  <c r="S45" i="102" s="1"/>
  <c r="N57" i="79"/>
  <c r="R57" i="79" s="1"/>
  <c r="S57" i="79" s="1"/>
  <c r="N51" i="116"/>
  <c r="R51" i="116" s="1"/>
  <c r="S51" i="116" s="1"/>
  <c r="S111" i="101"/>
  <c r="N40" i="101"/>
  <c r="R40" i="101" s="1"/>
  <c r="S40" i="101" s="1"/>
  <c r="N50" i="79"/>
  <c r="R50" i="79" s="1"/>
  <c r="S50" i="79" s="1"/>
  <c r="N44" i="79"/>
  <c r="R44" i="79" s="1"/>
  <c r="S44" i="79" s="1"/>
  <c r="J63" i="86"/>
  <c r="M58" i="115"/>
  <c r="R59" i="106"/>
  <c r="N63" i="106"/>
  <c r="M58" i="97"/>
  <c r="N56" i="73"/>
  <c r="R56" i="73" s="1"/>
  <c r="S56" i="73" s="1"/>
  <c r="N48" i="87"/>
  <c r="R48" i="87" s="1"/>
  <c r="S48" i="87" s="1"/>
  <c r="N36" i="91"/>
  <c r="R36" i="91" s="1"/>
  <c r="S36" i="91" s="1"/>
  <c r="N65" i="88"/>
  <c r="J111" i="88"/>
  <c r="N36" i="74"/>
  <c r="R36" i="74" s="1"/>
  <c r="S36" i="74" s="1"/>
  <c r="N38" i="115"/>
  <c r="R38" i="115" s="1"/>
  <c r="S38" i="115" s="1"/>
  <c r="N63" i="74"/>
  <c r="R59" i="74"/>
  <c r="N65" i="115"/>
  <c r="J111" i="115"/>
  <c r="N32" i="73"/>
  <c r="J58" i="73"/>
  <c r="J112" i="73" s="1"/>
  <c r="J22" i="73" s="1"/>
  <c r="N42" i="106"/>
  <c r="R42" i="106" s="1"/>
  <c r="S42" i="106" s="1"/>
  <c r="R59" i="71"/>
  <c r="N63" i="71"/>
  <c r="N39" i="100"/>
  <c r="R39" i="100" s="1"/>
  <c r="S39" i="100" s="1"/>
  <c r="N50" i="77"/>
  <c r="R50" i="77" s="1"/>
  <c r="S50" i="77" s="1"/>
  <c r="R111" i="109"/>
  <c r="N55" i="89"/>
  <c r="R55" i="89" s="1"/>
  <c r="S55" i="89" s="1"/>
  <c r="N37" i="88"/>
  <c r="R37" i="88" s="1"/>
  <c r="S37" i="88" s="1"/>
  <c r="J58" i="97"/>
  <c r="N33" i="97"/>
  <c r="R33" i="97" s="1"/>
  <c r="S33" i="97" s="1"/>
  <c r="N47" i="101"/>
  <c r="R47" i="101" s="1"/>
  <c r="S47" i="101" s="1"/>
  <c r="N43" i="76"/>
  <c r="R43" i="76" s="1"/>
  <c r="S43" i="76" s="1"/>
  <c r="M58" i="65"/>
  <c r="J58" i="75"/>
  <c r="N32" i="75"/>
  <c r="J63" i="92"/>
  <c r="J58" i="100"/>
  <c r="N32" i="100"/>
  <c r="N49" i="71"/>
  <c r="R49" i="71" s="1"/>
  <c r="S49" i="71" s="1"/>
  <c r="N51" i="91"/>
  <c r="R51" i="91" s="1"/>
  <c r="S51" i="91" s="1"/>
  <c r="M58" i="83"/>
  <c r="S111" i="117"/>
  <c r="R59" i="77"/>
  <c r="N63" i="77"/>
  <c r="J63" i="107"/>
  <c r="N41" i="106"/>
  <c r="R41" i="106" s="1"/>
  <c r="S41" i="106" s="1"/>
  <c r="N45" i="74"/>
  <c r="R45" i="74" s="1"/>
  <c r="S45" i="74" s="1"/>
  <c r="M63" i="97"/>
  <c r="N54" i="107"/>
  <c r="R54" i="107" s="1"/>
  <c r="S54" i="107" s="1"/>
  <c r="J63" i="78"/>
  <c r="N52" i="106"/>
  <c r="R52" i="106" s="1"/>
  <c r="S52" i="106" s="1"/>
  <c r="N33" i="109"/>
  <c r="R33" i="109" s="1"/>
  <c r="S33" i="109" s="1"/>
  <c r="N43" i="101"/>
  <c r="R43" i="101" s="1"/>
  <c r="S43" i="101" s="1"/>
  <c r="R111" i="82"/>
  <c r="N49" i="65"/>
  <c r="R49" i="65" s="1"/>
  <c r="S49" i="65" s="1"/>
  <c r="N45" i="92"/>
  <c r="R45" i="92" s="1"/>
  <c r="S45" i="92" s="1"/>
  <c r="S111" i="107"/>
  <c r="N40" i="102"/>
  <c r="R40" i="102" s="1"/>
  <c r="S40" i="102" s="1"/>
  <c r="N34" i="111"/>
  <c r="R34" i="111" s="1"/>
  <c r="S34" i="111" s="1"/>
  <c r="N46" i="83"/>
  <c r="R46" i="83" s="1"/>
  <c r="S46" i="83" s="1"/>
  <c r="N35" i="111"/>
  <c r="R35" i="111" s="1"/>
  <c r="S35" i="111" s="1"/>
  <c r="N44" i="88"/>
  <c r="R44" i="88" s="1"/>
  <c r="S44" i="88" s="1"/>
  <c r="N55" i="78"/>
  <c r="R55" i="78" s="1"/>
  <c r="S55" i="78" s="1"/>
  <c r="S111" i="73"/>
  <c r="N49" i="79"/>
  <c r="R49" i="79" s="1"/>
  <c r="S49" i="79" s="1"/>
  <c r="J63" i="97"/>
  <c r="S111" i="82"/>
  <c r="N45" i="86"/>
  <c r="R45" i="86" s="1"/>
  <c r="S45" i="86" s="1"/>
  <c r="M58" i="117"/>
  <c r="R59" i="98"/>
  <c r="N63" i="98"/>
  <c r="N39" i="65"/>
  <c r="R39" i="65" s="1"/>
  <c r="S39" i="65" s="1"/>
  <c r="N36" i="97"/>
  <c r="R36" i="97" s="1"/>
  <c r="S36" i="97" s="1"/>
  <c r="N39" i="85"/>
  <c r="R39" i="85" s="1"/>
  <c r="S39" i="85" s="1"/>
  <c r="N33" i="98"/>
  <c r="R33" i="98" s="1"/>
  <c r="S33" i="98" s="1"/>
  <c r="M58" i="111"/>
  <c r="M63" i="106"/>
  <c r="M63" i="92"/>
  <c r="N41" i="87"/>
  <c r="R41" i="87" s="1"/>
  <c r="S41" i="87" s="1"/>
  <c r="N56" i="114"/>
  <c r="R56" i="114" s="1"/>
  <c r="S56" i="114" s="1"/>
  <c r="N44" i="113"/>
  <c r="R44" i="113" s="1"/>
  <c r="S44" i="113" s="1"/>
  <c r="N35" i="88"/>
  <c r="R35" i="88" s="1"/>
  <c r="S35" i="88" s="1"/>
  <c r="J63" i="108"/>
  <c r="N65" i="82"/>
  <c r="J111" i="82"/>
  <c r="N50" i="86"/>
  <c r="R50" i="86" s="1"/>
  <c r="S50" i="86" s="1"/>
  <c r="M58" i="103"/>
  <c r="N32" i="88"/>
  <c r="J58" i="88"/>
  <c r="N35" i="85"/>
  <c r="R35" i="85" s="1"/>
  <c r="S35" i="85" s="1"/>
  <c r="J63" i="90"/>
  <c r="J63" i="77"/>
  <c r="N44" i="92"/>
  <c r="R44" i="92" s="1"/>
  <c r="S44" i="92" s="1"/>
  <c r="N34" i="97"/>
  <c r="R34" i="97" s="1"/>
  <c r="S34" i="97" s="1"/>
  <c r="N45" i="103"/>
  <c r="R45" i="103" s="1"/>
  <c r="S45" i="103" s="1"/>
  <c r="N49" i="101"/>
  <c r="R49" i="101" s="1"/>
  <c r="S49" i="101" s="1"/>
  <c r="S111" i="65"/>
  <c r="M58" i="71"/>
  <c r="N37" i="71"/>
  <c r="R37" i="71" s="1"/>
  <c r="S37" i="71" s="1"/>
  <c r="M63" i="113"/>
  <c r="M58" i="77"/>
  <c r="M58" i="89"/>
  <c r="N51" i="101"/>
  <c r="R51" i="101" s="1"/>
  <c r="S51" i="101" s="1"/>
  <c r="N57" i="77"/>
  <c r="R57" i="77" s="1"/>
  <c r="S57" i="77" s="1"/>
  <c r="M63" i="102"/>
  <c r="N48" i="91"/>
  <c r="R48" i="91" s="1"/>
  <c r="S48" i="91" s="1"/>
  <c r="J63" i="102"/>
  <c r="N53" i="115"/>
  <c r="R53" i="115" s="1"/>
  <c r="S53" i="115" s="1"/>
  <c r="N56" i="108"/>
  <c r="R56" i="108" s="1"/>
  <c r="S56" i="108" s="1"/>
  <c r="N55" i="76"/>
  <c r="R55" i="76" s="1"/>
  <c r="S55" i="76" s="1"/>
  <c r="R59" i="78"/>
  <c r="N63" i="78"/>
  <c r="N45" i="117"/>
  <c r="R45" i="117" s="1"/>
  <c r="S45" i="117" s="1"/>
  <c r="N32" i="104"/>
  <c r="J58" i="104"/>
  <c r="N32" i="85"/>
  <c r="J58" i="85"/>
  <c r="R111" i="90"/>
  <c r="N32" i="115"/>
  <c r="J58" i="115"/>
  <c r="J112" i="115" s="1"/>
  <c r="J22" i="115" s="1"/>
  <c r="J63" i="117"/>
  <c r="N48" i="71"/>
  <c r="R48" i="71" s="1"/>
  <c r="S48" i="71" s="1"/>
  <c r="N44" i="82"/>
  <c r="R44" i="82" s="1"/>
  <c r="S44" i="82" s="1"/>
  <c r="N48" i="116"/>
  <c r="R48" i="116" s="1"/>
  <c r="S48" i="116" s="1"/>
  <c r="N49" i="73"/>
  <c r="R49" i="73" s="1"/>
  <c r="S49" i="73" s="1"/>
  <c r="N57" i="76"/>
  <c r="R57" i="76" s="1"/>
  <c r="S57" i="76" s="1"/>
  <c r="S111" i="102"/>
  <c r="R59" i="82"/>
  <c r="N63" i="82"/>
  <c r="N65" i="110"/>
  <c r="J111" i="110"/>
  <c r="N40" i="74"/>
  <c r="R40" i="74" s="1"/>
  <c r="S40" i="74" s="1"/>
  <c r="N32" i="82"/>
  <c r="M58" i="82"/>
  <c r="N33" i="113"/>
  <c r="R33" i="113" s="1"/>
  <c r="S33" i="113" s="1"/>
  <c r="N43" i="79"/>
  <c r="R43" i="79" s="1"/>
  <c r="S43" i="79" s="1"/>
  <c r="N37" i="100"/>
  <c r="R37" i="100" s="1"/>
  <c r="S37" i="100" s="1"/>
  <c r="N45" i="101"/>
  <c r="R45" i="101" s="1"/>
  <c r="S45" i="101" s="1"/>
  <c r="M63" i="107"/>
  <c r="N65" i="101"/>
  <c r="J111" i="101"/>
  <c r="N44" i="116"/>
  <c r="R44" i="116" s="1"/>
  <c r="S44" i="116" s="1"/>
  <c r="N50" i="110"/>
  <c r="R50" i="110" s="1"/>
  <c r="S50" i="110" s="1"/>
  <c r="N38" i="101"/>
  <c r="R38" i="101" s="1"/>
  <c r="S38" i="101" s="1"/>
  <c r="N37" i="98"/>
  <c r="R37" i="98" s="1"/>
  <c r="S37" i="98" s="1"/>
  <c r="J58" i="113"/>
  <c r="N32" i="113"/>
  <c r="R111" i="104"/>
  <c r="N54" i="110"/>
  <c r="R54" i="110" s="1"/>
  <c r="S54" i="110" s="1"/>
  <c r="N46" i="101"/>
  <c r="R46" i="101" s="1"/>
  <c r="S46" i="101" s="1"/>
  <c r="N34" i="117"/>
  <c r="R34" i="117" s="1"/>
  <c r="S34" i="117" s="1"/>
  <c r="N38" i="116"/>
  <c r="R38" i="116" s="1"/>
  <c r="S38" i="116" s="1"/>
  <c r="N37" i="86"/>
  <c r="R37" i="86" s="1"/>
  <c r="S37" i="86" s="1"/>
  <c r="N34" i="98"/>
  <c r="R34" i="98" s="1"/>
  <c r="S34" i="98" s="1"/>
  <c r="N47" i="114"/>
  <c r="R47" i="114" s="1"/>
  <c r="S47" i="114" s="1"/>
  <c r="M58" i="99"/>
  <c r="N41" i="76"/>
  <c r="R41" i="76" s="1"/>
  <c r="S41" i="76" s="1"/>
  <c r="N34" i="101"/>
  <c r="R34" i="101" s="1"/>
  <c r="S34" i="101" s="1"/>
  <c r="N45" i="80"/>
  <c r="R45" i="80" s="1"/>
  <c r="S45" i="80" s="1"/>
  <c r="M63" i="114"/>
  <c r="N49" i="98"/>
  <c r="R49" i="98" s="1"/>
  <c r="S49" i="98" s="1"/>
  <c r="M63" i="71"/>
  <c r="N45" i="81"/>
  <c r="R45" i="81" s="1"/>
  <c r="S45" i="81" s="1"/>
  <c r="N44" i="100"/>
  <c r="R44" i="100" s="1"/>
  <c r="S44" i="100" s="1"/>
  <c r="N52" i="79"/>
  <c r="R52" i="79" s="1"/>
  <c r="S52" i="79" s="1"/>
  <c r="N55" i="85"/>
  <c r="R55" i="85" s="1"/>
  <c r="S55" i="85" s="1"/>
  <c r="N34" i="78"/>
  <c r="R34" i="78" s="1"/>
  <c r="S34" i="78" s="1"/>
  <c r="N53" i="78"/>
  <c r="R53" i="78" s="1"/>
  <c r="S53" i="78" s="1"/>
  <c r="N54" i="91"/>
  <c r="R54" i="91" s="1"/>
  <c r="S54" i="91" s="1"/>
  <c r="N46" i="105"/>
  <c r="R46" i="105" s="1"/>
  <c r="S46" i="105" s="1"/>
  <c r="N42" i="105"/>
  <c r="R42" i="105" s="1"/>
  <c r="S42" i="105" s="1"/>
  <c r="N48" i="97"/>
  <c r="R48" i="97" s="1"/>
  <c r="S48" i="97" s="1"/>
  <c r="N57" i="87"/>
  <c r="R57" i="87" s="1"/>
  <c r="S57" i="87" s="1"/>
  <c r="N33" i="111"/>
  <c r="R33" i="111" s="1"/>
  <c r="S33" i="111" s="1"/>
  <c r="N34" i="65"/>
  <c r="R34" i="65" s="1"/>
  <c r="S34" i="65" s="1"/>
  <c r="N65" i="86"/>
  <c r="J111" i="86"/>
  <c r="N39" i="117"/>
  <c r="R39" i="117" s="1"/>
  <c r="S39" i="117" s="1"/>
  <c r="N47" i="85"/>
  <c r="R47" i="85" s="1"/>
  <c r="S47" i="85" s="1"/>
  <c r="R111" i="116"/>
  <c r="M63" i="85"/>
  <c r="R59" i="76"/>
  <c r="N63" i="76"/>
  <c r="N38" i="84"/>
  <c r="R38" i="84" s="1"/>
  <c r="S38" i="84" s="1"/>
  <c r="N33" i="116"/>
  <c r="R33" i="116" s="1"/>
  <c r="S33" i="116" s="1"/>
  <c r="N33" i="90"/>
  <c r="R33" i="90" s="1"/>
  <c r="S33" i="90" s="1"/>
  <c r="S111" i="71"/>
  <c r="N65" i="87"/>
  <c r="J111" i="87"/>
  <c r="N42" i="101"/>
  <c r="R42" i="101" s="1"/>
  <c r="S42" i="101" s="1"/>
  <c r="N49" i="113"/>
  <c r="R49" i="113" s="1"/>
  <c r="S49" i="113" s="1"/>
  <c r="N54" i="114"/>
  <c r="R54" i="114" s="1"/>
  <c r="S54" i="114" s="1"/>
  <c r="N41" i="79"/>
  <c r="R41" i="79" s="1"/>
  <c r="S41" i="79" s="1"/>
  <c r="N37" i="83"/>
  <c r="R37" i="83" s="1"/>
  <c r="S37" i="83" s="1"/>
  <c r="M58" i="110"/>
  <c r="N57" i="97"/>
  <c r="R57" i="97" s="1"/>
  <c r="S57" i="97" s="1"/>
  <c r="N48" i="72"/>
  <c r="R48" i="72" s="1"/>
  <c r="S48" i="72" s="1"/>
  <c r="N34" i="105"/>
  <c r="R34" i="105" s="1"/>
  <c r="S34" i="105" s="1"/>
  <c r="N46" i="113"/>
  <c r="R46" i="113" s="1"/>
  <c r="S46" i="113" s="1"/>
  <c r="N43" i="104"/>
  <c r="R43" i="104" s="1"/>
  <c r="S43" i="104" s="1"/>
  <c r="N55" i="99"/>
  <c r="R55" i="99" s="1"/>
  <c r="S55" i="99" s="1"/>
  <c r="R59" i="73"/>
  <c r="N63" i="73"/>
  <c r="N52" i="103"/>
  <c r="R52" i="103" s="1"/>
  <c r="S52" i="103" s="1"/>
  <c r="N39" i="78"/>
  <c r="R39" i="78" s="1"/>
  <c r="S39" i="78" s="1"/>
  <c r="N48" i="84"/>
  <c r="R48" i="84" s="1"/>
  <c r="S48" i="84" s="1"/>
  <c r="N52" i="89"/>
  <c r="R52" i="89" s="1"/>
  <c r="S52" i="89" s="1"/>
  <c r="N48" i="105"/>
  <c r="R48" i="105" s="1"/>
  <c r="S48" i="105" s="1"/>
  <c r="N40" i="92"/>
  <c r="R40" i="92" s="1"/>
  <c r="S40" i="92" s="1"/>
  <c r="N34" i="115"/>
  <c r="R34" i="115" s="1"/>
  <c r="S34" i="115" s="1"/>
  <c r="N44" i="81"/>
  <c r="R44" i="81" s="1"/>
  <c r="S44" i="81" s="1"/>
  <c r="N55" i="108"/>
  <c r="R55" i="108" s="1"/>
  <c r="S55" i="108" s="1"/>
  <c r="N52" i="113"/>
  <c r="R52" i="113" s="1"/>
  <c r="S52" i="113" s="1"/>
  <c r="N48" i="117"/>
  <c r="R48" i="117" s="1"/>
  <c r="S48" i="117" s="1"/>
  <c r="N38" i="80"/>
  <c r="R38" i="80" s="1"/>
  <c r="S38" i="80" s="1"/>
  <c r="N55" i="81"/>
  <c r="R55" i="81" s="1"/>
  <c r="S55" i="81" s="1"/>
  <c r="N53" i="97"/>
  <c r="R53" i="97" s="1"/>
  <c r="S53" i="97" s="1"/>
  <c r="M63" i="98"/>
  <c r="N36" i="89"/>
  <c r="R36" i="89" s="1"/>
  <c r="S36" i="89" s="1"/>
  <c r="N40" i="88"/>
  <c r="R40" i="88" s="1"/>
  <c r="S40" i="88" s="1"/>
  <c r="N37" i="106"/>
  <c r="R37" i="106" s="1"/>
  <c r="S37" i="106" s="1"/>
  <c r="N36" i="99"/>
  <c r="R36" i="99" s="1"/>
  <c r="S36" i="99" s="1"/>
  <c r="N39" i="72"/>
  <c r="R39" i="72" s="1"/>
  <c r="S39" i="72" s="1"/>
  <c r="N40" i="103"/>
  <c r="R40" i="103" s="1"/>
  <c r="S40" i="103" s="1"/>
  <c r="N54" i="81"/>
  <c r="R54" i="81" s="1"/>
  <c r="S54" i="81" s="1"/>
  <c r="S111" i="80"/>
  <c r="N35" i="113"/>
  <c r="R35" i="113" s="1"/>
  <c r="S35" i="113" s="1"/>
  <c r="N49" i="76"/>
  <c r="R49" i="76" s="1"/>
  <c r="S49" i="76" s="1"/>
  <c r="N35" i="71"/>
  <c r="R35" i="71" s="1"/>
  <c r="S35" i="71" s="1"/>
  <c r="N57" i="75"/>
  <c r="R57" i="75" s="1"/>
  <c r="S57" i="75" s="1"/>
  <c r="J63" i="83"/>
  <c r="N57" i="82"/>
  <c r="R57" i="82" s="1"/>
  <c r="S57" i="82" s="1"/>
  <c r="M63" i="90"/>
  <c r="N35" i="92"/>
  <c r="R35" i="92" s="1"/>
  <c r="S35" i="92" s="1"/>
  <c r="N35" i="100"/>
  <c r="R35" i="100" s="1"/>
  <c r="S35" i="100" s="1"/>
  <c r="N65" i="104"/>
  <c r="J111" i="104"/>
  <c r="N48" i="110"/>
  <c r="R48" i="110" s="1"/>
  <c r="S48" i="110" s="1"/>
  <c r="N56" i="71"/>
  <c r="R56" i="71" s="1"/>
  <c r="S56" i="71" s="1"/>
  <c r="R59" i="80"/>
  <c r="N63" i="80"/>
  <c r="J58" i="76"/>
  <c r="N32" i="76"/>
  <c r="N40" i="100"/>
  <c r="R40" i="100" s="1"/>
  <c r="S40" i="100" s="1"/>
  <c r="N42" i="115"/>
  <c r="R42" i="115" s="1"/>
  <c r="S42" i="115" s="1"/>
  <c r="N48" i="83"/>
  <c r="R48" i="83" s="1"/>
  <c r="S48" i="83" s="1"/>
  <c r="N42" i="78"/>
  <c r="R42" i="78" s="1"/>
  <c r="S42" i="78" s="1"/>
  <c r="R59" i="85"/>
  <c r="N63" i="85"/>
  <c r="N47" i="83"/>
  <c r="R47" i="83" s="1"/>
  <c r="S47" i="83" s="1"/>
  <c r="N56" i="85"/>
  <c r="R56" i="85" s="1"/>
  <c r="S56" i="85" s="1"/>
  <c r="J58" i="65"/>
  <c r="J112" i="65" s="1"/>
  <c r="J22" i="65" s="1"/>
  <c r="N32" i="65"/>
  <c r="N37" i="79"/>
  <c r="R37" i="79" s="1"/>
  <c r="S37" i="79" s="1"/>
  <c r="N50" i="99"/>
  <c r="R50" i="99" s="1"/>
  <c r="S50" i="99" s="1"/>
  <c r="N53" i="117"/>
  <c r="R53" i="117" s="1"/>
  <c r="S53" i="117" s="1"/>
  <c r="S111" i="92"/>
  <c r="N51" i="108"/>
  <c r="R51" i="108" s="1"/>
  <c r="S51" i="108" s="1"/>
  <c r="N50" i="87"/>
  <c r="R50" i="87" s="1"/>
  <c r="S50" i="87" s="1"/>
  <c r="N33" i="117"/>
  <c r="R33" i="117" s="1"/>
  <c r="S33" i="117" s="1"/>
  <c r="N41" i="71"/>
  <c r="R41" i="71" s="1"/>
  <c r="S41" i="71" s="1"/>
  <c r="N33" i="74"/>
  <c r="R33" i="74" s="1"/>
  <c r="S33" i="74" s="1"/>
  <c r="R59" i="101"/>
  <c r="N63" i="101"/>
  <c r="N42" i="84"/>
  <c r="R42" i="84" s="1"/>
  <c r="S42" i="84" s="1"/>
  <c r="N33" i="79"/>
  <c r="R33" i="79" s="1"/>
  <c r="S33" i="79" s="1"/>
  <c r="N42" i="82"/>
  <c r="R42" i="82" s="1"/>
  <c r="S42" i="82" s="1"/>
  <c r="N57" i="111"/>
  <c r="R57" i="111" s="1"/>
  <c r="S57" i="111" s="1"/>
  <c r="N55" i="75"/>
  <c r="R55" i="75" s="1"/>
  <c r="S55" i="75" s="1"/>
  <c r="N43" i="81"/>
  <c r="R43" i="81" s="1"/>
  <c r="S43" i="81" s="1"/>
  <c r="N40" i="73"/>
  <c r="R40" i="73" s="1"/>
  <c r="S40" i="73" s="1"/>
  <c r="N37" i="116"/>
  <c r="R37" i="116" s="1"/>
  <c r="S37" i="116" s="1"/>
  <c r="N42" i="113"/>
  <c r="R42" i="113" s="1"/>
  <c r="S42" i="113" s="1"/>
  <c r="N55" i="100"/>
  <c r="R55" i="100" s="1"/>
  <c r="S55" i="100" s="1"/>
  <c r="N39" i="89"/>
  <c r="R39" i="89" s="1"/>
  <c r="S39" i="89" s="1"/>
  <c r="S111" i="83"/>
  <c r="N32" i="92"/>
  <c r="J58" i="92"/>
  <c r="N37" i="89"/>
  <c r="R37" i="89" s="1"/>
  <c r="S37" i="89" s="1"/>
  <c r="M58" i="73"/>
  <c r="N56" i="74"/>
  <c r="R56" i="74" s="1"/>
  <c r="S56" i="74" s="1"/>
  <c r="N34" i="106"/>
  <c r="R34" i="106" s="1"/>
  <c r="S34" i="106" s="1"/>
  <c r="N65" i="97"/>
  <c r="J111" i="97"/>
  <c r="N47" i="71"/>
  <c r="R47" i="71" s="1"/>
  <c r="S47" i="71" s="1"/>
  <c r="N33" i="110"/>
  <c r="R33" i="110" s="1"/>
  <c r="S33" i="110" s="1"/>
  <c r="N42" i="83"/>
  <c r="R42" i="83" s="1"/>
  <c r="S42" i="83" s="1"/>
  <c r="S111" i="74"/>
  <c r="N52" i="104"/>
  <c r="R52" i="104" s="1"/>
  <c r="S52" i="104" s="1"/>
  <c r="R111" i="86"/>
  <c r="M58" i="85"/>
  <c r="N54" i="117"/>
  <c r="R54" i="117" s="1"/>
  <c r="S54" i="117" s="1"/>
  <c r="N36" i="75"/>
  <c r="R36" i="75" s="1"/>
  <c r="S36" i="75" s="1"/>
  <c r="N43" i="86"/>
  <c r="R43" i="86" s="1"/>
  <c r="S43" i="86" s="1"/>
  <c r="N37" i="77"/>
  <c r="R37" i="77" s="1"/>
  <c r="S37" i="77" s="1"/>
  <c r="N46" i="108"/>
  <c r="R46" i="108" s="1"/>
  <c r="S46" i="108" s="1"/>
  <c r="R59" i="115"/>
  <c r="N63" i="115"/>
  <c r="N47" i="86"/>
  <c r="R47" i="86" s="1"/>
  <c r="S47" i="86" s="1"/>
  <c r="N56" i="89"/>
  <c r="R56" i="89" s="1"/>
  <c r="S56" i="89" s="1"/>
  <c r="N50" i="115"/>
  <c r="R50" i="115" s="1"/>
  <c r="S50" i="115" s="1"/>
  <c r="N46" i="100"/>
  <c r="R46" i="100" s="1"/>
  <c r="S46" i="100" s="1"/>
  <c r="N42" i="100"/>
  <c r="R42" i="100" s="1"/>
  <c r="S42" i="100" s="1"/>
  <c r="M58" i="100"/>
  <c r="N43" i="72"/>
  <c r="R43" i="72" s="1"/>
  <c r="S43" i="72" s="1"/>
  <c r="N33" i="99"/>
  <c r="R33" i="99" s="1"/>
  <c r="S33" i="99" s="1"/>
  <c r="N45" i="97"/>
  <c r="R45" i="97" s="1"/>
  <c r="S45" i="97" s="1"/>
  <c r="N46" i="91"/>
  <c r="R46" i="91" s="1"/>
  <c r="S46" i="91" s="1"/>
  <c r="N50" i="108"/>
  <c r="R50" i="108" s="1"/>
  <c r="S50" i="108" s="1"/>
  <c r="N53" i="76"/>
  <c r="R53" i="76" s="1"/>
  <c r="S53" i="76" s="1"/>
  <c r="N38" i="92"/>
  <c r="R38" i="92" s="1"/>
  <c r="S38" i="92" s="1"/>
  <c r="N51" i="99"/>
  <c r="R51" i="99" s="1"/>
  <c r="S51" i="99" s="1"/>
  <c r="N42" i="79"/>
  <c r="R42" i="79" s="1"/>
  <c r="S42" i="79" s="1"/>
  <c r="N49" i="86"/>
  <c r="R49" i="86" s="1"/>
  <c r="S49" i="86" s="1"/>
  <c r="N43" i="108"/>
  <c r="R43" i="108" s="1"/>
  <c r="S43" i="108" s="1"/>
  <c r="N57" i="84"/>
  <c r="R57" i="84" s="1"/>
  <c r="S57" i="84" s="1"/>
  <c r="R111" i="89"/>
  <c r="N42" i="98"/>
  <c r="R42" i="98" s="1"/>
  <c r="S42" i="98" s="1"/>
  <c r="N65" i="80"/>
  <c r="J111" i="80"/>
  <c r="N49" i="108"/>
  <c r="R49" i="108" s="1"/>
  <c r="S49" i="108" s="1"/>
  <c r="N44" i="71"/>
  <c r="R44" i="71" s="1"/>
  <c r="S44" i="71" s="1"/>
  <c r="R59" i="89"/>
  <c r="N63" i="89"/>
  <c r="N52" i="100"/>
  <c r="R52" i="100" s="1"/>
  <c r="S52" i="100" s="1"/>
  <c r="N56" i="104"/>
  <c r="R56" i="104" s="1"/>
  <c r="S56" i="104" s="1"/>
  <c r="N38" i="71"/>
  <c r="R38" i="71" s="1"/>
  <c r="S38" i="71" s="1"/>
  <c r="R111" i="101"/>
  <c r="N35" i="82"/>
  <c r="R35" i="82" s="1"/>
  <c r="S35" i="82" s="1"/>
  <c r="N45" i="100"/>
  <c r="R45" i="100" s="1"/>
  <c r="S45" i="100" s="1"/>
  <c r="N41" i="109"/>
  <c r="R41" i="109" s="1"/>
  <c r="S41" i="109" s="1"/>
  <c r="S111" i="110"/>
  <c r="N57" i="86"/>
  <c r="R57" i="86" s="1"/>
  <c r="S57" i="86" s="1"/>
  <c r="N52" i="78"/>
  <c r="R52" i="78" s="1"/>
  <c r="S52" i="78" s="1"/>
  <c r="N57" i="88"/>
  <c r="R57" i="88" s="1"/>
  <c r="S57" i="88" s="1"/>
  <c r="N49" i="99"/>
  <c r="R49" i="99" s="1"/>
  <c r="S49" i="99" s="1"/>
  <c r="N54" i="74"/>
  <c r="R54" i="74" s="1"/>
  <c r="S54" i="74" s="1"/>
  <c r="N44" i="75"/>
  <c r="R44" i="75" s="1"/>
  <c r="S44" i="75" s="1"/>
  <c r="N45" i="73"/>
  <c r="R45" i="73" s="1"/>
  <c r="S45" i="73" s="1"/>
  <c r="N42" i="77"/>
  <c r="R42" i="77" s="1"/>
  <c r="S42" i="77" s="1"/>
  <c r="N50" i="80"/>
  <c r="R50" i="80" s="1"/>
  <c r="S50" i="80" s="1"/>
  <c r="N40" i="87"/>
  <c r="R40" i="87" s="1"/>
  <c r="S40" i="87" s="1"/>
  <c r="N45" i="99"/>
  <c r="R45" i="99" s="1"/>
  <c r="S45" i="99" s="1"/>
  <c r="N38" i="86"/>
  <c r="R38" i="86" s="1"/>
  <c r="S38" i="86" s="1"/>
  <c r="N47" i="105"/>
  <c r="R47" i="105" s="1"/>
  <c r="S47" i="105" s="1"/>
  <c r="N43" i="73"/>
  <c r="R43" i="73" s="1"/>
  <c r="S43" i="73" s="1"/>
  <c r="N47" i="91"/>
  <c r="R47" i="91" s="1"/>
  <c r="S47" i="91" s="1"/>
  <c r="N50" i="107"/>
  <c r="R50" i="107" s="1"/>
  <c r="S50" i="107" s="1"/>
  <c r="N55" i="111"/>
  <c r="R55" i="111" s="1"/>
  <c r="S55" i="111" s="1"/>
  <c r="J63" i="91"/>
  <c r="N37" i="85"/>
  <c r="R37" i="85" s="1"/>
  <c r="S37" i="85" s="1"/>
  <c r="N43" i="89"/>
  <c r="R43" i="89" s="1"/>
  <c r="S43" i="89" s="1"/>
  <c r="N57" i="73"/>
  <c r="R57" i="73" s="1"/>
  <c r="S57" i="73" s="1"/>
  <c r="N39" i="116"/>
  <c r="R39" i="116" s="1"/>
  <c r="S39" i="116" s="1"/>
  <c r="N40" i="82"/>
  <c r="R40" i="82" s="1"/>
  <c r="S40" i="82" s="1"/>
  <c r="N46" i="104"/>
  <c r="R46" i="104" s="1"/>
  <c r="S46" i="104" s="1"/>
  <c r="M58" i="102"/>
  <c r="J58" i="102"/>
  <c r="N32" i="102"/>
  <c r="J63" i="76"/>
  <c r="N55" i="116"/>
  <c r="R55" i="116" s="1"/>
  <c r="S55" i="116" s="1"/>
  <c r="R111" i="73"/>
  <c r="S111" i="91"/>
  <c r="N65" i="116"/>
  <c r="J111" i="116"/>
  <c r="M58" i="76"/>
  <c r="N41" i="98"/>
  <c r="R41" i="98" s="1"/>
  <c r="S41" i="98" s="1"/>
  <c r="N44" i="117"/>
  <c r="R44" i="117" s="1"/>
  <c r="S44" i="117" s="1"/>
  <c r="R59" i="97"/>
  <c r="N63" i="97"/>
  <c r="N46" i="88"/>
  <c r="R46" i="88" s="1"/>
  <c r="S46" i="88" s="1"/>
  <c r="N42" i="71"/>
  <c r="R42" i="71" s="1"/>
  <c r="S42" i="71" s="1"/>
  <c r="J63" i="98"/>
  <c r="N42" i="76"/>
  <c r="R42" i="76" s="1"/>
  <c r="S42" i="76" s="1"/>
  <c r="N52" i="83"/>
  <c r="R52" i="83" s="1"/>
  <c r="S52" i="83" s="1"/>
  <c r="N41" i="78"/>
  <c r="R41" i="78" s="1"/>
  <c r="S41" i="78" s="1"/>
  <c r="N40" i="79"/>
  <c r="R40" i="79" s="1"/>
  <c r="S40" i="79" s="1"/>
  <c r="N57" i="107"/>
  <c r="R57" i="107" s="1"/>
  <c r="S57" i="107" s="1"/>
  <c r="J63" i="71"/>
  <c r="N50" i="91"/>
  <c r="R50" i="91" s="1"/>
  <c r="S50" i="91" s="1"/>
  <c r="N53" i="109"/>
  <c r="R53" i="109" s="1"/>
  <c r="S53" i="109" s="1"/>
  <c r="N36" i="65"/>
  <c r="R36" i="65" s="1"/>
  <c r="S36" i="65" s="1"/>
  <c r="N52" i="76"/>
  <c r="R52" i="76" s="1"/>
  <c r="S52" i="76" s="1"/>
  <c r="N65" i="103"/>
  <c r="J111" i="103"/>
  <c r="N49" i="87"/>
  <c r="R49" i="87" s="1"/>
  <c r="S49" i="87" s="1"/>
  <c r="N51" i="102"/>
  <c r="R51" i="102" s="1"/>
  <c r="S51" i="102" s="1"/>
  <c r="N56" i="113"/>
  <c r="R56" i="113" s="1"/>
  <c r="S56" i="113" s="1"/>
  <c r="N42" i="87"/>
  <c r="R42" i="87" s="1"/>
  <c r="S42" i="87" s="1"/>
  <c r="R111" i="117"/>
  <c r="N57" i="105"/>
  <c r="R57" i="105" s="1"/>
  <c r="S57" i="105" s="1"/>
  <c r="N35" i="98"/>
  <c r="R35" i="98" s="1"/>
  <c r="S35" i="98" s="1"/>
  <c r="R59" i="107"/>
  <c r="N63" i="107"/>
  <c r="M58" i="92"/>
  <c r="N41" i="99"/>
  <c r="R41" i="99" s="1"/>
  <c r="S41" i="99" s="1"/>
  <c r="R111" i="98"/>
  <c r="M58" i="114"/>
  <c r="M63" i="110"/>
  <c r="N42" i="107"/>
  <c r="R42" i="107" s="1"/>
  <c r="S42" i="107" s="1"/>
  <c r="R111" i="80"/>
  <c r="J58" i="72"/>
  <c r="J112" i="72" s="1"/>
  <c r="J22" i="72" s="1"/>
  <c r="N32" i="72"/>
  <c r="N51" i="109"/>
  <c r="R51" i="109" s="1"/>
  <c r="S51" i="109" s="1"/>
  <c r="M63" i="103"/>
  <c r="N46" i="106"/>
  <c r="R46" i="106" s="1"/>
  <c r="S46" i="106" s="1"/>
  <c r="N35" i="107"/>
  <c r="R35" i="107" s="1"/>
  <c r="S35" i="107" s="1"/>
  <c r="R59" i="99"/>
  <c r="N63" i="99"/>
  <c r="N39" i="88"/>
  <c r="R39" i="88" s="1"/>
  <c r="S39" i="88" s="1"/>
  <c r="S111" i="75"/>
  <c r="J63" i="80"/>
  <c r="N53" i="71"/>
  <c r="R53" i="71" s="1"/>
  <c r="S53" i="71" s="1"/>
  <c r="N41" i="110"/>
  <c r="R41" i="110" s="1"/>
  <c r="S41" i="110" s="1"/>
  <c r="N45" i="106"/>
  <c r="R45" i="106" s="1"/>
  <c r="S45" i="106" s="1"/>
  <c r="N38" i="74"/>
  <c r="R38" i="74" s="1"/>
  <c r="S38" i="74" s="1"/>
  <c r="J63" i="85"/>
  <c r="N53" i="104"/>
  <c r="R53" i="104" s="1"/>
  <c r="S53" i="104" s="1"/>
  <c r="N55" i="86"/>
  <c r="R55" i="86" s="1"/>
  <c r="S55" i="86" s="1"/>
  <c r="N39" i="105"/>
  <c r="R39" i="105" s="1"/>
  <c r="S39" i="105" s="1"/>
  <c r="J63" i="84"/>
  <c r="N34" i="116"/>
  <c r="R34" i="116" s="1"/>
  <c r="S34" i="116" s="1"/>
  <c r="N52" i="99"/>
  <c r="R52" i="99" s="1"/>
  <c r="S52" i="99" s="1"/>
  <c r="N38" i="99"/>
  <c r="R38" i="99" s="1"/>
  <c r="S38" i="99" s="1"/>
  <c r="N41" i="100"/>
  <c r="R41" i="100" s="1"/>
  <c r="S41" i="100" s="1"/>
  <c r="J111" i="65"/>
  <c r="N65" i="65"/>
  <c r="N36" i="90"/>
  <c r="R36" i="90" s="1"/>
  <c r="S36" i="90" s="1"/>
  <c r="N41" i="75"/>
  <c r="R41" i="75" s="1"/>
  <c r="S41" i="75" s="1"/>
  <c r="N42" i="80"/>
  <c r="R42" i="80" s="1"/>
  <c r="S42" i="80" s="1"/>
  <c r="N36" i="104"/>
  <c r="R36" i="104" s="1"/>
  <c r="S36" i="104" s="1"/>
  <c r="N43" i="97"/>
  <c r="R43" i="97" s="1"/>
  <c r="S43" i="97" s="1"/>
  <c r="R59" i="104"/>
  <c r="N63" i="104"/>
  <c r="N43" i="98"/>
  <c r="R43" i="98" s="1"/>
  <c r="S43" i="98" s="1"/>
  <c r="S111" i="108"/>
  <c r="M58" i="98"/>
  <c r="N37" i="111"/>
  <c r="R37" i="111" s="1"/>
  <c r="S37" i="111" s="1"/>
  <c r="N32" i="116"/>
  <c r="M58" i="116"/>
  <c r="N32" i="87"/>
  <c r="J58" i="87"/>
  <c r="J112" i="87" s="1"/>
  <c r="J22" i="87" s="1"/>
  <c r="N55" i="92"/>
  <c r="R55" i="92" s="1"/>
  <c r="S55" i="92" s="1"/>
  <c r="N55" i="88"/>
  <c r="R55" i="88" s="1"/>
  <c r="S55" i="88" s="1"/>
  <c r="N56" i="98"/>
  <c r="R56" i="98" s="1"/>
  <c r="S56" i="98" s="1"/>
  <c r="N49" i="77"/>
  <c r="R49" i="77" s="1"/>
  <c r="S49" i="77" s="1"/>
  <c r="N57" i="106"/>
  <c r="R57" i="106" s="1"/>
  <c r="S57" i="106" s="1"/>
  <c r="N44" i="102"/>
  <c r="R44" i="102" s="1"/>
  <c r="S44" i="102" s="1"/>
  <c r="N44" i="109"/>
  <c r="R44" i="109" s="1"/>
  <c r="S44" i="109" s="1"/>
  <c r="N44" i="65"/>
  <c r="R44" i="65" s="1"/>
  <c r="S44" i="65" s="1"/>
  <c r="M58" i="109"/>
  <c r="N50" i="71"/>
  <c r="R50" i="71" s="1"/>
  <c r="S50" i="71" s="1"/>
  <c r="R111" i="83"/>
  <c r="R111" i="72"/>
  <c r="N48" i="79"/>
  <c r="R48" i="79" s="1"/>
  <c r="S48" i="79" s="1"/>
  <c r="M63" i="109"/>
  <c r="N55" i="113"/>
  <c r="R55" i="113" s="1"/>
  <c r="S55" i="113" s="1"/>
  <c r="M58" i="74"/>
  <c r="S111" i="79"/>
  <c r="N54" i="87"/>
  <c r="R54" i="87" s="1"/>
  <c r="S54" i="87" s="1"/>
  <c r="N36" i="88"/>
  <c r="R36" i="88" s="1"/>
  <c r="S36" i="88" s="1"/>
  <c r="N34" i="79"/>
  <c r="R34" i="79" s="1"/>
  <c r="S34" i="79" s="1"/>
  <c r="R111" i="74"/>
  <c r="N46" i="107"/>
  <c r="R46" i="107" s="1"/>
  <c r="S46" i="107" s="1"/>
  <c r="N36" i="80"/>
  <c r="R36" i="80" s="1"/>
  <c r="S36" i="80" s="1"/>
  <c r="N35" i="103"/>
  <c r="R35" i="103" s="1"/>
  <c r="S35" i="103" s="1"/>
  <c r="N57" i="109"/>
  <c r="R57" i="109" s="1"/>
  <c r="S57" i="109" s="1"/>
  <c r="N32" i="77"/>
  <c r="J58" i="77"/>
  <c r="N33" i="91"/>
  <c r="R33" i="91" s="1"/>
  <c r="S33" i="91" s="1"/>
  <c r="N46" i="102"/>
  <c r="R46" i="102" s="1"/>
  <c r="S46" i="102" s="1"/>
  <c r="N34" i="80"/>
  <c r="R34" i="80" s="1"/>
  <c r="S34" i="80" s="1"/>
  <c r="N65" i="75"/>
  <c r="J111" i="75"/>
  <c r="N43" i="109"/>
  <c r="R43" i="109" s="1"/>
  <c r="S43" i="109" s="1"/>
  <c r="N38" i="77"/>
  <c r="R38" i="77" s="1"/>
  <c r="S38" i="77" s="1"/>
  <c r="N45" i="111"/>
  <c r="R45" i="111" s="1"/>
  <c r="S45" i="111" s="1"/>
  <c r="N46" i="74"/>
  <c r="R46" i="74" s="1"/>
  <c r="S46" i="74" s="1"/>
  <c r="N54" i="90"/>
  <c r="R54" i="90" s="1"/>
  <c r="S54" i="90" s="1"/>
  <c r="N46" i="92"/>
  <c r="R46" i="92" s="1"/>
  <c r="S46" i="92" s="1"/>
  <c r="N46" i="116"/>
  <c r="R46" i="116" s="1"/>
  <c r="S46" i="116" s="1"/>
  <c r="N47" i="97"/>
  <c r="R47" i="97" s="1"/>
  <c r="S47" i="97" s="1"/>
  <c r="N46" i="90"/>
  <c r="R46" i="90" s="1"/>
  <c r="S46" i="90" s="1"/>
  <c r="N53" i="110"/>
  <c r="R53" i="110" s="1"/>
  <c r="S53" i="110" s="1"/>
  <c r="N40" i="117"/>
  <c r="R40" i="117" s="1"/>
  <c r="S40" i="117" s="1"/>
  <c r="N57" i="104"/>
  <c r="R57" i="104" s="1"/>
  <c r="S57" i="104" s="1"/>
  <c r="N32" i="110"/>
  <c r="J58" i="110"/>
  <c r="N54" i="105"/>
  <c r="R54" i="105" s="1"/>
  <c r="S54" i="105" s="1"/>
  <c r="M58" i="104"/>
  <c r="N45" i="78"/>
  <c r="R45" i="78" s="1"/>
  <c r="S45" i="78" s="1"/>
  <c r="N33" i="105"/>
  <c r="R33" i="105" s="1"/>
  <c r="S33" i="105" s="1"/>
  <c r="N57" i="80"/>
  <c r="R57" i="80" s="1"/>
  <c r="S57" i="80" s="1"/>
  <c r="N52" i="65"/>
  <c r="R52" i="65" s="1"/>
  <c r="S52" i="65" s="1"/>
  <c r="S111" i="81"/>
  <c r="N41" i="104"/>
  <c r="R41" i="104" s="1"/>
  <c r="S41" i="104" s="1"/>
  <c r="N35" i="87"/>
  <c r="R35" i="87" s="1"/>
  <c r="S35" i="87" s="1"/>
  <c r="N39" i="75"/>
  <c r="R39" i="75" s="1"/>
  <c r="S39" i="75" s="1"/>
  <c r="N54" i="82"/>
  <c r="R54" i="82" s="1"/>
  <c r="S54" i="82" s="1"/>
  <c r="N51" i="98"/>
  <c r="R51" i="98" s="1"/>
  <c r="S51" i="98" s="1"/>
  <c r="N45" i="89"/>
  <c r="R45" i="89" s="1"/>
  <c r="S45" i="89" s="1"/>
  <c r="N40" i="86"/>
  <c r="R40" i="86" s="1"/>
  <c r="S40" i="86" s="1"/>
  <c r="S111" i="84"/>
  <c r="N34" i="103"/>
  <c r="R34" i="103" s="1"/>
  <c r="S34" i="103" s="1"/>
  <c r="N35" i="79"/>
  <c r="R35" i="79" s="1"/>
  <c r="S35" i="79" s="1"/>
  <c r="N46" i="65"/>
  <c r="R46" i="65" s="1"/>
  <c r="S46" i="65" s="1"/>
  <c r="N41" i="101"/>
  <c r="R41" i="101" s="1"/>
  <c r="S41" i="101" s="1"/>
  <c r="N35" i="114"/>
  <c r="R35" i="114" s="1"/>
  <c r="S35" i="114" s="1"/>
  <c r="N39" i="111"/>
  <c r="R39" i="111" s="1"/>
  <c r="S39" i="111" s="1"/>
  <c r="N55" i="72"/>
  <c r="R55" i="72" s="1"/>
  <c r="S55" i="72" s="1"/>
  <c r="N52" i="109"/>
  <c r="R52" i="109" s="1"/>
  <c r="S52" i="109" s="1"/>
  <c r="N46" i="79"/>
  <c r="R46" i="79" s="1"/>
  <c r="S46" i="79" s="1"/>
  <c r="N45" i="85"/>
  <c r="R45" i="85" s="1"/>
  <c r="S45" i="85" s="1"/>
  <c r="N53" i="113"/>
  <c r="R53" i="113" s="1"/>
  <c r="S53" i="113" s="1"/>
  <c r="M58" i="105"/>
  <c r="N42" i="74"/>
  <c r="R42" i="74" s="1"/>
  <c r="S42" i="74" s="1"/>
  <c r="N52" i="81"/>
  <c r="R52" i="81" s="1"/>
  <c r="S52" i="81" s="1"/>
  <c r="R59" i="91"/>
  <c r="N63" i="91"/>
  <c r="BJ10" i="54"/>
  <c r="BJ14" i="54" s="1"/>
  <c r="E11" i="49" s="1"/>
  <c r="BH10" i="54"/>
  <c r="BH14" i="54" s="1"/>
  <c r="E10" i="49" s="1"/>
  <c r="AN112" i="60"/>
  <c r="AC112" i="60"/>
  <c r="Q112" i="60"/>
  <c r="AQ112" i="60"/>
  <c r="AI112" i="60"/>
  <c r="AP112" i="60"/>
  <c r="R112" i="60"/>
  <c r="AH112" i="60"/>
  <c r="AJ112" i="60"/>
  <c r="AV112" i="60"/>
  <c r="AU112" i="60"/>
  <c r="AS112" i="60"/>
  <c r="AY112" i="60"/>
  <c r="X112" i="60"/>
  <c r="AO112" i="60"/>
  <c r="AX112" i="60"/>
  <c r="M112" i="60"/>
  <c r="N112" i="60"/>
  <c r="AM112" i="60"/>
  <c r="AD112" i="60"/>
  <c r="T112" i="60"/>
  <c r="Z112" i="60"/>
  <c r="V113" i="60"/>
  <c r="AR112" i="60"/>
  <c r="AY113" i="60"/>
  <c r="U112" i="60"/>
  <c r="AB113" i="60"/>
  <c r="AL112" i="60"/>
  <c r="K113" i="60"/>
  <c r="AF112" i="60"/>
  <c r="AZ112" i="60"/>
  <c r="BA112" i="60"/>
  <c r="K112" i="60"/>
  <c r="O112" i="60"/>
  <c r="V112" i="60"/>
  <c r="Y112" i="60"/>
  <c r="L112" i="60"/>
  <c r="AB112" i="60"/>
  <c r="P112" i="60"/>
  <c r="AT112" i="60"/>
  <c r="AA112" i="60"/>
  <c r="N113" i="60"/>
  <c r="W112" i="60"/>
  <c r="AG112" i="60"/>
  <c r="M113" i="60"/>
  <c r="J112" i="117" l="1"/>
  <c r="J22" i="117" s="1"/>
  <c r="J112" i="99"/>
  <c r="J22" i="99" s="1"/>
  <c r="J112" i="85"/>
  <c r="J22" i="85" s="1"/>
  <c r="J112" i="109"/>
  <c r="J22" i="109" s="1"/>
  <c r="J112" i="104"/>
  <c r="J22" i="104" s="1"/>
  <c r="J112" i="76"/>
  <c r="J22" i="76" s="1"/>
  <c r="J112" i="114"/>
  <c r="J22" i="114" s="1"/>
  <c r="J112" i="106"/>
  <c r="J22" i="106" s="1"/>
  <c r="C47" i="119"/>
  <c r="D5" i="119"/>
  <c r="P5" i="119" s="1"/>
  <c r="H8" i="93" s="1"/>
  <c r="J112" i="60"/>
  <c r="D19" i="119"/>
  <c r="P19" i="119" s="1"/>
  <c r="H358" i="93" s="1"/>
  <c r="D42" i="119"/>
  <c r="P42" i="119" s="1"/>
  <c r="H933" i="93" s="1"/>
  <c r="D13" i="119"/>
  <c r="P13" i="119" s="1"/>
  <c r="H208" i="93" s="1"/>
  <c r="R32" i="72"/>
  <c r="N58" i="72"/>
  <c r="S59" i="86"/>
  <c r="S63" i="86" s="1"/>
  <c r="R63" i="86"/>
  <c r="S59" i="97"/>
  <c r="S63" i="97" s="1"/>
  <c r="R63" i="97"/>
  <c r="R32" i="113"/>
  <c r="N58" i="113"/>
  <c r="J112" i="100"/>
  <c r="J22" i="100" s="1"/>
  <c r="R63" i="117"/>
  <c r="S59" i="117"/>
  <c r="S63" i="117" s="1"/>
  <c r="J112" i="110"/>
  <c r="J22" i="110" s="1"/>
  <c r="S59" i="99"/>
  <c r="S63" i="99" s="1"/>
  <c r="R63" i="99"/>
  <c r="S59" i="115"/>
  <c r="S63" i="115" s="1"/>
  <c r="R63" i="115"/>
  <c r="J112" i="113"/>
  <c r="J22" i="113" s="1"/>
  <c r="R32" i="104"/>
  <c r="N58" i="104"/>
  <c r="S59" i="77"/>
  <c r="S63" i="77" s="1"/>
  <c r="R63" i="77"/>
  <c r="R32" i="103"/>
  <c r="N58" i="103"/>
  <c r="J112" i="111"/>
  <c r="J22" i="111" s="1"/>
  <c r="J112" i="80"/>
  <c r="J22" i="80" s="1"/>
  <c r="R32" i="117"/>
  <c r="N58" i="117"/>
  <c r="R63" i="83"/>
  <c r="S59" i="83"/>
  <c r="S63" i="83" s="1"/>
  <c r="R63" i="65"/>
  <c r="S59" i="65"/>
  <c r="S63" i="65" s="1"/>
  <c r="S59" i="84"/>
  <c r="S63" i="84" s="1"/>
  <c r="R63" i="84"/>
  <c r="J112" i="83"/>
  <c r="J22" i="83" s="1"/>
  <c r="S59" i="116"/>
  <c r="S63" i="116" s="1"/>
  <c r="R63" i="116"/>
  <c r="R63" i="111"/>
  <c r="S59" i="111"/>
  <c r="S63" i="111" s="1"/>
  <c r="J112" i="86"/>
  <c r="J22" i="86" s="1"/>
  <c r="R32" i="90"/>
  <c r="N58" i="90"/>
  <c r="J112" i="89"/>
  <c r="J22" i="89" s="1"/>
  <c r="S59" i="98"/>
  <c r="S63" i="98" s="1"/>
  <c r="R63" i="98"/>
  <c r="R32" i="76"/>
  <c r="N58" i="76"/>
  <c r="N58" i="85"/>
  <c r="R32" i="85"/>
  <c r="R32" i="100"/>
  <c r="N58" i="100"/>
  <c r="R32" i="99"/>
  <c r="N58" i="99"/>
  <c r="R32" i="91"/>
  <c r="N58" i="91"/>
  <c r="R63" i="75"/>
  <c r="S59" i="75"/>
  <c r="S63" i="75" s="1"/>
  <c r="J112" i="98"/>
  <c r="J22" i="98" s="1"/>
  <c r="S59" i="106"/>
  <c r="S63" i="106" s="1"/>
  <c r="R63" i="106"/>
  <c r="R32" i="89"/>
  <c r="N58" i="89"/>
  <c r="R32" i="110"/>
  <c r="N58" i="110"/>
  <c r="R32" i="116"/>
  <c r="N58" i="116"/>
  <c r="R32" i="102"/>
  <c r="N58" i="102"/>
  <c r="R63" i="85"/>
  <c r="S59" i="85"/>
  <c r="S63" i="85" s="1"/>
  <c r="S59" i="80"/>
  <c r="S63" i="80" s="1"/>
  <c r="R63" i="80"/>
  <c r="J112" i="88"/>
  <c r="J22" i="88" s="1"/>
  <c r="N58" i="75"/>
  <c r="R32" i="75"/>
  <c r="R32" i="73"/>
  <c r="N58" i="73"/>
  <c r="R32" i="109"/>
  <c r="N58" i="109"/>
  <c r="J112" i="82"/>
  <c r="J22" i="82" s="1"/>
  <c r="S59" i="72"/>
  <c r="S63" i="72" s="1"/>
  <c r="R63" i="72"/>
  <c r="R63" i="92"/>
  <c r="S59" i="92"/>
  <c r="S63" i="92" s="1"/>
  <c r="R32" i="107"/>
  <c r="N58" i="107"/>
  <c r="R63" i="102"/>
  <c r="S59" i="102"/>
  <c r="S63" i="102" s="1"/>
  <c r="S59" i="103"/>
  <c r="S63" i="103" s="1"/>
  <c r="R63" i="103"/>
  <c r="R32" i="86"/>
  <c r="N58" i="86"/>
  <c r="S59" i="71"/>
  <c r="S63" i="71" s="1"/>
  <c r="R63" i="71"/>
  <c r="R32" i="106"/>
  <c r="N58" i="106"/>
  <c r="S59" i="104"/>
  <c r="S63" i="104" s="1"/>
  <c r="R63" i="104"/>
  <c r="S59" i="107"/>
  <c r="S63" i="107" s="1"/>
  <c r="R63" i="107"/>
  <c r="R32" i="83"/>
  <c r="N58" i="83"/>
  <c r="R32" i="98"/>
  <c r="N58" i="98"/>
  <c r="S59" i="91"/>
  <c r="S63" i="91" s="1"/>
  <c r="R63" i="91"/>
  <c r="J112" i="102"/>
  <c r="J22" i="102" s="1"/>
  <c r="S59" i="101"/>
  <c r="S63" i="101" s="1"/>
  <c r="R63" i="101"/>
  <c r="R63" i="82"/>
  <c r="S59" i="82"/>
  <c r="S63" i="82" s="1"/>
  <c r="R32" i="88"/>
  <c r="N58" i="88"/>
  <c r="J112" i="75"/>
  <c r="J22" i="75" s="1"/>
  <c r="S59" i="113"/>
  <c r="S63" i="113" s="1"/>
  <c r="R63" i="113"/>
  <c r="J112" i="105"/>
  <c r="J22" i="105" s="1"/>
  <c r="J112" i="108"/>
  <c r="J22" i="108" s="1"/>
  <c r="R32" i="71"/>
  <c r="N58" i="71"/>
  <c r="N58" i="101"/>
  <c r="R32" i="101"/>
  <c r="J112" i="107"/>
  <c r="J22" i="107" s="1"/>
  <c r="N58" i="97"/>
  <c r="R32" i="82"/>
  <c r="N58" i="82"/>
  <c r="R32" i="84"/>
  <c r="N58" i="84"/>
  <c r="S59" i="89"/>
  <c r="S63" i="89" s="1"/>
  <c r="R63" i="89"/>
  <c r="S59" i="87"/>
  <c r="S63" i="87" s="1"/>
  <c r="R63" i="87"/>
  <c r="N58" i="78"/>
  <c r="R32" i="78"/>
  <c r="S59" i="73"/>
  <c r="S63" i="73" s="1"/>
  <c r="R63" i="73"/>
  <c r="J112" i="97"/>
  <c r="J22" i="97" s="1"/>
  <c r="J112" i="103"/>
  <c r="J22" i="103" s="1"/>
  <c r="J112" i="90"/>
  <c r="J22" i="90" s="1"/>
  <c r="J112" i="77"/>
  <c r="J22" i="77" s="1"/>
  <c r="J112" i="92"/>
  <c r="J22" i="92" s="1"/>
  <c r="S59" i="76"/>
  <c r="S63" i="76" s="1"/>
  <c r="R63" i="76"/>
  <c r="R32" i="115"/>
  <c r="N58" i="115"/>
  <c r="S59" i="78"/>
  <c r="S63" i="78" s="1"/>
  <c r="R63" i="78"/>
  <c r="R32" i="81"/>
  <c r="N58" i="81"/>
  <c r="R32" i="105"/>
  <c r="N58" i="105"/>
  <c r="J112" i="74"/>
  <c r="J22" i="74" s="1"/>
  <c r="J112" i="71"/>
  <c r="J22" i="71" s="1"/>
  <c r="J112" i="101"/>
  <c r="J22" i="101" s="1"/>
  <c r="S59" i="90"/>
  <c r="S63" i="90" s="1"/>
  <c r="R63" i="90"/>
  <c r="S59" i="105"/>
  <c r="S63" i="105" s="1"/>
  <c r="R63" i="105"/>
  <c r="R32" i="79"/>
  <c r="N58" i="79"/>
  <c r="R63" i="100"/>
  <c r="S59" i="100"/>
  <c r="S63" i="100" s="1"/>
  <c r="S32" i="97"/>
  <c r="S58" i="97" s="1"/>
  <c r="R58" i="97"/>
  <c r="S59" i="114"/>
  <c r="S63" i="114" s="1"/>
  <c r="R63" i="114"/>
  <c r="S59" i="110"/>
  <c r="S63" i="110" s="1"/>
  <c r="R63" i="110"/>
  <c r="R32" i="87"/>
  <c r="N58" i="87"/>
  <c r="R63" i="79"/>
  <c r="S59" i="79"/>
  <c r="S63" i="79" s="1"/>
  <c r="R32" i="111"/>
  <c r="N58" i="111"/>
  <c r="J112" i="91"/>
  <c r="J22" i="91" s="1"/>
  <c r="R32" i="80"/>
  <c r="N58" i="80"/>
  <c r="R32" i="108"/>
  <c r="N58" i="108"/>
  <c r="J112" i="78"/>
  <c r="J22" i="78" s="1"/>
  <c r="R32" i="77"/>
  <c r="N58" i="77"/>
  <c r="N58" i="92"/>
  <c r="R32" i="92"/>
  <c r="N58" i="65"/>
  <c r="R32" i="65"/>
  <c r="R63" i="74"/>
  <c r="S59" i="74"/>
  <c r="S63" i="74" s="1"/>
  <c r="J112" i="116"/>
  <c r="J22" i="116" s="1"/>
  <c r="S59" i="88"/>
  <c r="S63" i="88" s="1"/>
  <c r="R63" i="88"/>
  <c r="R32" i="74"/>
  <c r="N58" i="74"/>
  <c r="J112" i="84"/>
  <c r="J22" i="84" s="1"/>
  <c r="J112" i="79"/>
  <c r="J22" i="79" s="1"/>
  <c r="R32" i="114"/>
  <c r="N58" i="114"/>
  <c r="S59" i="109"/>
  <c r="S63" i="109" s="1"/>
  <c r="R63" i="109"/>
  <c r="S59" i="108"/>
  <c r="S63" i="108" s="1"/>
  <c r="R63" i="108"/>
  <c r="S59" i="81"/>
  <c r="S63" i="81" s="1"/>
  <c r="R63" i="81"/>
  <c r="G10" i="49"/>
  <c r="AZ5" i="122" s="1"/>
  <c r="AY5" i="122"/>
  <c r="G11" i="49"/>
  <c r="BB5" i="122" s="1"/>
  <c r="BA5" i="122"/>
  <c r="BA113" i="60"/>
  <c r="AO113" i="60"/>
  <c r="Q113" i="60"/>
  <c r="AX113" i="60"/>
  <c r="AQ113" i="60"/>
  <c r="AJ113" i="60"/>
  <c r="Z113" i="60"/>
  <c r="AT113" i="60"/>
  <c r="AW113" i="60"/>
  <c r="U113" i="60"/>
  <c r="AI113" i="60"/>
  <c r="AH113" i="60"/>
  <c r="O113" i="60"/>
  <c r="X113" i="60"/>
  <c r="AD113" i="60"/>
  <c r="P113" i="60"/>
  <c r="AN113" i="60"/>
  <c r="AM113" i="60"/>
  <c r="AR113" i="60"/>
  <c r="AE113" i="60"/>
  <c r="AL113" i="60"/>
  <c r="Y113" i="60"/>
  <c r="L113" i="60"/>
  <c r="AC113" i="60"/>
  <c r="AU113" i="60"/>
  <c r="W113" i="60"/>
  <c r="R113" i="60"/>
  <c r="T113" i="60"/>
  <c r="AP113" i="60"/>
  <c r="S113" i="60"/>
  <c r="AS113" i="60"/>
  <c r="AG113" i="60"/>
  <c r="AZ113" i="60"/>
  <c r="AA113" i="60"/>
  <c r="AK113" i="60"/>
  <c r="AV113" i="60"/>
  <c r="AF113" i="60"/>
  <c r="D37" i="119" l="1"/>
  <c r="P37" i="119" s="1"/>
  <c r="H808" i="93" s="1"/>
  <c r="D17" i="119"/>
  <c r="P17" i="119" s="1"/>
  <c r="H308" i="93" s="1"/>
  <c r="H308" i="48" s="1"/>
  <c r="J18" i="125" s="1"/>
  <c r="D27" i="119"/>
  <c r="P27" i="119" s="1"/>
  <c r="H558" i="93" s="1"/>
  <c r="H558" i="48" s="1"/>
  <c r="J28" i="125" s="1"/>
  <c r="D34" i="119"/>
  <c r="P34" i="119" s="1"/>
  <c r="H733" i="93" s="1"/>
  <c r="J35" i="123" s="1"/>
  <c r="D41" i="119"/>
  <c r="P41" i="119" s="1"/>
  <c r="H908" i="93" s="1"/>
  <c r="H908" i="48" s="1"/>
  <c r="J42" i="125" s="1"/>
  <c r="D8" i="119"/>
  <c r="P8" i="119" s="1"/>
  <c r="H83" i="93" s="1"/>
  <c r="D32" i="119"/>
  <c r="P32" i="119" s="1"/>
  <c r="H683" i="93" s="1"/>
  <c r="H683" i="48" s="1"/>
  <c r="J33" i="125" s="1"/>
  <c r="D44" i="119"/>
  <c r="P44" i="119" s="1"/>
  <c r="H983" i="93" s="1"/>
  <c r="R112" i="97"/>
  <c r="R22" i="97" s="1"/>
  <c r="S112" i="97"/>
  <c r="S22" i="97" s="1"/>
  <c r="D23" i="119"/>
  <c r="P23" i="119" s="1"/>
  <c r="H458" i="93" s="1"/>
  <c r="D39" i="119"/>
  <c r="P39" i="119" s="1"/>
  <c r="H858" i="93" s="1"/>
  <c r="D28" i="119"/>
  <c r="P28" i="119" s="1"/>
  <c r="H583" i="93" s="1"/>
  <c r="D18" i="119"/>
  <c r="P18" i="119" s="1"/>
  <c r="H333" i="93" s="1"/>
  <c r="D43" i="119"/>
  <c r="P43" i="119" s="1"/>
  <c r="H958" i="93" s="1"/>
  <c r="D24" i="119"/>
  <c r="P24" i="119" s="1"/>
  <c r="H483" i="93" s="1"/>
  <c r="D36" i="119"/>
  <c r="P36" i="119" s="1"/>
  <c r="H783" i="93" s="1"/>
  <c r="D10" i="119"/>
  <c r="P10" i="119" s="1"/>
  <c r="H133" i="93" s="1"/>
  <c r="D33" i="119"/>
  <c r="P33" i="119" s="1"/>
  <c r="H708" i="93" s="1"/>
  <c r="D11" i="119"/>
  <c r="P11" i="119" s="1"/>
  <c r="H158" i="93" s="1"/>
  <c r="D9" i="119"/>
  <c r="P9" i="119" s="1"/>
  <c r="H108" i="93" s="1"/>
  <c r="D14" i="119"/>
  <c r="P14" i="119" s="1"/>
  <c r="H233" i="93" s="1"/>
  <c r="D38" i="119"/>
  <c r="P38" i="119" s="1"/>
  <c r="H833" i="93" s="1"/>
  <c r="D20" i="119"/>
  <c r="P20" i="119" s="1"/>
  <c r="H383" i="93" s="1"/>
  <c r="J113" i="60"/>
  <c r="X10" i="54" s="1"/>
  <c r="X14" i="54" s="1"/>
  <c r="D16" i="119"/>
  <c r="P16" i="119" s="1"/>
  <c r="H283" i="93" s="1"/>
  <c r="D29" i="119"/>
  <c r="P29" i="119" s="1"/>
  <c r="H608" i="93" s="1"/>
  <c r="D22" i="119"/>
  <c r="P22" i="119" s="1"/>
  <c r="H433" i="93" s="1"/>
  <c r="D35" i="119"/>
  <c r="P35" i="119" s="1"/>
  <c r="H758" i="93" s="1"/>
  <c r="D30" i="119"/>
  <c r="P30" i="119" s="1"/>
  <c r="H633" i="93" s="1"/>
  <c r="D31" i="119"/>
  <c r="P31" i="119" s="1"/>
  <c r="H658" i="93" s="1"/>
  <c r="D7" i="119"/>
  <c r="P7" i="119" s="1"/>
  <c r="H58" i="93" s="1"/>
  <c r="D21" i="119"/>
  <c r="P21" i="119" s="1"/>
  <c r="H408" i="93" s="1"/>
  <c r="D15" i="119"/>
  <c r="P15" i="119" s="1"/>
  <c r="H258" i="93" s="1"/>
  <c r="D6" i="119"/>
  <c r="P6" i="119" s="1"/>
  <c r="H33" i="93" s="1"/>
  <c r="D47" i="119"/>
  <c r="D25" i="119"/>
  <c r="P25" i="119" s="1"/>
  <c r="H508" i="93" s="1"/>
  <c r="D26" i="119"/>
  <c r="P26" i="119" s="1"/>
  <c r="H533" i="93" s="1"/>
  <c r="D12" i="119"/>
  <c r="P12" i="119" s="1"/>
  <c r="H183" i="93" s="1"/>
  <c r="D40" i="119"/>
  <c r="P40" i="119" s="1"/>
  <c r="H883" i="93" s="1"/>
  <c r="S32" i="116"/>
  <c r="S58" i="116" s="1"/>
  <c r="S112" i="116" s="1"/>
  <c r="S22" i="116" s="1"/>
  <c r="R58" i="116"/>
  <c r="R112" i="116" s="1"/>
  <c r="R22" i="116" s="1"/>
  <c r="R58" i="85"/>
  <c r="R112" i="85" s="1"/>
  <c r="R22" i="85" s="1"/>
  <c r="S32" i="85"/>
  <c r="S58" i="85" s="1"/>
  <c r="S112" i="85" s="1"/>
  <c r="S22" i="85" s="1"/>
  <c r="S32" i="84"/>
  <c r="S58" i="84" s="1"/>
  <c r="S112" i="84" s="1"/>
  <c r="S22" i="84" s="1"/>
  <c r="R58" i="84"/>
  <c r="R112" i="84" s="1"/>
  <c r="R22" i="84" s="1"/>
  <c r="S32" i="71"/>
  <c r="S58" i="71" s="1"/>
  <c r="S112" i="71" s="1"/>
  <c r="S22" i="71" s="1"/>
  <c r="R58" i="71"/>
  <c r="R112" i="71" s="1"/>
  <c r="R22" i="71" s="1"/>
  <c r="S32" i="98"/>
  <c r="S58" i="98" s="1"/>
  <c r="S112" i="98" s="1"/>
  <c r="S22" i="98" s="1"/>
  <c r="R58" i="98"/>
  <c r="R112" i="98" s="1"/>
  <c r="R22" i="98" s="1"/>
  <c r="R58" i="78"/>
  <c r="R112" i="78" s="1"/>
  <c r="R22" i="78" s="1"/>
  <c r="S32" i="78"/>
  <c r="S58" i="78" s="1"/>
  <c r="S112" i="78" s="1"/>
  <c r="S22" i="78" s="1"/>
  <c r="S32" i="106"/>
  <c r="S58" i="106" s="1"/>
  <c r="S112" i="106" s="1"/>
  <c r="S22" i="106" s="1"/>
  <c r="R58" i="106"/>
  <c r="R112" i="106" s="1"/>
  <c r="R22" i="106" s="1"/>
  <c r="S32" i="110"/>
  <c r="S58" i="110" s="1"/>
  <c r="S112" i="110" s="1"/>
  <c r="S22" i="110" s="1"/>
  <c r="R58" i="110"/>
  <c r="R112" i="110" s="1"/>
  <c r="R22" i="110" s="1"/>
  <c r="S32" i="103"/>
  <c r="S58" i="103" s="1"/>
  <c r="S112" i="103" s="1"/>
  <c r="S22" i="103" s="1"/>
  <c r="R58" i="103"/>
  <c r="R112" i="103" s="1"/>
  <c r="R22" i="103" s="1"/>
  <c r="S32" i="113"/>
  <c r="S58" i="113" s="1"/>
  <c r="S112" i="113" s="1"/>
  <c r="S22" i="113" s="1"/>
  <c r="R58" i="113"/>
  <c r="R112" i="113" s="1"/>
  <c r="R22" i="113" s="1"/>
  <c r="Q32" i="119"/>
  <c r="J33" i="123"/>
  <c r="Q8" i="119"/>
  <c r="H83" i="48"/>
  <c r="J9" i="125" s="1"/>
  <c r="J9" i="123"/>
  <c r="S32" i="114"/>
  <c r="S58" i="114" s="1"/>
  <c r="S112" i="114" s="1"/>
  <c r="S22" i="114" s="1"/>
  <c r="R58" i="114"/>
  <c r="R112" i="114" s="1"/>
  <c r="R22" i="114" s="1"/>
  <c r="S32" i="81"/>
  <c r="S58" i="81" s="1"/>
  <c r="S112" i="81" s="1"/>
  <c r="S22" i="81" s="1"/>
  <c r="R58" i="81"/>
  <c r="R112" i="81" s="1"/>
  <c r="R22" i="81" s="1"/>
  <c r="S32" i="82"/>
  <c r="S58" i="82" s="1"/>
  <c r="S112" i="82" s="1"/>
  <c r="S22" i="82" s="1"/>
  <c r="R58" i="82"/>
  <c r="R112" i="82" s="1"/>
  <c r="R22" i="82" s="1"/>
  <c r="S32" i="83"/>
  <c r="S58" i="83" s="1"/>
  <c r="S112" i="83" s="1"/>
  <c r="S22" i="83" s="1"/>
  <c r="R58" i="83"/>
  <c r="R112" i="83" s="1"/>
  <c r="R22" i="83" s="1"/>
  <c r="S32" i="109"/>
  <c r="S58" i="109" s="1"/>
  <c r="S112" i="109" s="1"/>
  <c r="S22" i="109" s="1"/>
  <c r="R58" i="109"/>
  <c r="R112" i="109" s="1"/>
  <c r="R22" i="109" s="1"/>
  <c r="S32" i="91"/>
  <c r="S58" i="91" s="1"/>
  <c r="S112" i="91" s="1"/>
  <c r="S22" i="91" s="1"/>
  <c r="R58" i="91"/>
  <c r="R112" i="91" s="1"/>
  <c r="R22" i="91" s="1"/>
  <c r="S32" i="76"/>
  <c r="S58" i="76" s="1"/>
  <c r="S112" i="76" s="1"/>
  <c r="S22" i="76" s="1"/>
  <c r="R58" i="76"/>
  <c r="R112" i="76" s="1"/>
  <c r="R22" i="76" s="1"/>
  <c r="J28" i="123"/>
  <c r="Q27" i="119"/>
  <c r="Q41" i="119"/>
  <c r="S32" i="107"/>
  <c r="S58" i="107" s="1"/>
  <c r="S112" i="107" s="1"/>
  <c r="S22" i="107" s="1"/>
  <c r="R58" i="107"/>
  <c r="R112" i="107" s="1"/>
  <c r="R22" i="107" s="1"/>
  <c r="S32" i="89"/>
  <c r="S58" i="89" s="1"/>
  <c r="S112" i="89" s="1"/>
  <c r="S22" i="89" s="1"/>
  <c r="R58" i="89"/>
  <c r="R112" i="89" s="1"/>
  <c r="R22" i="89" s="1"/>
  <c r="Q13" i="119"/>
  <c r="H208" i="48"/>
  <c r="J14" i="125" s="1"/>
  <c r="J14" i="123"/>
  <c r="H808" i="48"/>
  <c r="J38" i="125" s="1"/>
  <c r="Q37" i="119"/>
  <c r="J38" i="123"/>
  <c r="R58" i="90"/>
  <c r="R112" i="90" s="1"/>
  <c r="R22" i="90" s="1"/>
  <c r="S32" i="90"/>
  <c r="S58" i="90" s="1"/>
  <c r="S112" i="90" s="1"/>
  <c r="S22" i="90" s="1"/>
  <c r="S32" i="72"/>
  <c r="S58" i="72" s="1"/>
  <c r="S112" i="72" s="1"/>
  <c r="S22" i="72" s="1"/>
  <c r="R58" i="72"/>
  <c r="R112" i="72" s="1"/>
  <c r="R22" i="72" s="1"/>
  <c r="S32" i="105"/>
  <c r="S58" i="105" s="1"/>
  <c r="S112" i="105" s="1"/>
  <c r="S22" i="105" s="1"/>
  <c r="R58" i="105"/>
  <c r="R112" i="105" s="1"/>
  <c r="R22" i="105" s="1"/>
  <c r="R58" i="65"/>
  <c r="R112" i="65" s="1"/>
  <c r="R22" i="65" s="1"/>
  <c r="S32" i="65"/>
  <c r="S58" i="65" s="1"/>
  <c r="S112" i="65" s="1"/>
  <c r="S22" i="65" s="1"/>
  <c r="S32" i="99"/>
  <c r="S58" i="99" s="1"/>
  <c r="S112" i="99" s="1"/>
  <c r="S22" i="99" s="1"/>
  <c r="R58" i="99"/>
  <c r="R112" i="99" s="1"/>
  <c r="R22" i="99" s="1"/>
  <c r="H933" i="48"/>
  <c r="J43" i="125" s="1"/>
  <c r="Q42" i="119"/>
  <c r="J43" i="123"/>
  <c r="J6" i="123"/>
  <c r="W6" i="123"/>
  <c r="W11" i="123" s="1"/>
  <c r="H8" i="48"/>
  <c r="J6" i="125" s="1"/>
  <c r="Q5" i="119"/>
  <c r="S32" i="79"/>
  <c r="S58" i="79" s="1"/>
  <c r="S112" i="79" s="1"/>
  <c r="S22" i="79" s="1"/>
  <c r="R58" i="79"/>
  <c r="R112" i="79" s="1"/>
  <c r="R22" i="79" s="1"/>
  <c r="S32" i="77"/>
  <c r="S58" i="77" s="1"/>
  <c r="S112" i="77" s="1"/>
  <c r="S22" i="77" s="1"/>
  <c r="R58" i="77"/>
  <c r="R112" i="77" s="1"/>
  <c r="R22" i="77" s="1"/>
  <c r="S32" i="88"/>
  <c r="S58" i="88" s="1"/>
  <c r="S112" i="88" s="1"/>
  <c r="S22" i="88" s="1"/>
  <c r="R58" i="88"/>
  <c r="R112" i="88" s="1"/>
  <c r="R22" i="88" s="1"/>
  <c r="S32" i="111"/>
  <c r="S58" i="111" s="1"/>
  <c r="S112" i="111" s="1"/>
  <c r="S22" i="111" s="1"/>
  <c r="R58" i="111"/>
  <c r="R112" i="111" s="1"/>
  <c r="R22" i="111" s="1"/>
  <c r="S32" i="108"/>
  <c r="S58" i="108" s="1"/>
  <c r="S112" i="108" s="1"/>
  <c r="S22" i="108" s="1"/>
  <c r="R58" i="108"/>
  <c r="R112" i="108" s="1"/>
  <c r="R22" i="108" s="1"/>
  <c r="S32" i="73"/>
  <c r="S58" i="73" s="1"/>
  <c r="S112" i="73" s="1"/>
  <c r="S22" i="73" s="1"/>
  <c r="R58" i="73"/>
  <c r="R112" i="73" s="1"/>
  <c r="R22" i="73" s="1"/>
  <c r="S32" i="87"/>
  <c r="S58" i="87" s="1"/>
  <c r="S112" i="87" s="1"/>
  <c r="S22" i="87" s="1"/>
  <c r="R58" i="87"/>
  <c r="R112" i="87" s="1"/>
  <c r="R22" i="87" s="1"/>
  <c r="S32" i="101"/>
  <c r="S58" i="101" s="1"/>
  <c r="S112" i="101" s="1"/>
  <c r="S22" i="101" s="1"/>
  <c r="R58" i="101"/>
  <c r="R112" i="101" s="1"/>
  <c r="R22" i="101" s="1"/>
  <c r="S32" i="86"/>
  <c r="S58" i="86" s="1"/>
  <c r="S112" i="86" s="1"/>
  <c r="S22" i="86" s="1"/>
  <c r="R58" i="86"/>
  <c r="R112" i="86" s="1"/>
  <c r="R22" i="86" s="1"/>
  <c r="R58" i="75"/>
  <c r="R112" i="75" s="1"/>
  <c r="R22" i="75" s="1"/>
  <c r="S32" i="75"/>
  <c r="S58" i="75" s="1"/>
  <c r="S112" i="75" s="1"/>
  <c r="S22" i="75" s="1"/>
  <c r="S32" i="102"/>
  <c r="S58" i="102" s="1"/>
  <c r="S112" i="102" s="1"/>
  <c r="S22" i="102" s="1"/>
  <c r="R58" i="102"/>
  <c r="R112" i="102" s="1"/>
  <c r="R22" i="102" s="1"/>
  <c r="S32" i="117"/>
  <c r="S58" i="117" s="1"/>
  <c r="S112" i="117" s="1"/>
  <c r="S22" i="117" s="1"/>
  <c r="R58" i="117"/>
  <c r="R112" i="117" s="1"/>
  <c r="R22" i="117" s="1"/>
  <c r="S32" i="104"/>
  <c r="S58" i="104" s="1"/>
  <c r="S112" i="104" s="1"/>
  <c r="S22" i="104" s="1"/>
  <c r="R58" i="104"/>
  <c r="R112" i="104" s="1"/>
  <c r="R22" i="104" s="1"/>
  <c r="H358" i="48"/>
  <c r="J20" i="125" s="1"/>
  <c r="Q19" i="119"/>
  <c r="J20" i="123"/>
  <c r="S32" i="74"/>
  <c r="S58" i="74" s="1"/>
  <c r="S112" i="74" s="1"/>
  <c r="S22" i="74" s="1"/>
  <c r="R58" i="74"/>
  <c r="R112" i="74" s="1"/>
  <c r="R22" i="74" s="1"/>
  <c r="R58" i="92"/>
  <c r="R112" i="92" s="1"/>
  <c r="R22" i="92" s="1"/>
  <c r="S32" i="92"/>
  <c r="S58" i="92" s="1"/>
  <c r="S112" i="92" s="1"/>
  <c r="S22" i="92" s="1"/>
  <c r="S32" i="80"/>
  <c r="S58" i="80" s="1"/>
  <c r="S112" i="80" s="1"/>
  <c r="S22" i="80" s="1"/>
  <c r="R58" i="80"/>
  <c r="R112" i="80" s="1"/>
  <c r="R22" i="80" s="1"/>
  <c r="S32" i="115"/>
  <c r="S58" i="115" s="1"/>
  <c r="S112" i="115" s="1"/>
  <c r="S22" i="115" s="1"/>
  <c r="R58" i="115"/>
  <c r="R112" i="115" s="1"/>
  <c r="R22" i="115" s="1"/>
  <c r="S32" i="100"/>
  <c r="S58" i="100" s="1"/>
  <c r="S112" i="100" s="1"/>
  <c r="S22" i="100" s="1"/>
  <c r="R58" i="100"/>
  <c r="R112" i="100" s="1"/>
  <c r="R22" i="100" s="1"/>
  <c r="Q17" i="119"/>
  <c r="J45" i="123"/>
  <c r="H983" i="48"/>
  <c r="J45" i="125" s="1"/>
  <c r="Q44" i="119"/>
  <c r="H19" i="60"/>
  <c r="W10" i="54" s="1"/>
  <c r="W14" i="54" s="1"/>
  <c r="L24" i="45" s="1"/>
  <c r="X6" i="124" s="1"/>
  <c r="AH114" i="60"/>
  <c r="AH115" i="60"/>
  <c r="AZ114" i="60"/>
  <c r="AI114" i="60"/>
  <c r="AN114" i="60"/>
  <c r="X114" i="60"/>
  <c r="AD114" i="60"/>
  <c r="AE115" i="60"/>
  <c r="K114" i="60"/>
  <c r="AC114" i="60"/>
  <c r="AB114" i="60"/>
  <c r="AM114" i="60"/>
  <c r="O115" i="60"/>
  <c r="AK115" i="60"/>
  <c r="AW115" i="60"/>
  <c r="AT115" i="60"/>
  <c r="K115" i="60"/>
  <c r="AV115" i="60"/>
  <c r="BA115" i="60"/>
  <c r="O114" i="60"/>
  <c r="AK114" i="60"/>
  <c r="V115" i="60"/>
  <c r="AJ114" i="60"/>
  <c r="AA115" i="60"/>
  <c r="AG115" i="60"/>
  <c r="V114" i="60"/>
  <c r="AA114" i="60"/>
  <c r="U115" i="60"/>
  <c r="L115" i="60"/>
  <c r="Q115" i="60"/>
  <c r="R115" i="60"/>
  <c r="U114" i="60"/>
  <c r="L114" i="60"/>
  <c r="W114" i="60"/>
  <c r="AR114" i="60"/>
  <c r="P115" i="60"/>
  <c r="AZ115" i="60"/>
  <c r="AN115" i="60"/>
  <c r="X115" i="60"/>
  <c r="AD115" i="60"/>
  <c r="AM115" i="60"/>
  <c r="AY114" i="60"/>
  <c r="Z114" i="60"/>
  <c r="S114" i="60"/>
  <c r="AX115" i="60"/>
  <c r="M115" i="60"/>
  <c r="AL115" i="60"/>
  <c r="AQ115" i="60"/>
  <c r="AF115" i="60"/>
  <c r="T115" i="60"/>
  <c r="AQ114" i="60"/>
  <c r="AO114" i="60"/>
  <c r="W115" i="60"/>
  <c r="Q114" i="60"/>
  <c r="R114" i="60"/>
  <c r="AI115" i="60"/>
  <c r="AE114" i="60"/>
  <c r="Z115" i="60"/>
  <c r="S115" i="60"/>
  <c r="AW114" i="60"/>
  <c r="AX114" i="60"/>
  <c r="AT114" i="60"/>
  <c r="M114" i="60"/>
  <c r="AJ115" i="60"/>
  <c r="AV114" i="60"/>
  <c r="AL114" i="60"/>
  <c r="BA114" i="60"/>
  <c r="AG114" i="60"/>
  <c r="Y115" i="60"/>
  <c r="AP115" i="60"/>
  <c r="AS115" i="60"/>
  <c r="AO115" i="60"/>
  <c r="Y114" i="60"/>
  <c r="AF114" i="60"/>
  <c r="AP114" i="60"/>
  <c r="T114" i="60"/>
  <c r="AS114" i="60"/>
  <c r="AU115" i="60"/>
  <c r="AR115" i="60"/>
  <c r="P114" i="60"/>
  <c r="AY115" i="60"/>
  <c r="AB115" i="60"/>
  <c r="N115" i="60"/>
  <c r="AU114" i="60"/>
  <c r="N114" i="60"/>
  <c r="AC115" i="60"/>
  <c r="E25" i="119" l="1"/>
  <c r="Q34" i="119"/>
  <c r="H733" i="48"/>
  <c r="J35" i="125" s="1"/>
  <c r="J18" i="123"/>
  <c r="J42" i="123"/>
  <c r="E5" i="119"/>
  <c r="E38" i="119"/>
  <c r="E7" i="119"/>
  <c r="E36" i="119"/>
  <c r="E11" i="119"/>
  <c r="E33" i="119"/>
  <c r="E23" i="119"/>
  <c r="E16" i="119"/>
  <c r="E24" i="119"/>
  <c r="E44" i="119"/>
  <c r="E29" i="119"/>
  <c r="E39" i="119"/>
  <c r="E37" i="119"/>
  <c r="E41" i="119"/>
  <c r="E40" i="119"/>
  <c r="E22" i="119"/>
  <c r="E9" i="119"/>
  <c r="E8" i="119"/>
  <c r="E32" i="119"/>
  <c r="E34" i="119"/>
  <c r="E10" i="119"/>
  <c r="E17" i="119"/>
  <c r="E42" i="119"/>
  <c r="E35" i="119"/>
  <c r="E14" i="119"/>
  <c r="E12" i="119"/>
  <c r="E18" i="119"/>
  <c r="E13" i="119"/>
  <c r="E27" i="119"/>
  <c r="E28" i="119"/>
  <c r="E6" i="119"/>
  <c r="J115" i="60"/>
  <c r="BC10" i="54" s="1"/>
  <c r="BC14" i="54" s="1"/>
  <c r="F13" i="127" s="1"/>
  <c r="G17" i="127" s="1"/>
  <c r="AT6" i="124" s="1"/>
  <c r="E30" i="119"/>
  <c r="E19" i="119"/>
  <c r="E20" i="119"/>
  <c r="J114" i="60"/>
  <c r="BB10" i="54" s="1"/>
  <c r="BB14" i="54" s="1"/>
  <c r="C13" i="127" s="1"/>
  <c r="D17" i="127" s="1"/>
  <c r="AR6" i="124" s="1"/>
  <c r="E21" i="119"/>
  <c r="E15" i="119"/>
  <c r="E31" i="119"/>
  <c r="E26" i="119"/>
  <c r="E43" i="119"/>
  <c r="Q21" i="119"/>
  <c r="J22" i="123"/>
  <c r="H408" i="48"/>
  <c r="J22" i="125" s="1"/>
  <c r="Q24" i="119"/>
  <c r="H483" i="48"/>
  <c r="J25" i="125" s="1"/>
  <c r="J25" i="123"/>
  <c r="G23" i="32"/>
  <c r="G23" i="45"/>
  <c r="V6" i="124" s="1"/>
  <c r="H883" i="48"/>
  <c r="J41" i="125" s="1"/>
  <c r="Q40" i="119"/>
  <c r="J41" i="123"/>
  <c r="H383" i="48"/>
  <c r="J21" i="125" s="1"/>
  <c r="Q20" i="119"/>
  <c r="J21" i="123"/>
  <c r="H658" i="48"/>
  <c r="J32" i="125" s="1"/>
  <c r="Q31" i="119"/>
  <c r="J32" i="123"/>
  <c r="J31" i="123"/>
  <c r="Q30" i="119"/>
  <c r="H633" i="48"/>
  <c r="J31" i="125" s="1"/>
  <c r="J15" i="123"/>
  <c r="H233" i="48"/>
  <c r="J15" i="125" s="1"/>
  <c r="Q14" i="119"/>
  <c r="H758" i="48"/>
  <c r="J36" i="125" s="1"/>
  <c r="Q35" i="119"/>
  <c r="J36" i="123"/>
  <c r="Q9" i="119"/>
  <c r="J10" i="123"/>
  <c r="H108" i="48"/>
  <c r="J10" i="125" s="1"/>
  <c r="Q18" i="119"/>
  <c r="H333" i="48"/>
  <c r="J19" i="125" s="1"/>
  <c r="J19" i="123"/>
  <c r="H433" i="48"/>
  <c r="J23" i="125" s="1"/>
  <c r="Q22" i="119"/>
  <c r="J23" i="123"/>
  <c r="J12" i="123"/>
  <c r="Q11" i="119"/>
  <c r="H158" i="48"/>
  <c r="J12" i="125" s="1"/>
  <c r="Q28" i="119"/>
  <c r="J29" i="123"/>
  <c r="H583" i="48"/>
  <c r="J29" i="125" s="1"/>
  <c r="H58" i="48"/>
  <c r="J8" i="125" s="1"/>
  <c r="J8" i="123"/>
  <c r="Q7" i="119"/>
  <c r="J13" i="123"/>
  <c r="H183" i="48"/>
  <c r="J13" i="125" s="1"/>
  <c r="Q12" i="119"/>
  <c r="H33" i="48"/>
  <c r="J7" i="125" s="1"/>
  <c r="W7" i="123"/>
  <c r="J7" i="123"/>
  <c r="Q6" i="119"/>
  <c r="Q29" i="119"/>
  <c r="H608" i="48"/>
  <c r="J30" i="125" s="1"/>
  <c r="J30" i="123"/>
  <c r="Q33" i="119"/>
  <c r="J34" i="123"/>
  <c r="H708" i="48"/>
  <c r="J34" i="125" s="1"/>
  <c r="H858" i="48"/>
  <c r="J40" i="125" s="1"/>
  <c r="J40" i="123"/>
  <c r="Q39" i="119"/>
  <c r="J11" i="123"/>
  <c r="H133" i="48"/>
  <c r="J11" i="125" s="1"/>
  <c r="Q10" i="119"/>
  <c r="Q36" i="119"/>
  <c r="H783" i="48"/>
  <c r="J37" i="125" s="1"/>
  <c r="J37" i="123"/>
  <c r="H833" i="48"/>
  <c r="J39" i="125" s="1"/>
  <c r="J39" i="123"/>
  <c r="Q38" i="119"/>
  <c r="Q26" i="119"/>
  <c r="J27" i="123"/>
  <c r="H533" i="48"/>
  <c r="J27" i="125" s="1"/>
  <c r="J44" i="123"/>
  <c r="Q43" i="119"/>
  <c r="H958" i="48"/>
  <c r="J44" i="125" s="1"/>
  <c r="J26" i="123"/>
  <c r="H508" i="48"/>
  <c r="J26" i="125" s="1"/>
  <c r="Q25" i="119"/>
  <c r="J16" i="123"/>
  <c r="Q15" i="119"/>
  <c r="H258" i="48"/>
  <c r="J16" i="125" s="1"/>
  <c r="H283" i="48"/>
  <c r="J17" i="125" s="1"/>
  <c r="Q16" i="119"/>
  <c r="J17" i="123"/>
  <c r="C515" i="48"/>
  <c r="C515" i="93"/>
  <c r="O26" i="123" s="1"/>
  <c r="J24" i="123"/>
  <c r="H458" i="48"/>
  <c r="J24" i="125" s="1"/>
  <c r="Q23" i="119"/>
  <c r="W15" i="54"/>
  <c r="G19" i="61"/>
  <c r="Z10" i="54"/>
  <c r="Z14" i="54" s="1"/>
  <c r="L24" i="32" s="1"/>
  <c r="X5" i="122" s="1"/>
  <c r="V5" i="122" l="1"/>
  <c r="X15" i="54"/>
  <c r="C540" i="48"/>
  <c r="C540" i="93"/>
  <c r="O27" i="123" s="1"/>
  <c r="C440" i="48"/>
  <c r="C440" i="93"/>
  <c r="O23" i="123" s="1"/>
  <c r="C665" i="48"/>
  <c r="C665" i="93"/>
  <c r="O32" i="123" s="1"/>
  <c r="C40" i="93"/>
  <c r="O7" i="123" s="1"/>
  <c r="C40" i="48"/>
  <c r="C890" i="93"/>
  <c r="O41" i="123" s="1"/>
  <c r="C890" i="48"/>
  <c r="C265" i="93"/>
  <c r="O16" i="123" s="1"/>
  <c r="C265" i="48"/>
  <c r="C590" i="48"/>
  <c r="C590" i="93"/>
  <c r="O29" i="123" s="1"/>
  <c r="C315" i="93"/>
  <c r="O18" i="123" s="1"/>
  <c r="C315" i="48"/>
  <c r="C915" i="48"/>
  <c r="C915" i="93"/>
  <c r="O42" i="123" s="1"/>
  <c r="C415" i="93"/>
  <c r="O22" i="123" s="1"/>
  <c r="C415" i="48"/>
  <c r="C565" i="48"/>
  <c r="C565" i="93"/>
  <c r="O28" i="123" s="1"/>
  <c r="C140" i="93"/>
  <c r="O11" i="123" s="1"/>
  <c r="C140" i="48"/>
  <c r="C815" i="93"/>
  <c r="O38" i="123" s="1"/>
  <c r="C815" i="48"/>
  <c r="C165" i="48"/>
  <c r="C165" i="93"/>
  <c r="O12" i="123" s="1"/>
  <c r="C215" i="48"/>
  <c r="C215" i="93"/>
  <c r="O14" i="123" s="1"/>
  <c r="C740" i="93"/>
  <c r="O35" i="123" s="1"/>
  <c r="C740" i="48"/>
  <c r="C865" i="48"/>
  <c r="C865" i="93"/>
  <c r="O40" i="123" s="1"/>
  <c r="C790" i="48"/>
  <c r="C790" i="93"/>
  <c r="O37" i="123" s="1"/>
  <c r="C390" i="93"/>
  <c r="O21" i="123" s="1"/>
  <c r="C390" i="48"/>
  <c r="C340" i="48"/>
  <c r="C340" i="93"/>
  <c r="O19" i="123" s="1"/>
  <c r="C690" i="93"/>
  <c r="O33" i="123" s="1"/>
  <c r="C690" i="48"/>
  <c r="C615" i="48"/>
  <c r="C615" i="93"/>
  <c r="O30" i="123" s="1"/>
  <c r="C65" i="48"/>
  <c r="C65" i="93"/>
  <c r="O8" i="123" s="1"/>
  <c r="C765" i="93"/>
  <c r="O36" i="123" s="1"/>
  <c r="C765" i="48"/>
  <c r="C290" i="48"/>
  <c r="C290" i="93"/>
  <c r="O17" i="123" s="1"/>
  <c r="C940" i="93"/>
  <c r="O43" i="123" s="1"/>
  <c r="C940" i="48"/>
  <c r="C465" i="48"/>
  <c r="C465" i="93"/>
  <c r="O24" i="123" s="1"/>
  <c r="D519" i="48"/>
  <c r="T26" i="125" s="1"/>
  <c r="O26" i="125"/>
  <c r="C715" i="48"/>
  <c r="C715" i="93"/>
  <c r="O34" i="123" s="1"/>
  <c r="C365" i="93"/>
  <c r="O20" i="123" s="1"/>
  <c r="C365" i="48"/>
  <c r="C190" i="48"/>
  <c r="C190" i="93"/>
  <c r="O13" i="123" s="1"/>
  <c r="C90" i="93"/>
  <c r="O9" i="123" s="1"/>
  <c r="C90" i="48"/>
  <c r="C990" i="48"/>
  <c r="C990" i="93"/>
  <c r="O45" i="123" s="1"/>
  <c r="C840" i="93"/>
  <c r="O39" i="123" s="1"/>
  <c r="C840" i="48"/>
  <c r="C965" i="93"/>
  <c r="O44" i="123" s="1"/>
  <c r="C965" i="48"/>
  <c r="C640" i="48"/>
  <c r="C640" i="93"/>
  <c r="O31" i="123" s="1"/>
  <c r="C240" i="93"/>
  <c r="O15" i="123" s="1"/>
  <c r="C240" i="48"/>
  <c r="C115" i="48"/>
  <c r="C115" i="93"/>
  <c r="O10" i="123" s="1"/>
  <c r="C490" i="48"/>
  <c r="C490" i="93"/>
  <c r="O25" i="123" s="1"/>
  <c r="O6" i="123"/>
  <c r="O6" i="125"/>
  <c r="Z15" i="54"/>
  <c r="H18" i="60"/>
  <c r="Y10" i="54" s="1"/>
  <c r="Y14" i="54" s="1"/>
  <c r="L23" i="32" s="1"/>
  <c r="O44" i="125" l="1"/>
  <c r="D969" i="48"/>
  <c r="T44" i="125" s="1"/>
  <c r="D494" i="48"/>
  <c r="T25" i="125" s="1"/>
  <c r="O25" i="125"/>
  <c r="D194" i="48"/>
  <c r="T13" i="125" s="1"/>
  <c r="O13" i="125"/>
  <c r="O24" i="125"/>
  <c r="D469" i="48"/>
  <c r="T24" i="125" s="1"/>
  <c r="O8" i="125"/>
  <c r="D69" i="48"/>
  <c r="T8" i="125" s="1"/>
  <c r="D219" i="48"/>
  <c r="T14" i="125" s="1"/>
  <c r="O14" i="125"/>
  <c r="O29" i="125"/>
  <c r="D594" i="48"/>
  <c r="T29" i="125" s="1"/>
  <c r="D369" i="48"/>
  <c r="T20" i="125" s="1"/>
  <c r="O20" i="125"/>
  <c r="O43" i="125"/>
  <c r="D944" i="48"/>
  <c r="T43" i="125" s="1"/>
  <c r="O16" i="125"/>
  <c r="D269" i="48"/>
  <c r="T16" i="125" s="1"/>
  <c r="D619" i="48"/>
  <c r="T30" i="125" s="1"/>
  <c r="O30" i="125"/>
  <c r="D794" i="48"/>
  <c r="T37" i="125" s="1"/>
  <c r="O37" i="125"/>
  <c r="D169" i="48"/>
  <c r="T12" i="125" s="1"/>
  <c r="O12" i="125"/>
  <c r="D444" i="48"/>
  <c r="T23" i="125" s="1"/>
  <c r="O23" i="125"/>
  <c r="D244" i="48"/>
  <c r="T15" i="125" s="1"/>
  <c r="O15" i="125"/>
  <c r="D694" i="48"/>
  <c r="T33" i="125" s="1"/>
  <c r="O33" i="125"/>
  <c r="D819" i="48"/>
  <c r="T38" i="125" s="1"/>
  <c r="O38" i="125"/>
  <c r="O41" i="125"/>
  <c r="D894" i="48"/>
  <c r="T41" i="125" s="1"/>
  <c r="O45" i="125"/>
  <c r="D994" i="48"/>
  <c r="T45" i="125" s="1"/>
  <c r="O34" i="125"/>
  <c r="D719" i="48"/>
  <c r="T34" i="125" s="1"/>
  <c r="D294" i="48"/>
  <c r="T17" i="125" s="1"/>
  <c r="O17" i="125"/>
  <c r="O40" i="125"/>
  <c r="D869" i="48"/>
  <c r="T40" i="125" s="1"/>
  <c r="D919" i="48"/>
  <c r="T42" i="125" s="1"/>
  <c r="O42" i="125"/>
  <c r="O27" i="125"/>
  <c r="D544" i="48"/>
  <c r="T27" i="125" s="1"/>
  <c r="D394" i="48"/>
  <c r="T21" i="125" s="1"/>
  <c r="O21" i="125"/>
  <c r="O28" i="125"/>
  <c r="D569" i="48"/>
  <c r="T28" i="125" s="1"/>
  <c r="D669" i="48"/>
  <c r="T32" i="125" s="1"/>
  <c r="O32" i="125"/>
  <c r="O39" i="125"/>
  <c r="D844" i="48"/>
  <c r="T39" i="125" s="1"/>
  <c r="D419" i="48"/>
  <c r="T22" i="125" s="1"/>
  <c r="O22" i="125"/>
  <c r="O10" i="125"/>
  <c r="D119" i="48"/>
  <c r="T10" i="125" s="1"/>
  <c r="D94" i="48"/>
  <c r="T9" i="125" s="1"/>
  <c r="O9" i="125"/>
  <c r="D769" i="48"/>
  <c r="T36" i="125" s="1"/>
  <c r="O36" i="125"/>
  <c r="D744" i="48"/>
  <c r="T35" i="125" s="1"/>
  <c r="O35" i="125"/>
  <c r="O11" i="125"/>
  <c r="D144" i="48"/>
  <c r="T11" i="125" s="1"/>
  <c r="D319" i="48"/>
  <c r="T18" i="125" s="1"/>
  <c r="O18" i="125"/>
  <c r="D44" i="48"/>
  <c r="T7" i="125" s="1"/>
  <c r="O7" i="125"/>
  <c r="D644" i="48"/>
  <c r="T31" i="125" s="1"/>
  <c r="O31" i="125"/>
  <c r="D344" i="48"/>
  <c r="T19" i="125" s="1"/>
  <c r="O19" i="125"/>
  <c r="G18" i="61"/>
  <c r="Y15" i="54"/>
  <c r="N15" i="93"/>
  <c r="Q6" i="123" s="1"/>
  <c r="I15" i="93"/>
  <c r="P6" i="123" s="1"/>
  <c r="Q4" i="32"/>
  <c r="W5" i="122"/>
  <c r="C15" i="93"/>
  <c r="V15" i="54"/>
  <c r="L19" i="60"/>
  <c r="V10" i="54"/>
  <c r="V14" i="54" s="1"/>
  <c r="L23" i="45" s="1"/>
  <c r="O15" i="48" l="1"/>
  <c r="I15" i="48"/>
  <c r="W6" i="124"/>
  <c r="C15" i="48"/>
  <c r="D19" i="48" s="1"/>
  <c r="T6" i="125" s="1"/>
  <c r="Q6" i="125" l="1"/>
  <c r="O17" i="48"/>
  <c r="V6" i="125" s="1"/>
  <c r="P6" i="125"/>
  <c r="J19" i="48"/>
  <c r="W6" i="1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55" authorId="0" shapeId="0" xr:uid="{00000000-0006-0000-0700-000001000000}">
      <text>
        <r>
          <rPr>
            <b/>
            <sz val="9"/>
            <color indexed="81"/>
            <rFont val="MS P ゴシック"/>
            <family val="3"/>
            <charset val="128"/>
          </rPr>
          <t>その他は、項目名・単位・係数を
「係数」シートに記入する</t>
        </r>
      </text>
    </comment>
    <comment ref="D56" authorId="0" shapeId="0" xr:uid="{00000000-0006-0000-0700-000002000000}">
      <text>
        <r>
          <rPr>
            <b/>
            <sz val="9"/>
            <color indexed="81"/>
            <rFont val="MS P ゴシック"/>
            <family val="3"/>
            <charset val="128"/>
          </rPr>
          <t>その他は、項目名・単位・係数を
「係数」シートに記入する</t>
        </r>
      </text>
    </comment>
    <comment ref="D57" authorId="0" shapeId="0" xr:uid="{00000000-0006-0000-0700-000003000000}">
      <text>
        <r>
          <rPr>
            <b/>
            <sz val="9"/>
            <color indexed="81"/>
            <rFont val="MS P ゴシック"/>
            <family val="3"/>
            <charset val="128"/>
          </rPr>
          <t>その他は、項目名・単位・係数を
「係数」シートに記入する</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200-000001000000}">
      <text>
        <r>
          <rPr>
            <b/>
            <sz val="9"/>
            <rFont val="ＭＳ Ｐゴシック"/>
            <family val="3"/>
            <charset val="128"/>
          </rPr>
          <t>計算結果の数値の確認は必ずしてください。</t>
        </r>
      </text>
    </comment>
    <comment ref="S22" authorId="0" shapeId="0" xr:uid="{00000000-0006-0000-1200-000002000000}">
      <text>
        <r>
          <rPr>
            <b/>
            <sz val="9"/>
            <rFont val="ＭＳ Ｐゴシック"/>
            <family val="3"/>
            <charset val="128"/>
          </rPr>
          <t>計算結果の数値の確認は必ずしてください。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300-000001000000}">
      <text>
        <r>
          <rPr>
            <b/>
            <sz val="9"/>
            <rFont val="ＭＳ Ｐゴシック"/>
            <family val="3"/>
            <charset val="128"/>
          </rPr>
          <t>計算結果の数値の確認は必ずしてください。</t>
        </r>
      </text>
    </comment>
    <comment ref="S22" authorId="0" shapeId="0" xr:uid="{00000000-0006-0000-1300-000002000000}">
      <text>
        <r>
          <rPr>
            <b/>
            <sz val="9"/>
            <rFont val="ＭＳ Ｐゴシック"/>
            <family val="3"/>
            <charset val="128"/>
          </rPr>
          <t>計算結果の数値の確認は必ずしてください。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400-000001000000}">
      <text>
        <r>
          <rPr>
            <b/>
            <sz val="9"/>
            <rFont val="ＭＳ Ｐゴシック"/>
            <family val="3"/>
            <charset val="128"/>
          </rPr>
          <t>計算結果の数値の確認は必ずしてください。</t>
        </r>
      </text>
    </comment>
    <comment ref="S22" authorId="0" shapeId="0" xr:uid="{00000000-0006-0000-1400-000002000000}">
      <text>
        <r>
          <rPr>
            <b/>
            <sz val="9"/>
            <rFont val="ＭＳ Ｐゴシック"/>
            <family val="3"/>
            <charset val="128"/>
          </rPr>
          <t>計算結果の数値の確認は必ずしてください。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500-000001000000}">
      <text>
        <r>
          <rPr>
            <b/>
            <sz val="9"/>
            <rFont val="ＭＳ Ｐゴシック"/>
            <family val="3"/>
            <charset val="128"/>
          </rPr>
          <t>計算結果の数値の確認は必ずしてください。</t>
        </r>
      </text>
    </comment>
    <comment ref="S22" authorId="0" shapeId="0" xr:uid="{00000000-0006-0000-1500-000002000000}">
      <text>
        <r>
          <rPr>
            <b/>
            <sz val="9"/>
            <rFont val="ＭＳ Ｐゴシック"/>
            <family val="3"/>
            <charset val="128"/>
          </rPr>
          <t>計算結果の数値の確認は必ずしてください。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600-000001000000}">
      <text>
        <r>
          <rPr>
            <b/>
            <sz val="9"/>
            <rFont val="ＭＳ Ｐゴシック"/>
            <family val="3"/>
            <charset val="128"/>
          </rPr>
          <t>計算結果の数値の確認は必ずしてください。</t>
        </r>
      </text>
    </comment>
    <comment ref="S22" authorId="0" shapeId="0" xr:uid="{00000000-0006-0000-1600-000002000000}">
      <text>
        <r>
          <rPr>
            <b/>
            <sz val="9"/>
            <rFont val="ＭＳ Ｐゴシック"/>
            <family val="3"/>
            <charset val="128"/>
          </rPr>
          <t>計算結果の数値の確認は必ずしてください。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700-000001000000}">
      <text>
        <r>
          <rPr>
            <b/>
            <sz val="9"/>
            <rFont val="ＭＳ Ｐゴシック"/>
            <family val="3"/>
            <charset val="128"/>
          </rPr>
          <t>計算結果の数値の確認は必ずしてください。</t>
        </r>
      </text>
    </comment>
    <comment ref="S22" authorId="0" shapeId="0" xr:uid="{00000000-0006-0000-1700-000002000000}">
      <text>
        <r>
          <rPr>
            <b/>
            <sz val="9"/>
            <rFont val="ＭＳ Ｐゴシック"/>
            <family val="3"/>
            <charset val="128"/>
          </rPr>
          <t>計算結果の数値の確認は必ずしてください。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800-000001000000}">
      <text>
        <r>
          <rPr>
            <b/>
            <sz val="9"/>
            <rFont val="ＭＳ Ｐゴシック"/>
            <family val="3"/>
            <charset val="128"/>
          </rPr>
          <t>計算結果の数値の確認は必ずしてください。</t>
        </r>
      </text>
    </comment>
    <comment ref="S22" authorId="0" shapeId="0" xr:uid="{00000000-0006-0000-1800-000002000000}">
      <text>
        <r>
          <rPr>
            <b/>
            <sz val="9"/>
            <rFont val="ＭＳ Ｐゴシック"/>
            <family val="3"/>
            <charset val="128"/>
          </rPr>
          <t>計算結果の数値の確認は必ずしてください。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900-000001000000}">
      <text>
        <r>
          <rPr>
            <b/>
            <sz val="9"/>
            <rFont val="ＭＳ Ｐゴシック"/>
            <family val="3"/>
            <charset val="128"/>
          </rPr>
          <t>計算結果の数値の確認は必ずしてください。</t>
        </r>
      </text>
    </comment>
    <comment ref="S22" authorId="0" shapeId="0" xr:uid="{00000000-0006-0000-1900-000002000000}">
      <text>
        <r>
          <rPr>
            <b/>
            <sz val="9"/>
            <rFont val="ＭＳ Ｐゴシック"/>
            <family val="3"/>
            <charset val="128"/>
          </rPr>
          <t>計算結果の数値の確認は必ずしてください。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A00-000001000000}">
      <text>
        <r>
          <rPr>
            <b/>
            <sz val="9"/>
            <rFont val="ＭＳ Ｐゴシック"/>
            <family val="3"/>
            <charset val="128"/>
          </rPr>
          <t>計算結果の数値の確認は必ずしてください。</t>
        </r>
      </text>
    </comment>
    <comment ref="S22" authorId="0" shapeId="0" xr:uid="{00000000-0006-0000-1A00-000002000000}">
      <text>
        <r>
          <rPr>
            <b/>
            <sz val="9"/>
            <rFont val="ＭＳ Ｐゴシック"/>
            <family val="3"/>
            <charset val="128"/>
          </rPr>
          <t>計算結果の数値の確認は必ずしてください。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B00-000001000000}">
      <text>
        <r>
          <rPr>
            <b/>
            <sz val="9"/>
            <rFont val="ＭＳ Ｐゴシック"/>
            <family val="3"/>
            <charset val="128"/>
          </rPr>
          <t>計算結果の数値の確認は必ずしてください。</t>
        </r>
      </text>
    </comment>
    <comment ref="S22" authorId="0" shapeId="0" xr:uid="{00000000-0006-0000-1B00-000002000000}">
      <text>
        <r>
          <rPr>
            <b/>
            <sz val="9"/>
            <rFont val="ＭＳ Ｐゴシック"/>
            <family val="3"/>
            <charset val="128"/>
          </rPr>
          <t>計算結果の数値の確認は必ずしてください。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06" authorId="0" shapeId="0" xr:uid="{00000000-0006-0000-0A00-000001000000}">
      <text>
        <r>
          <rPr>
            <b/>
            <sz val="9"/>
            <color indexed="81"/>
            <rFont val="ＭＳ Ｐゴシック"/>
            <family val="3"/>
            <charset val="128"/>
          </rPr>
          <t xml:space="preserve">【注意】
</t>
        </r>
        <r>
          <rPr>
            <sz val="9"/>
            <color indexed="81"/>
            <rFont val="ＭＳ Ｐゴシック"/>
            <family val="3"/>
            <charset val="128"/>
          </rPr>
          <t>※１の条件に該当する場合は、供給元の事業者名を入力してください。
⇒F101、G101のセルに排出係数を別途ご入力ください。</t>
        </r>
      </text>
    </comment>
    <comment ref="F106" authorId="0" shapeId="0" xr:uid="{00000000-0006-0000-0A00-00000200000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G106" authorId="0" shapeId="0" xr:uid="{00000000-0006-0000-0A00-00000300000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C107" authorId="0" shapeId="0" xr:uid="{00000000-0006-0000-0A00-000004000000}">
      <text>
        <r>
          <rPr>
            <b/>
            <sz val="9"/>
            <color indexed="81"/>
            <rFont val="ＭＳ Ｐゴシック"/>
            <family val="3"/>
            <charset val="128"/>
          </rPr>
          <t xml:space="preserve">【注意】
</t>
        </r>
        <r>
          <rPr>
            <sz val="9"/>
            <color indexed="81"/>
            <rFont val="ＭＳ Ｐゴシック"/>
            <family val="3"/>
            <charset val="128"/>
          </rPr>
          <t>※１の条件に該当する場合は、供給元の事業者名を入力してください。
⇒F101、G101のセルに排出係数を別途ご入力ください。</t>
        </r>
      </text>
    </comment>
    <comment ref="F107" authorId="0" shapeId="0" xr:uid="{00000000-0006-0000-0A00-00000500000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G107" authorId="0" shapeId="0" xr:uid="{00000000-0006-0000-0A00-00000600000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C108" authorId="0" shapeId="0" xr:uid="{00000000-0006-0000-0A00-000007000000}">
      <text>
        <r>
          <rPr>
            <b/>
            <sz val="9"/>
            <color indexed="81"/>
            <rFont val="ＭＳ Ｐゴシック"/>
            <family val="3"/>
            <charset val="128"/>
          </rPr>
          <t xml:space="preserve">【注意】
</t>
        </r>
        <r>
          <rPr>
            <sz val="9"/>
            <color indexed="81"/>
            <rFont val="ＭＳ Ｐゴシック"/>
            <family val="3"/>
            <charset val="128"/>
          </rPr>
          <t>※１の条件に該当する場合は、供給元の事業者名を入力してください。
⇒F101、G101のセルに排出係数を別途ご入力ください。</t>
        </r>
      </text>
    </comment>
    <comment ref="F108" authorId="0" shapeId="0" xr:uid="{00000000-0006-0000-0A00-00000800000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G108" authorId="0" shapeId="0" xr:uid="{00000000-0006-0000-0A00-00000900000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C109" authorId="0" shapeId="0" xr:uid="{00000000-0006-0000-0A00-00000A000000}">
      <text>
        <r>
          <rPr>
            <b/>
            <sz val="9"/>
            <color indexed="81"/>
            <rFont val="ＭＳ Ｐゴシック"/>
            <family val="3"/>
            <charset val="128"/>
          </rPr>
          <t xml:space="preserve">【注意】
</t>
        </r>
        <r>
          <rPr>
            <sz val="9"/>
            <color indexed="81"/>
            <rFont val="ＭＳ Ｐゴシック"/>
            <family val="3"/>
            <charset val="128"/>
          </rPr>
          <t>※１の条件に該当する場合は、供給元の事業者名を入力してください。
⇒F101、G101のセルに排出係数を別途ご入力ください。</t>
        </r>
      </text>
    </comment>
    <comment ref="F109" authorId="0" shapeId="0" xr:uid="{00000000-0006-0000-0A00-00000B00000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G109" authorId="0" shapeId="0" xr:uid="{00000000-0006-0000-0A00-00000C00000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C110" authorId="0" shapeId="0" xr:uid="{00000000-0006-0000-0A00-00000D000000}">
      <text>
        <r>
          <rPr>
            <b/>
            <sz val="9"/>
            <color indexed="81"/>
            <rFont val="ＭＳ Ｐゴシック"/>
            <family val="3"/>
            <charset val="128"/>
          </rPr>
          <t xml:space="preserve">【注意】
</t>
        </r>
        <r>
          <rPr>
            <sz val="9"/>
            <color indexed="81"/>
            <rFont val="ＭＳ Ｐゴシック"/>
            <family val="3"/>
            <charset val="128"/>
          </rPr>
          <t>※１の条件に該当する場合は、供給元の事業者名を入力してください。
⇒F101、G101のセルに排出係数を別途ご入力ください。</t>
        </r>
      </text>
    </comment>
    <comment ref="F110" authorId="0" shapeId="0" xr:uid="{00000000-0006-0000-0A00-00000E00000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G110" authorId="0" shapeId="0" xr:uid="{00000000-0006-0000-0A00-00000F00000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C00-000001000000}">
      <text>
        <r>
          <rPr>
            <b/>
            <sz val="9"/>
            <rFont val="ＭＳ Ｐゴシック"/>
            <family val="3"/>
            <charset val="128"/>
          </rPr>
          <t>計算結果の数値の確認は必ずしてください。</t>
        </r>
      </text>
    </comment>
    <comment ref="S22" authorId="0" shapeId="0" xr:uid="{00000000-0006-0000-1C00-000002000000}">
      <text>
        <r>
          <rPr>
            <b/>
            <sz val="9"/>
            <rFont val="ＭＳ Ｐゴシック"/>
            <family val="3"/>
            <charset val="128"/>
          </rPr>
          <t>計算結果の数値の確認は必ずしてください。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D00-000001000000}">
      <text>
        <r>
          <rPr>
            <b/>
            <sz val="9"/>
            <rFont val="ＭＳ Ｐゴシック"/>
            <family val="3"/>
            <charset val="128"/>
          </rPr>
          <t>計算結果の数値の確認は必ずしてください。</t>
        </r>
      </text>
    </comment>
    <comment ref="S22" authorId="0" shapeId="0" xr:uid="{00000000-0006-0000-1D00-000002000000}">
      <text>
        <r>
          <rPr>
            <b/>
            <sz val="9"/>
            <rFont val="ＭＳ Ｐゴシック"/>
            <family val="3"/>
            <charset val="128"/>
          </rPr>
          <t>計算結果の数値の確認は必ずしてください。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E00-000001000000}">
      <text>
        <r>
          <rPr>
            <b/>
            <sz val="9"/>
            <rFont val="ＭＳ Ｐゴシック"/>
            <family val="3"/>
            <charset val="128"/>
          </rPr>
          <t>計算結果の数値の確認は必ずしてください。</t>
        </r>
      </text>
    </comment>
    <comment ref="S22" authorId="0" shapeId="0" xr:uid="{00000000-0006-0000-1E00-000002000000}">
      <text>
        <r>
          <rPr>
            <b/>
            <sz val="9"/>
            <rFont val="ＭＳ Ｐゴシック"/>
            <family val="3"/>
            <charset val="128"/>
          </rPr>
          <t>計算結果の数値の確認は必ずしてください。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F00-000001000000}">
      <text>
        <r>
          <rPr>
            <b/>
            <sz val="9"/>
            <rFont val="ＭＳ Ｐゴシック"/>
            <family val="3"/>
            <charset val="128"/>
          </rPr>
          <t>計算結果の数値の確認は必ずしてください。</t>
        </r>
      </text>
    </comment>
    <comment ref="S22" authorId="0" shapeId="0" xr:uid="{00000000-0006-0000-1F00-000002000000}">
      <text>
        <r>
          <rPr>
            <b/>
            <sz val="9"/>
            <rFont val="ＭＳ Ｐゴシック"/>
            <family val="3"/>
            <charset val="128"/>
          </rPr>
          <t>計算結果の数値の確認は必ずしてください。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000-000001000000}">
      <text>
        <r>
          <rPr>
            <b/>
            <sz val="9"/>
            <rFont val="ＭＳ Ｐゴシック"/>
            <family val="3"/>
            <charset val="128"/>
          </rPr>
          <t>計算結果の数値の確認は必ずしてください。</t>
        </r>
      </text>
    </comment>
    <comment ref="S22" authorId="0" shapeId="0" xr:uid="{00000000-0006-0000-2000-000002000000}">
      <text>
        <r>
          <rPr>
            <b/>
            <sz val="9"/>
            <rFont val="ＭＳ Ｐゴシック"/>
            <family val="3"/>
            <charset val="128"/>
          </rPr>
          <t>計算結果の数値の確認は必ずしてください。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100-000001000000}">
      <text>
        <r>
          <rPr>
            <b/>
            <sz val="9"/>
            <rFont val="ＭＳ Ｐゴシック"/>
            <family val="3"/>
            <charset val="128"/>
          </rPr>
          <t>計算結果の数値の確認は必ずしてください。</t>
        </r>
      </text>
    </comment>
    <comment ref="S22" authorId="0" shapeId="0" xr:uid="{00000000-0006-0000-2100-000002000000}">
      <text>
        <r>
          <rPr>
            <b/>
            <sz val="9"/>
            <rFont val="ＭＳ Ｐゴシック"/>
            <family val="3"/>
            <charset val="128"/>
          </rPr>
          <t>計算結果の数値の確認は必ずしてください。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200-000001000000}">
      <text>
        <r>
          <rPr>
            <b/>
            <sz val="9"/>
            <rFont val="ＭＳ Ｐゴシック"/>
            <family val="3"/>
            <charset val="128"/>
          </rPr>
          <t>計算結果の数値の確認は必ずしてください。</t>
        </r>
      </text>
    </comment>
    <comment ref="S22" authorId="0" shapeId="0" xr:uid="{00000000-0006-0000-2200-000002000000}">
      <text>
        <r>
          <rPr>
            <b/>
            <sz val="9"/>
            <rFont val="ＭＳ Ｐゴシック"/>
            <family val="3"/>
            <charset val="128"/>
          </rPr>
          <t>計算結果の数値の確認は必ずしてください。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300-000001000000}">
      <text>
        <r>
          <rPr>
            <b/>
            <sz val="9"/>
            <rFont val="ＭＳ Ｐゴシック"/>
            <family val="3"/>
            <charset val="128"/>
          </rPr>
          <t>計算結果の数値の確認は必ずしてください。</t>
        </r>
      </text>
    </comment>
    <comment ref="S22" authorId="0" shapeId="0" xr:uid="{00000000-0006-0000-2300-000002000000}">
      <text>
        <r>
          <rPr>
            <b/>
            <sz val="9"/>
            <rFont val="ＭＳ Ｐゴシック"/>
            <family val="3"/>
            <charset val="128"/>
          </rPr>
          <t>計算結果の数値の確認は必ずしてください。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400-000001000000}">
      <text>
        <r>
          <rPr>
            <b/>
            <sz val="9"/>
            <rFont val="ＭＳ Ｐゴシック"/>
            <family val="3"/>
            <charset val="128"/>
          </rPr>
          <t>計算結果の数値の確認は必ずしてください。</t>
        </r>
      </text>
    </comment>
    <comment ref="S22" authorId="0" shapeId="0" xr:uid="{00000000-0006-0000-2400-000002000000}">
      <text>
        <r>
          <rPr>
            <b/>
            <sz val="9"/>
            <rFont val="ＭＳ Ｐゴシック"/>
            <family val="3"/>
            <charset val="128"/>
          </rPr>
          <t>計算結果の数値の確認は必ずしてください。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500-000001000000}">
      <text>
        <r>
          <rPr>
            <b/>
            <sz val="9"/>
            <rFont val="ＭＳ Ｐゴシック"/>
            <family val="3"/>
            <charset val="128"/>
          </rPr>
          <t>計算結果の数値の確認は必ずしてください。</t>
        </r>
      </text>
    </comment>
    <comment ref="S22" authorId="0" shapeId="0" xr:uid="{00000000-0006-0000-2500-000002000000}">
      <text>
        <r>
          <rPr>
            <b/>
            <sz val="9"/>
            <rFont val="ＭＳ Ｐゴシック"/>
            <family val="3"/>
            <charset val="128"/>
          </rPr>
          <t>計算結果の数値の確認は必ずしてください。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0B00-000001000000}">
      <text>
        <r>
          <rPr>
            <b/>
            <sz val="9"/>
            <rFont val="ＭＳ Ｐゴシック"/>
            <family val="3"/>
            <charset val="128"/>
          </rPr>
          <t>計算結果の数値の確認は必ずしてください。</t>
        </r>
      </text>
    </comment>
    <comment ref="S22" authorId="0" shapeId="0" xr:uid="{00000000-0006-0000-0B00-000002000000}">
      <text>
        <r>
          <rPr>
            <b/>
            <sz val="9"/>
            <rFont val="ＭＳ Ｐゴシック"/>
            <family val="3"/>
            <charset val="128"/>
          </rPr>
          <t>計算結果の数値の確認は必ずしてください。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600-000001000000}">
      <text>
        <r>
          <rPr>
            <b/>
            <sz val="9"/>
            <rFont val="ＭＳ Ｐゴシック"/>
            <family val="3"/>
            <charset val="128"/>
          </rPr>
          <t>計算結果の数値の確認は必ずしてください。</t>
        </r>
      </text>
    </comment>
    <comment ref="S22" authorId="0" shapeId="0" xr:uid="{00000000-0006-0000-2600-000002000000}">
      <text>
        <r>
          <rPr>
            <b/>
            <sz val="9"/>
            <rFont val="ＭＳ Ｐゴシック"/>
            <family val="3"/>
            <charset val="128"/>
          </rPr>
          <t>計算結果の数値の確認は必ずしてください。</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700-000001000000}">
      <text>
        <r>
          <rPr>
            <b/>
            <sz val="9"/>
            <rFont val="ＭＳ Ｐゴシック"/>
            <family val="3"/>
            <charset val="128"/>
          </rPr>
          <t>計算結果の数値の確認は必ずしてください。</t>
        </r>
      </text>
    </comment>
    <comment ref="S22" authorId="0" shapeId="0" xr:uid="{00000000-0006-0000-2700-000002000000}">
      <text>
        <r>
          <rPr>
            <b/>
            <sz val="9"/>
            <rFont val="ＭＳ Ｐゴシック"/>
            <family val="3"/>
            <charset val="128"/>
          </rPr>
          <t>計算結果の数値の確認は必ずしてください。</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800-000001000000}">
      <text>
        <r>
          <rPr>
            <b/>
            <sz val="9"/>
            <rFont val="ＭＳ Ｐゴシック"/>
            <family val="3"/>
            <charset val="128"/>
          </rPr>
          <t>計算結果の数値の確認は必ずしてください。</t>
        </r>
      </text>
    </comment>
    <comment ref="S22" authorId="0" shapeId="0" xr:uid="{00000000-0006-0000-2800-000002000000}">
      <text>
        <r>
          <rPr>
            <b/>
            <sz val="9"/>
            <rFont val="ＭＳ Ｐゴシック"/>
            <family val="3"/>
            <charset val="128"/>
          </rPr>
          <t>計算結果の数値の確認は必ずしてください。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900-000001000000}">
      <text>
        <r>
          <rPr>
            <b/>
            <sz val="9"/>
            <rFont val="ＭＳ Ｐゴシック"/>
            <family val="3"/>
            <charset val="128"/>
          </rPr>
          <t>計算結果の数値の確認は必ずしてください。</t>
        </r>
      </text>
    </comment>
    <comment ref="S22" authorId="0" shapeId="0" xr:uid="{00000000-0006-0000-2900-000002000000}">
      <text>
        <r>
          <rPr>
            <b/>
            <sz val="9"/>
            <rFont val="ＭＳ Ｐゴシック"/>
            <family val="3"/>
            <charset val="128"/>
          </rPr>
          <t>計算結果の数値の確認は必ずしてください。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A00-000001000000}">
      <text>
        <r>
          <rPr>
            <b/>
            <sz val="9"/>
            <rFont val="ＭＳ Ｐゴシック"/>
            <family val="3"/>
            <charset val="128"/>
          </rPr>
          <t>計算結果の数値の確認は必ずしてください。</t>
        </r>
      </text>
    </comment>
    <comment ref="S22" authorId="0" shapeId="0" xr:uid="{00000000-0006-0000-2A00-000002000000}">
      <text>
        <r>
          <rPr>
            <b/>
            <sz val="9"/>
            <rFont val="ＭＳ Ｐゴシック"/>
            <family val="3"/>
            <charset val="128"/>
          </rPr>
          <t>計算結果の数値の確認は必ずしてください。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B00-000001000000}">
      <text>
        <r>
          <rPr>
            <b/>
            <sz val="9"/>
            <rFont val="ＭＳ Ｐゴシック"/>
            <family val="3"/>
            <charset val="128"/>
          </rPr>
          <t>計算結果の数値の確認は必ずしてください。</t>
        </r>
      </text>
    </comment>
    <comment ref="S22" authorId="0" shapeId="0" xr:uid="{00000000-0006-0000-2B00-000002000000}">
      <text>
        <r>
          <rPr>
            <b/>
            <sz val="9"/>
            <rFont val="ＭＳ Ｐゴシック"/>
            <family val="3"/>
            <charset val="128"/>
          </rPr>
          <t>計算結果の数値の確認は必ずしてください。</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C00-000001000000}">
      <text>
        <r>
          <rPr>
            <b/>
            <sz val="9"/>
            <rFont val="ＭＳ Ｐゴシック"/>
            <family val="3"/>
            <charset val="128"/>
          </rPr>
          <t>計算結果の数値の確認は必ずしてください。</t>
        </r>
      </text>
    </comment>
    <comment ref="S22" authorId="0" shapeId="0" xr:uid="{00000000-0006-0000-2C00-000002000000}">
      <text>
        <r>
          <rPr>
            <b/>
            <sz val="9"/>
            <rFont val="ＭＳ Ｐゴシック"/>
            <family val="3"/>
            <charset val="128"/>
          </rPr>
          <t>計算結果の数値の確認は必ずしてください。</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D00-000001000000}">
      <text>
        <r>
          <rPr>
            <b/>
            <sz val="9"/>
            <rFont val="ＭＳ Ｐゴシック"/>
            <family val="3"/>
            <charset val="128"/>
          </rPr>
          <t>計算結果の数値の確認は必ずしてください。</t>
        </r>
      </text>
    </comment>
    <comment ref="S22" authorId="0" shapeId="0" xr:uid="{00000000-0006-0000-2D00-000002000000}">
      <text>
        <r>
          <rPr>
            <b/>
            <sz val="9"/>
            <rFont val="ＭＳ Ｐゴシック"/>
            <family val="3"/>
            <charset val="128"/>
          </rPr>
          <t>計算結果の数値の確認は必ずしてください。</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E00-000001000000}">
      <text>
        <r>
          <rPr>
            <b/>
            <sz val="9"/>
            <rFont val="ＭＳ Ｐゴシック"/>
            <family val="3"/>
            <charset val="128"/>
          </rPr>
          <t>計算結果の数値の確認は必ずしてください。</t>
        </r>
      </text>
    </comment>
    <comment ref="S22" authorId="0" shapeId="0" xr:uid="{00000000-0006-0000-2E00-000002000000}">
      <text>
        <r>
          <rPr>
            <b/>
            <sz val="9"/>
            <rFont val="ＭＳ Ｐゴシック"/>
            <family val="3"/>
            <charset val="128"/>
          </rPr>
          <t>計算結果の数値の確認は必ずしてください。</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2F00-000001000000}">
      <text>
        <r>
          <rPr>
            <b/>
            <sz val="9"/>
            <rFont val="ＭＳ Ｐゴシック"/>
            <family val="3"/>
            <charset val="128"/>
          </rPr>
          <t>計算結果の数値の確認は必ずしてください。</t>
        </r>
      </text>
    </comment>
    <comment ref="S22" authorId="0" shapeId="0" xr:uid="{00000000-0006-0000-2F00-000002000000}">
      <text>
        <r>
          <rPr>
            <b/>
            <sz val="9"/>
            <rFont val="ＭＳ Ｐゴシック"/>
            <family val="3"/>
            <charset val="128"/>
          </rPr>
          <t>計算結果の数値の確認は必ずしてください。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0C00-000001000000}">
      <text>
        <r>
          <rPr>
            <b/>
            <sz val="9"/>
            <rFont val="ＭＳ Ｐゴシック"/>
            <family val="3"/>
            <charset val="128"/>
          </rPr>
          <t>計算結果の数値の確認は必ずしてください。</t>
        </r>
      </text>
    </comment>
    <comment ref="S22" authorId="0" shapeId="0" xr:uid="{00000000-0006-0000-0C00-000002000000}">
      <text>
        <r>
          <rPr>
            <b/>
            <sz val="9"/>
            <rFont val="ＭＳ Ｐゴシック"/>
            <family val="3"/>
            <charset val="128"/>
          </rPr>
          <t>計算結果の数値の確認は必ずしてください。</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3000-000001000000}">
      <text>
        <r>
          <rPr>
            <b/>
            <sz val="9"/>
            <rFont val="ＭＳ Ｐゴシック"/>
            <family val="3"/>
            <charset val="128"/>
          </rPr>
          <t>計算結果の数値の確認は必ずしてください。</t>
        </r>
      </text>
    </comment>
    <comment ref="S22" authorId="0" shapeId="0" xr:uid="{00000000-0006-0000-3000-000002000000}">
      <text>
        <r>
          <rPr>
            <b/>
            <sz val="9"/>
            <rFont val="ＭＳ Ｐゴシック"/>
            <family val="3"/>
            <charset val="128"/>
          </rPr>
          <t>計算結果の数値の確認は必ずしてください。</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3100-000001000000}">
      <text>
        <r>
          <rPr>
            <b/>
            <sz val="9"/>
            <rFont val="ＭＳ Ｐゴシック"/>
            <family val="3"/>
            <charset val="128"/>
          </rPr>
          <t>計算結果の数値の確認は必ずしてください。</t>
        </r>
      </text>
    </comment>
    <comment ref="S22" authorId="0" shapeId="0" xr:uid="{00000000-0006-0000-3100-000002000000}">
      <text>
        <r>
          <rPr>
            <b/>
            <sz val="9"/>
            <rFont val="ＭＳ Ｐゴシック"/>
            <family val="3"/>
            <charset val="128"/>
          </rPr>
          <t>計算結果の数値の確認は必ずしてください。</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3200-000001000000}">
      <text>
        <r>
          <rPr>
            <b/>
            <sz val="9"/>
            <rFont val="ＭＳ Ｐゴシック"/>
            <family val="3"/>
            <charset val="128"/>
          </rPr>
          <t>計算結果の数値の確認は必ずしてください。</t>
        </r>
      </text>
    </comment>
    <comment ref="S22" authorId="0" shapeId="0" xr:uid="{00000000-0006-0000-3200-000002000000}">
      <text>
        <r>
          <rPr>
            <b/>
            <sz val="9"/>
            <rFont val="ＭＳ Ｐゴシック"/>
            <family val="3"/>
            <charset val="128"/>
          </rPr>
          <t>計算結果の数値の確認は必ずしてください。</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3300-000001000000}">
      <text>
        <r>
          <rPr>
            <b/>
            <sz val="9"/>
            <rFont val="ＭＳ Ｐゴシック"/>
            <family val="3"/>
            <charset val="128"/>
          </rPr>
          <t>計算結果の数値の確認は必ずしてください。</t>
        </r>
      </text>
    </comment>
    <comment ref="S22" authorId="0" shapeId="0" xr:uid="{00000000-0006-0000-3300-000002000000}">
      <text>
        <r>
          <rPr>
            <b/>
            <sz val="9"/>
            <rFont val="ＭＳ Ｐゴシック"/>
            <family val="3"/>
            <charset val="128"/>
          </rPr>
          <t>計算結果の数値の確認は必ずしてください。</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3400-000001000000}">
      <text>
        <r>
          <rPr>
            <b/>
            <sz val="9"/>
            <rFont val="ＭＳ Ｐゴシック"/>
            <family val="3"/>
            <charset val="128"/>
          </rPr>
          <t>計算結果の数値の確認は必ずしてください。</t>
        </r>
      </text>
    </comment>
    <comment ref="S22" authorId="0" shapeId="0" xr:uid="{00000000-0006-0000-3400-000002000000}">
      <text>
        <r>
          <rPr>
            <b/>
            <sz val="9"/>
            <rFont val="ＭＳ Ｐゴシック"/>
            <family val="3"/>
            <charset val="128"/>
          </rPr>
          <t>計算結果の数値の確認は必ずしてください。</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3500-000001000000}">
      <text>
        <r>
          <rPr>
            <b/>
            <sz val="9"/>
            <rFont val="ＭＳ Ｐゴシック"/>
            <family val="3"/>
            <charset val="128"/>
          </rPr>
          <t>計算結果の数値の確認は必ずしてください。</t>
        </r>
      </text>
    </comment>
    <comment ref="S22" authorId="0" shapeId="0" xr:uid="{00000000-0006-0000-3500-000002000000}">
      <text>
        <r>
          <rPr>
            <b/>
            <sz val="9"/>
            <rFont val="ＭＳ Ｐゴシック"/>
            <family val="3"/>
            <charset val="128"/>
          </rPr>
          <t>計算結果の数値の確認は必ずしてください。</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ghg00025</author>
  </authors>
  <commentList>
    <comment ref="BK7" authorId="0" shapeId="0" xr:uid="{00000000-0006-0000-3F00-000001000000}">
      <text>
        <r>
          <rPr>
            <b/>
            <sz val="9"/>
            <color indexed="81"/>
            <rFont val="ＭＳ Ｐゴシック"/>
            <family val="3"/>
            <charset val="128"/>
          </rPr>
          <t>行毎に名称を設定している
名称は「単位&amp;No」を付ける
・例
範囲「BH11:BI11」
名称「単位01」</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4" authorId="0" shapeId="0" xr:uid="{00000000-0006-0000-4300-000001000000}">
      <text>
        <r>
          <rPr>
            <b/>
            <sz val="9"/>
            <color indexed="81"/>
            <rFont val="ＭＳ Ｐゴシック"/>
            <family val="3"/>
            <charset val="128"/>
          </rPr>
          <t>集計用に追記</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0D00-000001000000}">
      <text>
        <r>
          <rPr>
            <b/>
            <sz val="9"/>
            <rFont val="ＭＳ Ｐゴシック"/>
            <family val="3"/>
            <charset val="128"/>
          </rPr>
          <t>計算結果の数値の確認は必ずしてください。</t>
        </r>
      </text>
    </comment>
    <comment ref="S22" authorId="0" shapeId="0" xr:uid="{00000000-0006-0000-0D00-000002000000}">
      <text>
        <r>
          <rPr>
            <b/>
            <sz val="9"/>
            <rFont val="ＭＳ Ｐゴシック"/>
            <family val="3"/>
            <charset val="128"/>
          </rPr>
          <t>計算結果の数値の確認は必ずしてください。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0E00-000001000000}">
      <text>
        <r>
          <rPr>
            <b/>
            <sz val="9"/>
            <rFont val="ＭＳ Ｐゴシック"/>
            <family val="3"/>
            <charset val="128"/>
          </rPr>
          <t>計算結果の数値の確認は必ずしてください。</t>
        </r>
      </text>
    </comment>
    <comment ref="S22" authorId="0" shapeId="0" xr:uid="{00000000-0006-0000-0E00-000002000000}">
      <text>
        <r>
          <rPr>
            <b/>
            <sz val="9"/>
            <rFont val="ＭＳ Ｐゴシック"/>
            <family val="3"/>
            <charset val="128"/>
          </rPr>
          <t>計算結果の数値の確認は必ずしてください。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0F00-000001000000}">
      <text>
        <r>
          <rPr>
            <b/>
            <sz val="9"/>
            <rFont val="ＭＳ Ｐゴシック"/>
            <family val="3"/>
            <charset val="128"/>
          </rPr>
          <t>計算結果の数値の確認は必ずしてください。</t>
        </r>
      </text>
    </comment>
    <comment ref="S22" authorId="0" shapeId="0" xr:uid="{00000000-0006-0000-0F00-000002000000}">
      <text>
        <r>
          <rPr>
            <b/>
            <sz val="9"/>
            <rFont val="ＭＳ Ｐゴシック"/>
            <family val="3"/>
            <charset val="128"/>
          </rPr>
          <t>計算結果の数値の確認は必ずしてください。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000-000001000000}">
      <text>
        <r>
          <rPr>
            <b/>
            <sz val="9"/>
            <rFont val="ＭＳ Ｐゴシック"/>
            <family val="3"/>
            <charset val="128"/>
          </rPr>
          <t>計算結果の数値の確認は必ずしてください。</t>
        </r>
      </text>
    </comment>
    <comment ref="S22" authorId="0" shapeId="0" xr:uid="{00000000-0006-0000-1000-000002000000}">
      <text>
        <r>
          <rPr>
            <b/>
            <sz val="9"/>
            <rFont val="ＭＳ Ｐゴシック"/>
            <family val="3"/>
            <charset val="128"/>
          </rPr>
          <t>計算結果の数値の確認は必ずしてください。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2" authorId="0" shapeId="0" xr:uid="{00000000-0006-0000-1100-000001000000}">
      <text>
        <r>
          <rPr>
            <b/>
            <sz val="9"/>
            <rFont val="ＭＳ Ｐゴシック"/>
            <family val="3"/>
            <charset val="128"/>
          </rPr>
          <t>計算結果の数値の確認は必ずしてください。</t>
        </r>
      </text>
    </comment>
    <comment ref="S22" authorId="0" shapeId="0" xr:uid="{00000000-0006-0000-1100-000002000000}">
      <text>
        <r>
          <rPr>
            <b/>
            <sz val="9"/>
            <rFont val="ＭＳ Ｐゴシック"/>
            <family val="3"/>
            <charset val="128"/>
          </rPr>
          <t>計算結果の数値の確認は必ずしてください。</t>
        </r>
      </text>
    </comment>
  </commentList>
</comments>
</file>

<file path=xl/sharedStrings.xml><?xml version="1.0" encoding="utf-8"?>
<sst xmlns="http://schemas.openxmlformats.org/spreadsheetml/2006/main" count="30160" uniqueCount="6067">
  <si>
    <t>Ａ 農業、林業</t>
  </si>
  <si>
    <t>０１ 農業</t>
  </si>
  <si>
    <t>０２ 林業</t>
  </si>
  <si>
    <t>Ｂ 漁業</t>
  </si>
  <si>
    <t>０３ 漁業</t>
  </si>
  <si>
    <t>０４ 水産養殖業</t>
  </si>
  <si>
    <t>Ｃ 鉱業、採石業、砂利採取業</t>
  </si>
  <si>
    <t>０５ 鉱業、採石業、砂利採取業</t>
  </si>
  <si>
    <t>Ｄ 建設業</t>
  </si>
  <si>
    <t>０６ 総合工事業</t>
  </si>
  <si>
    <t>０７ 職別工事業（設備工事業を除く）</t>
  </si>
  <si>
    <t>０８ 設備工事業</t>
  </si>
  <si>
    <t>Ｅ 製造業</t>
  </si>
  <si>
    <t>０９ 食料品製造業</t>
  </si>
  <si>
    <t>１０ 飲料・たばこ・飼料製造業</t>
  </si>
  <si>
    <t>１１ 繊維工業</t>
  </si>
  <si>
    <t>１２ 木材・木製品製造業（家具を除く）</t>
  </si>
  <si>
    <t>１３ 家具・装備品製造業</t>
  </si>
  <si>
    <t>１４ パルプ・紙・紙加工品製造業</t>
  </si>
  <si>
    <t>１５ 印刷・同関連業</t>
  </si>
  <si>
    <t>１６ 化学工業</t>
  </si>
  <si>
    <t>１７ 石油製品・石炭製品製造業</t>
  </si>
  <si>
    <t>１８ プラスチック製品製造業（別掲を除く）</t>
  </si>
  <si>
    <t>１９ ゴム製品製造業</t>
  </si>
  <si>
    <t>２０ なめし革・同製品・毛皮製造業</t>
  </si>
  <si>
    <t>２１ 窯業・土石製品製造業</t>
  </si>
  <si>
    <t>２２ 鉄鋼業</t>
  </si>
  <si>
    <t>２３ 非鉄金属製造業</t>
  </si>
  <si>
    <t>２４ 金属製品製造業</t>
  </si>
  <si>
    <t>２５ はん用機械器具製造業</t>
  </si>
  <si>
    <t>２６ 生産用機械器具製造業</t>
  </si>
  <si>
    <t>２７ 業務用機械器具製造業</t>
  </si>
  <si>
    <t>２８ 電子部品・デバイス・電子回路製造業</t>
  </si>
  <si>
    <t>２９ 電気機械器具製造業</t>
  </si>
  <si>
    <t>３０ 情報通信機械器具製造業</t>
  </si>
  <si>
    <t>３１ 輸送用機械器具製造業</t>
  </si>
  <si>
    <t>３２ その他の製造業</t>
  </si>
  <si>
    <t>Ｆ 電気・ガス・熱供給・水道業</t>
  </si>
  <si>
    <t>３３ 電気業</t>
  </si>
  <si>
    <t>３４ ガス業</t>
  </si>
  <si>
    <t>３５ 熱供給業</t>
  </si>
  <si>
    <t>３６ 水道業</t>
  </si>
  <si>
    <t>Ｇ 情報通信業</t>
  </si>
  <si>
    <t>３７ 通信業</t>
  </si>
  <si>
    <t>３８ 放送業</t>
  </si>
  <si>
    <t>３９ 情報サービス業</t>
  </si>
  <si>
    <t>４０ インターネット付随サービス業</t>
  </si>
  <si>
    <t>４１ 映像・音声・文字情報制作業</t>
  </si>
  <si>
    <t>Ｈ 運輸業、郵便業</t>
  </si>
  <si>
    <t>４２ 鉄道業</t>
  </si>
  <si>
    <t>４３ 道路旅客運送業</t>
  </si>
  <si>
    <t>４４ 道路貨物運送業</t>
  </si>
  <si>
    <t>４５ 水運業</t>
  </si>
  <si>
    <t>４６ 航空運輸業</t>
  </si>
  <si>
    <t>４７ 倉庫業</t>
  </si>
  <si>
    <t>４８ 運輸に附帯するサービス業</t>
  </si>
  <si>
    <t>４９ 郵便業（信書便事業を含む）</t>
  </si>
  <si>
    <t>Ｉ 卸売・小売業</t>
  </si>
  <si>
    <t>５０ 各種商品卸売業</t>
  </si>
  <si>
    <t>５１ 繊維・衣服等卸売業</t>
  </si>
  <si>
    <t>５２ 飲食料品卸売業</t>
  </si>
  <si>
    <t>５３ 建築材料、鉱物・金属材料等卸売業</t>
  </si>
  <si>
    <t>５４ 機械器具卸売業</t>
  </si>
  <si>
    <t>５５ その他の卸売業</t>
  </si>
  <si>
    <t>５６ 各種商品小売業</t>
  </si>
  <si>
    <t>５７ 織物・衣服・身の回り品小売業</t>
  </si>
  <si>
    <t>５８ 飲食料品小売業</t>
  </si>
  <si>
    <t>５９ 機械器具小売業</t>
  </si>
  <si>
    <t>６０ その他の小売業</t>
  </si>
  <si>
    <t>６１ 無店舗小売業</t>
  </si>
  <si>
    <t>Ｊ 金融業・保険業</t>
  </si>
  <si>
    <t>６２ 銀行業</t>
  </si>
  <si>
    <t>６３ 協同組織金融業</t>
  </si>
  <si>
    <t>６４ 貸金業、クレジットカード業等非預金信用機関</t>
  </si>
  <si>
    <t>６５ 金融商品取引業、商品先物取引業</t>
  </si>
  <si>
    <t>６６ 補助的金融業等</t>
  </si>
  <si>
    <t>６７ 保険業（保険媒介代理業、保険サービス業を含む）</t>
  </si>
  <si>
    <t>Ｋ 不動産業、物品賃貸業</t>
  </si>
  <si>
    <t>６８ 不動産取引業</t>
  </si>
  <si>
    <t>６９ 不動産賃貸業・管理業</t>
  </si>
  <si>
    <t>７０ 物品賃貸業</t>
  </si>
  <si>
    <t>Ｌ 学術研究、専門・技術サービス業</t>
  </si>
  <si>
    <t>７１ 学術・開発研究機関</t>
  </si>
  <si>
    <t>７２ 専門サービス業（他に分類されないもの）</t>
  </si>
  <si>
    <t>７３ 広告業</t>
  </si>
  <si>
    <t>７４ 技術サービス業（他に分類されないもの）</t>
  </si>
  <si>
    <t>Ｍ 宿泊業、飲食サービス業</t>
  </si>
  <si>
    <t>７５ 宿泊業</t>
  </si>
  <si>
    <t>７６ 飲食店</t>
  </si>
  <si>
    <t>７７ 持ち帰り・配達飲食サービス業</t>
  </si>
  <si>
    <t>Ｎ 生活関連サービス業、娯楽業</t>
  </si>
  <si>
    <t>７９ その他の生活関連サービス業</t>
  </si>
  <si>
    <t>８０ 娯楽業</t>
  </si>
  <si>
    <t>Ｏ 教育、学習支援業</t>
  </si>
  <si>
    <t>８１ 学校教育</t>
  </si>
  <si>
    <t>８２ その他の教育、学習支援業</t>
  </si>
  <si>
    <t>８３ 医療業</t>
  </si>
  <si>
    <t>８４ 保健衛生</t>
  </si>
  <si>
    <t>８５ 社会保険・社会福祉・介護事業</t>
  </si>
  <si>
    <t>Ｑ 複合サービス事業</t>
  </si>
  <si>
    <t>８６ 郵便局</t>
  </si>
  <si>
    <t>８７ 協同組合（他に分類されないもの）</t>
  </si>
  <si>
    <t>Ｒ サービス業（他に分類されないもの）</t>
  </si>
  <si>
    <t>８８ 廃棄物処理業</t>
  </si>
  <si>
    <t>８９ 自動車整備業</t>
  </si>
  <si>
    <t>９０ 機械等修理業（別掲を除く）</t>
  </si>
  <si>
    <t>９１ 職業紹介・労働者派遣業</t>
  </si>
  <si>
    <t>９２ その他の事業サービス業</t>
  </si>
  <si>
    <t>９３ 政治・経済・文化団体</t>
  </si>
  <si>
    <t>９４ 宗教</t>
  </si>
  <si>
    <t>９５ その他のサービス業</t>
  </si>
  <si>
    <t>９６ 外国公務</t>
  </si>
  <si>
    <t>Ｓ 公務（他に分類されるものを除く）</t>
  </si>
  <si>
    <t>９７ 国家公務</t>
  </si>
  <si>
    <t>９８ 地方公務</t>
  </si>
  <si>
    <t>Ｔ 分類不能の産業</t>
  </si>
  <si>
    <t>９９ 分類不能の産業</t>
  </si>
  <si>
    <t>大分類</t>
    <rPh sb="0" eb="3">
      <t>ダイブンルイ</t>
    </rPh>
    <phoneticPr fontId="15"/>
  </si>
  <si>
    <t>中分類</t>
    <rPh sb="0" eb="3">
      <t>チュウブンルイ</t>
    </rPh>
    <phoneticPr fontId="15"/>
  </si>
  <si>
    <t xml:space="preserve"> （総括票）                                                      　　 </t>
    <rPh sb="4" eb="5">
      <t>ヒョウ</t>
    </rPh>
    <phoneticPr fontId="15"/>
  </si>
  <si>
    <t>主たる事業の業種</t>
    <rPh sb="0" eb="1">
      <t>シュ</t>
    </rPh>
    <rPh sb="3" eb="5">
      <t>ジギョウ</t>
    </rPh>
    <rPh sb="6" eb="8">
      <t>ギョウシュ</t>
    </rPh>
    <phoneticPr fontId="15"/>
  </si>
  <si>
    <t>年度</t>
    <rPh sb="0" eb="2">
      <t>ネンド</t>
    </rPh>
    <phoneticPr fontId="15"/>
  </si>
  <si>
    <t>基準年度</t>
    <rPh sb="0" eb="2">
      <t>キジュン</t>
    </rPh>
    <rPh sb="2" eb="4">
      <t>ネンド</t>
    </rPh>
    <phoneticPr fontId="15"/>
  </si>
  <si>
    <t>その他</t>
    <rPh sb="2" eb="3">
      <t>タ</t>
    </rPh>
    <phoneticPr fontId="15"/>
  </si>
  <si>
    <t>該当する
事業者の要件</t>
    <rPh sb="0" eb="2">
      <t>ガイトウ</t>
    </rPh>
    <rPh sb="5" eb="8">
      <t>ジギョウシャ</t>
    </rPh>
    <rPh sb="9" eb="11">
      <t>ヨウケン</t>
    </rPh>
    <phoneticPr fontId="15"/>
  </si>
  <si>
    <t>合計</t>
    <rPh sb="0" eb="2">
      <t>ゴウケイ</t>
    </rPh>
    <phoneticPr fontId="15"/>
  </si>
  <si>
    <t>７８ 洗濯・理容・美容・浴場業</t>
    <rPh sb="3" eb="5">
      <t>センタク</t>
    </rPh>
    <rPh sb="6" eb="8">
      <t>リヨウ</t>
    </rPh>
    <phoneticPr fontId="15"/>
  </si>
  <si>
    <t>番号</t>
    <rPh sb="0" eb="2">
      <t>バンゴウ</t>
    </rPh>
    <phoneticPr fontId="15"/>
  </si>
  <si>
    <t>第一年度</t>
    <rPh sb="0" eb="2">
      <t>ダイイチ</t>
    </rPh>
    <rPh sb="2" eb="4">
      <t>ネンド</t>
    </rPh>
    <phoneticPr fontId="15"/>
  </si>
  <si>
    <t>閲覧場所</t>
    <rPh sb="0" eb="2">
      <t>エツラン</t>
    </rPh>
    <rPh sb="2" eb="4">
      <t>バショ</t>
    </rPh>
    <phoneticPr fontId="15"/>
  </si>
  <si>
    <t>実施済</t>
    <rPh sb="0" eb="2">
      <t>ジッシ</t>
    </rPh>
    <rPh sb="2" eb="3">
      <t>ズ</t>
    </rPh>
    <phoneticPr fontId="15"/>
  </si>
  <si>
    <t>横浜市長</t>
    <rPh sb="0" eb="4">
      <t>ヨコハマシチョウ</t>
    </rPh>
    <phoneticPr fontId="15"/>
  </si>
  <si>
    <t>住所</t>
    <rPh sb="0" eb="2">
      <t>ジュウショ</t>
    </rPh>
    <phoneticPr fontId="15"/>
  </si>
  <si>
    <t>氏名</t>
    <rPh sb="0" eb="2">
      <t>シメイ</t>
    </rPh>
    <phoneticPr fontId="15"/>
  </si>
  <si>
    <t>％</t>
    <phoneticPr fontId="15"/>
  </si>
  <si>
    <t>推進体制の整備</t>
    <rPh sb="0" eb="2">
      <t>スイシン</t>
    </rPh>
    <rPh sb="2" eb="4">
      <t>タイセイ</t>
    </rPh>
    <rPh sb="5" eb="7">
      <t>セイビ</t>
    </rPh>
    <phoneticPr fontId="15"/>
  </si>
  <si>
    <t>設備機器の種類</t>
    <rPh sb="0" eb="2">
      <t>セツビ</t>
    </rPh>
    <rPh sb="2" eb="4">
      <t>キキ</t>
    </rPh>
    <rPh sb="5" eb="7">
      <t>シュルイ</t>
    </rPh>
    <phoneticPr fontId="15"/>
  </si>
  <si>
    <t>地球温暖化対策実施状況報告書</t>
    <rPh sb="0" eb="2">
      <t>チキュウ</t>
    </rPh>
    <rPh sb="2" eb="5">
      <t>オンダンカ</t>
    </rPh>
    <rPh sb="5" eb="7">
      <t>タイサク</t>
    </rPh>
    <rPh sb="7" eb="9">
      <t>ジッシ</t>
    </rPh>
    <rPh sb="9" eb="11">
      <t>ジョウキョウ</t>
    </rPh>
    <rPh sb="11" eb="14">
      <t>ホウコクショ</t>
    </rPh>
    <phoneticPr fontId="15"/>
  </si>
  <si>
    <t>１　地球温暖化対策事業者等の概要</t>
    <rPh sb="2" eb="4">
      <t>チキュウ</t>
    </rPh>
    <rPh sb="4" eb="7">
      <t>オンダンカ</t>
    </rPh>
    <rPh sb="7" eb="9">
      <t>タイサク</t>
    </rPh>
    <rPh sb="9" eb="12">
      <t>ジギョウシャ</t>
    </rPh>
    <rPh sb="12" eb="13">
      <t>トウ</t>
    </rPh>
    <rPh sb="14" eb="16">
      <t>ガイヨウ</t>
    </rPh>
    <phoneticPr fontId="15"/>
  </si>
  <si>
    <t>自動車の台数</t>
    <rPh sb="0" eb="3">
      <t>ジドウシャ</t>
    </rPh>
    <rPh sb="4" eb="6">
      <t>ダイスウ</t>
    </rPh>
    <phoneticPr fontId="15"/>
  </si>
  <si>
    <t>台</t>
    <rPh sb="0" eb="1">
      <t>ダイ</t>
    </rPh>
    <phoneticPr fontId="15"/>
  </si>
  <si>
    <t>備考</t>
    <rPh sb="0" eb="2">
      <t>ビコウ</t>
    </rPh>
    <phoneticPr fontId="15"/>
  </si>
  <si>
    <t>自動車の適正な使用管理</t>
    <rPh sb="0" eb="3">
      <t>ジドウシャ</t>
    </rPh>
    <rPh sb="4" eb="6">
      <t>テキセイ</t>
    </rPh>
    <rPh sb="7" eb="9">
      <t>シヨウ</t>
    </rPh>
    <rPh sb="9" eb="11">
      <t>カンリ</t>
    </rPh>
    <phoneticPr fontId="15"/>
  </si>
  <si>
    <t>エネルギー使用量等に関するデータの管理</t>
    <rPh sb="5" eb="7">
      <t>シヨウ</t>
    </rPh>
    <rPh sb="7" eb="8">
      <t>リョウ</t>
    </rPh>
    <rPh sb="8" eb="9">
      <t>トウ</t>
    </rPh>
    <rPh sb="10" eb="11">
      <t>カン</t>
    </rPh>
    <rPh sb="17" eb="19">
      <t>カンリ</t>
    </rPh>
    <phoneticPr fontId="15"/>
  </si>
  <si>
    <t>エコドライブ推進体制の整備</t>
    <rPh sb="6" eb="8">
      <t>スイシン</t>
    </rPh>
    <rPh sb="8" eb="10">
      <t>タイセイ</t>
    </rPh>
    <rPh sb="11" eb="13">
      <t>セイビ</t>
    </rPh>
    <phoneticPr fontId="15"/>
  </si>
  <si>
    <t>自動車の適正な維持管理</t>
    <rPh sb="0" eb="3">
      <t>ジドウシャ</t>
    </rPh>
    <rPh sb="4" eb="6">
      <t>テキセイ</t>
    </rPh>
    <rPh sb="7" eb="9">
      <t>イジ</t>
    </rPh>
    <rPh sb="9" eb="11">
      <t>カンリ</t>
    </rPh>
    <phoneticPr fontId="15"/>
  </si>
  <si>
    <t>２　計画期間及び実施年度</t>
    <rPh sb="2" eb="4">
      <t>ケイカク</t>
    </rPh>
    <rPh sb="4" eb="6">
      <t>キカン</t>
    </rPh>
    <rPh sb="6" eb="7">
      <t>オヨ</t>
    </rPh>
    <rPh sb="8" eb="10">
      <t>ジッシ</t>
    </rPh>
    <rPh sb="10" eb="12">
      <t>ネンド</t>
    </rPh>
    <phoneticPr fontId="15"/>
  </si>
  <si>
    <t>計画期間</t>
    <rPh sb="0" eb="2">
      <t>ケイカク</t>
    </rPh>
    <rPh sb="2" eb="4">
      <t>キカン</t>
    </rPh>
    <phoneticPr fontId="15"/>
  </si>
  <si>
    <t>所在地</t>
    <rPh sb="0" eb="3">
      <t>ショザイチ</t>
    </rPh>
    <phoneticPr fontId="15"/>
  </si>
  <si>
    <t>閲覧可能時間</t>
    <rPh sb="0" eb="2">
      <t>エツラン</t>
    </rPh>
    <rPh sb="2" eb="4">
      <t>カノウ</t>
    </rPh>
    <rPh sb="4" eb="6">
      <t>ジカン</t>
    </rPh>
    <phoneticPr fontId="15"/>
  </si>
  <si>
    <t xml:space="preserve"> （個別票）                                                      　　 </t>
    <rPh sb="2" eb="4">
      <t>コベツ</t>
    </rPh>
    <rPh sb="4" eb="5">
      <t>ヒョウ</t>
    </rPh>
    <phoneticPr fontId="15"/>
  </si>
  <si>
    <t>１　事業所等の概要</t>
    <rPh sb="2" eb="5">
      <t>ジギョウショ</t>
    </rPh>
    <rPh sb="5" eb="6">
      <t>トウ</t>
    </rPh>
    <rPh sb="7" eb="9">
      <t>ガイヨウ</t>
    </rPh>
    <phoneticPr fontId="15"/>
  </si>
  <si>
    <t>事業所等の名称</t>
    <rPh sb="0" eb="3">
      <t>ジギョウショ</t>
    </rPh>
    <rPh sb="3" eb="4">
      <t>トウ</t>
    </rPh>
    <rPh sb="5" eb="7">
      <t>メイショウ</t>
    </rPh>
    <phoneticPr fontId="15"/>
  </si>
  <si>
    <t>事業所等の所在地</t>
    <rPh sb="0" eb="3">
      <t>ジギョウショ</t>
    </rPh>
    <rPh sb="3" eb="4">
      <t>トウ</t>
    </rPh>
    <rPh sb="5" eb="8">
      <t>ショザイチ</t>
    </rPh>
    <phoneticPr fontId="15"/>
  </si>
  <si>
    <t>延床面積</t>
    <rPh sb="0" eb="1">
      <t>ノ</t>
    </rPh>
    <rPh sb="1" eb="4">
      <t>ユカメンセキ</t>
    </rPh>
    <phoneticPr fontId="15"/>
  </si>
  <si>
    <t>所有（オーナー）</t>
    <rPh sb="0" eb="2">
      <t>ショユウ</t>
    </rPh>
    <phoneticPr fontId="15"/>
  </si>
  <si>
    <t>全て使用</t>
    <rPh sb="0" eb="1">
      <t>スベ</t>
    </rPh>
    <rPh sb="2" eb="4">
      <t>シヨウ</t>
    </rPh>
    <phoneticPr fontId="15"/>
  </si>
  <si>
    <t>全て有り</t>
    <rPh sb="0" eb="1">
      <t>スベ</t>
    </rPh>
    <rPh sb="2" eb="3">
      <t>アリ</t>
    </rPh>
    <phoneticPr fontId="15"/>
  </si>
  <si>
    <t>所有形態</t>
    <rPh sb="0" eb="2">
      <t>ショユウ</t>
    </rPh>
    <rPh sb="2" eb="4">
      <t>ケイタイ</t>
    </rPh>
    <phoneticPr fontId="15"/>
  </si>
  <si>
    <t>賃借（テナント）</t>
    <rPh sb="0" eb="2">
      <t>チンシャク</t>
    </rPh>
    <phoneticPr fontId="15"/>
  </si>
  <si>
    <t>一部使用</t>
    <rPh sb="0" eb="2">
      <t>イチブ</t>
    </rPh>
    <rPh sb="2" eb="4">
      <t>シヨウ</t>
    </rPh>
    <phoneticPr fontId="15"/>
  </si>
  <si>
    <t>一部有り</t>
    <rPh sb="0" eb="2">
      <t>イチブ</t>
    </rPh>
    <rPh sb="2" eb="3">
      <t>アリ</t>
    </rPh>
    <phoneticPr fontId="15"/>
  </si>
  <si>
    <t>使用無</t>
    <rPh sb="0" eb="2">
      <t>シヨウ</t>
    </rPh>
    <rPh sb="2" eb="3">
      <t>ナシ</t>
    </rPh>
    <phoneticPr fontId="15"/>
  </si>
  <si>
    <t>無し</t>
    <rPh sb="0" eb="1">
      <t>ナシ</t>
    </rPh>
    <phoneticPr fontId="15"/>
  </si>
  <si>
    <t>工場</t>
    <rPh sb="0" eb="2">
      <t>コウジョウ</t>
    </rPh>
    <phoneticPr fontId="15"/>
  </si>
  <si>
    <t>熱供給施設</t>
    <rPh sb="0" eb="1">
      <t>ネツ</t>
    </rPh>
    <rPh sb="1" eb="3">
      <t>キョウキュウ</t>
    </rPh>
    <rPh sb="3" eb="5">
      <t>シセツ</t>
    </rPh>
    <phoneticPr fontId="15"/>
  </si>
  <si>
    <t>上水道・下水道施設</t>
    <rPh sb="0" eb="1">
      <t>ウエ</t>
    </rPh>
    <rPh sb="1" eb="3">
      <t>スイドウ</t>
    </rPh>
    <rPh sb="4" eb="7">
      <t>ゲスイドウ</t>
    </rPh>
    <rPh sb="5" eb="7">
      <t>スイドウ</t>
    </rPh>
    <rPh sb="7" eb="9">
      <t>シセツ</t>
    </rPh>
    <phoneticPr fontId="15"/>
  </si>
  <si>
    <t>廃棄物処理施設</t>
    <rPh sb="0" eb="3">
      <t>ハイキブツ</t>
    </rPh>
    <rPh sb="3" eb="5">
      <t>ショリ</t>
    </rPh>
    <rPh sb="5" eb="7">
      <t>シセツ</t>
    </rPh>
    <phoneticPr fontId="15"/>
  </si>
  <si>
    <t>事務所</t>
    <rPh sb="0" eb="2">
      <t>ジム</t>
    </rPh>
    <rPh sb="2" eb="3">
      <t>ショ</t>
    </rPh>
    <phoneticPr fontId="15"/>
  </si>
  <si>
    <t>事務所（電算施設）</t>
    <rPh sb="0" eb="2">
      <t>ジム</t>
    </rPh>
    <rPh sb="2" eb="3">
      <t>ショ</t>
    </rPh>
    <rPh sb="4" eb="6">
      <t>デンサン</t>
    </rPh>
    <rPh sb="6" eb="8">
      <t>シセツ</t>
    </rPh>
    <phoneticPr fontId="15"/>
  </si>
  <si>
    <t>事務所（テナントビル）</t>
    <rPh sb="0" eb="2">
      <t>ジム</t>
    </rPh>
    <rPh sb="2" eb="3">
      <t>ショ</t>
    </rPh>
    <phoneticPr fontId="15"/>
  </si>
  <si>
    <t>商業施設</t>
    <rPh sb="0" eb="2">
      <t>ショウギョウ</t>
    </rPh>
    <rPh sb="2" eb="4">
      <t>シセツ</t>
    </rPh>
    <phoneticPr fontId="15"/>
  </si>
  <si>
    <t>宿泊施設</t>
    <rPh sb="0" eb="2">
      <t>シュクハク</t>
    </rPh>
    <rPh sb="2" eb="4">
      <t>シセツ</t>
    </rPh>
    <phoneticPr fontId="15"/>
  </si>
  <si>
    <t>医療施設</t>
    <rPh sb="0" eb="2">
      <t>イリョウ</t>
    </rPh>
    <rPh sb="2" eb="4">
      <t>シセツ</t>
    </rPh>
    <phoneticPr fontId="15"/>
  </si>
  <si>
    <t>細則第38号様式（第２条第49号）</t>
    <rPh sb="0" eb="2">
      <t>サイソク</t>
    </rPh>
    <rPh sb="2" eb="3">
      <t>ダイ</t>
    </rPh>
    <rPh sb="5" eb="6">
      <t>ゴウ</t>
    </rPh>
    <rPh sb="6" eb="8">
      <t>ヨウシキ</t>
    </rPh>
    <rPh sb="9" eb="10">
      <t>ダイ</t>
    </rPh>
    <rPh sb="11" eb="12">
      <t>ジョウ</t>
    </rPh>
    <rPh sb="12" eb="13">
      <t>ダイ</t>
    </rPh>
    <rPh sb="15" eb="16">
      <t>ゴウ</t>
    </rPh>
    <phoneticPr fontId="15"/>
  </si>
  <si>
    <t>細則第38号様式（第２条第49号）</t>
    <rPh sb="0" eb="2">
      <t>サイソク</t>
    </rPh>
    <rPh sb="2" eb="3">
      <t>ダイ</t>
    </rPh>
    <rPh sb="5" eb="6">
      <t>ゴウ</t>
    </rPh>
    <rPh sb="9" eb="10">
      <t>ダイ</t>
    </rPh>
    <rPh sb="11" eb="12">
      <t>ジョウ</t>
    </rPh>
    <rPh sb="12" eb="13">
      <t>ダイ</t>
    </rPh>
    <rPh sb="15" eb="16">
      <t>ゴウ</t>
    </rPh>
    <phoneticPr fontId="15"/>
  </si>
  <si>
    <t>kｌ</t>
    <phoneticPr fontId="15"/>
  </si>
  <si>
    <t>（法人の場合は、名称及び代表者の氏名）</t>
    <rPh sb="1" eb="3">
      <t>ホウジン</t>
    </rPh>
    <rPh sb="4" eb="6">
      <t>バアイ</t>
    </rPh>
    <rPh sb="8" eb="10">
      <t>メイショウ</t>
    </rPh>
    <rPh sb="10" eb="11">
      <t>オヨ</t>
    </rPh>
    <rPh sb="12" eb="15">
      <t>ダイヒョウシャ</t>
    </rPh>
    <rPh sb="16" eb="18">
      <t>シメイ</t>
    </rPh>
    <phoneticPr fontId="15"/>
  </si>
  <si>
    <t>未実施</t>
    <rPh sb="0" eb="3">
      <t>ミジッシ</t>
    </rPh>
    <phoneticPr fontId="15"/>
  </si>
  <si>
    <t>非該当</t>
    <rPh sb="0" eb="3">
      <t>ヒガイトウ</t>
    </rPh>
    <phoneticPr fontId="15"/>
  </si>
  <si>
    <t>㎡</t>
    <phoneticPr fontId="15"/>
  </si>
  <si>
    <t>第二年度</t>
    <rPh sb="0" eb="2">
      <t>ダイニ</t>
    </rPh>
    <rPh sb="2" eb="4">
      <t>ネンド</t>
    </rPh>
    <phoneticPr fontId="15"/>
  </si>
  <si>
    <t>第三年度</t>
    <rPh sb="0" eb="1">
      <t>ダイ</t>
    </rPh>
    <rPh sb="1" eb="2">
      <t>サン</t>
    </rPh>
    <rPh sb="2" eb="4">
      <t>ネンド</t>
    </rPh>
    <phoneticPr fontId="15"/>
  </si>
  <si>
    <t>発電施設</t>
    <rPh sb="0" eb="2">
      <t>ハツデン</t>
    </rPh>
    <rPh sb="2" eb="4">
      <t>シセツ</t>
    </rPh>
    <phoneticPr fontId="15"/>
  </si>
  <si>
    <t>重点対策</t>
    <rPh sb="0" eb="2">
      <t>ジュウテン</t>
    </rPh>
    <rPh sb="2" eb="4">
      <t>タイサク</t>
    </rPh>
    <phoneticPr fontId="15"/>
  </si>
  <si>
    <t>事業所</t>
    <rPh sb="0" eb="3">
      <t>ジギョウショ</t>
    </rPh>
    <phoneticPr fontId="15"/>
  </si>
  <si>
    <t>対策状況</t>
    <rPh sb="0" eb="2">
      <t>タイサク</t>
    </rPh>
    <rPh sb="2" eb="4">
      <t>ジョウキョウ</t>
    </rPh>
    <phoneticPr fontId="15"/>
  </si>
  <si>
    <t>排出係数一覧</t>
    <rPh sb="0" eb="2">
      <t>ハイシュツ</t>
    </rPh>
    <rPh sb="2" eb="4">
      <t>ケイスウ</t>
    </rPh>
    <rPh sb="4" eb="6">
      <t>イチラン</t>
    </rPh>
    <phoneticPr fontId="15"/>
  </si>
  <si>
    <t>エネルギーの種類</t>
    <rPh sb="6" eb="8">
      <t>シュルイ</t>
    </rPh>
    <phoneticPr fontId="15"/>
  </si>
  <si>
    <t>単位発熱量</t>
    <rPh sb="0" eb="2">
      <t>タンイ</t>
    </rPh>
    <rPh sb="2" eb="4">
      <t>ハツネツ</t>
    </rPh>
    <rPh sb="4" eb="5">
      <t>リョウ</t>
    </rPh>
    <phoneticPr fontId="15"/>
  </si>
  <si>
    <t>排出係数</t>
    <rPh sb="0" eb="2">
      <t>ハイシュツ</t>
    </rPh>
    <rPh sb="2" eb="4">
      <t>ケイスウ</t>
    </rPh>
    <phoneticPr fontId="15"/>
  </si>
  <si>
    <t>値</t>
    <rPh sb="0" eb="1">
      <t>アタイ</t>
    </rPh>
    <phoneticPr fontId="15"/>
  </si>
  <si>
    <t>設定単位</t>
    <rPh sb="0" eb="2">
      <t>セッテイ</t>
    </rPh>
    <rPh sb="2" eb="4">
      <t>タンイ</t>
    </rPh>
    <phoneticPr fontId="15"/>
  </si>
  <si>
    <t>対象単位</t>
    <rPh sb="0" eb="2">
      <t>タイショウ</t>
    </rPh>
    <rPh sb="2" eb="4">
      <t>タンイ</t>
    </rPh>
    <phoneticPr fontId="15"/>
  </si>
  <si>
    <t>燃料</t>
    <rPh sb="0" eb="1">
      <t>ネン</t>
    </rPh>
    <rPh sb="1" eb="2">
      <t>リョウ</t>
    </rPh>
    <phoneticPr fontId="16"/>
  </si>
  <si>
    <t>GＪ/ｋｌ</t>
  </si>
  <si>
    <t>tC/GJ</t>
  </si>
  <si>
    <t>原油のうちコンデンセート(NGL)</t>
    <rPh sb="0" eb="2">
      <t>ゲンユ</t>
    </rPh>
    <phoneticPr fontId="16"/>
  </si>
  <si>
    <t>ナフサ</t>
  </si>
  <si>
    <t>灯油</t>
  </si>
  <si>
    <t>軽油</t>
  </si>
  <si>
    <t>Ａ重油</t>
  </si>
  <si>
    <t>千ｋWh</t>
    <rPh sb="0" eb="1">
      <t>セン</t>
    </rPh>
    <phoneticPr fontId="15"/>
  </si>
  <si>
    <t>ｋWh</t>
  </si>
  <si>
    <t>Ｂ・Ｃ重油</t>
  </si>
  <si>
    <t>石油アスファルト</t>
  </si>
  <si>
    <t>GＪ/ｔ</t>
  </si>
  <si>
    <t/>
  </si>
  <si>
    <t>石油コークス</t>
  </si>
  <si>
    <t>石油ガス</t>
  </si>
  <si>
    <t>その他可燃性天然ガス</t>
  </si>
  <si>
    <t>石炭</t>
  </si>
  <si>
    <t>原料炭</t>
  </si>
  <si>
    <t>一般炭</t>
  </si>
  <si>
    <t>無煙炭</t>
  </si>
  <si>
    <t>コールタール</t>
  </si>
  <si>
    <t>コークス炉ガス</t>
  </si>
  <si>
    <t>高炉ガス</t>
  </si>
  <si>
    <t>転炉ガス</t>
  </si>
  <si>
    <t>空調エネルギー推計値</t>
    <rPh sb="0" eb="2">
      <t>クウチョウ</t>
    </rPh>
    <rPh sb="7" eb="9">
      <t>スイケイ</t>
    </rPh>
    <rPh sb="9" eb="10">
      <t>チ</t>
    </rPh>
    <phoneticPr fontId="15"/>
  </si>
  <si>
    <t>熱</t>
    <rPh sb="0" eb="1">
      <t>ネツ</t>
    </rPh>
    <phoneticPr fontId="15"/>
  </si>
  <si>
    <t>産業用蒸気</t>
    <rPh sb="0" eb="3">
      <t>サンギョウヨウ</t>
    </rPh>
    <rPh sb="3" eb="5">
      <t>ジョウキ</t>
    </rPh>
    <phoneticPr fontId="16"/>
  </si>
  <si>
    <t>GＪ/GＪ</t>
  </si>
  <si>
    <t>産業用以外の蒸気</t>
    <rPh sb="0" eb="3">
      <t>サンギョウヨウ</t>
    </rPh>
    <rPh sb="3" eb="5">
      <t>イガイ</t>
    </rPh>
    <rPh sb="6" eb="8">
      <t>ジョウキ</t>
    </rPh>
    <phoneticPr fontId="16"/>
  </si>
  <si>
    <t>温水</t>
    <rPh sb="0" eb="2">
      <t>オンスイ</t>
    </rPh>
    <phoneticPr fontId="16"/>
  </si>
  <si>
    <t>冷水</t>
    <rPh sb="0" eb="2">
      <t>レイスイ</t>
    </rPh>
    <phoneticPr fontId="16"/>
  </si>
  <si>
    <t>電
気</t>
    <rPh sb="0" eb="1">
      <t>デン</t>
    </rPh>
    <rPh sb="3" eb="4">
      <t>キ</t>
    </rPh>
    <phoneticPr fontId="16"/>
  </si>
  <si>
    <t>昼間買電</t>
    <rPh sb="0" eb="2">
      <t>ヒルマ</t>
    </rPh>
    <rPh sb="2" eb="3">
      <t>カ</t>
    </rPh>
    <rPh sb="3" eb="4">
      <t>デン</t>
    </rPh>
    <phoneticPr fontId="16"/>
  </si>
  <si>
    <t>GJ/千ｋWh</t>
    <rPh sb="3" eb="4">
      <t>セン</t>
    </rPh>
    <phoneticPr fontId="15"/>
  </si>
  <si>
    <t>tCO2/千ｋWh</t>
    <rPh sb="5" eb="6">
      <t>セン</t>
    </rPh>
    <phoneticPr fontId="15"/>
  </si>
  <si>
    <t>夜間買電</t>
    <rPh sb="0" eb="2">
      <t>ヤカン</t>
    </rPh>
    <rPh sb="2" eb="3">
      <t>カ</t>
    </rPh>
    <rPh sb="3" eb="4">
      <t>デン</t>
    </rPh>
    <phoneticPr fontId="16"/>
  </si>
  <si>
    <t>その他</t>
    <rPh sb="2" eb="3">
      <t>タ</t>
    </rPh>
    <phoneticPr fontId="16"/>
  </si>
  <si>
    <t>上記以外の買電</t>
    <rPh sb="0" eb="2">
      <t>ジョウキ</t>
    </rPh>
    <rPh sb="2" eb="4">
      <t>イガイ</t>
    </rPh>
    <rPh sb="5" eb="6">
      <t>カ</t>
    </rPh>
    <rPh sb="6" eb="7">
      <t>デン</t>
    </rPh>
    <phoneticPr fontId="16"/>
  </si>
  <si>
    <t xml:space="preserve"> （総括票） </t>
    <rPh sb="4" eb="5">
      <t>ヒョウ</t>
    </rPh>
    <phoneticPr fontId="15"/>
  </si>
  <si>
    <t>一般電気事業者</t>
    <rPh sb="0" eb="2">
      <t>イッパン</t>
    </rPh>
    <phoneticPr fontId="16"/>
  </si>
  <si>
    <t>目標年度</t>
    <phoneticPr fontId="15"/>
  </si>
  <si>
    <t>実施年度</t>
    <rPh sb="0" eb="2">
      <t>ジッシ</t>
    </rPh>
    <rPh sb="2" eb="4">
      <t>ネンド</t>
    </rPh>
    <phoneticPr fontId="15"/>
  </si>
  <si>
    <t>対応する単位</t>
    <rPh sb="0" eb="2">
      <t>タイオウ</t>
    </rPh>
    <rPh sb="4" eb="6">
      <t>タンイ</t>
    </rPh>
    <phoneticPr fontId="15"/>
  </si>
  <si>
    <t>倍率</t>
    <rPh sb="0" eb="2">
      <t>バイリツ</t>
    </rPh>
    <phoneticPr fontId="15"/>
  </si>
  <si>
    <t>単位リスト</t>
    <rPh sb="0" eb="2">
      <t>タンイ</t>
    </rPh>
    <phoneticPr fontId="15"/>
  </si>
  <si>
    <t>種別リスト</t>
    <rPh sb="0" eb="2">
      <t>シュベツ</t>
    </rPh>
    <phoneticPr fontId="15"/>
  </si>
  <si>
    <t>No毎の名称</t>
    <rPh sb="2" eb="3">
      <t>ゴト</t>
    </rPh>
    <rPh sb="4" eb="6">
      <t>メイショウ</t>
    </rPh>
    <phoneticPr fontId="15"/>
  </si>
  <si>
    <t>実施後</t>
    <rPh sb="0" eb="3">
      <t>ジッシゴ</t>
    </rPh>
    <phoneticPr fontId="15"/>
  </si>
  <si>
    <t>実施前</t>
    <rPh sb="0" eb="2">
      <t>ジッシ</t>
    </rPh>
    <rPh sb="2" eb="3">
      <t>マエ</t>
    </rPh>
    <phoneticPr fontId="15"/>
  </si>
  <si>
    <t>単位</t>
    <rPh sb="0" eb="2">
      <t>タンイ</t>
    </rPh>
    <phoneticPr fontId="15"/>
  </si>
  <si>
    <t>使用量</t>
    <rPh sb="0" eb="2">
      <t>シヨウ</t>
    </rPh>
    <rPh sb="2" eb="3">
      <t>リョウ</t>
    </rPh>
    <phoneticPr fontId="15"/>
  </si>
  <si>
    <t>種別</t>
    <rPh sb="0" eb="2">
      <t>シュベツ</t>
    </rPh>
    <phoneticPr fontId="15"/>
  </si>
  <si>
    <t>削減量計算用</t>
    <rPh sb="0" eb="2">
      <t>サクゲン</t>
    </rPh>
    <rPh sb="2" eb="3">
      <t>リョウ</t>
    </rPh>
    <rPh sb="3" eb="5">
      <t>ケイサン</t>
    </rPh>
    <rPh sb="5" eb="6">
      <t>ヨウ</t>
    </rPh>
    <phoneticPr fontId="15"/>
  </si>
  <si>
    <t>判定</t>
    <rPh sb="0" eb="2">
      <t>ハンテイ</t>
    </rPh>
    <phoneticPr fontId="15"/>
  </si>
  <si>
    <t>選択されている種類のNo</t>
    <rPh sb="0" eb="2">
      <t>センタク</t>
    </rPh>
    <rPh sb="7" eb="9">
      <t>シュルイ</t>
    </rPh>
    <phoneticPr fontId="15"/>
  </si>
  <si>
    <t>CO2排出量</t>
    <phoneticPr fontId="15"/>
  </si>
  <si>
    <t>燃料・熱・電気等の使用量</t>
    <phoneticPr fontId="15"/>
  </si>
  <si>
    <t>削減量</t>
    <rPh sb="0" eb="2">
      <t>サクゲン</t>
    </rPh>
    <rPh sb="2" eb="3">
      <t>リョウ</t>
    </rPh>
    <phoneticPr fontId="15"/>
  </si>
  <si>
    <t>実施後</t>
    <rPh sb="0" eb="2">
      <t>ジッシ</t>
    </rPh>
    <rPh sb="2" eb="3">
      <t>ゴ</t>
    </rPh>
    <phoneticPr fontId="15"/>
  </si>
  <si>
    <t>実施前</t>
    <rPh sb="2" eb="3">
      <t>マエ</t>
    </rPh>
    <phoneticPr fontId="15"/>
  </si>
  <si>
    <t>具体的な対策</t>
    <rPh sb="0" eb="3">
      <t>グタイテキ</t>
    </rPh>
    <rPh sb="4" eb="6">
      <t>タイサク</t>
    </rPh>
    <phoneticPr fontId="15"/>
  </si>
  <si>
    <t>（総括票）</t>
  </si>
  <si>
    <t>事業者ＩＤ</t>
    <rPh sb="0" eb="2">
      <t>ジギョウ</t>
    </rPh>
    <rPh sb="2" eb="3">
      <t>シャ</t>
    </rPh>
    <phoneticPr fontId="15"/>
  </si>
  <si>
    <t>（提出先）</t>
    <rPh sb="1" eb="3">
      <t>テイシュツ</t>
    </rPh>
    <rPh sb="3" eb="4">
      <t>サキ</t>
    </rPh>
    <phoneticPr fontId="15"/>
  </si>
  <si>
    <t>　横浜市生活環境の保全等に関する条例（以下「条例」という。）第144条第２項の規定により、次のとおり提出します。</t>
    <phoneticPr fontId="15"/>
  </si>
  <si>
    <t>事業者の名称
及び代表者の氏名</t>
    <rPh sb="2" eb="3">
      <t>シャ</t>
    </rPh>
    <rPh sb="4" eb="6">
      <t>メイショウ</t>
    </rPh>
    <rPh sb="7" eb="8">
      <t>オヨ</t>
    </rPh>
    <rPh sb="9" eb="12">
      <t>ダイヒョウシャ</t>
    </rPh>
    <rPh sb="13" eb="15">
      <t>シメイ</t>
    </rPh>
    <phoneticPr fontId="15"/>
  </si>
  <si>
    <t>主たる事業所
の所在地</t>
    <rPh sb="0" eb="1">
      <t>シュ</t>
    </rPh>
    <rPh sb="3" eb="6">
      <t>ジギョウショ</t>
    </rPh>
    <phoneticPr fontId="15"/>
  </si>
  <si>
    <t>原油換算
エネルギー使用量</t>
    <rPh sb="0" eb="2">
      <t>ゲンユ</t>
    </rPh>
    <rPh sb="2" eb="4">
      <t>カンザン</t>
    </rPh>
    <rPh sb="10" eb="13">
      <t>シヨウリョウ</t>
    </rPh>
    <phoneticPr fontId="15"/>
  </si>
  <si>
    <t>kｌ</t>
    <phoneticPr fontId="15"/>
  </si>
  <si>
    <t>市内全事業所数</t>
    <rPh sb="0" eb="2">
      <t>シナイ</t>
    </rPh>
    <rPh sb="2" eb="5">
      <t>ゼンジギョウ</t>
    </rPh>
    <rPh sb="5" eb="6">
      <t>ショ</t>
    </rPh>
    <rPh sb="6" eb="7">
      <t>スウ</t>
    </rPh>
    <phoneticPr fontId="15"/>
  </si>
  <si>
    <t>原油換算エネルギー使用量が500kl以上の事業所数</t>
    <rPh sb="0" eb="2">
      <t>ゲンユ</t>
    </rPh>
    <rPh sb="2" eb="4">
      <t>カンサン</t>
    </rPh>
    <rPh sb="9" eb="11">
      <t>シヨウ</t>
    </rPh>
    <rPh sb="11" eb="12">
      <t>リョウ</t>
    </rPh>
    <rPh sb="18" eb="20">
      <t>イジョウ</t>
    </rPh>
    <rPh sb="21" eb="24">
      <t>ジギョウショ</t>
    </rPh>
    <rPh sb="24" eb="25">
      <t>スウ</t>
    </rPh>
    <phoneticPr fontId="15"/>
  </si>
  <si>
    <t>Ｐ 医療、福祉</t>
    <phoneticPr fontId="15"/>
  </si>
  <si>
    <t>年度 ～</t>
    <phoneticPr fontId="15"/>
  </si>
  <si>
    <t>年度</t>
    <phoneticPr fontId="15"/>
  </si>
  <si>
    <t>実　施　年　度</t>
    <phoneticPr fontId="15"/>
  </si>
  <si>
    <t>３　公表の方法</t>
    <rPh sb="2" eb="4">
      <t>コウヒョウ</t>
    </rPh>
    <rPh sb="5" eb="7">
      <t>ホウホウ</t>
    </rPh>
    <phoneticPr fontId="15"/>
  </si>
  <si>
    <t>ホームページ</t>
    <phoneticPr fontId="15"/>
  </si>
  <si>
    <t>アドレス</t>
    <phoneticPr fontId="15"/>
  </si>
  <si>
    <t>窓口で閲覧</t>
    <phoneticPr fontId="15"/>
  </si>
  <si>
    <t>４の１　温室効果ガスの排出の抑制に係る目標等の状況（第１号及び第２号該当事業者）</t>
    <phoneticPr fontId="15"/>
  </si>
  <si>
    <t>削 減 率</t>
    <rPh sb="0" eb="1">
      <t>サク</t>
    </rPh>
    <rPh sb="2" eb="3">
      <t>ゲン</t>
    </rPh>
    <rPh sb="4" eb="5">
      <t>リツ</t>
    </rPh>
    <phoneticPr fontId="15"/>
  </si>
  <si>
    <t>原 単 位</t>
    <rPh sb="0" eb="1">
      <t>ハラ</t>
    </rPh>
    <rPh sb="2" eb="3">
      <t>タン</t>
    </rPh>
    <rPh sb="4" eb="5">
      <t>クライ</t>
    </rPh>
    <phoneticPr fontId="15"/>
  </si>
  <si>
    <t>目標の進捗及び
達成状況の説明</t>
    <phoneticPr fontId="15"/>
  </si>
  <si>
    <t>４の２　温室効果ガスの排出の抑制に係る目標等の状況（第３号該当事業者）</t>
    <rPh sb="4" eb="6">
      <t>オンシツ</t>
    </rPh>
    <rPh sb="6" eb="8">
      <t>コウカ</t>
    </rPh>
    <rPh sb="11" eb="13">
      <t>ハイシュツ</t>
    </rPh>
    <rPh sb="14" eb="16">
      <t>ヨクセイ</t>
    </rPh>
    <rPh sb="17" eb="18">
      <t>カカワ</t>
    </rPh>
    <rPh sb="19" eb="21">
      <t>モクヒョウ</t>
    </rPh>
    <rPh sb="21" eb="22">
      <t>トウ</t>
    </rPh>
    <rPh sb="23" eb="25">
      <t>ジョウキョウ</t>
    </rPh>
    <phoneticPr fontId="15"/>
  </si>
  <si>
    <t>５　クレジットに関する取組状況</t>
    <rPh sb="8" eb="9">
      <t>カン</t>
    </rPh>
    <rPh sb="11" eb="13">
      <t>トリクミ</t>
    </rPh>
    <rPh sb="13" eb="15">
      <t>ジョウキョウ</t>
    </rPh>
    <phoneticPr fontId="15"/>
  </si>
  <si>
    <t>クレジットの名称</t>
    <rPh sb="6" eb="8">
      <t>メイショウ</t>
    </rPh>
    <phoneticPr fontId="15"/>
  </si>
  <si>
    <r>
      <t>特定温室効果ガス削減相当量
[t-CO</t>
    </r>
    <r>
      <rPr>
        <vertAlign val="subscript"/>
        <sz val="10"/>
        <color rgb="FF000000"/>
        <rFont val="ＭＳ 明朝"/>
        <family val="1"/>
        <charset val="128"/>
      </rPr>
      <t>2</t>
    </r>
    <r>
      <rPr>
        <sz val="10"/>
        <color rgb="FF000000"/>
        <rFont val="ＭＳ 明朝"/>
        <family val="1"/>
        <charset val="128"/>
      </rPr>
      <t>]</t>
    </r>
    <rPh sb="0" eb="2">
      <t>トクテイ</t>
    </rPh>
    <rPh sb="2" eb="4">
      <t>オンシツ</t>
    </rPh>
    <rPh sb="4" eb="6">
      <t>コウカ</t>
    </rPh>
    <rPh sb="8" eb="10">
      <t>サクゲン</t>
    </rPh>
    <rPh sb="10" eb="12">
      <t>ソウトウ</t>
    </rPh>
    <rPh sb="12" eb="13">
      <t>リョウ</t>
    </rPh>
    <phoneticPr fontId="15"/>
  </si>
  <si>
    <t>J-クレジット</t>
    <phoneticPr fontId="15"/>
  </si>
  <si>
    <t>グリーンエネルギー・クレジット</t>
    <phoneticPr fontId="15"/>
  </si>
  <si>
    <t>６　再生可能エネルギー利用設備の稼働状況</t>
    <rPh sb="2" eb="4">
      <t>サイセイ</t>
    </rPh>
    <rPh sb="4" eb="6">
      <t>カノウ</t>
    </rPh>
    <rPh sb="11" eb="13">
      <t>リヨウ</t>
    </rPh>
    <rPh sb="13" eb="15">
      <t>セツビ</t>
    </rPh>
    <rPh sb="16" eb="18">
      <t>カドウ</t>
    </rPh>
    <rPh sb="18" eb="20">
      <t>ジョウキョウ</t>
    </rPh>
    <phoneticPr fontId="15"/>
  </si>
  <si>
    <t>導入年度</t>
    <phoneticPr fontId="15"/>
  </si>
  <si>
    <t>設備機器の性能</t>
    <rPh sb="0" eb="2">
      <t>セツビ</t>
    </rPh>
    <rPh sb="2" eb="4">
      <t>キキ</t>
    </rPh>
    <rPh sb="5" eb="7">
      <t>セイノウ</t>
    </rPh>
    <phoneticPr fontId="15"/>
  </si>
  <si>
    <t>発電等の実績</t>
    <rPh sb="0" eb="2">
      <t>ハツデン</t>
    </rPh>
    <rPh sb="2" eb="3">
      <t>トウ</t>
    </rPh>
    <rPh sb="4" eb="6">
      <t>ジッセキ</t>
    </rPh>
    <phoneticPr fontId="15"/>
  </si>
  <si>
    <t>kWh</t>
    <phoneticPr fontId="15"/>
  </si>
  <si>
    <t>年度</t>
  </si>
  <si>
    <t>千kWh</t>
    <rPh sb="0" eb="1">
      <t>セン</t>
    </rPh>
    <phoneticPr fontId="15"/>
  </si>
  <si>
    <t>MJ</t>
    <phoneticPr fontId="15"/>
  </si>
  <si>
    <t>J</t>
    <phoneticPr fontId="15"/>
  </si>
  <si>
    <t>７　次世代自動車の導入状況</t>
    <rPh sb="2" eb="5">
      <t>ジセダイ</t>
    </rPh>
    <rPh sb="5" eb="8">
      <t>ジドウシャ</t>
    </rPh>
    <rPh sb="7" eb="8">
      <t>クルマ</t>
    </rPh>
    <rPh sb="9" eb="11">
      <t>ドウニュウ</t>
    </rPh>
    <rPh sb="11" eb="13">
      <t>ジョウキョウ</t>
    </rPh>
    <phoneticPr fontId="15"/>
  </si>
  <si>
    <t>次世代自動車の種別</t>
    <rPh sb="0" eb="3">
      <t>ジセダイ</t>
    </rPh>
    <rPh sb="3" eb="6">
      <t>ジドウシャ</t>
    </rPh>
    <rPh sb="7" eb="9">
      <t>シュベツ</t>
    </rPh>
    <phoneticPr fontId="15"/>
  </si>
  <si>
    <t>電気自動車</t>
    <rPh sb="0" eb="2">
      <t>デンキ</t>
    </rPh>
    <rPh sb="2" eb="5">
      <t>ジドウシャ</t>
    </rPh>
    <phoneticPr fontId="15"/>
  </si>
  <si>
    <t>プラグイン
ハイブリッド車</t>
    <rPh sb="12" eb="13">
      <t>シャ</t>
    </rPh>
    <phoneticPr fontId="15"/>
  </si>
  <si>
    <t>燃料電池自動車</t>
    <rPh sb="0" eb="2">
      <t>ネンリョウ</t>
    </rPh>
    <rPh sb="2" eb="4">
      <t>デンチ</t>
    </rPh>
    <rPh sb="4" eb="7">
      <t>ジドウシャ</t>
    </rPh>
    <phoneticPr fontId="15"/>
  </si>
  <si>
    <t>導入台数[台]</t>
    <rPh sb="0" eb="2">
      <t>ドウニュウ</t>
    </rPh>
    <rPh sb="2" eb="4">
      <t>ダイスウ</t>
    </rPh>
    <rPh sb="5" eb="6">
      <t>ダイ</t>
    </rPh>
    <phoneticPr fontId="15"/>
  </si>
  <si>
    <t>保有台数[台]</t>
    <phoneticPr fontId="15"/>
  </si>
  <si>
    <t>細則第38号様式（第２条第49号）</t>
    <rPh sb="0" eb="2">
      <t>サイソク</t>
    </rPh>
    <phoneticPr fontId="15"/>
  </si>
  <si>
    <t>８の１　重点対策の実施状況（第１号及び第２号該当事業者）（その１）</t>
    <rPh sb="4" eb="6">
      <t>ジュウテン</t>
    </rPh>
    <rPh sb="6" eb="8">
      <t>タイサク</t>
    </rPh>
    <rPh sb="9" eb="11">
      <t>ジッシ</t>
    </rPh>
    <rPh sb="11" eb="13">
      <t>ジョウキョウ</t>
    </rPh>
    <phoneticPr fontId="15"/>
  </si>
  <si>
    <t>対策の内容</t>
    <rPh sb="0" eb="2">
      <t>タイサク</t>
    </rPh>
    <rPh sb="3" eb="5">
      <t>ナイヨウ</t>
    </rPh>
    <phoneticPr fontId="15"/>
  </si>
  <si>
    <t>対象設備</t>
    <rPh sb="0" eb="2">
      <t>タイショウ</t>
    </rPh>
    <rPh sb="2" eb="4">
      <t>セツビ</t>
    </rPh>
    <phoneticPr fontId="15"/>
  </si>
  <si>
    <t>設定済</t>
    <rPh sb="0" eb="2">
      <t>セッテイ</t>
    </rPh>
    <rPh sb="2" eb="3">
      <t>ズ</t>
    </rPh>
    <phoneticPr fontId="15"/>
  </si>
  <si>
    <t>①管理基準等の
設定状況</t>
    <rPh sb="1" eb="3">
      <t>カンリ</t>
    </rPh>
    <rPh sb="3" eb="5">
      <t>キジュン</t>
    </rPh>
    <rPh sb="5" eb="6">
      <t>トウ</t>
    </rPh>
    <rPh sb="8" eb="10">
      <t>セッテイ</t>
    </rPh>
    <rPh sb="10" eb="12">
      <t>ジョウキョウ</t>
    </rPh>
    <phoneticPr fontId="15"/>
  </si>
  <si>
    <t>②実施状況</t>
    <rPh sb="1" eb="3">
      <t>ジッシ</t>
    </rPh>
    <rPh sb="3" eb="5">
      <t>ジョウキョウ</t>
    </rPh>
    <phoneticPr fontId="15"/>
  </si>
  <si>
    <t>① 本社等が中心となり、支店等と連携して、地球温暖化対策を推進する管理体制を整備している。
② ①の体制に基づき、定期的に地球温暖化対策に関する計画立案、進捗確認等の会議等を実施している。</t>
    <rPh sb="72" eb="74">
      <t>ケイカク</t>
    </rPh>
    <rPh sb="74" eb="76">
      <t>リツアン</t>
    </rPh>
    <rPh sb="81" eb="82">
      <t>トウ</t>
    </rPh>
    <phoneticPr fontId="15"/>
  </si>
  <si>
    <t>整備済</t>
    <rPh sb="0" eb="2">
      <t>セイビ</t>
    </rPh>
    <rPh sb="2" eb="3">
      <t>ズ</t>
    </rPh>
    <phoneticPr fontId="15"/>
  </si>
  <si>
    <t>一部整備済</t>
    <rPh sb="0" eb="2">
      <t>イチブ</t>
    </rPh>
    <rPh sb="2" eb="4">
      <t>セイビ</t>
    </rPh>
    <rPh sb="4" eb="5">
      <t>ズ</t>
    </rPh>
    <phoneticPr fontId="15"/>
  </si>
  <si>
    <t>一部実施済</t>
    <rPh sb="0" eb="2">
      <t>イチブ</t>
    </rPh>
    <rPh sb="2" eb="4">
      <t>ジッシ</t>
    </rPh>
    <rPh sb="4" eb="5">
      <t>ズ</t>
    </rPh>
    <phoneticPr fontId="15"/>
  </si>
  <si>
    <t>未整備</t>
    <rPh sb="0" eb="1">
      <t>ミ</t>
    </rPh>
    <rPh sb="1" eb="3">
      <t>セイビ</t>
    </rPh>
    <phoneticPr fontId="15"/>
  </si>
  <si>
    <t>未設定</t>
    <rPh sb="0" eb="3">
      <t>ミセッテイ</t>
    </rPh>
    <phoneticPr fontId="15"/>
  </si>
  <si>
    <t>エネルギー使用量の把握</t>
    <rPh sb="5" eb="8">
      <t>シヨウリョウ</t>
    </rPh>
    <rPh sb="9" eb="11">
      <t>ハアク</t>
    </rPh>
    <phoneticPr fontId="15"/>
  </si>
  <si>
    <t>① エネルギー種類別（電力、ガス、蒸気、圧縮空気等）の使用量の記録、保管等についての管理基準を設定している。
② ①の情報を元に、現状把握、過去との比較検証を実施している。</t>
    <rPh sb="79" eb="81">
      <t>ジッシ</t>
    </rPh>
    <phoneticPr fontId="15"/>
  </si>
  <si>
    <t>一部設定済</t>
    <rPh sb="0" eb="2">
      <t>イチブ</t>
    </rPh>
    <rPh sb="2" eb="4">
      <t>セッテイ</t>
    </rPh>
    <rPh sb="4" eb="5">
      <t>ズ</t>
    </rPh>
    <phoneticPr fontId="15"/>
  </si>
  <si>
    <t>事務用機器の管理</t>
    <rPh sb="2" eb="3">
      <t>ヨウ</t>
    </rPh>
    <rPh sb="6" eb="8">
      <t>カンリ</t>
    </rPh>
    <phoneticPr fontId="15"/>
  </si>
  <si>
    <t>① 事務用機器（パーソナルコンピュータ、プリンタ、コピー機、ファクシミリ等）の待機電力削減の取組、省エネモード設定等についての管理基準を設定している。
② 管理基準に基づいた運用を実施している。</t>
    <rPh sb="78" eb="80">
      <t>カンリ</t>
    </rPh>
    <rPh sb="80" eb="82">
      <t>キジュン</t>
    </rPh>
    <rPh sb="83" eb="84">
      <t>モト</t>
    </rPh>
    <rPh sb="87" eb="89">
      <t>ウンヨウ</t>
    </rPh>
    <phoneticPr fontId="15"/>
  </si>
  <si>
    <t>事務用機器</t>
    <rPh sb="0" eb="2">
      <t>ジム</t>
    </rPh>
    <rPh sb="2" eb="3">
      <t>ヨウ</t>
    </rPh>
    <rPh sb="3" eb="5">
      <t>キキ</t>
    </rPh>
    <phoneticPr fontId="15"/>
  </si>
  <si>
    <t>受変電設備の力率の管理</t>
    <rPh sb="0" eb="3">
      <t>ジュヘンデン</t>
    </rPh>
    <rPh sb="3" eb="5">
      <t>セツビ</t>
    </rPh>
    <rPh sb="6" eb="8">
      <t>リキリツ</t>
    </rPh>
    <rPh sb="9" eb="11">
      <t>カンリ</t>
    </rPh>
    <phoneticPr fontId="15"/>
  </si>
  <si>
    <t>① 受電端における力率は、95パーセント以上とすることを基準として進相コンデンサ等を制御するように管理基準を設定している。
② 管理基準に基づいた運用を実施している。</t>
    <phoneticPr fontId="15"/>
  </si>
  <si>
    <t>受変電設備</t>
    <rPh sb="0" eb="3">
      <t>ジュヘンデン</t>
    </rPh>
    <rPh sb="3" eb="5">
      <t>セツビ</t>
    </rPh>
    <phoneticPr fontId="15"/>
  </si>
  <si>
    <t>照明設備の管理</t>
    <rPh sb="0" eb="2">
      <t>ショウメイ</t>
    </rPh>
    <rPh sb="2" eb="4">
      <t>セツビ</t>
    </rPh>
    <rPh sb="5" eb="7">
      <t>カンリ</t>
    </rPh>
    <phoneticPr fontId="15"/>
  </si>
  <si>
    <t>① 事業活動に適した点灯時間、点灯エリア、照度等についての管理基準を設定している。
② 管理基準に基づいた運用を実施している。</t>
    <rPh sb="2" eb="4">
      <t>ジギョウ</t>
    </rPh>
    <rPh sb="4" eb="6">
      <t>カツドウ</t>
    </rPh>
    <rPh sb="7" eb="8">
      <t>テキ</t>
    </rPh>
    <rPh sb="10" eb="12">
      <t>テントウ</t>
    </rPh>
    <rPh sb="12" eb="14">
      <t>ジカン</t>
    </rPh>
    <rPh sb="15" eb="17">
      <t>テントウ</t>
    </rPh>
    <rPh sb="21" eb="23">
      <t>ショウド</t>
    </rPh>
    <rPh sb="23" eb="24">
      <t>トウ</t>
    </rPh>
    <phoneticPr fontId="15"/>
  </si>
  <si>
    <t>年間2,000時間以上点灯する照明設備</t>
  </si>
  <si>
    <t>空調設備の管理</t>
    <rPh sb="0" eb="2">
      <t>クウチョウ</t>
    </rPh>
    <rPh sb="2" eb="4">
      <t>セツビ</t>
    </rPh>
    <rPh sb="5" eb="7">
      <t>カンリ</t>
    </rPh>
    <phoneticPr fontId="15"/>
  </si>
  <si>
    <t>① 空調を施す区画を限定し、外気条件変動等に応じた設備の運転時間、室温、湿度等についての管理基準を設定している。
② 管理基準に基づいた運用を実施している。</t>
    <phoneticPr fontId="15"/>
  </si>
  <si>
    <t>空調設備</t>
    <rPh sb="0" eb="2">
      <t>クウチョウ</t>
    </rPh>
    <rPh sb="2" eb="4">
      <t>セツビ</t>
    </rPh>
    <phoneticPr fontId="15"/>
  </si>
  <si>
    <t>空調用冷凍機の管理</t>
    <rPh sb="0" eb="2">
      <t>クウチョウ</t>
    </rPh>
    <rPh sb="2" eb="3">
      <t>ヨウ</t>
    </rPh>
    <rPh sb="7" eb="9">
      <t>カンリ</t>
    </rPh>
    <phoneticPr fontId="15"/>
  </si>
  <si>
    <t>① 外気条件変動等に応じた冷却水温度や圧力等についての管理基準を設定している。
② 管理基準に基づいた運用を実施している。</t>
    <phoneticPr fontId="15"/>
  </si>
  <si>
    <t>空調用冷凍機</t>
    <rPh sb="0" eb="3">
      <t>クウチョウヨウ</t>
    </rPh>
    <phoneticPr fontId="15"/>
  </si>
  <si>
    <t>換気設備の管理</t>
    <rPh sb="0" eb="2">
      <t>カンキ</t>
    </rPh>
    <rPh sb="2" eb="4">
      <t>セツビ</t>
    </rPh>
    <rPh sb="5" eb="7">
      <t>カンリ</t>
    </rPh>
    <phoneticPr fontId="15"/>
  </si>
  <si>
    <t>① 換気を施す区画を限定し、外気条件変動等に応じた換気量、運転時間等についての管理基準を設定している。
② 管理基準に基づいた運用を実施している。</t>
    <phoneticPr fontId="15"/>
  </si>
  <si>
    <t>換気設備</t>
    <rPh sb="0" eb="2">
      <t>カンキ</t>
    </rPh>
    <rPh sb="2" eb="4">
      <t>セツビ</t>
    </rPh>
    <phoneticPr fontId="15"/>
  </si>
  <si>
    <t>フィルターの清掃</t>
    <rPh sb="6" eb="8">
      <t>セイソウ</t>
    </rPh>
    <phoneticPr fontId="15"/>
  </si>
  <si>
    <t>① 空調設備、換気設備のフィルターの点検、清掃についての管理基準を設定している。
② 管理基準に基づいた運用を実施している。</t>
    <phoneticPr fontId="15"/>
  </si>
  <si>
    <t>空調設備
換気設備</t>
    <rPh sb="0" eb="2">
      <t>クウチョウ</t>
    </rPh>
    <rPh sb="2" eb="4">
      <t>セツビ</t>
    </rPh>
    <rPh sb="5" eb="7">
      <t>カンキ</t>
    </rPh>
    <rPh sb="7" eb="9">
      <t>セツビ</t>
    </rPh>
    <phoneticPr fontId="15"/>
  </si>
  <si>
    <t>① 過剰な蒸気の供給及び燃料の供給をなくし適正に運転するため、蒸気の圧力、温度及び運転時間についての管理基準を設定している。
② 管理基準に基づいた運用を実施している。</t>
    <phoneticPr fontId="15"/>
  </si>
  <si>
    <t>ボイラー</t>
  </si>
  <si>
    <t>蒸気配管等の管理</t>
    <rPh sb="0" eb="2">
      <t>ジョウキ</t>
    </rPh>
    <rPh sb="4" eb="5">
      <t>トウ</t>
    </rPh>
    <rPh sb="6" eb="8">
      <t>カンリ</t>
    </rPh>
    <phoneticPr fontId="15"/>
  </si>
  <si>
    <t>燃焼設備の空気比管理</t>
  </si>
  <si>
    <t xml:space="preserve">ボイラー
工業炉
</t>
    <rPh sb="5" eb="7">
      <t>コウギョウ</t>
    </rPh>
    <rPh sb="7" eb="8">
      <t>ロ</t>
    </rPh>
    <phoneticPr fontId="15"/>
  </si>
  <si>
    <t>ポンプ、ファン、ブロワー及びコンプレッサの負荷に応じた運転管理</t>
    <rPh sb="12" eb="13">
      <t>オヨ</t>
    </rPh>
    <rPh sb="21" eb="23">
      <t>フカ</t>
    </rPh>
    <rPh sb="24" eb="25">
      <t>オウ</t>
    </rPh>
    <rPh sb="27" eb="29">
      <t>ウンテン</t>
    </rPh>
    <rPh sb="29" eb="31">
      <t>カンリ</t>
    </rPh>
    <phoneticPr fontId="15"/>
  </si>
  <si>
    <t>ポンプ
ファン
ブロワー
コンプレッサ</t>
    <phoneticPr fontId="15"/>
  </si>
  <si>
    <t>※ 基準空気比とは、工場等におけるエネルギーの使用の合理化に関する事業者の判断の基準（平成21年経済産業省告示第66号）の別表第１（Ａ）に規定するものをいう。</t>
    <phoneticPr fontId="15"/>
  </si>
  <si>
    <t>８の２　重点対策の実施状況（第３号該当事業者）</t>
    <rPh sb="4" eb="6">
      <t>ジュウテン</t>
    </rPh>
    <rPh sb="6" eb="8">
      <t>タイサク</t>
    </rPh>
    <rPh sb="9" eb="11">
      <t>ジッシ</t>
    </rPh>
    <rPh sb="11" eb="13">
      <t>ジョウキョウ</t>
    </rPh>
    <phoneticPr fontId="15"/>
  </si>
  <si>
    <t>① 目的地までの燃料消費量、所要時間等を考慮した効率的な走行ルート等の情報を運転者に伝える仕組みを整備している。
② ①の仕組みを活用した運用を実施している。</t>
    <rPh sb="2" eb="5">
      <t>モクテキチ</t>
    </rPh>
    <rPh sb="8" eb="10">
      <t>ネンリョウ</t>
    </rPh>
    <rPh sb="10" eb="13">
      <t>ショウヒリョウ</t>
    </rPh>
    <rPh sb="18" eb="19">
      <t>トウ</t>
    </rPh>
    <rPh sb="24" eb="27">
      <t>コウリツテキ</t>
    </rPh>
    <rPh sb="65" eb="67">
      <t>カツヨウ</t>
    </rPh>
    <phoneticPr fontId="15"/>
  </si>
  <si>
    <t>① 自動車ごとの走行距離、エネルギー消費量等のデータの定期的な記録等についての管理基準を設定している。
② ①の情報を活用した運用を実施している。</t>
    <rPh sb="56" eb="58">
      <t>ジョウホウ</t>
    </rPh>
    <rPh sb="59" eb="61">
      <t>カツヨウ</t>
    </rPh>
    <phoneticPr fontId="15"/>
  </si>
  <si>
    <t>① 日常の点検・整備に係る責任者を設置し、点検、整備及び点検・整備に必要な知識や技術を習得するための研修等についての管理基準を設定している。
② 管理基準に基づいた運用を実施している。</t>
    <rPh sb="50" eb="52">
      <t>ケンシュウ</t>
    </rPh>
    <phoneticPr fontId="15"/>
  </si>
  <si>
    <t>９　自主的な温室効果ガス排出削減対策の実施状況</t>
    <rPh sb="2" eb="5">
      <t>ジシュテキ</t>
    </rPh>
    <rPh sb="6" eb="8">
      <t>オンシツ</t>
    </rPh>
    <rPh sb="8" eb="10">
      <t>コウカ</t>
    </rPh>
    <rPh sb="12" eb="14">
      <t>ハイシュツ</t>
    </rPh>
    <rPh sb="14" eb="16">
      <t>サクゲン</t>
    </rPh>
    <rPh sb="16" eb="18">
      <t>タイサク</t>
    </rPh>
    <rPh sb="19" eb="21">
      <t>ジッシ</t>
    </rPh>
    <rPh sb="21" eb="23">
      <t>ジョウキョウ</t>
    </rPh>
    <phoneticPr fontId="15"/>
  </si>
  <si>
    <t>No</t>
    <phoneticPr fontId="15"/>
  </si>
  <si>
    <t>対策分類</t>
    <rPh sb="0" eb="2">
      <t>タイサク</t>
    </rPh>
    <rPh sb="2" eb="4">
      <t>ブンルイ</t>
    </rPh>
    <phoneticPr fontId="15"/>
  </si>
  <si>
    <t>設備分類</t>
    <rPh sb="0" eb="2">
      <t>セツビ</t>
    </rPh>
    <rPh sb="2" eb="4">
      <t>ブンルイ</t>
    </rPh>
    <phoneticPr fontId="15"/>
  </si>
  <si>
    <t>稼働時間の短縮</t>
  </si>
  <si>
    <t>燃焼設備</t>
  </si>
  <si>
    <t>（t-CO2）</t>
    <phoneticPr fontId="15"/>
  </si>
  <si>
    <t xml:space="preserve">
（t-CO2）</t>
    <phoneticPr fontId="15"/>
  </si>
  <si>
    <r>
      <t>CO</t>
    </r>
    <r>
      <rPr>
        <vertAlign val="subscript"/>
        <sz val="10"/>
        <color rgb="FF000000"/>
        <rFont val="ＭＳ Ｐゴシック"/>
        <family val="3"/>
        <charset val="128"/>
      </rPr>
      <t>2</t>
    </r>
    <r>
      <rPr>
        <sz val="10"/>
        <color rgb="FF000000"/>
        <rFont val="ＭＳ Ｐゴシック"/>
        <family val="3"/>
        <charset val="128"/>
      </rPr>
      <t>換算</t>
    </r>
    <rPh sb="3" eb="5">
      <t>カンザン</t>
    </rPh>
    <phoneticPr fontId="15"/>
  </si>
  <si>
    <t>効率向上</t>
  </si>
  <si>
    <t>熱利用設備</t>
  </si>
  <si>
    <t>原油(コンデンセートを除く)</t>
    <phoneticPr fontId="15"/>
  </si>
  <si>
    <r>
      <t>tCO</t>
    </r>
    <r>
      <rPr>
        <vertAlign val="subscript"/>
        <sz val="10"/>
        <color rgb="FF000000"/>
        <rFont val="ＭＳ Ｐゴシック"/>
        <family val="3"/>
        <charset val="128"/>
      </rPr>
      <t>2</t>
    </r>
    <r>
      <rPr>
        <sz val="10"/>
        <color rgb="FF000000"/>
        <rFont val="ＭＳ Ｐゴシック"/>
        <family val="3"/>
        <charset val="128"/>
      </rPr>
      <t>/kl</t>
    </r>
    <phoneticPr fontId="15"/>
  </si>
  <si>
    <t>kl</t>
    <phoneticPr fontId="15"/>
  </si>
  <si>
    <t>l</t>
    <phoneticPr fontId="15"/>
  </si>
  <si>
    <t>出力低減（能力）</t>
    <phoneticPr fontId="15"/>
  </si>
  <si>
    <t>空気調和設備</t>
  </si>
  <si>
    <t>燃料転換（係数）</t>
    <phoneticPr fontId="15"/>
  </si>
  <si>
    <t>受電・発電設備（CGS含む）</t>
  </si>
  <si>
    <t>揮発油（ガソリン）</t>
    <phoneticPr fontId="15"/>
  </si>
  <si>
    <t>t</t>
    <phoneticPr fontId="15"/>
  </si>
  <si>
    <t>kg</t>
    <phoneticPr fontId="15"/>
  </si>
  <si>
    <t>その他</t>
  </si>
  <si>
    <t>電気使用設備</t>
  </si>
  <si>
    <t>照明設備</t>
  </si>
  <si>
    <r>
      <t>千m</t>
    </r>
    <r>
      <rPr>
        <vertAlign val="superscript"/>
        <sz val="10"/>
        <color rgb="FF000000"/>
        <rFont val="ＭＳ Ｐゴシック"/>
        <family val="3"/>
        <charset val="128"/>
      </rPr>
      <t>3</t>
    </r>
    <rPh sb="0" eb="1">
      <t>セン</t>
    </rPh>
    <phoneticPr fontId="15"/>
  </si>
  <si>
    <r>
      <t>m</t>
    </r>
    <r>
      <rPr>
        <vertAlign val="superscript"/>
        <sz val="10"/>
        <color rgb="FF000000"/>
        <rFont val="ＭＳ Ｐゴシック"/>
        <family val="3"/>
        <charset val="128"/>
      </rPr>
      <t>3</t>
    </r>
    <phoneticPr fontId="15"/>
  </si>
  <si>
    <t>熱源設備（冷温水、冷却水設備）</t>
  </si>
  <si>
    <t>熱搬送設備</t>
  </si>
  <si>
    <t>建築設備（換気設備、昇降機、給湯設備等）</t>
  </si>
  <si>
    <t>ｋWh</t>
    <phoneticPr fontId="15"/>
  </si>
  <si>
    <t>自動車</t>
  </si>
  <si>
    <r>
      <t>tCO</t>
    </r>
    <r>
      <rPr>
        <vertAlign val="subscript"/>
        <sz val="10"/>
        <color rgb="FF000000"/>
        <rFont val="ＭＳ Ｐゴシック"/>
        <family val="3"/>
        <charset val="128"/>
      </rPr>
      <t>2</t>
    </r>
    <r>
      <rPr>
        <sz val="10"/>
        <color rgb="FF000000"/>
        <rFont val="ＭＳ Ｐゴシック"/>
        <family val="3"/>
        <charset val="128"/>
      </rPr>
      <t>/t</t>
    </r>
    <phoneticPr fontId="15"/>
  </si>
  <si>
    <t>GJ</t>
    <phoneticPr fontId="15"/>
  </si>
  <si>
    <t>液化石油ガス(ＬＰＧ)</t>
    <phoneticPr fontId="15"/>
  </si>
  <si>
    <t>石油系炭化水素ガス</t>
    <phoneticPr fontId="15"/>
  </si>
  <si>
    <r>
      <t>GＪ/千m</t>
    </r>
    <r>
      <rPr>
        <vertAlign val="superscript"/>
        <sz val="10"/>
        <color rgb="FF000000"/>
        <rFont val="ＭＳ Ｐゴシック"/>
        <family val="3"/>
        <charset val="128"/>
      </rPr>
      <t>3</t>
    </r>
    <phoneticPr fontId="15"/>
  </si>
  <si>
    <r>
      <t>tCO</t>
    </r>
    <r>
      <rPr>
        <vertAlign val="subscript"/>
        <sz val="10"/>
        <color rgb="FF000000"/>
        <rFont val="ＭＳ Ｐゴシック"/>
        <family val="3"/>
        <charset val="128"/>
      </rPr>
      <t>2</t>
    </r>
    <r>
      <rPr>
        <sz val="10"/>
        <color rgb="FF000000"/>
        <rFont val="ＭＳ Ｐゴシック"/>
        <family val="3"/>
        <charset val="128"/>
      </rPr>
      <t>/千m</t>
    </r>
    <r>
      <rPr>
        <vertAlign val="superscript"/>
        <sz val="10"/>
        <color rgb="FF000000"/>
        <rFont val="ＭＳ Ｐゴシック"/>
        <family val="3"/>
        <charset val="128"/>
      </rPr>
      <t>3</t>
    </r>
    <rPh sb="5" eb="6">
      <t>セン</t>
    </rPh>
    <phoneticPr fontId="15"/>
  </si>
  <si>
    <t>可燃性天然ガス</t>
    <phoneticPr fontId="15"/>
  </si>
  <si>
    <t>液化天然ガス（ＬＮＧ）</t>
    <phoneticPr fontId="15"/>
  </si>
  <si>
    <t>石炭コークス</t>
    <phoneticPr fontId="15"/>
  </si>
  <si>
    <t>都市ガス</t>
    <phoneticPr fontId="15"/>
  </si>
  <si>
    <t>　　　　　　　　　　　　　　　    　　 　１</t>
    <phoneticPr fontId="15"/>
  </si>
  <si>
    <t>←</t>
    <phoneticPr fontId="15"/>
  </si>
  <si>
    <t>【記入例】　テナントで空調エネルギーを推計している場合</t>
    <phoneticPr fontId="15"/>
  </si>
  <si>
    <t>その他の燃料　　　　　　　　　　　 ２</t>
    <phoneticPr fontId="15"/>
  </si>
  <si>
    <t>GＪ/GＪ</t>
    <phoneticPr fontId="15"/>
  </si>
  <si>
    <r>
      <t>tCO</t>
    </r>
    <r>
      <rPr>
        <vertAlign val="subscript"/>
        <sz val="10"/>
        <color rgb="FF000000"/>
        <rFont val="ＭＳ Ｐゴシック"/>
        <family val="3"/>
        <charset val="128"/>
      </rPr>
      <t>2</t>
    </r>
    <r>
      <rPr>
        <sz val="10"/>
        <color rgb="FF000000"/>
        <rFont val="ＭＳ Ｐゴシック"/>
        <family val="3"/>
        <charset val="128"/>
      </rPr>
      <t>/GJ</t>
    </r>
    <phoneticPr fontId="15"/>
  </si>
  <si>
    <t>　　　　　　　　　　　　　　　　　 　　　３</t>
    <phoneticPr fontId="15"/>
  </si>
  <si>
    <t>その他の燃料１</t>
    <phoneticPr fontId="15"/>
  </si>
  <si>
    <t>その他の燃料２</t>
    <phoneticPr fontId="15"/>
  </si>
  <si>
    <t>その他の燃料３</t>
    <phoneticPr fontId="15"/>
  </si>
  <si>
    <t>10　その他の地球温暖化を防止する対策の実施状況</t>
    <rPh sb="5" eb="6">
      <t>タ</t>
    </rPh>
    <rPh sb="7" eb="9">
      <t>チキュウ</t>
    </rPh>
    <rPh sb="9" eb="12">
      <t>オンダンカ</t>
    </rPh>
    <rPh sb="13" eb="15">
      <t>ボウシ</t>
    </rPh>
    <rPh sb="17" eb="19">
      <t>タイサク</t>
    </rPh>
    <rPh sb="20" eb="22">
      <t>ジッシ</t>
    </rPh>
    <rPh sb="22" eb="24">
      <t>ジョウキョウ</t>
    </rPh>
    <phoneticPr fontId="15"/>
  </si>
  <si>
    <t>11　特記事項</t>
    <rPh sb="3" eb="5">
      <t>トッキ</t>
    </rPh>
    <rPh sb="5" eb="7">
      <t>ジコウ</t>
    </rPh>
    <phoneticPr fontId="15"/>
  </si>
  <si>
    <t>地球温暖化対策実施状況報告書</t>
    <rPh sb="0" eb="7">
      <t>チキュウオンダンカタイサク</t>
    </rPh>
    <rPh sb="7" eb="9">
      <t>ジッシ</t>
    </rPh>
    <rPh sb="9" eb="11">
      <t>ジョウキョウ</t>
    </rPh>
    <rPh sb="11" eb="14">
      <t>ホウコクショ</t>
    </rPh>
    <phoneticPr fontId="15"/>
  </si>
  <si>
    <t>原油換算エネ
ルギー使用量</t>
    <phoneticPr fontId="15"/>
  </si>
  <si>
    <t>事業所等の
区分</t>
    <rPh sb="0" eb="3">
      <t>ジギョウショ</t>
    </rPh>
    <rPh sb="3" eb="4">
      <t>トウ</t>
    </rPh>
    <rPh sb="6" eb="8">
      <t>クブン</t>
    </rPh>
    <phoneticPr fontId="15"/>
  </si>
  <si>
    <t>エネルギー
管理権限</t>
    <rPh sb="6" eb="8">
      <t>カンリ</t>
    </rPh>
    <rPh sb="8" eb="10">
      <t>ケンゲン</t>
    </rPh>
    <phoneticPr fontId="15"/>
  </si>
  <si>
    <t>原単位</t>
    <rPh sb="0" eb="3">
      <t>ゲンタンイ</t>
    </rPh>
    <phoneticPr fontId="15"/>
  </si>
  <si>
    <t>① ボイラー設備の配管、バルブ等の保温及び断熱の維持、蒸気の漏えい、詰まりの防止等についての管理基準を設定している。
② 管理基準に基づいた運用を実施している。</t>
    <phoneticPr fontId="15"/>
  </si>
  <si>
    <t>① 使用端圧力及び吐出量を把握し、負荷に応じた運転台数制御、回転数制御等についての管理基準を設定している。
② 管理基準に基づいた運用を実施している。</t>
    <phoneticPr fontId="15"/>
  </si>
  <si>
    <t>① エコドライブ推進に関する責任者を設置し、エコドライブの実施及びエコドライブ講習等についての管理基準を設定している。
② 管理基準に基づいた運用を実施している。</t>
    <phoneticPr fontId="15"/>
  </si>
  <si>
    <t>自動転記</t>
    <rPh sb="0" eb="2">
      <t>ジドウ</t>
    </rPh>
    <rPh sb="2" eb="4">
      <t>テンキ</t>
    </rPh>
    <phoneticPr fontId="15"/>
  </si>
  <si>
    <t>個別票転記</t>
    <rPh sb="0" eb="2">
      <t>コベツ</t>
    </rPh>
    <rPh sb="2" eb="3">
      <t>ヒョウ</t>
    </rPh>
    <rPh sb="3" eb="5">
      <t>テンキ</t>
    </rPh>
    <phoneticPr fontId="15"/>
  </si>
  <si>
    <r>
      <rPr>
        <sz val="10"/>
        <color rgb="FF000000"/>
        <rFont val="ＭＳ Ｐ明朝"/>
        <family val="1"/>
        <charset val="128"/>
      </rPr>
      <t>ボイラー</t>
    </r>
    <r>
      <rPr>
        <sz val="10"/>
        <color rgb="FF000000"/>
        <rFont val="ＭＳ 明朝"/>
        <family val="1"/>
        <charset val="128"/>
      </rPr>
      <t>の管理</t>
    </r>
    <rPh sb="5" eb="7">
      <t>カンリ</t>
    </rPh>
    <phoneticPr fontId="15"/>
  </si>
  <si>
    <r>
      <t>t-CO</t>
    </r>
    <r>
      <rPr>
        <vertAlign val="subscript"/>
        <sz val="10"/>
        <color rgb="FF000000"/>
        <rFont val="ＭＳ 明朝"/>
        <family val="1"/>
        <charset val="128"/>
      </rPr>
      <t>2</t>
    </r>
    <phoneticPr fontId="15"/>
  </si>
  <si>
    <r>
      <t>t-CO</t>
    </r>
    <r>
      <rPr>
        <vertAlign val="subscript"/>
        <sz val="10"/>
        <color rgb="FF000000"/>
        <rFont val="ＭＳ 明朝"/>
        <family val="1"/>
        <charset val="128"/>
      </rPr>
      <t>2</t>
    </r>
    <r>
      <rPr>
        <sz val="10"/>
        <color rgb="FF000000"/>
        <rFont val="ＭＳ 明朝"/>
        <family val="1"/>
        <charset val="128"/>
      </rPr>
      <t>/</t>
    </r>
    <phoneticPr fontId="15"/>
  </si>
  <si>
    <r>
      <t>事業者総排出量
[t-CO</t>
    </r>
    <r>
      <rPr>
        <vertAlign val="subscript"/>
        <sz val="10"/>
        <color rgb="FF000000"/>
        <rFont val="ＭＳ 明朝"/>
        <family val="1"/>
        <charset val="128"/>
      </rPr>
      <t>2</t>
    </r>
    <r>
      <rPr>
        <sz val="10"/>
        <color rgb="FF000000"/>
        <rFont val="ＭＳ 明朝"/>
        <family val="1"/>
        <charset val="128"/>
      </rPr>
      <t>]</t>
    </r>
    <rPh sb="0" eb="3">
      <t>ジギョウシャ</t>
    </rPh>
    <rPh sb="3" eb="4">
      <t>ソウ</t>
    </rPh>
    <rPh sb="4" eb="6">
      <t>ハイシュツ</t>
    </rPh>
    <rPh sb="6" eb="7">
      <t>リョウ</t>
    </rPh>
    <rPh sb="7" eb="8">
      <t>ゴウケイ</t>
    </rPh>
    <phoneticPr fontId="15"/>
  </si>
  <si>
    <r>
      <t>削減量合計
[t-CO</t>
    </r>
    <r>
      <rPr>
        <vertAlign val="subscript"/>
        <sz val="10"/>
        <color rgb="FF000000"/>
        <rFont val="ＭＳ 明朝"/>
        <family val="1"/>
        <charset val="128"/>
      </rPr>
      <t>2</t>
    </r>
    <r>
      <rPr>
        <sz val="10"/>
        <color rgb="FF000000"/>
        <rFont val="ＭＳ 明朝"/>
        <family val="1"/>
        <charset val="128"/>
      </rPr>
      <t>]</t>
    </r>
    <rPh sb="0" eb="2">
      <t>サクゲン</t>
    </rPh>
    <rPh sb="2" eb="3">
      <t>リョウ</t>
    </rPh>
    <rPh sb="3" eb="5">
      <t>ゴウケイ</t>
    </rPh>
    <phoneticPr fontId="15"/>
  </si>
  <si>
    <r>
      <t>削減量
[t-CO</t>
    </r>
    <r>
      <rPr>
        <vertAlign val="subscript"/>
        <sz val="10"/>
        <color rgb="FF000000"/>
        <rFont val="ＭＳ 明朝"/>
        <family val="1"/>
        <charset val="128"/>
      </rPr>
      <t>2</t>
    </r>
    <r>
      <rPr>
        <sz val="10"/>
        <color rgb="FF000000"/>
        <rFont val="ＭＳ 明朝"/>
        <family val="1"/>
        <charset val="128"/>
      </rPr>
      <t>]</t>
    </r>
    <rPh sb="0" eb="2">
      <t>サクゲン</t>
    </rPh>
    <rPh sb="2" eb="3">
      <t>リョウ</t>
    </rPh>
    <phoneticPr fontId="15"/>
  </si>
  <si>
    <t>【クレジットリスト】</t>
    <phoneticPr fontId="15"/>
  </si>
  <si>
    <t>【再エネ設備リスト】</t>
    <rPh sb="1" eb="2">
      <t>サイ</t>
    </rPh>
    <rPh sb="4" eb="6">
      <t>セツビ</t>
    </rPh>
    <phoneticPr fontId="15"/>
  </si>
  <si>
    <t>太陽光発電</t>
    <rPh sb="0" eb="5">
      <t>タイヨウコウハツデン</t>
    </rPh>
    <phoneticPr fontId="15"/>
  </si>
  <si>
    <t>風力発電</t>
    <rPh sb="0" eb="4">
      <t>フウリョクハツデン</t>
    </rPh>
    <phoneticPr fontId="15"/>
  </si>
  <si>
    <t>バイオマス</t>
    <phoneticPr fontId="15"/>
  </si>
  <si>
    <t>水力発電</t>
    <rPh sb="0" eb="4">
      <t>スイリョクハツデン</t>
    </rPh>
    <phoneticPr fontId="15"/>
  </si>
  <si>
    <t>地熱発電</t>
    <rPh sb="0" eb="2">
      <t>チネツ</t>
    </rPh>
    <rPh sb="2" eb="4">
      <t>ハツデン</t>
    </rPh>
    <phoneticPr fontId="15"/>
  </si>
  <si>
    <t>太陽熱利用</t>
    <rPh sb="0" eb="3">
      <t>タイヨウネツ</t>
    </rPh>
    <rPh sb="3" eb="5">
      <t>リヨウ</t>
    </rPh>
    <phoneticPr fontId="15"/>
  </si>
  <si>
    <t>地中熱利用</t>
    <rPh sb="0" eb="5">
      <t>チチュウネツリヨウ</t>
    </rPh>
    <phoneticPr fontId="15"/>
  </si>
  <si>
    <t>その他の再エネ（　）</t>
    <rPh sb="2" eb="3">
      <t>タ</t>
    </rPh>
    <rPh sb="4" eb="5">
      <t>サイ</t>
    </rPh>
    <phoneticPr fontId="15"/>
  </si>
  <si>
    <t>実施前の
運用状況/設備状況</t>
    <rPh sb="0" eb="2">
      <t>ジッシ</t>
    </rPh>
    <rPh sb="2" eb="3">
      <t>マエ</t>
    </rPh>
    <rPh sb="5" eb="7">
      <t>ウンヨウ</t>
    </rPh>
    <rPh sb="7" eb="9">
      <t>ジョウキョウ</t>
    </rPh>
    <rPh sb="10" eb="12">
      <t>セツビ</t>
    </rPh>
    <rPh sb="12" eb="14">
      <t>ジョウキョウ</t>
    </rPh>
    <phoneticPr fontId="15"/>
  </si>
  <si>
    <t>実施後の
運用状況/設備状況</t>
    <rPh sb="0" eb="2">
      <t>ジッシ</t>
    </rPh>
    <rPh sb="2" eb="3">
      <t>ゴ</t>
    </rPh>
    <rPh sb="5" eb="7">
      <t>ウンヨウ</t>
    </rPh>
    <rPh sb="7" eb="9">
      <t>ジョウキョウ</t>
    </rPh>
    <rPh sb="10" eb="12">
      <t>セツビ</t>
    </rPh>
    <rPh sb="12" eb="14">
      <t>ジョウキョウ</t>
    </rPh>
    <phoneticPr fontId="15"/>
  </si>
  <si>
    <t>水道及び工業用水道の使用量削減に係る対策</t>
  </si>
  <si>
    <t>貨物等の運搬等のために他者の自動車を利用している場合の対策</t>
  </si>
  <si>
    <t>従業員の自動車利用から公共交通機関への誘導策等、公共交通機関の利用促進に関する対策</t>
  </si>
  <si>
    <t>地域における環境教育の実践</t>
  </si>
  <si>
    <t>市域の緑地保全に関する取組</t>
  </si>
  <si>
    <t>省エネ型商品又はサービスの開発等、事業活動の特性を活かした対策</t>
  </si>
  <si>
    <t>その他地球温暖化の防止に係る対策（エネルギーを使用しないもの）</t>
    <phoneticPr fontId="15"/>
  </si>
  <si>
    <t>廃棄物の排出量の把握及び削減に係る対策</t>
    <phoneticPr fontId="15"/>
  </si>
  <si>
    <t>毎年更新</t>
    <rPh sb="0" eb="2">
      <t>マイトシ</t>
    </rPh>
    <rPh sb="2" eb="4">
      <t>コウシン</t>
    </rPh>
    <phoneticPr fontId="15"/>
  </si>
  <si>
    <t>低炭素電気へ切替</t>
    <rPh sb="0" eb="3">
      <t>テイタンソ</t>
    </rPh>
    <rPh sb="3" eb="5">
      <t>デンキ</t>
    </rPh>
    <rPh sb="6" eb="8">
      <t>キリカ</t>
    </rPh>
    <phoneticPr fontId="15"/>
  </si>
  <si>
    <t>切替え前</t>
    <rPh sb="0" eb="1">
      <t>キ</t>
    </rPh>
    <rPh sb="1" eb="2">
      <t>カ</t>
    </rPh>
    <rPh sb="3" eb="4">
      <t>マエ</t>
    </rPh>
    <phoneticPr fontId="15"/>
  </si>
  <si>
    <t>切替え後</t>
    <rPh sb="0" eb="1">
      <t>キ</t>
    </rPh>
    <rPh sb="1" eb="2">
      <t>カ</t>
    </rPh>
    <rPh sb="3" eb="4">
      <t>ゴ</t>
    </rPh>
    <phoneticPr fontId="15"/>
  </si>
  <si>
    <t>41～45行目の電気の係数は毎年更新すること！</t>
    <rPh sb="5" eb="7">
      <t>ギョウメ</t>
    </rPh>
    <rPh sb="8" eb="10">
      <t>デンキ</t>
    </rPh>
    <rPh sb="11" eb="13">
      <t>ケイスウ</t>
    </rPh>
    <rPh sb="14" eb="16">
      <t>マイトシ</t>
    </rPh>
    <rPh sb="16" eb="18">
      <t>コウシン</t>
    </rPh>
    <phoneticPr fontId="15"/>
  </si>
  <si>
    <t>環境省公表の事業者別一覧の最後に掲載の、「代替値」で設定</t>
    <rPh sb="0" eb="3">
      <t>カンキョウショウ</t>
    </rPh>
    <rPh sb="3" eb="5">
      <t>コウヒョウ</t>
    </rPh>
    <rPh sb="6" eb="12">
      <t>ジギョウシャベツイチラン</t>
    </rPh>
    <rPh sb="13" eb="15">
      <t>サイゴ</t>
    </rPh>
    <rPh sb="16" eb="18">
      <t>ケイサイ</t>
    </rPh>
    <rPh sb="21" eb="23">
      <t>ダイタイ</t>
    </rPh>
    <rPh sb="23" eb="24">
      <t>アタイ</t>
    </rPh>
    <rPh sb="26" eb="28">
      <t>セッテイ</t>
    </rPh>
    <phoneticPr fontId="15"/>
  </si>
  <si>
    <t>対策分類で
「低炭素電気へ切替」
選択時に記入</t>
    <rPh sb="0" eb="4">
      <t>タイサクブンルイ</t>
    </rPh>
    <rPh sb="7" eb="10">
      <t>テイタンソ</t>
    </rPh>
    <rPh sb="10" eb="12">
      <t>デンキ</t>
    </rPh>
    <rPh sb="13" eb="15">
      <t>キリカエ</t>
    </rPh>
    <rPh sb="17" eb="20">
      <t>センタクジ</t>
    </rPh>
    <rPh sb="21" eb="23">
      <t>キニュウ</t>
    </rPh>
    <phoneticPr fontId="15"/>
  </si>
  <si>
    <t>電気の
調整後排出係数
（t-CO2/kWh）</t>
    <rPh sb="4" eb="7">
      <t>チョウセイゴ</t>
    </rPh>
    <phoneticPr fontId="15"/>
  </si>
  <si>
    <t>2022年</t>
    <rPh sb="4" eb="5">
      <t>ネン</t>
    </rPh>
    <phoneticPr fontId="15"/>
  </si>
  <si>
    <t>　月</t>
    <rPh sb="1" eb="2">
      <t>ツキ</t>
    </rPh>
    <phoneticPr fontId="15"/>
  </si>
  <si>
    <t>　日</t>
    <rPh sb="1" eb="2">
      <t>ニチ</t>
    </rPh>
    <phoneticPr fontId="15"/>
  </si>
  <si>
    <t>年</t>
    <rPh sb="0" eb="1">
      <t>ネン</t>
    </rPh>
    <phoneticPr fontId="15"/>
  </si>
  <si>
    <t>1月</t>
    <phoneticPr fontId="15"/>
  </si>
  <si>
    <t>1日</t>
    <rPh sb="1" eb="2">
      <t>ニチ</t>
    </rPh>
    <phoneticPr fontId="15"/>
  </si>
  <si>
    <t>2月</t>
    <phoneticPr fontId="15"/>
  </si>
  <si>
    <t>2日</t>
    <rPh sb="1" eb="2">
      <t>ニチ</t>
    </rPh>
    <phoneticPr fontId="15"/>
  </si>
  <si>
    <t>3月</t>
    <phoneticPr fontId="15"/>
  </si>
  <si>
    <t>3日</t>
    <rPh sb="1" eb="2">
      <t>ニチ</t>
    </rPh>
    <phoneticPr fontId="15"/>
  </si>
  <si>
    <t>4月</t>
    <phoneticPr fontId="15"/>
  </si>
  <si>
    <t>4日</t>
    <rPh sb="1" eb="2">
      <t>ニチ</t>
    </rPh>
    <phoneticPr fontId="15"/>
  </si>
  <si>
    <t>5月</t>
    <phoneticPr fontId="15"/>
  </si>
  <si>
    <t>5日</t>
    <rPh sb="1" eb="2">
      <t>ニチ</t>
    </rPh>
    <phoneticPr fontId="15"/>
  </si>
  <si>
    <t>6月</t>
    <phoneticPr fontId="15"/>
  </si>
  <si>
    <t>6日</t>
    <rPh sb="1" eb="2">
      <t>ニチ</t>
    </rPh>
    <phoneticPr fontId="15"/>
  </si>
  <si>
    <t>7月</t>
    <phoneticPr fontId="15"/>
  </si>
  <si>
    <t>7日</t>
    <rPh sb="1" eb="2">
      <t>ニチ</t>
    </rPh>
    <phoneticPr fontId="15"/>
  </si>
  <si>
    <t>8月</t>
    <phoneticPr fontId="15"/>
  </si>
  <si>
    <t>8日</t>
    <rPh sb="1" eb="2">
      <t>ニチ</t>
    </rPh>
    <phoneticPr fontId="15"/>
  </si>
  <si>
    <t>9月</t>
    <phoneticPr fontId="15"/>
  </si>
  <si>
    <t>9日</t>
    <rPh sb="1" eb="2">
      <t>ニチ</t>
    </rPh>
    <phoneticPr fontId="15"/>
  </si>
  <si>
    <t>10月</t>
    <phoneticPr fontId="15"/>
  </si>
  <si>
    <t>10日</t>
    <rPh sb="2" eb="3">
      <t>ニチ</t>
    </rPh>
    <phoneticPr fontId="15"/>
  </si>
  <si>
    <t>11月</t>
    <phoneticPr fontId="15"/>
  </si>
  <si>
    <t>11日</t>
    <rPh sb="2" eb="3">
      <t>ニチ</t>
    </rPh>
    <phoneticPr fontId="15"/>
  </si>
  <si>
    <t>12月</t>
    <phoneticPr fontId="15"/>
  </si>
  <si>
    <t>12日</t>
    <rPh sb="2" eb="3">
      <t>ニチ</t>
    </rPh>
    <phoneticPr fontId="15"/>
  </si>
  <si>
    <t>13日</t>
    <rPh sb="2" eb="3">
      <t>ニチ</t>
    </rPh>
    <phoneticPr fontId="15"/>
  </si>
  <si>
    <t>14日</t>
    <rPh sb="2" eb="3">
      <t>ニチ</t>
    </rPh>
    <phoneticPr fontId="15"/>
  </si>
  <si>
    <t>15日</t>
    <rPh sb="2" eb="3">
      <t>ニチ</t>
    </rPh>
    <phoneticPr fontId="15"/>
  </si>
  <si>
    <t>16日</t>
    <rPh sb="2" eb="3">
      <t>ニチ</t>
    </rPh>
    <phoneticPr fontId="15"/>
  </si>
  <si>
    <t>17日</t>
    <rPh sb="2" eb="3">
      <t>ニチ</t>
    </rPh>
    <phoneticPr fontId="15"/>
  </si>
  <si>
    <t>18日</t>
    <rPh sb="2" eb="3">
      <t>ニチ</t>
    </rPh>
    <phoneticPr fontId="15"/>
  </si>
  <si>
    <t>19日</t>
    <rPh sb="2" eb="3">
      <t>ニチ</t>
    </rPh>
    <phoneticPr fontId="15"/>
  </si>
  <si>
    <t>20日</t>
    <rPh sb="2" eb="3">
      <t>ニチ</t>
    </rPh>
    <phoneticPr fontId="15"/>
  </si>
  <si>
    <t>21日</t>
    <rPh sb="2" eb="3">
      <t>ニチ</t>
    </rPh>
    <phoneticPr fontId="15"/>
  </si>
  <si>
    <t>22日</t>
    <rPh sb="2" eb="3">
      <t>ニチ</t>
    </rPh>
    <phoneticPr fontId="15"/>
  </si>
  <si>
    <t>23日</t>
    <rPh sb="2" eb="3">
      <t>ニチ</t>
    </rPh>
    <phoneticPr fontId="15"/>
  </si>
  <si>
    <t>24日</t>
    <rPh sb="2" eb="3">
      <t>ニチ</t>
    </rPh>
    <phoneticPr fontId="15"/>
  </si>
  <si>
    <t>25日</t>
    <rPh sb="2" eb="3">
      <t>ニチ</t>
    </rPh>
    <phoneticPr fontId="15"/>
  </si>
  <si>
    <t>26日</t>
    <rPh sb="2" eb="3">
      <t>ニチ</t>
    </rPh>
    <phoneticPr fontId="15"/>
  </si>
  <si>
    <t>27日</t>
    <rPh sb="2" eb="3">
      <t>ニチ</t>
    </rPh>
    <phoneticPr fontId="15"/>
  </si>
  <si>
    <t>28日</t>
    <rPh sb="2" eb="3">
      <t>ニチ</t>
    </rPh>
    <phoneticPr fontId="15"/>
  </si>
  <si>
    <t>29日</t>
    <rPh sb="2" eb="3">
      <t>ニチ</t>
    </rPh>
    <phoneticPr fontId="15"/>
  </si>
  <si>
    <t>30日</t>
    <rPh sb="2" eb="3">
      <t>ニチ</t>
    </rPh>
    <phoneticPr fontId="15"/>
  </si>
  <si>
    <t>31日</t>
    <rPh sb="2" eb="3">
      <t>ニチ</t>
    </rPh>
    <phoneticPr fontId="15"/>
  </si>
  <si>
    <t>条例施行規則第89条第１項第１号該当事業者</t>
    <rPh sb="0" eb="2">
      <t>ジョウレイ</t>
    </rPh>
    <rPh sb="2" eb="4">
      <t>セコウ</t>
    </rPh>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15"/>
  </si>
  <si>
    <t>条例施行規則第89条第１項第２号該当事業者</t>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15"/>
  </si>
  <si>
    <t>条例施行規則第89条第１項第３号該当事業者</t>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15"/>
  </si>
  <si>
    <t>省エネ取組</t>
  </si>
  <si>
    <t>事業活動量</t>
    <phoneticPr fontId="15"/>
  </si>
  <si>
    <t>自由記述欄</t>
    <phoneticPr fontId="15"/>
  </si>
  <si>
    <t>削減量合計
総排出量</t>
    <rPh sb="0" eb="2">
      <t>サクゲン</t>
    </rPh>
    <rPh sb="2" eb="3">
      <t>リョウ</t>
    </rPh>
    <rPh sb="3" eb="5">
      <t>ゴウケイ</t>
    </rPh>
    <phoneticPr fontId="15"/>
  </si>
  <si>
    <t>％</t>
  </si>
  <si>
    <t>導入/稼働年度</t>
    <rPh sb="0" eb="2">
      <t>ドウニュウ</t>
    </rPh>
    <rPh sb="3" eb="5">
      <t>カドウ</t>
    </rPh>
    <rPh sb="5" eb="7">
      <t>ネンド</t>
    </rPh>
    <phoneticPr fontId="15"/>
  </si>
  <si>
    <t>（実施年度に行った対策にチェックし、補足説明は下部に記載）</t>
    <rPh sb="1" eb="3">
      <t>ジッシ</t>
    </rPh>
    <rPh sb="3" eb="5">
      <t>ネンド</t>
    </rPh>
    <rPh sb="6" eb="7">
      <t>オコナ</t>
    </rPh>
    <rPh sb="9" eb="11">
      <t>タイサク</t>
    </rPh>
    <rPh sb="18" eb="22">
      <t>ホソクセツメイ</t>
    </rPh>
    <rPh sb="23" eb="25">
      <t>カブ</t>
    </rPh>
    <rPh sb="26" eb="28">
      <t>キサイ</t>
    </rPh>
    <phoneticPr fontId="15"/>
  </si>
  <si>
    <t>特定温室効果ガス排出量（基礎）</t>
    <rPh sb="0" eb="2">
      <t>トクテイ</t>
    </rPh>
    <rPh sb="2" eb="4">
      <t>オンシツ</t>
    </rPh>
    <rPh sb="4" eb="6">
      <t>コウカ</t>
    </rPh>
    <rPh sb="8" eb="10">
      <t>ハイシュツ</t>
    </rPh>
    <rPh sb="10" eb="11">
      <t>リョウ</t>
    </rPh>
    <rPh sb="12" eb="14">
      <t>キソ</t>
    </rPh>
    <phoneticPr fontId="15"/>
  </si>
  <si>
    <t>－－－ 以下は市内全事業所が１事業所のみの場合、省略可能です。－－－</t>
    <phoneticPr fontId="15"/>
  </si>
  <si>
    <t>目標の
達成状況</t>
    <rPh sb="0" eb="2">
      <t>モクヒョウ</t>
    </rPh>
    <rPh sb="4" eb="8">
      <t>タッセイジョウキョウ</t>
    </rPh>
    <phoneticPr fontId="15"/>
  </si>
  <si>
    <t>省エネ</t>
    <rPh sb="0" eb="1">
      <t>ショウ</t>
    </rPh>
    <phoneticPr fontId="15"/>
  </si>
  <si>
    <t>事業活動</t>
    <rPh sb="0" eb="4">
      <t>ジギョウカツドウ</t>
    </rPh>
    <phoneticPr fontId="15"/>
  </si>
  <si>
    <t>２　温室効果ガスの排出の抑制に係る目標等の状況</t>
    <phoneticPr fontId="15"/>
  </si>
  <si>
    <t>おおむね目標通り</t>
    <phoneticPr fontId="15"/>
  </si>
  <si>
    <t>あり</t>
    <phoneticPr fontId="15"/>
  </si>
  <si>
    <t>なし</t>
    <phoneticPr fontId="15"/>
  </si>
  <si>
    <t>増</t>
    <rPh sb="0" eb="1">
      <t>ゾウ</t>
    </rPh>
    <phoneticPr fontId="15"/>
  </si>
  <si>
    <t>減</t>
    <rPh sb="0" eb="1">
      <t>ゲン</t>
    </rPh>
    <phoneticPr fontId="15"/>
  </si>
  <si>
    <t>ほぼ変動無し</t>
    <phoneticPr fontId="15"/>
  </si>
  <si>
    <t>減</t>
    <phoneticPr fontId="15"/>
  </si>
  <si>
    <t>５の１　温室効果ガスの排出の抑制に係る目標等の状況（第１号及び第２号該当事業者）</t>
    <rPh sb="4" eb="6">
      <t>オンシツ</t>
    </rPh>
    <rPh sb="6" eb="8">
      <t>コウカ</t>
    </rPh>
    <rPh sb="11" eb="13">
      <t>ハイシュツ</t>
    </rPh>
    <rPh sb="14" eb="16">
      <t>ヨクセイ</t>
    </rPh>
    <rPh sb="17" eb="18">
      <t>カカワ</t>
    </rPh>
    <rPh sb="19" eb="21">
      <t>モクヒョウ</t>
    </rPh>
    <rPh sb="21" eb="22">
      <t>トウ</t>
    </rPh>
    <rPh sb="23" eb="25">
      <t>ジョウキョウ</t>
    </rPh>
    <rPh sb="26" eb="27">
      <t>ダイ</t>
    </rPh>
    <rPh sb="28" eb="29">
      <t>ゴウ</t>
    </rPh>
    <rPh sb="29" eb="30">
      <t>オヨ</t>
    </rPh>
    <phoneticPr fontId="15"/>
  </si>
  <si>
    <t>窓口で閲覧</t>
    <rPh sb="0" eb="2">
      <t>マドグチ</t>
    </rPh>
    <rPh sb="3" eb="5">
      <t>エツラン</t>
    </rPh>
    <phoneticPr fontId="15"/>
  </si>
  <si>
    <t>４　公表の方法</t>
    <rPh sb="2" eb="4">
      <t>コウヒョウ</t>
    </rPh>
    <rPh sb="5" eb="7">
      <t>ホウホウ</t>
    </rPh>
    <phoneticPr fontId="15"/>
  </si>
  <si>
    <t>細則第37号様式（第２条第48号）</t>
    <rPh sb="0" eb="2">
      <t>サイソク</t>
    </rPh>
    <rPh sb="2" eb="3">
      <t>ダイ</t>
    </rPh>
    <rPh sb="5" eb="6">
      <t>ゴウ</t>
    </rPh>
    <rPh sb="9" eb="10">
      <t>ダイ</t>
    </rPh>
    <rPh sb="11" eb="12">
      <t>ジョウ</t>
    </rPh>
    <rPh sb="12" eb="13">
      <t>ダイ</t>
    </rPh>
    <rPh sb="15" eb="16">
      <t>ゴウ</t>
    </rPh>
    <phoneticPr fontId="15"/>
  </si>
  <si>
    <t>３　温室効果ガスの排出の抑制等を図るための基本方針</t>
    <rPh sb="2" eb="4">
      <t>オンシツ</t>
    </rPh>
    <rPh sb="4" eb="6">
      <t>コウカ</t>
    </rPh>
    <rPh sb="9" eb="11">
      <t>ハイシュツ</t>
    </rPh>
    <rPh sb="12" eb="14">
      <t>ヨクセイ</t>
    </rPh>
    <rPh sb="14" eb="15">
      <t>トウ</t>
    </rPh>
    <rPh sb="16" eb="17">
      <t>ハカ</t>
    </rPh>
    <rPh sb="21" eb="23">
      <t>キホン</t>
    </rPh>
    <rPh sb="23" eb="25">
      <t>ホウシン</t>
    </rPh>
    <phoneticPr fontId="15"/>
  </si>
  <si>
    <t>２　計画期間</t>
    <rPh sb="2" eb="4">
      <t>ケイカク</t>
    </rPh>
    <rPh sb="4" eb="6">
      <t>キカン</t>
    </rPh>
    <phoneticPr fontId="15"/>
  </si>
  <si>
    <t>Ｐ 医療、福祉</t>
  </si>
  <si>
    <t>　横浜市生活環境の保全等に関する条例（以下「条例」という。）第144条第１項の規定により、次のとおり提出します。</t>
    <phoneticPr fontId="15"/>
  </si>
  <si>
    <t>横浜市長</t>
    <phoneticPr fontId="15"/>
  </si>
  <si>
    <t>地球温暖化対策計画書</t>
    <rPh sb="0" eb="2">
      <t>チキュウ</t>
    </rPh>
    <rPh sb="2" eb="5">
      <t>オンダンカ</t>
    </rPh>
    <rPh sb="5" eb="7">
      <t>タイサク</t>
    </rPh>
    <rPh sb="7" eb="10">
      <t>ケイカクショ</t>
    </rPh>
    <phoneticPr fontId="15"/>
  </si>
  <si>
    <t>細則第37号様式（第２条第48号）</t>
  </si>
  <si>
    <t>保有台数[台]</t>
    <rPh sb="0" eb="2">
      <t>ホユウ</t>
    </rPh>
    <rPh sb="2" eb="4">
      <t>ダイスウ</t>
    </rPh>
    <rPh sb="5" eb="6">
      <t>ダイ</t>
    </rPh>
    <phoneticPr fontId="15"/>
  </si>
  <si>
    <t>計画期間での
導入予定台数[台]</t>
    <rPh sb="0" eb="2">
      <t>ケイカク</t>
    </rPh>
    <rPh sb="2" eb="4">
      <t>キカン</t>
    </rPh>
    <rPh sb="7" eb="9">
      <t>ドウニュウ</t>
    </rPh>
    <rPh sb="9" eb="11">
      <t>ヨテイ</t>
    </rPh>
    <rPh sb="11" eb="13">
      <t>ダイスウ</t>
    </rPh>
    <rPh sb="14" eb="15">
      <t>ダイ</t>
    </rPh>
    <phoneticPr fontId="15"/>
  </si>
  <si>
    <t>無</t>
    <rPh sb="0" eb="1">
      <t>ナシ</t>
    </rPh>
    <phoneticPr fontId="15"/>
  </si>
  <si>
    <t>有</t>
    <rPh sb="0" eb="1">
      <t>アリ</t>
    </rPh>
    <phoneticPr fontId="15"/>
  </si>
  <si>
    <t>計画期間での導入予定</t>
    <rPh sb="0" eb="2">
      <t>ケイカク</t>
    </rPh>
    <rPh sb="2" eb="4">
      <t>キカン</t>
    </rPh>
    <rPh sb="6" eb="8">
      <t>ドウニュウ</t>
    </rPh>
    <rPh sb="8" eb="10">
      <t>ヨテイ</t>
    </rPh>
    <phoneticPr fontId="15"/>
  </si>
  <si>
    <t>８　次世代自動車の導入状況及び計画</t>
    <rPh sb="2" eb="5">
      <t>ジセダイ</t>
    </rPh>
    <rPh sb="5" eb="7">
      <t>ジドウ</t>
    </rPh>
    <rPh sb="13" eb="14">
      <t>オヨ</t>
    </rPh>
    <rPh sb="15" eb="17">
      <t>ケイカク</t>
    </rPh>
    <phoneticPr fontId="15"/>
  </si>
  <si>
    <t>計画期間での実施予定</t>
    <rPh sb="0" eb="2">
      <t>ケイカク</t>
    </rPh>
    <rPh sb="2" eb="4">
      <t>キカン</t>
    </rPh>
    <rPh sb="6" eb="8">
      <t>ジッシ</t>
    </rPh>
    <rPh sb="8" eb="10">
      <t>ヨテイ</t>
    </rPh>
    <phoneticPr fontId="15"/>
  </si>
  <si>
    <t>上記以外</t>
    <rPh sb="0" eb="2">
      <t>ジョウキ</t>
    </rPh>
    <rPh sb="2" eb="4">
      <t>イガイ</t>
    </rPh>
    <phoneticPr fontId="15"/>
  </si>
  <si>
    <t>再エネ設備</t>
    <rPh sb="0" eb="1">
      <t>サイ</t>
    </rPh>
    <rPh sb="3" eb="5">
      <t>セツビ</t>
    </rPh>
    <phoneticPr fontId="15"/>
  </si>
  <si>
    <t>照明設備</t>
    <rPh sb="0" eb="2">
      <t>ショウメイ</t>
    </rPh>
    <rPh sb="2" eb="4">
      <t>セツビ</t>
    </rPh>
    <phoneticPr fontId="15"/>
  </si>
  <si>
    <t>７　設備の新設、更新等の計画</t>
    <rPh sb="2" eb="4">
      <t>セツビ</t>
    </rPh>
    <rPh sb="5" eb="7">
      <t>シンセツ</t>
    </rPh>
    <rPh sb="8" eb="10">
      <t>コウシン</t>
    </rPh>
    <rPh sb="10" eb="11">
      <t>トウ</t>
    </rPh>
    <rPh sb="12" eb="14">
      <t>ケイカク</t>
    </rPh>
    <phoneticPr fontId="15"/>
  </si>
  <si>
    <t>【実施予定リスト】</t>
    <rPh sb="1" eb="3">
      <t>ジッシ</t>
    </rPh>
    <rPh sb="3" eb="5">
      <t>ヨテイ</t>
    </rPh>
    <phoneticPr fontId="15"/>
  </si>
  <si>
    <r>
      <t>特定温室効果ガス削減相当量
[t-CO</t>
    </r>
    <r>
      <rPr>
        <vertAlign val="subscript"/>
        <sz val="9"/>
        <color rgb="FF000000"/>
        <rFont val="ＭＳ 明朝"/>
        <family val="1"/>
        <charset val="128"/>
      </rPr>
      <t>2</t>
    </r>
    <r>
      <rPr>
        <sz val="9"/>
        <color rgb="FF000000"/>
        <rFont val="ＭＳ 明朝"/>
        <family val="1"/>
        <charset val="128"/>
      </rPr>
      <t>]</t>
    </r>
    <rPh sb="0" eb="2">
      <t>トクテイ</t>
    </rPh>
    <rPh sb="8" eb="10">
      <t>サクゲン</t>
    </rPh>
    <rPh sb="10" eb="12">
      <t>ソウトウ</t>
    </rPh>
    <phoneticPr fontId="15"/>
  </si>
  <si>
    <t>６　クレジットに関する取組状況</t>
    <rPh sb="8" eb="9">
      <t>カン</t>
    </rPh>
    <rPh sb="11" eb="13">
      <t>トリクミ</t>
    </rPh>
    <rPh sb="13" eb="15">
      <t>ジョウキョウ</t>
    </rPh>
    <phoneticPr fontId="15"/>
  </si>
  <si>
    <t>取組予定無</t>
    <rPh sb="0" eb="2">
      <t>トリクミ</t>
    </rPh>
    <rPh sb="2" eb="4">
      <t>ヨテイ</t>
    </rPh>
    <rPh sb="4" eb="5">
      <t>ナシ</t>
    </rPh>
    <phoneticPr fontId="15"/>
  </si>
  <si>
    <t>取組予定有</t>
    <rPh sb="0" eb="2">
      <t>トリクミ</t>
    </rPh>
    <rPh sb="2" eb="4">
      <t>ヨテイ</t>
    </rPh>
    <rPh sb="4" eb="5">
      <t>アリ</t>
    </rPh>
    <phoneticPr fontId="15"/>
  </si>
  <si>
    <t>対策状況及び計画(計画期間内)</t>
    <rPh sb="0" eb="2">
      <t>タイサク</t>
    </rPh>
    <rPh sb="2" eb="4">
      <t>ジョウキョウ</t>
    </rPh>
    <rPh sb="4" eb="5">
      <t>オヨ</t>
    </rPh>
    <rPh sb="6" eb="8">
      <t>ケイカク</t>
    </rPh>
    <rPh sb="9" eb="11">
      <t>ケイカク</t>
    </rPh>
    <rPh sb="11" eb="14">
      <t>キカンナイ</t>
    </rPh>
    <phoneticPr fontId="15"/>
  </si>
  <si>
    <t>９の２　重点対策の実施状況及び計画（第３号該当事業者）</t>
    <rPh sb="4" eb="6">
      <t>ジュウテン</t>
    </rPh>
    <rPh sb="6" eb="8">
      <t>タイサク</t>
    </rPh>
    <rPh sb="9" eb="11">
      <t>ジッシ</t>
    </rPh>
    <rPh sb="11" eb="13">
      <t>ジョウキョウ</t>
    </rPh>
    <rPh sb="13" eb="14">
      <t>オヨ</t>
    </rPh>
    <rPh sb="15" eb="17">
      <t>ケイカク</t>
    </rPh>
    <phoneticPr fontId="15"/>
  </si>
  <si>
    <t>９の１　重点対策の実施状況及び計画（第１号及び第２号該当事業者）（その２）</t>
    <rPh sb="4" eb="6">
      <t>ジュウテン</t>
    </rPh>
    <rPh sb="6" eb="8">
      <t>タイサク</t>
    </rPh>
    <rPh sb="9" eb="11">
      <t>ジッシ</t>
    </rPh>
    <rPh sb="11" eb="13">
      <t>ジョウキョウ</t>
    </rPh>
    <rPh sb="13" eb="14">
      <t>オヨ</t>
    </rPh>
    <rPh sb="15" eb="17">
      <t>ケイカク</t>
    </rPh>
    <phoneticPr fontId="15"/>
  </si>
  <si>
    <t>細則第37号様式（第２条第48号）</t>
    <rPh sb="0" eb="2">
      <t>サイソク</t>
    </rPh>
    <phoneticPr fontId="15"/>
  </si>
  <si>
    <t>取組予定無</t>
    <rPh sb="0" eb="1">
      <t>ト</t>
    </rPh>
    <rPh sb="1" eb="2">
      <t>ク</t>
    </rPh>
    <rPh sb="2" eb="4">
      <t>ヨテイ</t>
    </rPh>
    <rPh sb="4" eb="5">
      <t>ナシ</t>
    </rPh>
    <phoneticPr fontId="15"/>
  </si>
  <si>
    <t>９の１　重点対策の実施状況及び計画（第１号及び第２号該当事業者）（その１）</t>
    <rPh sb="4" eb="6">
      <t>ジュウテン</t>
    </rPh>
    <rPh sb="6" eb="8">
      <t>タイサク</t>
    </rPh>
    <rPh sb="9" eb="11">
      <t>ジッシ</t>
    </rPh>
    <rPh sb="11" eb="13">
      <t>ジョウキョウ</t>
    </rPh>
    <rPh sb="13" eb="14">
      <t>オヨ</t>
    </rPh>
    <rPh sb="15" eb="17">
      <t>ケイカク</t>
    </rPh>
    <phoneticPr fontId="15"/>
  </si>
  <si>
    <t>倉庫</t>
    <rPh sb="0" eb="2">
      <t>ソウコ</t>
    </rPh>
    <phoneticPr fontId="15"/>
  </si>
  <si>
    <t>文化施設</t>
    <rPh sb="0" eb="2">
      <t>ブンカ</t>
    </rPh>
    <rPh sb="2" eb="4">
      <t>シセツ</t>
    </rPh>
    <phoneticPr fontId="15"/>
  </si>
  <si>
    <t>教育施設</t>
    <rPh sb="0" eb="2">
      <t>キョウイク</t>
    </rPh>
    <rPh sb="2" eb="4">
      <t>シセツ</t>
    </rPh>
    <phoneticPr fontId="15"/>
  </si>
  <si>
    <t>研究施設</t>
    <rPh sb="0" eb="2">
      <t>ケンキュウ</t>
    </rPh>
    <rPh sb="2" eb="4">
      <t>シセツ</t>
    </rPh>
    <phoneticPr fontId="15"/>
  </si>
  <si>
    <t>２　温室効果ガスの排出の抑制に係る目標等の状況</t>
    <rPh sb="2" eb="4">
      <t>オンシツ</t>
    </rPh>
    <rPh sb="4" eb="6">
      <t>コウカ</t>
    </rPh>
    <rPh sb="9" eb="11">
      <t>ハイシュツ</t>
    </rPh>
    <rPh sb="12" eb="14">
      <t>ヨクセイ</t>
    </rPh>
    <rPh sb="15" eb="16">
      <t>カカ</t>
    </rPh>
    <rPh sb="17" eb="19">
      <t>モクヒョウ</t>
    </rPh>
    <rPh sb="19" eb="20">
      <t>トウ</t>
    </rPh>
    <rPh sb="21" eb="23">
      <t>ジョウキョウ</t>
    </rPh>
    <phoneticPr fontId="15"/>
  </si>
  <si>
    <t>－－－　以下は市内全事業所が１事業所のみの場合、省略可能です。－－－</t>
    <rPh sb="4" eb="6">
      <t>イカ</t>
    </rPh>
    <rPh sb="7" eb="9">
      <t>シナイ</t>
    </rPh>
    <rPh sb="9" eb="10">
      <t>ゼン</t>
    </rPh>
    <rPh sb="10" eb="13">
      <t>ジギョウショ</t>
    </rPh>
    <rPh sb="15" eb="18">
      <t>ジギョウショ</t>
    </rPh>
    <rPh sb="21" eb="23">
      <t>バアイ</t>
    </rPh>
    <rPh sb="24" eb="26">
      <t>ショウリャク</t>
    </rPh>
    <rPh sb="26" eb="28">
      <t>カノウ</t>
    </rPh>
    <phoneticPr fontId="15"/>
  </si>
  <si>
    <t>地球温暖化対策計画書</t>
    <rPh sb="0" eb="7">
      <t>チキュウオンダンカタイサク</t>
    </rPh>
    <rPh sb="7" eb="10">
      <t>ケイカクショ</t>
    </rPh>
    <phoneticPr fontId="15"/>
  </si>
  <si>
    <t xml:space="preserve"> （個別票）</t>
    <phoneticPr fontId="15"/>
  </si>
  <si>
    <r>
      <t>目標年度</t>
    </r>
    <r>
      <rPr>
        <vertAlign val="superscript"/>
        <sz val="10"/>
        <color rgb="FF000000"/>
        <rFont val="ＭＳ 明朝"/>
        <family val="1"/>
        <charset val="128"/>
      </rPr>
      <t>※</t>
    </r>
    <rPh sb="0" eb="2">
      <t>モクヒョウ</t>
    </rPh>
    <rPh sb="2" eb="4">
      <t>ネンド</t>
    </rPh>
    <phoneticPr fontId="15"/>
  </si>
  <si>
    <r>
      <t>排出の抑制に
係る目標の設定
の考え方</t>
    </r>
    <r>
      <rPr>
        <vertAlign val="superscript"/>
        <sz val="10"/>
        <color rgb="FF000000"/>
        <rFont val="ＭＳ 明朝"/>
        <family val="1"/>
        <charset val="128"/>
      </rPr>
      <t>※</t>
    </r>
    <rPh sb="0" eb="2">
      <t>ハイシュツ</t>
    </rPh>
    <rPh sb="3" eb="5">
      <t>ヨクセイ</t>
    </rPh>
    <rPh sb="7" eb="8">
      <t>カカ</t>
    </rPh>
    <rPh sb="9" eb="11">
      <t>モクヒョウ</t>
    </rPh>
    <rPh sb="12" eb="14">
      <t>セッテイ</t>
    </rPh>
    <rPh sb="16" eb="17">
      <t>カンガ</t>
    </rPh>
    <rPh sb="18" eb="19">
      <t>カタ</t>
    </rPh>
    <phoneticPr fontId="15"/>
  </si>
  <si>
    <t>原 単 位</t>
    <phoneticPr fontId="15"/>
  </si>
  <si>
    <t>特定温室効果ガス排出量（基礎）</t>
    <phoneticPr fontId="15"/>
  </si>
  <si>
    <t>％</t>
    <phoneticPr fontId="15"/>
  </si>
  <si>
    <t>① 燃焼設備及び使用する燃料の種類に応じて、排出ガスにおける空気比の値が基準空気比※以下になるような、空気比についての管理基準を設定している。
② 管理基準に基づいた運用を実施している。</t>
    <rPh sb="64" eb="66">
      <t>セッテイ</t>
    </rPh>
    <phoneticPr fontId="15"/>
  </si>
  <si>
    <r>
      <t>　実施年度に効果が得られた対策</t>
    </r>
    <r>
      <rPr>
        <vertAlign val="superscript"/>
        <sz val="10"/>
        <color rgb="FF000000"/>
        <rFont val="ＭＳ 明朝"/>
        <family val="1"/>
        <charset val="128"/>
      </rPr>
      <t>※</t>
    </r>
    <r>
      <rPr>
        <sz val="10"/>
        <color rgb="FF000000"/>
        <rFont val="ＭＳ 明朝"/>
        <family val="1"/>
        <charset val="128"/>
      </rPr>
      <t>の削減量を記載（計画期間中に導入または稼働を開始したものに限る）
　　　※ 設備の更新、運用改善、排出係数の低いエネルギー源への変更、低炭素電気への切替えなど</t>
    </r>
    <phoneticPr fontId="15"/>
  </si>
  <si>
    <t>調 整 後</t>
  </si>
  <si>
    <t>原 単 位</t>
  </si>
  <si>
    <t>基 礎</t>
    <phoneticPr fontId="15"/>
  </si>
  <si>
    <t>特定温室効果ガス排出量</t>
    <phoneticPr fontId="15"/>
  </si>
  <si>
    <t>特定温室効果ガス排出量</t>
    <rPh sb="0" eb="2">
      <t>トクテイ</t>
    </rPh>
    <rPh sb="2" eb="4">
      <t>オンシツ</t>
    </rPh>
    <rPh sb="4" eb="6">
      <t>コウカ</t>
    </rPh>
    <rPh sb="8" eb="10">
      <t>ハイシュツ</t>
    </rPh>
    <rPh sb="10" eb="11">
      <t>リョウ</t>
    </rPh>
    <phoneticPr fontId="15"/>
  </si>
  <si>
    <t xml:space="preserve">基 礎 </t>
    <rPh sb="0" eb="1">
      <t>モト</t>
    </rPh>
    <rPh sb="2" eb="3">
      <t>イシズエ</t>
    </rPh>
    <phoneticPr fontId="15"/>
  </si>
  <si>
    <t>調整後</t>
    <rPh sb="0" eb="3">
      <t>チョウセイゴ</t>
    </rPh>
    <phoneticPr fontId="15"/>
  </si>
  <si>
    <t>基 礎</t>
    <rPh sb="0" eb="1">
      <t>モト</t>
    </rPh>
    <rPh sb="2" eb="3">
      <t>イシズエ</t>
    </rPh>
    <phoneticPr fontId="15"/>
  </si>
  <si>
    <t>調 整 後</t>
    <rPh sb="0" eb="1">
      <t>チョウ</t>
    </rPh>
    <rPh sb="2" eb="3">
      <t>ヒトシ</t>
    </rPh>
    <rPh sb="4" eb="5">
      <t>アト</t>
    </rPh>
    <phoneticPr fontId="15"/>
  </si>
  <si>
    <t xml:space="preserve">調整後 </t>
    <rPh sb="0" eb="3">
      <t>チョウセイゴ</t>
    </rPh>
    <phoneticPr fontId="15"/>
  </si>
  <si>
    <t>達成状況</t>
    <rPh sb="0" eb="2">
      <t>タッセイ</t>
    </rPh>
    <rPh sb="2" eb="4">
      <t>ジョウキョウ</t>
    </rPh>
    <phoneticPr fontId="15"/>
  </si>
  <si>
    <t>要 因</t>
    <rPh sb="0" eb="1">
      <t>ヨウ</t>
    </rPh>
    <rPh sb="2" eb="3">
      <t>イン</t>
    </rPh>
    <phoneticPr fontId="15"/>
  </si>
  <si>
    <t>削　減　率</t>
    <phoneticPr fontId="15"/>
  </si>
  <si>
    <t>1号事業者</t>
    <rPh sb="1" eb="2">
      <t>ゴウ</t>
    </rPh>
    <rPh sb="2" eb="5">
      <t>ジギョウシャ</t>
    </rPh>
    <phoneticPr fontId="15"/>
  </si>
  <si>
    <t>2号事業者</t>
    <rPh sb="1" eb="2">
      <t>ゴウ</t>
    </rPh>
    <rPh sb="2" eb="5">
      <t>ジギョウシャ</t>
    </rPh>
    <phoneticPr fontId="15"/>
  </si>
  <si>
    <t>3号事業者</t>
    <rPh sb="1" eb="2">
      <t>ゴウ</t>
    </rPh>
    <rPh sb="2" eb="5">
      <t>ジギョウシャ</t>
    </rPh>
    <phoneticPr fontId="15"/>
  </si>
  <si>
    <t>任意事業者</t>
    <rPh sb="0" eb="2">
      <t>ニンイ</t>
    </rPh>
    <rPh sb="2" eb="5">
      <t>ジギョウシャ</t>
    </rPh>
    <phoneticPr fontId="15"/>
  </si>
  <si>
    <t>オフセット対象範囲</t>
    <rPh sb="5" eb="7">
      <t>タイショウ</t>
    </rPh>
    <rPh sb="7" eb="9">
      <t>ハンイ</t>
    </rPh>
    <phoneticPr fontId="15"/>
  </si>
  <si>
    <t>※事業所の原油換算エネルギー使用量が1,500klを超える場合、記入が必要。</t>
    <rPh sb="1" eb="4">
      <t>ジギョウショ</t>
    </rPh>
    <rPh sb="5" eb="9">
      <t>ゲンユカンザン</t>
    </rPh>
    <rPh sb="14" eb="17">
      <t>シヨウリョウ</t>
    </rPh>
    <rPh sb="26" eb="27">
      <t>コ</t>
    </rPh>
    <rPh sb="29" eb="31">
      <t>バアイ</t>
    </rPh>
    <rPh sb="32" eb="34">
      <t>キニュウ</t>
    </rPh>
    <rPh sb="35" eb="37">
      <t>ヒツヨウ</t>
    </rPh>
    <phoneticPr fontId="15"/>
  </si>
  <si>
    <r>
      <t>t-CO</t>
    </r>
    <r>
      <rPr>
        <b/>
        <vertAlign val="subscript"/>
        <sz val="10"/>
        <color rgb="FF000000"/>
        <rFont val="ＭＳ 明朝"/>
        <family val="1"/>
        <charset val="128"/>
      </rPr>
      <t>2</t>
    </r>
    <phoneticPr fontId="15"/>
  </si>
  <si>
    <r>
      <t>t-CO</t>
    </r>
    <r>
      <rPr>
        <b/>
        <vertAlign val="subscript"/>
        <sz val="10"/>
        <color rgb="FF000000"/>
        <rFont val="ＭＳ 明朝"/>
        <family val="1"/>
        <charset val="128"/>
      </rPr>
      <t>2</t>
    </r>
    <phoneticPr fontId="15"/>
  </si>
  <si>
    <t>目標設定をする</t>
    <rPh sb="0" eb="2">
      <t>モクヒョウ</t>
    </rPh>
    <rPh sb="2" eb="4">
      <t>セッテイ</t>
    </rPh>
    <phoneticPr fontId="15"/>
  </si>
  <si>
    <t>目標設定はしない</t>
    <rPh sb="0" eb="4">
      <t>モクヒョウセッテイ</t>
    </rPh>
    <phoneticPr fontId="15"/>
  </si>
  <si>
    <t>８の１　重点対策の実施状況及び計画（第１号及び第２号該当事業者）（その２）</t>
    <rPh sb="4" eb="6">
      <t>ジュウテン</t>
    </rPh>
    <rPh sb="6" eb="8">
      <t>タイサク</t>
    </rPh>
    <rPh sb="9" eb="11">
      <t>ジッシ</t>
    </rPh>
    <rPh sb="11" eb="13">
      <t>ジョウキョウ</t>
    </rPh>
    <rPh sb="13" eb="14">
      <t>オヨ</t>
    </rPh>
    <rPh sb="15" eb="17">
      <t>ケイカク</t>
    </rPh>
    <phoneticPr fontId="15"/>
  </si>
  <si>
    <r>
      <t>① 燃焼設備及び使用する燃料の種類に応じて、排出ガスにおける空気比の値が基準空気比</t>
    </r>
    <r>
      <rPr>
        <sz val="6"/>
        <color rgb="FF000000"/>
        <rFont val="ＭＳ 明朝"/>
        <family val="1"/>
        <charset val="128"/>
      </rPr>
      <t>※</t>
    </r>
    <r>
      <rPr>
        <sz val="9"/>
        <color rgb="FF000000"/>
        <rFont val="ＭＳ 明朝"/>
        <family val="1"/>
        <charset val="128"/>
      </rPr>
      <t>以下になるような、空気比についての管理基準を設定している。
② 管理基準に基づいた運用を実施している。</t>
    </r>
    <rPh sb="64" eb="66">
      <t>セッテイ</t>
    </rPh>
    <phoneticPr fontId="15"/>
  </si>
  <si>
    <t>条例第144条の４該当事業者（任意提出事業者)</t>
    <phoneticPr fontId="15"/>
  </si>
  <si>
    <t>1・２号</t>
    <rPh sb="3" eb="4">
      <t>ゴウ</t>
    </rPh>
    <phoneticPr fontId="15"/>
  </si>
  <si>
    <t>３号事業者</t>
    <rPh sb="1" eb="2">
      <t>ゴウ</t>
    </rPh>
    <rPh sb="2" eb="5">
      <t>ジギョウシャ</t>
    </rPh>
    <phoneticPr fontId="15"/>
  </si>
  <si>
    <t>事業者名称</t>
    <rPh sb="0" eb="3">
      <t>ジギョウシャ</t>
    </rPh>
    <rPh sb="3" eb="5">
      <t>メイショウ</t>
    </rPh>
    <phoneticPr fontId="15"/>
  </si>
  <si>
    <t>連番</t>
    <rPh sb="0" eb="2">
      <t>レンバン</t>
    </rPh>
    <phoneticPr fontId="87"/>
  </si>
  <si>
    <t>事業者名</t>
    <rPh sb="0" eb="3">
      <t>ジギョウシャ</t>
    </rPh>
    <rPh sb="3" eb="4">
      <t>メイ</t>
    </rPh>
    <phoneticPr fontId="87"/>
  </si>
  <si>
    <t>計画開始
年度</t>
    <rPh sb="0" eb="2">
      <t>ケイカク</t>
    </rPh>
    <rPh sb="2" eb="4">
      <t>カイシ</t>
    </rPh>
    <rPh sb="5" eb="7">
      <t>ネンド</t>
    </rPh>
    <phoneticPr fontId="87"/>
  </si>
  <si>
    <t>該当
号数
(記載)</t>
    <rPh sb="0" eb="2">
      <t>ガイトウ</t>
    </rPh>
    <rPh sb="3" eb="5">
      <t>ゴウスウ</t>
    </rPh>
    <rPh sb="7" eb="9">
      <t>キサイ</t>
    </rPh>
    <phoneticPr fontId="88"/>
  </si>
  <si>
    <t>事業者ＩＤ</t>
  </si>
  <si>
    <t>提出年月日</t>
    <rPh sb="0" eb="2">
      <t>テイシュツ</t>
    </rPh>
    <rPh sb="2" eb="5">
      <t>ネンガッピ</t>
    </rPh>
    <phoneticPr fontId="87"/>
  </si>
  <si>
    <t>提出事業者名</t>
    <rPh sb="0" eb="2">
      <t>テイシュツ</t>
    </rPh>
    <rPh sb="2" eb="5">
      <t>ジギョウシャ</t>
    </rPh>
    <rPh sb="5" eb="6">
      <t>メイ</t>
    </rPh>
    <phoneticPr fontId="15"/>
  </si>
  <si>
    <t>提出代表者</t>
  </si>
  <si>
    <t>事業者の名称</t>
    <rPh sb="0" eb="3">
      <t>ジギョウシャ</t>
    </rPh>
    <rPh sb="4" eb="6">
      <t>メイショウ</t>
    </rPh>
    <phoneticPr fontId="88"/>
  </si>
  <si>
    <t>事業者代表者名</t>
    <rPh sb="0" eb="3">
      <t>ジギョウシャ</t>
    </rPh>
    <phoneticPr fontId="88"/>
  </si>
  <si>
    <t>主たる事業所所在地</t>
    <rPh sb="0" eb="1">
      <t>シュ</t>
    </rPh>
    <rPh sb="3" eb="6">
      <t>ジギョウショ</t>
    </rPh>
    <rPh sb="6" eb="9">
      <t>ショザイチ</t>
    </rPh>
    <phoneticPr fontId="15"/>
  </si>
  <si>
    <t>大分類</t>
    <rPh sb="0" eb="3">
      <t>ダイブンルイ</t>
    </rPh>
    <phoneticPr fontId="88"/>
  </si>
  <si>
    <t>中分類</t>
    <rPh sb="0" eb="3">
      <t>チュウブンルイ</t>
    </rPh>
    <phoneticPr fontId="88"/>
  </si>
  <si>
    <t>1号</t>
    <rPh sb="1" eb="2">
      <t>ゴウ</t>
    </rPh>
    <phoneticPr fontId="15"/>
  </si>
  <si>
    <t>2号</t>
    <rPh sb="1" eb="2">
      <t>ゴウ</t>
    </rPh>
    <phoneticPr fontId="15"/>
  </si>
  <si>
    <t>3号</t>
    <rPh sb="1" eb="2">
      <t>ゴウ</t>
    </rPh>
    <phoneticPr fontId="15"/>
  </si>
  <si>
    <t>市内全事業所数</t>
    <rPh sb="0" eb="2">
      <t>シナイ</t>
    </rPh>
    <rPh sb="2" eb="3">
      <t>ゼン</t>
    </rPh>
    <rPh sb="3" eb="6">
      <t>ジギョウショ</t>
    </rPh>
    <rPh sb="6" eb="7">
      <t>スウ</t>
    </rPh>
    <phoneticPr fontId="87"/>
  </si>
  <si>
    <t>エネルギー500kl以上事業所数</t>
  </si>
  <si>
    <t>自動車台数</t>
    <rPh sb="0" eb="3">
      <t>ジドウシャ</t>
    </rPh>
    <rPh sb="3" eb="5">
      <t>ダイスウ</t>
    </rPh>
    <phoneticPr fontId="87"/>
  </si>
  <si>
    <t>開始年度</t>
    <rPh sb="0" eb="2">
      <t>カイシ</t>
    </rPh>
    <rPh sb="2" eb="4">
      <t>ネンド</t>
    </rPh>
    <phoneticPr fontId="15"/>
  </si>
  <si>
    <t>終了年度</t>
    <rPh sb="0" eb="2">
      <t>シュウリョウ</t>
    </rPh>
    <rPh sb="2" eb="4">
      <t>ネンド</t>
    </rPh>
    <phoneticPr fontId="15"/>
  </si>
  <si>
    <t>実施年度</t>
    <phoneticPr fontId="88"/>
  </si>
  <si>
    <t>ホームページ_有無</t>
  </si>
  <si>
    <t>ホームページ_アドレス</t>
  </si>
  <si>
    <t>窓口閲覧_有無</t>
  </si>
  <si>
    <t>窓口閲覧_閲覧場所</t>
  </si>
  <si>
    <t>窓口閲覧_所在地</t>
  </si>
  <si>
    <t>窓口閲覧_閲覧可能時間</t>
  </si>
  <si>
    <t>公表その他方式_有無</t>
  </si>
  <si>
    <t>公表その他方式_内容</t>
  </si>
  <si>
    <t>基準年度</t>
    <rPh sb="0" eb="2">
      <t>キジュン</t>
    </rPh>
    <rPh sb="2" eb="4">
      <t>ネンド</t>
    </rPh>
    <phoneticPr fontId="88"/>
  </si>
  <si>
    <t>基準排出量</t>
  </si>
  <si>
    <t>基準年度調整後排出量</t>
    <rPh sb="0" eb="2">
      <t>キジュン</t>
    </rPh>
    <rPh sb="2" eb="4">
      <t>ネンド</t>
    </rPh>
    <rPh sb="4" eb="7">
      <t>チョウセイゴ</t>
    </rPh>
    <rPh sb="7" eb="9">
      <t>ハイシュツ</t>
    </rPh>
    <rPh sb="9" eb="10">
      <t>リョウ</t>
    </rPh>
    <phoneticPr fontId="88"/>
  </si>
  <si>
    <t>基準原単位</t>
    <rPh sb="0" eb="2">
      <t>キジュン</t>
    </rPh>
    <rPh sb="2" eb="5">
      <t>ゲンタンイ</t>
    </rPh>
    <phoneticPr fontId="88"/>
  </si>
  <si>
    <t>基準原単位分母</t>
    <rPh sb="0" eb="2">
      <t>キジュン</t>
    </rPh>
    <rPh sb="2" eb="5">
      <t>ゲンタンイ</t>
    </rPh>
    <rPh sb="5" eb="7">
      <t>ブンボ</t>
    </rPh>
    <phoneticPr fontId="88"/>
  </si>
  <si>
    <t>目標年度</t>
    <rPh sb="0" eb="2">
      <t>モクヒョウ</t>
    </rPh>
    <rPh sb="2" eb="4">
      <t>ネンド</t>
    </rPh>
    <phoneticPr fontId="88"/>
  </si>
  <si>
    <t>目標排出量</t>
    <rPh sb="0" eb="2">
      <t>モクヒョウ</t>
    </rPh>
    <rPh sb="2" eb="4">
      <t>ハイシュツ</t>
    </rPh>
    <rPh sb="4" eb="5">
      <t>リョウ</t>
    </rPh>
    <phoneticPr fontId="88"/>
  </si>
  <si>
    <t>目標排出量削減率</t>
    <rPh sb="0" eb="2">
      <t>モクヒョウ</t>
    </rPh>
    <rPh sb="2" eb="4">
      <t>ハイシュツ</t>
    </rPh>
    <rPh sb="4" eb="5">
      <t>リョウ</t>
    </rPh>
    <rPh sb="5" eb="7">
      <t>サクゲン</t>
    </rPh>
    <rPh sb="7" eb="8">
      <t>リツ</t>
    </rPh>
    <phoneticPr fontId="88"/>
  </si>
  <si>
    <t>目標調整後排出量</t>
    <rPh sb="0" eb="2">
      <t>モクヒョウ</t>
    </rPh>
    <rPh sb="2" eb="5">
      <t>チョウセイゴ</t>
    </rPh>
    <rPh sb="5" eb="7">
      <t>ハイシュツ</t>
    </rPh>
    <rPh sb="7" eb="8">
      <t>リョウ</t>
    </rPh>
    <phoneticPr fontId="88"/>
  </si>
  <si>
    <t>目標調整後排出量削減率</t>
    <rPh sb="0" eb="2">
      <t>モクヒョウ</t>
    </rPh>
    <rPh sb="2" eb="5">
      <t>チョウセイゴ</t>
    </rPh>
    <rPh sb="5" eb="7">
      <t>ハイシュツ</t>
    </rPh>
    <rPh sb="7" eb="8">
      <t>リョウ</t>
    </rPh>
    <rPh sb="8" eb="10">
      <t>サクゲン</t>
    </rPh>
    <rPh sb="10" eb="11">
      <t>リツ</t>
    </rPh>
    <phoneticPr fontId="88"/>
  </si>
  <si>
    <t>目標原単位</t>
    <rPh sb="0" eb="2">
      <t>モクヒョウ</t>
    </rPh>
    <rPh sb="2" eb="5">
      <t>ゲンタンイ</t>
    </rPh>
    <phoneticPr fontId="88"/>
  </si>
  <si>
    <t>目標原単位分母</t>
    <rPh sb="0" eb="2">
      <t>モクヒョウ</t>
    </rPh>
    <rPh sb="2" eb="5">
      <t>ゲンタンイ</t>
    </rPh>
    <rPh sb="5" eb="7">
      <t>ブンボ</t>
    </rPh>
    <phoneticPr fontId="88"/>
  </si>
  <si>
    <t>目標原単位削減率</t>
    <rPh sb="0" eb="2">
      <t>モクヒョウ</t>
    </rPh>
    <rPh sb="2" eb="5">
      <t>ゲンタンイ</t>
    </rPh>
    <rPh sb="5" eb="7">
      <t>サクゲン</t>
    </rPh>
    <rPh sb="7" eb="8">
      <t>リツ</t>
    </rPh>
    <phoneticPr fontId="88"/>
  </si>
  <si>
    <t>第一年度</t>
    <rPh sb="0" eb="2">
      <t>ダイイチ</t>
    </rPh>
    <rPh sb="2" eb="4">
      <t>ネンド</t>
    </rPh>
    <phoneticPr fontId="88"/>
  </si>
  <si>
    <t>第一年度排出量</t>
    <rPh sb="0" eb="2">
      <t>ダイイチ</t>
    </rPh>
    <rPh sb="2" eb="4">
      <t>ネンド</t>
    </rPh>
    <rPh sb="4" eb="6">
      <t>ハイシュツ</t>
    </rPh>
    <rPh sb="6" eb="7">
      <t>リョウ</t>
    </rPh>
    <phoneticPr fontId="88"/>
  </si>
  <si>
    <t>第一年度排出量削減率</t>
    <rPh sb="0" eb="2">
      <t>ダイイチ</t>
    </rPh>
    <rPh sb="2" eb="4">
      <t>ネンド</t>
    </rPh>
    <rPh sb="4" eb="6">
      <t>ハイシュツ</t>
    </rPh>
    <rPh sb="6" eb="7">
      <t>リョウ</t>
    </rPh>
    <rPh sb="7" eb="9">
      <t>サクゲン</t>
    </rPh>
    <rPh sb="9" eb="10">
      <t>リツ</t>
    </rPh>
    <phoneticPr fontId="88"/>
  </si>
  <si>
    <t>第一年度調整後排出量</t>
    <rPh sb="0" eb="2">
      <t>ダイイチ</t>
    </rPh>
    <rPh sb="2" eb="4">
      <t>ネンド</t>
    </rPh>
    <rPh sb="4" eb="7">
      <t>チョウセイゴ</t>
    </rPh>
    <rPh sb="7" eb="9">
      <t>ハイシュツ</t>
    </rPh>
    <rPh sb="9" eb="10">
      <t>リョウ</t>
    </rPh>
    <phoneticPr fontId="88"/>
  </si>
  <si>
    <t>第一年度調整後排出量削減率</t>
    <rPh sb="0" eb="2">
      <t>ダイイチ</t>
    </rPh>
    <rPh sb="2" eb="4">
      <t>ネンド</t>
    </rPh>
    <rPh sb="4" eb="7">
      <t>チョウセイゴ</t>
    </rPh>
    <rPh sb="7" eb="9">
      <t>ハイシュツ</t>
    </rPh>
    <rPh sb="9" eb="10">
      <t>リョウ</t>
    </rPh>
    <rPh sb="10" eb="12">
      <t>サクゲン</t>
    </rPh>
    <rPh sb="12" eb="13">
      <t>リツ</t>
    </rPh>
    <phoneticPr fontId="88"/>
  </si>
  <si>
    <t>第一年度原単位</t>
    <rPh sb="0" eb="2">
      <t>ダイイチ</t>
    </rPh>
    <rPh sb="2" eb="4">
      <t>ネンド</t>
    </rPh>
    <rPh sb="4" eb="7">
      <t>ゲンタンイ</t>
    </rPh>
    <phoneticPr fontId="88"/>
  </si>
  <si>
    <t>第一年度原単位分母</t>
    <rPh sb="0" eb="2">
      <t>ダイイチ</t>
    </rPh>
    <rPh sb="2" eb="4">
      <t>ネンド</t>
    </rPh>
    <rPh sb="4" eb="7">
      <t>ゲンタンイ</t>
    </rPh>
    <rPh sb="7" eb="9">
      <t>ブンボ</t>
    </rPh>
    <phoneticPr fontId="88"/>
  </si>
  <si>
    <t>第一年度原単位削減率</t>
    <rPh sb="0" eb="2">
      <t>ダイイチ</t>
    </rPh>
    <rPh sb="2" eb="4">
      <t>ネンド</t>
    </rPh>
    <rPh sb="4" eb="7">
      <t>ゲンタンイ</t>
    </rPh>
    <rPh sb="7" eb="9">
      <t>サクゲン</t>
    </rPh>
    <rPh sb="9" eb="10">
      <t>リツ</t>
    </rPh>
    <phoneticPr fontId="88"/>
  </si>
  <si>
    <t>第二年度</t>
    <rPh sb="2" eb="4">
      <t>ネンド</t>
    </rPh>
    <phoneticPr fontId="88"/>
  </si>
  <si>
    <t>第二年度排出量</t>
    <rPh sb="2" eb="4">
      <t>ネンド</t>
    </rPh>
    <rPh sb="4" eb="6">
      <t>ハイシュツ</t>
    </rPh>
    <rPh sb="6" eb="7">
      <t>リョウ</t>
    </rPh>
    <phoneticPr fontId="88"/>
  </si>
  <si>
    <t>第二年度排出量削減率</t>
    <rPh sb="2" eb="4">
      <t>ネンド</t>
    </rPh>
    <rPh sb="4" eb="6">
      <t>ハイシュツ</t>
    </rPh>
    <rPh sb="6" eb="7">
      <t>リョウ</t>
    </rPh>
    <rPh sb="7" eb="9">
      <t>サクゲン</t>
    </rPh>
    <rPh sb="9" eb="10">
      <t>リツ</t>
    </rPh>
    <phoneticPr fontId="88"/>
  </si>
  <si>
    <t>第二年度調整後排出量</t>
    <rPh sb="2" eb="4">
      <t>ネンド</t>
    </rPh>
    <rPh sb="4" eb="7">
      <t>チョウセイゴ</t>
    </rPh>
    <rPh sb="7" eb="9">
      <t>ハイシュツ</t>
    </rPh>
    <rPh sb="9" eb="10">
      <t>リョウ</t>
    </rPh>
    <phoneticPr fontId="88"/>
  </si>
  <si>
    <t>第二年度調整後排出量削減率</t>
    <rPh sb="2" eb="4">
      <t>ネンド</t>
    </rPh>
    <rPh sb="4" eb="7">
      <t>チョウセイゴ</t>
    </rPh>
    <rPh sb="7" eb="9">
      <t>ハイシュツ</t>
    </rPh>
    <rPh sb="9" eb="10">
      <t>リョウ</t>
    </rPh>
    <rPh sb="10" eb="12">
      <t>サクゲン</t>
    </rPh>
    <rPh sb="12" eb="13">
      <t>リツ</t>
    </rPh>
    <phoneticPr fontId="88"/>
  </si>
  <si>
    <t>第二年度原単位</t>
    <rPh sb="2" eb="4">
      <t>ネンド</t>
    </rPh>
    <rPh sb="4" eb="7">
      <t>ゲンタンイ</t>
    </rPh>
    <phoneticPr fontId="88"/>
  </si>
  <si>
    <t>第二年度原単位分母</t>
    <rPh sb="2" eb="4">
      <t>ネンド</t>
    </rPh>
    <rPh sb="4" eb="7">
      <t>ゲンタンイ</t>
    </rPh>
    <rPh sb="7" eb="9">
      <t>ブンボ</t>
    </rPh>
    <phoneticPr fontId="88"/>
  </si>
  <si>
    <t>第二年度原単位削減率</t>
    <rPh sb="2" eb="4">
      <t>ネンド</t>
    </rPh>
    <rPh sb="4" eb="7">
      <t>ゲンタンイ</t>
    </rPh>
    <rPh sb="7" eb="9">
      <t>サクゲン</t>
    </rPh>
    <rPh sb="9" eb="10">
      <t>リツ</t>
    </rPh>
    <phoneticPr fontId="88"/>
  </si>
  <si>
    <t>第三年度</t>
    <rPh sb="2" eb="4">
      <t>ネンド</t>
    </rPh>
    <phoneticPr fontId="88"/>
  </si>
  <si>
    <t>第三年度排出量</t>
    <rPh sb="2" eb="4">
      <t>ネンド</t>
    </rPh>
    <rPh sb="4" eb="6">
      <t>ハイシュツ</t>
    </rPh>
    <rPh sb="6" eb="7">
      <t>リョウ</t>
    </rPh>
    <phoneticPr fontId="88"/>
  </si>
  <si>
    <t>第三年度排出量削減率</t>
    <rPh sb="2" eb="4">
      <t>ネンド</t>
    </rPh>
    <rPh sb="4" eb="6">
      <t>ハイシュツ</t>
    </rPh>
    <rPh sb="6" eb="7">
      <t>リョウ</t>
    </rPh>
    <rPh sb="7" eb="9">
      <t>サクゲン</t>
    </rPh>
    <rPh sb="9" eb="10">
      <t>リツ</t>
    </rPh>
    <phoneticPr fontId="88"/>
  </si>
  <si>
    <t>第三年度調整後排出量</t>
    <rPh sb="2" eb="4">
      <t>ネンド</t>
    </rPh>
    <rPh sb="4" eb="7">
      <t>チョウセイゴ</t>
    </rPh>
    <rPh sb="7" eb="9">
      <t>ハイシュツ</t>
    </rPh>
    <rPh sb="9" eb="10">
      <t>リョウ</t>
    </rPh>
    <phoneticPr fontId="88"/>
  </si>
  <si>
    <t>第三年度調整後排出量削減率</t>
    <rPh sb="2" eb="4">
      <t>ネンド</t>
    </rPh>
    <rPh sb="4" eb="7">
      <t>チョウセイゴ</t>
    </rPh>
    <rPh sb="7" eb="9">
      <t>ハイシュツ</t>
    </rPh>
    <rPh sb="9" eb="10">
      <t>リョウ</t>
    </rPh>
    <rPh sb="10" eb="12">
      <t>サクゲン</t>
    </rPh>
    <rPh sb="12" eb="13">
      <t>リツ</t>
    </rPh>
    <phoneticPr fontId="88"/>
  </si>
  <si>
    <t>第三年度原単位</t>
    <rPh sb="2" eb="4">
      <t>ネンド</t>
    </rPh>
    <rPh sb="4" eb="7">
      <t>ゲンタンイ</t>
    </rPh>
    <phoneticPr fontId="88"/>
  </si>
  <si>
    <t>第三年度原単位分母</t>
    <rPh sb="2" eb="4">
      <t>ネンド</t>
    </rPh>
    <rPh sb="4" eb="7">
      <t>ゲンタンイ</t>
    </rPh>
    <rPh sb="7" eb="9">
      <t>ブンボ</t>
    </rPh>
    <phoneticPr fontId="88"/>
  </si>
  <si>
    <t>第三年度原単位削減率</t>
    <rPh sb="2" eb="4">
      <t>ネンド</t>
    </rPh>
    <rPh sb="4" eb="7">
      <t>ゲンタンイ</t>
    </rPh>
    <rPh sb="7" eb="9">
      <t>サクゲン</t>
    </rPh>
    <rPh sb="9" eb="10">
      <t>リツ</t>
    </rPh>
    <phoneticPr fontId="88"/>
  </si>
  <si>
    <t>達成状況</t>
  </si>
  <si>
    <t>省エネ取組</t>
    <rPh sb="0" eb="1">
      <t>ショウ</t>
    </rPh>
    <rPh sb="3" eb="5">
      <t>トリクミ</t>
    </rPh>
    <phoneticPr fontId="88"/>
  </si>
  <si>
    <t>事業活動量</t>
    <rPh sb="0" eb="5">
      <t>ジギョウカツドウリョウ</t>
    </rPh>
    <phoneticPr fontId="88"/>
  </si>
  <si>
    <t>自由記述欄</t>
    <rPh sb="0" eb="2">
      <t>ジユウ</t>
    </rPh>
    <rPh sb="2" eb="4">
      <t>キジュツ</t>
    </rPh>
    <rPh sb="4" eb="5">
      <t>ラン</t>
    </rPh>
    <phoneticPr fontId="88"/>
  </si>
  <si>
    <t>基準排出量</t>
    <rPh sb="0" eb="2">
      <t>キジュン</t>
    </rPh>
    <rPh sb="2" eb="4">
      <t>ハイシュツ</t>
    </rPh>
    <rPh sb="4" eb="5">
      <t>リョウ</t>
    </rPh>
    <phoneticPr fontId="88"/>
  </si>
  <si>
    <t>001</t>
  </si>
  <si>
    <t>株式会社レインズインターナショナル</t>
  </si>
  <si>
    <t>2号</t>
  </si>
  <si>
    <t>横浜市西区みなとみらい2-2-1
ランドマークタワー12階</t>
  </si>
  <si>
    <t>代表取締役　澄川　浩太</t>
  </si>
  <si>
    <t>横浜市西区みなとみらい2-2-1　ランドマークタワー12階</t>
  </si>
  <si>
    <t>本部オフィス安全管理部(事前連絡要)</t>
  </si>
  <si>
    <t>横浜市西区みなとみらい2-2-1ランドマークタワー12階</t>
  </si>
  <si>
    <t>10：00～18：00</t>
  </si>
  <si>
    <t>百万円</t>
  </si>
  <si>
    <t>目標を下回った</t>
  </si>
  <si>
    <t>なし</t>
  </si>
  <si>
    <t>増</t>
  </si>
  <si>
    <t>004</t>
  </si>
  <si>
    <t>ウエルシア薬局株式会社</t>
  </si>
  <si>
    <t>1号</t>
  </si>
  <si>
    <t>東京都千代田区外神田二丁目２－１５</t>
  </si>
  <si>
    <t>1号</t>
    <phoneticPr fontId="88"/>
  </si>
  <si>
    <t>ウエルシア薬局株式会社　本部</t>
  </si>
  <si>
    <t>9：00-18：00　土日祝日を除く</t>
  </si>
  <si>
    <t>千㎡h</t>
  </si>
  <si>
    <t>目標を上回った</t>
  </si>
  <si>
    <t>ほぼ変動無し</t>
  </si>
  <si>
    <t>005</t>
  </si>
  <si>
    <t>株式会社ホテル、ニューグランド</t>
  </si>
  <si>
    <t>神奈川県横浜市中区山下町１０番地</t>
  </si>
  <si>
    <t>代表取締役会長兼社長　原 信造</t>
  </si>
  <si>
    <t>株式会社ホテルニューグランド　施設部</t>
  </si>
  <si>
    <t>横浜市中区山下町10番地</t>
  </si>
  <si>
    <t>９：００～１６：００</t>
  </si>
  <si>
    <t>百m2</t>
  </si>
  <si>
    <t>減</t>
  </si>
  <si>
    <t>006</t>
  </si>
  <si>
    <t>富士シティオ株式会社</t>
  </si>
  <si>
    <t>横浜市中区日本大通17番地</t>
  </si>
  <si>
    <t>代表取締役　永田　俊雄</t>
  </si>
  <si>
    <t>富士シティオ株式会社　本部</t>
  </si>
  <si>
    <t>9：30～17：00</t>
  </si>
  <si>
    <t>007</t>
  </si>
  <si>
    <t>株式会社インテック</t>
  </si>
  <si>
    <t>富山県富山市牛島新町５番５号</t>
  </si>
  <si>
    <t>代表取締役社長　北　岡　隆　之</t>
  </si>
  <si>
    <t>株式会社インテック横浜事業所　１Ｆ受付</t>
  </si>
  <si>
    <t>横浜市神奈川区新浦島町１－１－２５</t>
  </si>
  <si>
    <t>営業時間内（9：00～17：30）</t>
  </si>
  <si>
    <t>・サーバ機器を当社の他データセンターへ移設を行った。
また、電算空調機の稼働台数の調整を行った。
・事務所では、在宅勤務促進により、時間外空調稼働時間の削減を実施した。</t>
  </si>
  <si>
    <t>008</t>
  </si>
  <si>
    <t>三和交通株式会社</t>
  </si>
  <si>
    <t>3号</t>
  </si>
  <si>
    <t>横浜市港北区鳥山町480番地</t>
  </si>
  <si>
    <t>代表取締役　吉川　永一</t>
  </si>
  <si>
    <t>3号</t>
    <phoneticPr fontId="88"/>
  </si>
  <si>
    <t>9：00～15：00</t>
  </si>
  <si>
    <t>おおむね目標通り</t>
  </si>
  <si>
    <t>010</t>
  </si>
  <si>
    <t>株式会社アズマ</t>
  </si>
  <si>
    <t>神奈川県横浜市都筑区川和町635</t>
  </si>
  <si>
    <t>代表取締役社長　手塚　佳樹</t>
  </si>
  <si>
    <t>㈱　アズマ　横浜工場</t>
  </si>
  <si>
    <t>横浜市都筑区川和町635</t>
  </si>
  <si>
    <t>8：30～17：00</t>
  </si>
  <si>
    <t>千㎡</t>
  </si>
  <si>
    <t>あり</t>
  </si>
  <si>
    <t>012</t>
  </si>
  <si>
    <t>メトロ自動車株式会社</t>
  </si>
  <si>
    <t>横浜市神奈川区金港町5-36</t>
  </si>
  <si>
    <t>代表取締役　秋元　康尚</t>
  </si>
  <si>
    <t>メトロ自動車株式会社　本社</t>
  </si>
  <si>
    <t>横浜市神奈川区金港町5－36</t>
  </si>
  <si>
    <t>13時から15時 (月曜日～金曜日の平日)</t>
  </si>
  <si>
    <t>千㎞</t>
  </si>
  <si>
    <t>013</t>
  </si>
  <si>
    <t>前田道路株式会社</t>
  </si>
  <si>
    <t>東京都品川区大崎１－１１－３</t>
  </si>
  <si>
    <t>代表取締役　武川　秀也</t>
  </si>
  <si>
    <t>神奈川県横浜市瀬谷区北町20-13</t>
  </si>
  <si>
    <t>前田道路株式会社　西関東支店</t>
  </si>
  <si>
    <t>横浜市中区不老町３－１２－５</t>
  </si>
  <si>
    <t>014</t>
  </si>
  <si>
    <t>高梨販売株式会社</t>
  </si>
  <si>
    <t>神奈川県横浜市旭区本宿町5番地</t>
  </si>
  <si>
    <t>代表取締役社長　髙梨　信芳</t>
  </si>
  <si>
    <t>代表取締役社長　　髙梨　信芳</t>
  </si>
  <si>
    <t>高梨販売株式会社　企画センター</t>
  </si>
  <si>
    <t>横浜市保土ヶ谷区神戸町134横浜ビジネスパークイーストタワー13F</t>
  </si>
  <si>
    <t>9時～17時</t>
  </si>
  <si>
    <t>016</t>
  </si>
  <si>
    <t>神奈川都市交通株式会社</t>
  </si>
  <si>
    <t>横浜市西区桜木町７－４１</t>
  </si>
  <si>
    <t>取締役社長　伊藤　宏</t>
  </si>
  <si>
    <t>　本社５階　業務部業務課受付</t>
  </si>
  <si>
    <t>　横浜市西区桜木町７－４１</t>
  </si>
  <si>
    <t>　午前９時　～　午後５時</t>
  </si>
  <si>
    <t>017</t>
  </si>
  <si>
    <t>学校法人昭和大学</t>
  </si>
  <si>
    <t>東京都品川区旗の台一丁目５番地８号</t>
  </si>
  <si>
    <t>理事長　小口勝司</t>
  </si>
  <si>
    <t>昭和大学横浜市北部病院　中央監視室</t>
  </si>
  <si>
    <t>神奈川県横浜市都筑区茅ケ崎中央３５－１</t>
  </si>
  <si>
    <t>9：00～17：00</t>
  </si>
  <si>
    <t>018</t>
  </si>
  <si>
    <t>横浜熱供給株式会社</t>
  </si>
  <si>
    <t>横浜市西区北幸二丁目９番１４号　　</t>
  </si>
  <si>
    <t>横浜市西区北幸二丁目９番１４号</t>
  </si>
  <si>
    <t>横浜熱供給株式会社　本社事務室（相鉄本社ビル５階）</t>
  </si>
  <si>
    <t>平日の９：００～１２：００及び１３：００～１７：３０</t>
  </si>
  <si>
    <t>千GJ</t>
  </si>
  <si>
    <t>020</t>
  </si>
  <si>
    <t>株式会社Olympic</t>
  </si>
  <si>
    <t>東京都国分寺市本町４丁目１２番１号</t>
  </si>
  <si>
    <t>代表取締役　　大下内 徹</t>
  </si>
  <si>
    <t>株式会社Olympic　総務部</t>
  </si>
  <si>
    <t>平日　10時～17時</t>
  </si>
  <si>
    <t>022</t>
  </si>
  <si>
    <t>丸全昭和運輸株式会社</t>
  </si>
  <si>
    <t>横浜市中区南仲通２-１５</t>
  </si>
  <si>
    <t>代表取締役社長　岡田　廣次</t>
  </si>
  <si>
    <t>総務部</t>
  </si>
  <si>
    <t>横浜市中区南仲通２－１５</t>
  </si>
  <si>
    <t>平日　９：００～１７:００（１２：００～１３：００を除く）</t>
  </si>
  <si>
    <t>024</t>
  </si>
  <si>
    <t>千代田化工建設株式会社</t>
  </si>
  <si>
    <t>神奈川県横浜市西区みなとみらい四丁目6番2号みなとみらいグランドセントラルタワー</t>
  </si>
  <si>
    <t>代表取締役会長兼社長　榊田　雅和</t>
  </si>
  <si>
    <t>千代田化工建設㈱本社　SQEI部　設備法令・気候変動対応グループ</t>
  </si>
  <si>
    <t>08：00～16：36</t>
  </si>
  <si>
    <t>千kWh</t>
  </si>
  <si>
    <t>025</t>
  </si>
  <si>
    <t>京浜急行バス株式会社</t>
  </si>
  <si>
    <t>神奈川県横浜市西区高島１‐２‐８</t>
  </si>
  <si>
    <t>取締役社長　野村　正人</t>
  </si>
  <si>
    <t>　京浜急行バス株式会社　事業統括部整備課</t>
  </si>
  <si>
    <t>　神奈川県横浜市西区高島１－２－８</t>
  </si>
  <si>
    <t>　９時３０分～１８時１５分</t>
  </si>
  <si>
    <t>千km</t>
  </si>
  <si>
    <t>026</t>
  </si>
  <si>
    <t>太平洋製糖株式会社</t>
  </si>
  <si>
    <t>横浜市鶴見区大黒町13-46</t>
  </si>
  <si>
    <t>代表取締役社長　髙栁　一明</t>
  </si>
  <si>
    <t>神奈川県横浜市鶴見区大黒町13-46</t>
  </si>
  <si>
    <t>太平洋製糖株式会社　本社工場内</t>
  </si>
  <si>
    <t>平日10時～16時</t>
  </si>
  <si>
    <t>027</t>
  </si>
  <si>
    <t>田辺三菱製薬株式会社</t>
  </si>
  <si>
    <t>横浜市青葉区鴨志田町1000</t>
  </si>
  <si>
    <t>大阪市中央区道修町3-2-10</t>
  </si>
  <si>
    <t>028</t>
  </si>
  <si>
    <t>東京レンタル株式会社</t>
  </si>
  <si>
    <t>千葉県佐倉市太田字外野2366-19</t>
  </si>
  <si>
    <t>https://tokyo.jpncat.com/company/profile/</t>
  </si>
  <si>
    <t>029</t>
  </si>
  <si>
    <t>株式会社浅川製作所</t>
  </si>
  <si>
    <t>神奈川県横浜市港北区新羽町１２６１</t>
  </si>
  <si>
    <t>代表取締役社長　浅川　辰彦</t>
  </si>
  <si>
    <t>横浜市港北区新羽町１２６１</t>
  </si>
  <si>
    <t>　本社　総務部</t>
  </si>
  <si>
    <t>　横浜市港北区新羽町１２６１</t>
  </si>
  <si>
    <t>　８：００　～　１６：４５　（大型連休を除く月曜日～金曜日）</t>
  </si>
  <si>
    <t>千ton</t>
  </si>
  <si>
    <t>030</t>
  </si>
  <si>
    <t>三菱地所株式会社</t>
  </si>
  <si>
    <t>東京都千代田区大手町一丁目1番1号</t>
  </si>
  <si>
    <t>横浜ランドマークタワー</t>
  </si>
  <si>
    <t>横浜市西区みなとみらい二丁目２番１号　横浜ランドマークタワー１５階</t>
  </si>
  <si>
    <t>　10：00～17:00</t>
  </si>
  <si>
    <t>031</t>
  </si>
  <si>
    <t>日本発条株式会社</t>
  </si>
  <si>
    <t>神奈川県横浜市金沢区福浦3-10</t>
  </si>
  <si>
    <t>代表取締役社長      茅本　隆司</t>
  </si>
  <si>
    <t>日本発条株式会社　横浜事業所 　技術本部　安全環境部</t>
  </si>
  <si>
    <t>横浜市金沢区福浦３－１０　　電話：045-786-7520</t>
  </si>
  <si>
    <t>平日　9:00～16:00　（要　事前予約）</t>
  </si>
  <si>
    <t>036</t>
  </si>
  <si>
    <t>株式会社Ｊ-オイルミルズ</t>
  </si>
  <si>
    <t>横浜市鶴見区大黒町７番４１号</t>
  </si>
  <si>
    <t>横浜工場　工場長　守屋　健志</t>
  </si>
  <si>
    <t>代表取締役社長　佐藤 達也</t>
  </si>
  <si>
    <t>東京都中央区明石町８番１号　聖路加タワー１７Ｆ～１９Ｆ</t>
  </si>
  <si>
    <t>株式会社Ｊ-オイルミルズ横浜工場　業務課</t>
  </si>
  <si>
    <t>横浜市鶴見区大黒町７番４１号　　　電話045-503-2411</t>
  </si>
  <si>
    <t>月～金　　　09時～16時</t>
  </si>
  <si>
    <t>東京都千代田区二番町8番地8</t>
  </si>
  <si>
    <t>百㎡</t>
  </si>
  <si>
    <t>038</t>
  </si>
  <si>
    <t>藤森工業株式会社</t>
  </si>
  <si>
    <t>横浜市金沢区幸浦1-10-1</t>
  </si>
  <si>
    <t>横浜事業所長　原澤　斉</t>
  </si>
  <si>
    <t>代表取締役社長　布山 英士</t>
  </si>
  <si>
    <t>〒112-0002
東京都文京区小石川一丁目1番1号 文京ガーデン ゲートタワー22階</t>
  </si>
  <si>
    <t>藤森工業株式会社横浜事業所</t>
  </si>
  <si>
    <t>神奈川県横浜市金沢区幸浦１‐１０‐１</t>
  </si>
  <si>
    <t>ＡＭ１１:００　～　ＰＭ５:００</t>
  </si>
  <si>
    <t>039</t>
  </si>
  <si>
    <t>株式会社みずほ銀行</t>
  </si>
  <si>
    <t>東京都千代田区大手町一丁目5番5号</t>
  </si>
  <si>
    <t>取締役頭取  加藤　勝彦</t>
  </si>
  <si>
    <t>加藤　勝彦</t>
  </si>
  <si>
    <t>https://www.mizuho-fg.co.jp/csr/environment/activity/gas.html</t>
  </si>
  <si>
    <t>千m2</t>
  </si>
  <si>
    <t>040</t>
  </si>
  <si>
    <t>社会福祉法人親善福祉協会</t>
  </si>
  <si>
    <t>横浜市泉区西が岡1-28-1</t>
  </si>
  <si>
    <t>理事長　水地　啓子</t>
  </si>
  <si>
    <t>国際親善総合病院</t>
  </si>
  <si>
    <t>13時～16時（土曜・日曜祭日を除く平日）</t>
  </si>
  <si>
    <t>041</t>
  </si>
  <si>
    <t>代表取締役社長　髙橋秀仁</t>
  </si>
  <si>
    <t>神奈川県横浜市神奈川区恵比須町8番地</t>
  </si>
  <si>
    <t>平日　10:00～16:00　（土、日、祝日及び年末年始等の休日は除く）</t>
  </si>
  <si>
    <t>042</t>
  </si>
  <si>
    <t>大和証券オフィス投資法人</t>
  </si>
  <si>
    <t>東京都中央区銀座六丁目2番1号</t>
  </si>
  <si>
    <t>コンカード横浜防災センター</t>
  </si>
  <si>
    <t>横浜市神奈川区金港町3-1</t>
  </si>
  <si>
    <t>千㎡・千ｈ</t>
  </si>
  <si>
    <t>043</t>
  </si>
  <si>
    <t>公立大学法人横浜市立大学</t>
  </si>
  <si>
    <t>神奈川県横浜市金沢区瀬戸22-2</t>
  </si>
  <si>
    <t>理事長　小山内　いづ美</t>
  </si>
  <si>
    <t>横浜市金沢区瀬戸22-2</t>
  </si>
  <si>
    <t>金沢八景キャンパス　総務課（施設担当）</t>
  </si>
  <si>
    <t>10:00から16:00（土日、祝日、年末年始を除く）</t>
  </si>
  <si>
    <t>千m2×年</t>
  </si>
  <si>
    <t>044</t>
  </si>
  <si>
    <t>Ｊ＆Ｔ環境株式会社</t>
  </si>
  <si>
    <t>1号3号</t>
  </si>
  <si>
    <t>横浜市鶴見区弁天町３番地１</t>
  </si>
  <si>
    <t>代表取締役　露口　哲男</t>
  </si>
  <si>
    <t>　本社</t>
  </si>
  <si>
    <t xml:space="preserve">  横浜市鶴見区小野町６１番１号　小野町ビル4F</t>
  </si>
  <si>
    <t>　８：００～１６：４５（土曜日、日曜日、会社の所定休日は除く）</t>
  </si>
  <si>
    <t>千t</t>
  </si>
  <si>
    <t>045</t>
  </si>
  <si>
    <t>株式会社東芝</t>
  </si>
  <si>
    <t>東京都港区芝浦一丁目1番1号</t>
  </si>
  <si>
    <t>代表執行役社長 CEO　島田　太郎</t>
  </si>
  <si>
    <t>東京都港区芝浦一丁目１番１号</t>
  </si>
  <si>
    <t>本社　環境推進室</t>
  </si>
  <si>
    <t>東京都港区芝浦１－１－１　</t>
  </si>
  <si>
    <t>９：００～１７：００</t>
  </si>
  <si>
    <t>046</t>
  </si>
  <si>
    <t>芝浦メカトロニクス株式会社</t>
  </si>
  <si>
    <t>神奈川県横浜市栄区笠間2-5-1</t>
  </si>
  <si>
    <t>代表取締役社長執行役員　今村　圭吾</t>
  </si>
  <si>
    <t>芝浦メカトロニクス㈱横浜事業所</t>
  </si>
  <si>
    <t>横浜市栄区笠間2-5-1</t>
  </si>
  <si>
    <t>億円</t>
  </si>
  <si>
    <t>047</t>
  </si>
  <si>
    <t>第一屋製パン株式会社</t>
  </si>
  <si>
    <t>東京都小平市小川東町3-6-1</t>
  </si>
  <si>
    <t>代表取締役社長　細貝　正統</t>
  </si>
  <si>
    <t>第一屋製パン株式会社　横浜工場</t>
  </si>
  <si>
    <t>横浜市戸塚区平戸町100</t>
  </si>
  <si>
    <t>9:00～17:00</t>
  </si>
  <si>
    <t>千袋</t>
  </si>
  <si>
    <t>050</t>
  </si>
  <si>
    <t>新横浜ステーション開発株式会社</t>
  </si>
  <si>
    <t>横浜市港北区新横浜二丁目4番地1</t>
  </si>
  <si>
    <t>代表取締役社長　藤川　紳　　　</t>
  </si>
  <si>
    <t>代表取締役社長　藤川　紳</t>
  </si>
  <si>
    <t>新横浜中央ビル　地下１階防災センター</t>
  </si>
  <si>
    <t>横浜市港北区新横浜２－１００－４５</t>
  </si>
  <si>
    <t>１１時～１７時</t>
  </si>
  <si>
    <t>051</t>
  </si>
  <si>
    <t>ライフカード株式会社</t>
  </si>
  <si>
    <t>横浜市青葉区荏田西1-3-20</t>
  </si>
  <si>
    <t>東京都港区芝二丁目31番19号　バンザイビル</t>
  </si>
  <si>
    <t>ライフカード株式会社本社内</t>
  </si>
  <si>
    <t>東京都港区芝2丁目31-19　バンザイビル３F　総務部</t>
  </si>
  <si>
    <t>10:00～16:00</t>
  </si>
  <si>
    <t>053</t>
  </si>
  <si>
    <t>株式会社京急百貨店</t>
  </si>
  <si>
    <t>神奈川県横浜市港南区上大岡西１-６-１</t>
  </si>
  <si>
    <t>〒233-8556　神奈川県横浜市港南区上大岡西１-６-１</t>
  </si>
  <si>
    <t>商業棟防災センター</t>
  </si>
  <si>
    <t>営業日の10：00～20：00　※営業時間短縮日は営業終了1時間前まで</t>
  </si>
  <si>
    <t>054</t>
  </si>
  <si>
    <t>三菱重工業株式会社</t>
  </si>
  <si>
    <t>横浜市中区錦町12番地</t>
  </si>
  <si>
    <t>取締役社長　　泉澤　清次</t>
  </si>
  <si>
    <t>東京都千代田区丸の内三丁目２番３号</t>
  </si>
  <si>
    <t>三菱重工業(株)横浜製作所本牧工場受付（本牧エネルギー・環境課）</t>
  </si>
  <si>
    <t>平日　10：00～16：00</t>
  </si>
  <si>
    <t>055</t>
  </si>
  <si>
    <t>みなとみらい二十一熱供給株式会社</t>
  </si>
  <si>
    <t>神奈川県横浜市中区桜木町1-1-45</t>
  </si>
  <si>
    <t>http://www.mm21dhc.co.jp/owner/yck.php</t>
  </si>
  <si>
    <t>061</t>
  </si>
  <si>
    <t>一般財団法人神奈川県警友会</t>
  </si>
  <si>
    <t>神奈川県横浜市中区海岸通2丁目4番</t>
  </si>
  <si>
    <t>神奈川県横浜市西区みなとみらい3丁目7番3号</t>
  </si>
  <si>
    <t>10：00～17：00</t>
  </si>
  <si>
    <t>2022年2月よりEMSを活用した省エネ事業を開始。入院患者数の若干減少。新型コロナの感染防止策としてレストランの時間短縮営業・土日休業とした。</t>
  </si>
  <si>
    <t>062</t>
  </si>
  <si>
    <t>湘南交通株式会社</t>
  </si>
  <si>
    <t>横浜市港南区丸山台1-6-3</t>
  </si>
  <si>
    <t>代表取締役　太田　宏</t>
  </si>
  <si>
    <t>湘南交通株式会社　港南営業所</t>
  </si>
  <si>
    <t>AM9:00～PM4:00</t>
  </si>
  <si>
    <t>万km</t>
  </si>
  <si>
    <t>063</t>
  </si>
  <si>
    <t>ＢＡＳＦジャパン株式会社</t>
  </si>
  <si>
    <t>東京都中央区日本橋室町 3-4-4 
OVOL日本橋ビル3 F</t>
  </si>
  <si>
    <t>代表取締役社長 石田　博基</t>
  </si>
  <si>
    <t>代表取締役社長　石田　博基</t>
  </si>
  <si>
    <t>東京都中央区日本橋室町 3-4-4 OVOL日本橋ビル3 F</t>
  </si>
  <si>
    <t>BASFジャパン株式会社　戸塚事業所　環境安全</t>
  </si>
  <si>
    <t>横浜市戸塚区下倉田町２９６番地</t>
  </si>
  <si>
    <t>8:30～12:00、13:00～17:00(月～金)</t>
  </si>
  <si>
    <t>064</t>
  </si>
  <si>
    <t>学校法人関東学院</t>
  </si>
  <si>
    <t>神奈川県横浜市金沢区六浦東一丁目50番1号</t>
  </si>
  <si>
    <t>理事長　規矩大義</t>
  </si>
  <si>
    <t>関東学院大学　金沢八景キャンパス アネックス棟3階　施設課窓口</t>
  </si>
  <si>
    <t>横浜市金沢区六浦東一丁目50番1号</t>
  </si>
  <si>
    <t>平日　8：30　～　16：30　土曜　8：30　～　12：30</t>
  </si>
  <si>
    <t>065</t>
  </si>
  <si>
    <t>森永製菓株式会社</t>
  </si>
  <si>
    <t>東京都港区芝5-33-1</t>
  </si>
  <si>
    <t>代表取締役社長　太田　栄二郎</t>
  </si>
  <si>
    <t>鶴見工場　設備ｸﾞﾙｰﾌﾟ</t>
  </si>
  <si>
    <t>横浜市鶴見区下末吉2-1-1</t>
  </si>
  <si>
    <t>8：00～16：30　（土･日･祝日は除く）</t>
  </si>
  <si>
    <t>066</t>
  </si>
  <si>
    <t>株式会社三菱ＵＦＪ銀行</t>
  </si>
  <si>
    <t>東京都千代田区丸の内二丁目7番1号</t>
  </si>
  <si>
    <t>代表取締役　半沢　淳一</t>
  </si>
  <si>
    <t>代表取締役 半沢　淳一</t>
  </si>
  <si>
    <t>株式会社三菱ＵＦＪ銀行　本館　総務部総務Gr.</t>
  </si>
  <si>
    <t>銀行営業日の9:00～16:00</t>
  </si>
  <si>
    <t>067</t>
  </si>
  <si>
    <t>田村工業株式会社</t>
  </si>
  <si>
    <t>神奈川県横浜市鶴見区元宮二丁目3番20号</t>
  </si>
  <si>
    <t>代表取締役社長　田村大輔</t>
  </si>
  <si>
    <t>田村工業株式会社　本社工場</t>
  </si>
  <si>
    <t>横浜市鶴見区元宮二丁目3番20号</t>
  </si>
  <si>
    <t>8:00～17:00（土日・祝日・年末年始・GW・夏季休暇を除く）</t>
  </si>
  <si>
    <t>千ｔ</t>
  </si>
  <si>
    <t>068</t>
  </si>
  <si>
    <t>金港交通株式会社</t>
  </si>
  <si>
    <t>横浜市磯子区上町１１－３</t>
  </si>
  <si>
    <t>代表 取 締 役 　関　　裕　之</t>
  </si>
  <si>
    <t xml:space="preserve">    金港交通株式会社</t>
  </si>
  <si>
    <t xml:space="preserve">    代表取締役　関　　裕　之</t>
  </si>
  <si>
    <t xml:space="preserve">    横浜市磯子区上町１１－３</t>
  </si>
  <si>
    <t>　金港交通株式会社　　総務部</t>
  </si>
  <si>
    <t>　横浜市磯子区上町　１１－３</t>
  </si>
  <si>
    <t>　祝日を除く　月曜日～金曜日　午前１０時～午後３時</t>
  </si>
  <si>
    <t>069</t>
  </si>
  <si>
    <t>株式会社日新</t>
  </si>
  <si>
    <t>横浜市中区尾上町6丁目81番地</t>
  </si>
  <si>
    <t>代表取締役社長 筒井 雅洋</t>
  </si>
  <si>
    <t>神奈川県横浜市中区尾上町6丁目81番地</t>
  </si>
  <si>
    <t>人</t>
  </si>
  <si>
    <t>070</t>
  </si>
  <si>
    <t>ＡＧＣ株式会社</t>
  </si>
  <si>
    <t>横浜市鶴見区末広町１-１</t>
  </si>
  <si>
    <t>ＡＧＣ横浜テクニカルセンター 
センター長　井上　滋邦</t>
  </si>
  <si>
    <t>代表取締役　平井　良典</t>
  </si>
  <si>
    <t>東京都千代田区丸の内１丁目５番１号</t>
  </si>
  <si>
    <t>ＡＧＣ横浜テクニカルセンターの保安室</t>
  </si>
  <si>
    <t>横浜市　鶴見区末広町１－１</t>
  </si>
  <si>
    <t>９：００－１７：１５(土日祝除く)</t>
  </si>
  <si>
    <t>071</t>
  </si>
  <si>
    <t>株式会社横浜インポートマート</t>
  </si>
  <si>
    <t>神奈川県横浜市中区新港二丁目２番１号</t>
  </si>
  <si>
    <t>代表取締役社長　大田原　隆広</t>
  </si>
  <si>
    <t>横浜ワールドポーターズ内</t>
  </si>
  <si>
    <t>１０：３０～１７：３０</t>
  </si>
  <si>
    <t>072</t>
  </si>
  <si>
    <t>学校法人神奈川大学</t>
  </si>
  <si>
    <t>横浜市神奈川区六角橋
３丁目２７番１号</t>
  </si>
  <si>
    <t>理事長　石渡　卓</t>
  </si>
  <si>
    <t>横浜市神奈川区六角橋３丁目２７番１号</t>
  </si>
  <si>
    <t>1000㎡</t>
  </si>
  <si>
    <t>073</t>
  </si>
  <si>
    <t>日本たばこ産業株式会社</t>
  </si>
  <si>
    <t>東京都港区虎ノ門４－４－１</t>
  </si>
  <si>
    <t>代表取締役社長　寺畠　正道</t>
  </si>
  <si>
    <t>代表取締役社長　　寺畠　正道</t>
  </si>
  <si>
    <t>東京都港区虎ノ門四丁目４番１号</t>
  </si>
  <si>
    <t>日本たばこ産業株式会社　たばこ中央研究所</t>
  </si>
  <si>
    <t>神奈川県横浜市青葉区梅が丘６番２</t>
  </si>
  <si>
    <t>10:00-16:00</t>
  </si>
  <si>
    <t>074</t>
  </si>
  <si>
    <t>スタジアム交通株式会社</t>
  </si>
  <si>
    <t>横浜市港北区新横浜２丁目１７番２４号</t>
  </si>
  <si>
    <t>代表取締役　尾島　光夫</t>
  </si>
  <si>
    <t>スタジアム交通株式会社　新横浜本社営業所</t>
  </si>
  <si>
    <t>横浜市港北区新横浜２－１７－２４</t>
  </si>
  <si>
    <t>９：００～１５：００</t>
  </si>
  <si>
    <t>075</t>
  </si>
  <si>
    <t>住友電気工業株式会社</t>
  </si>
  <si>
    <t>横浜市栄区田谷町1</t>
  </si>
  <si>
    <t>代表取締役　井上 治</t>
  </si>
  <si>
    <t>大阪市中央区北浜４丁目５番３３号</t>
  </si>
  <si>
    <t>住友電気工業株式会社　横浜製作所　西門　および　安全環境Ｇ</t>
  </si>
  <si>
    <t>８：３０～１７：００　（土・日を除く）</t>
  </si>
  <si>
    <t>1000Hr</t>
  </si>
  <si>
    <t>076</t>
  </si>
  <si>
    <t>オルトヨコハマビジネスセンター管理組合</t>
  </si>
  <si>
    <t>横浜市神奈川区新子安1-2-4</t>
  </si>
  <si>
    <t>理事長　　大江　忠司</t>
  </si>
  <si>
    <t>理事長　大江　忠司</t>
  </si>
  <si>
    <t>オルトヨコハマ防災センター窓口</t>
  </si>
  <si>
    <t>9：00～16：00</t>
  </si>
  <si>
    <t>077</t>
  </si>
  <si>
    <t>株式会社ニコン</t>
  </si>
  <si>
    <t>東京都港区港南二丁目15番3号</t>
  </si>
  <si>
    <t>代表取締役 兼 社長執行役員 馬立　稔和</t>
  </si>
  <si>
    <t>代表取締役 兼 社長執行役員　馬立　稔和</t>
  </si>
  <si>
    <t>http://www.nikon.co.jp/sustainability/environment/data/</t>
  </si>
  <si>
    <t>078</t>
  </si>
  <si>
    <t>東亞合成株式会社</t>
  </si>
  <si>
    <t>神奈川県横浜市鶴見区末広町一丁目７番地</t>
  </si>
  <si>
    <t>代表取締役社長　髙村　美己志</t>
  </si>
  <si>
    <t>〒105-8419　東京都港区西新橋一丁目１４番１号</t>
  </si>
  <si>
    <t>東亞合成株式会社　横浜工場</t>
  </si>
  <si>
    <t>横浜市鶴見区末広町一丁目7番地</t>
  </si>
  <si>
    <t>9：00～16：00(土日、祝日を除く）</t>
  </si>
  <si>
    <t>https://connect.panasonic.com/jp-ja/about/sustainability/environment</t>
  </si>
  <si>
    <t>082</t>
  </si>
  <si>
    <t>ジャパンマリンユナイテッド株式会社</t>
  </si>
  <si>
    <t>神奈川県横浜市西区みなとみらい
四丁目4番2号　横浜ブル－アベニュ－</t>
  </si>
  <si>
    <t>神奈川県横浜市西区みなとみらい四丁目4番2号横浜ブル－アベニュ－</t>
  </si>
  <si>
    <t>ジャパンマリンユナイテッド株式会社　横浜事業所</t>
  </si>
  <si>
    <t>神奈川県横浜市磯子区新杉田町12番地</t>
  </si>
  <si>
    <t>平日08:00～12:00　13:00～17:00</t>
  </si>
  <si>
    <t>083</t>
  </si>
  <si>
    <t>株式会社ブリヂストン</t>
  </si>
  <si>
    <t>東京都中央区京橋三丁目１番１号</t>
  </si>
  <si>
    <t>代表者　石橋　秀一</t>
  </si>
  <si>
    <t>代表者　石橋 秀一</t>
  </si>
  <si>
    <t>横浜市戸塚区柏尾町１番地</t>
  </si>
  <si>
    <t>　横浜市戸塚区柏尾町１番地</t>
  </si>
  <si>
    <t>　９：００～１６：００（昼休みを除く）</t>
  </si>
  <si>
    <t>100t</t>
  </si>
  <si>
    <t>084</t>
  </si>
  <si>
    <t>イオンリテール株式会社</t>
  </si>
  <si>
    <t>神奈川県横浜市神奈川区富家町1-1</t>
  </si>
  <si>
    <t>南関東カンパニー　人事総務部長　
広澤　章</t>
  </si>
  <si>
    <t>代表取締役  井出　武美</t>
  </si>
  <si>
    <t>千葉県千葉市美浜区中瀬一丁目5番地1</t>
  </si>
  <si>
    <t>①イオン金沢シ－サイド店②駒岡店③横浜新吉田店各サ－ビスカウンタ－</t>
  </si>
  <si>
    <t>①金沢区並木2-13-1　②鶴見区駒岡町5-6-1　③港北区新吉田東8-49-1</t>
  </si>
  <si>
    <t>各店：午前10時～午後6時</t>
  </si>
  <si>
    <t>085</t>
  </si>
  <si>
    <t>オリックス自動車株式会社</t>
  </si>
  <si>
    <t>東京都港区芝３丁目２２番８号</t>
  </si>
  <si>
    <t>代表取締役　　上谷内　祐二</t>
  </si>
  <si>
    <t>代表取締役　上谷内　祐二</t>
  </si>
  <si>
    <t>東京都港区芝3丁目22番8号</t>
  </si>
  <si>
    <t>https://www.orix.co.jp/grp/company/sustainability/environment/data.html</t>
  </si>
  <si>
    <t>088</t>
  </si>
  <si>
    <t>東京都新宿区富久町13番15号</t>
  </si>
  <si>
    <t>わらべや日洋食品株式会社</t>
  </si>
  <si>
    <t>東京都新宿区富久町13番19号</t>
  </si>
  <si>
    <t>横浜工場</t>
  </si>
  <si>
    <t>横浜市都筑区川和町752</t>
  </si>
  <si>
    <t>10時～15時</t>
  </si>
  <si>
    <t>代表取締役　宮原　漢二</t>
  </si>
  <si>
    <t>本社　受付</t>
  </si>
  <si>
    <t>台</t>
  </si>
  <si>
    <t>090</t>
  </si>
  <si>
    <t>株式会社相鉄アーバンクリエイツ</t>
  </si>
  <si>
    <t>神奈川県横浜市西区南幸二丁目1番22号</t>
  </si>
  <si>
    <t>株式会社相鉄アーバンクリエイツ　本社</t>
  </si>
  <si>
    <t>横浜市西区南幸二丁目１番２２号</t>
  </si>
  <si>
    <t>９時３０分～１７時３０分</t>
  </si>
  <si>
    <t>091</t>
  </si>
  <si>
    <t>株式会社ロイヤルパークホテルズアンドリゾーツ</t>
  </si>
  <si>
    <t>東京都千代田区大手町2-7-1  TOKIWAブリッジ9階</t>
  </si>
  <si>
    <t>取締役社長　水村 慎也</t>
  </si>
  <si>
    <t>取締役社長　　水村 慎也</t>
  </si>
  <si>
    <t>横浜ロイヤルパークホテル　総合企画部施設管理課</t>
  </si>
  <si>
    <t>横浜市西区みなとみらい２－２－１</t>
  </si>
  <si>
    <t>　09:00～17:00</t>
  </si>
  <si>
    <t>092</t>
  </si>
  <si>
    <t>国立研究開発法人水産研究・教育機構</t>
  </si>
  <si>
    <t>神奈川県横浜市神奈川区新浦島町1-1-25
テクノウェイブ100　6階</t>
  </si>
  <si>
    <t>理事長　中山　一郎</t>
  </si>
  <si>
    <t>https://www.fra.affrc.go.jp/kitei/kiteiindex.html</t>
  </si>
  <si>
    <t>千㎡×百人</t>
  </si>
  <si>
    <t>093</t>
  </si>
  <si>
    <t>ボッシュ株式会社</t>
  </si>
  <si>
    <t>東京都渋谷区渋谷3-6-7</t>
  </si>
  <si>
    <t>代表取締役社長　クラウス・メーダー</t>
  </si>
  <si>
    <t>横浜事務所　受付（EHSマネージメントグループへ連絡ください）</t>
  </si>
  <si>
    <t>横浜市都筑区牛久保3-9-1</t>
  </si>
  <si>
    <t>10:00～15:00</t>
  </si>
  <si>
    <t>094</t>
  </si>
  <si>
    <t>株式会社野村総合研究所</t>
  </si>
  <si>
    <t>東京都千代田区大手町１－９－２</t>
  </si>
  <si>
    <t>代表取締役会長 兼 社長　此本臣吾</t>
  </si>
  <si>
    <t>東京都千代田区大手町1-9-2</t>
  </si>
  <si>
    <t>東京都千代田区大手町1-9-2　大手町フィナンシャルシティ　グランキューブ</t>
  </si>
  <si>
    <t>9:00～17:00 （土、日、祝日、年末年始を除く）</t>
  </si>
  <si>
    <t>095</t>
  </si>
  <si>
    <t>野村不動産熱供給株式会社</t>
  </si>
  <si>
    <t>神奈川県横浜市保土ヶ谷区神戸町１３４番地</t>
  </si>
  <si>
    <t>技術部</t>
  </si>
  <si>
    <t>神奈川県横浜市保土ヶ谷区神戸町１３４番地（プレッツォ4階）</t>
  </si>
  <si>
    <t>月曜日から金曜日まで（国民の祝日・年末年始は除く）
９時００分から１７時４０分まで</t>
  </si>
  <si>
    <t>TJ</t>
  </si>
  <si>
    <t>096</t>
  </si>
  <si>
    <t>横浜市鶴見区鶴見二丁目１番３号
鶴見大学内</t>
  </si>
  <si>
    <t>学校法人 総持学園</t>
  </si>
  <si>
    <t>理事長　渡辺 啓司</t>
  </si>
  <si>
    <t>横浜市鶴見区鶴見二丁目１番３号鶴見大学内</t>
  </si>
  <si>
    <t>法人財務部管財課</t>
  </si>
  <si>
    <t>横浜市鶴見区鶴見二丁目１番３号鶴見大学内
２号館２階管財課</t>
  </si>
  <si>
    <t>8：50～16：50</t>
  </si>
  <si>
    <t>097</t>
  </si>
  <si>
    <t>ニチアス株式会社</t>
  </si>
  <si>
    <t>横浜市鶴見区大黒町１－７０
ニチアス㈱　鶴見工場</t>
  </si>
  <si>
    <t>工場長　井嶋　茂人</t>
  </si>
  <si>
    <t>東京都中央区八丁堀一丁目６番１号</t>
  </si>
  <si>
    <t>鶴見工場　技術課</t>
  </si>
  <si>
    <t>横浜市鶴見区大黒町１－７０</t>
  </si>
  <si>
    <t>８：００～１７：００</t>
  </si>
  <si>
    <t>099</t>
  </si>
  <si>
    <t>株式会社東急百貨店</t>
  </si>
  <si>
    <t>東京都渋谷区道玄坂二丁目24番1号</t>
  </si>
  <si>
    <t>取締役社長執行役員　　大石　次則</t>
  </si>
  <si>
    <t>取締役社長執行役員　大石　次則</t>
  </si>
  <si>
    <t>株式会社　東急百貨店　本店</t>
  </si>
  <si>
    <t>10:00～18:00</t>
  </si>
  <si>
    <t>千㎡×千h</t>
  </si>
  <si>
    <t>100</t>
  </si>
  <si>
    <t>太陽油脂株式会社</t>
  </si>
  <si>
    <t>神奈川県横浜市神奈川区守屋町2-7</t>
  </si>
  <si>
    <t>代表取締役社長　中山　悟　</t>
  </si>
  <si>
    <t>代表取締役社長　中山　悟</t>
  </si>
  <si>
    <t>工場事務所（施設グループ）</t>
  </si>
  <si>
    <t>横浜市神奈川区守屋町2-7</t>
  </si>
  <si>
    <t>　9：00～16：00　（工場稼動日）</t>
  </si>
  <si>
    <t>101</t>
  </si>
  <si>
    <t>国際埠頭株式会社</t>
  </si>
  <si>
    <t>横浜市中区豊浦町3番地</t>
  </si>
  <si>
    <t>国際埠頭(株)本社事務所経営企画グループ環境・安全チーム</t>
  </si>
  <si>
    <t>平日（月～金）09:00～17:00</t>
  </si>
  <si>
    <t>千トン</t>
  </si>
  <si>
    <t>102</t>
  </si>
  <si>
    <t>株式会社トヨタレンタリース横浜</t>
  </si>
  <si>
    <t>横浜市西区花咲町7丁目150番地</t>
  </si>
  <si>
    <t>代表取締役 松浦良彦</t>
  </si>
  <si>
    <t>代表取締役　松浦良彦</t>
  </si>
  <si>
    <t>横浜市西区花咲町７丁目150番地</t>
  </si>
  <si>
    <t>平日9：00～17：00</t>
  </si>
  <si>
    <t>105</t>
  </si>
  <si>
    <t>株式会社キョクレイ</t>
  </si>
  <si>
    <t>神奈川県横浜市中区本牧ふ頭8番地110</t>
  </si>
  <si>
    <t>代表取締役社長　堀内　博文</t>
  </si>
  <si>
    <t>キョクレイ本社(本牧ＤＣ事務棟4階)
本牧ＤＣ(事務棟１階受付)／大黒ＤＣ事務所２階受付</t>
  </si>
  <si>
    <t>本社(本牧ＤＣ事務棟4階)：神奈川県横浜市本牧ふ頭8番地110
大黒ＤＣ：神奈川県横浜市鶴見区大黒ふ頭15番地</t>
  </si>
  <si>
    <t>９:００ ～ １７:００</t>
  </si>
  <si>
    <t>107</t>
  </si>
  <si>
    <t>学校法人玉川学園</t>
  </si>
  <si>
    <t>東京都町田市玉川学園六丁目一番一号</t>
  </si>
  <si>
    <t>理事長　小原芳明</t>
  </si>
  <si>
    <t>総務部　管財課</t>
  </si>
  <si>
    <t>8:30～17:30（土日祝祭日は除く）</t>
  </si>
  <si>
    <t>109</t>
  </si>
  <si>
    <t>ゆめおおおか管理組合</t>
  </si>
  <si>
    <t>神奈川県横浜市港南区
上大岡西１－６－１</t>
  </si>
  <si>
    <t>理事長　横尾　直樹</t>
  </si>
  <si>
    <t>神奈川県横浜市港南区上大岡西１－６－１</t>
  </si>
  <si>
    <t>ゆめおおおかオフィスタワー20F　横浜市住宅供給公社窓口</t>
  </si>
  <si>
    <t>112</t>
  </si>
  <si>
    <t>オリックス不動産投資法人</t>
  </si>
  <si>
    <t>東京都港区浜松町2丁目3番1号</t>
  </si>
  <si>
    <t>執行役員　三浦　洋</t>
  </si>
  <si>
    <t>執行役員 三浦　洋</t>
  </si>
  <si>
    <t>クロスゲート　B1　防災センター</t>
  </si>
  <si>
    <t>横浜市中区桜木町一丁目１０１番地１</t>
  </si>
  <si>
    <t>9：00～18：00</t>
  </si>
  <si>
    <t>113</t>
  </si>
  <si>
    <t>東洋電機製造株式会社</t>
  </si>
  <si>
    <t>東京都中央区八重洲1-4-16</t>
  </si>
  <si>
    <t>代表取締役　渡部　朗</t>
  </si>
  <si>
    <t>横浜製作所</t>
  </si>
  <si>
    <t>横浜市金沢区福浦3-8</t>
  </si>
  <si>
    <t>8：45～17：15（平日）</t>
  </si>
  <si>
    <t>114</t>
  </si>
  <si>
    <t>株式会社東横イン</t>
  </si>
  <si>
    <t>東京都大田区新蒲田1丁目7番4号</t>
  </si>
  <si>
    <t>代表執行役社長　黒田 麻衣子</t>
  </si>
  <si>
    <t>代表執行役社長　黒田麻衣子</t>
  </si>
  <si>
    <t>株式会社東横イン 環境エネルギー研究所</t>
  </si>
  <si>
    <t>平日　10：00～17：00（祝日を除く）</t>
  </si>
  <si>
    <t>千室あたり
の稼働室</t>
  </si>
  <si>
    <t>115</t>
  </si>
  <si>
    <t>富士通株式会社</t>
  </si>
  <si>
    <t>神奈川県川崎市中原区上小田中4-1-1</t>
  </si>
  <si>
    <t>代表取締役社長　時田隆仁</t>
  </si>
  <si>
    <t>神奈川県川崎市中原区上小田中４－１－１</t>
  </si>
  <si>
    <t>横浜港北システムセンター1階受付</t>
  </si>
  <si>
    <t>横浜市都筑区桜並木1-1横浜ダイヤビル港北館</t>
  </si>
  <si>
    <t>平日9時～17時迄</t>
  </si>
  <si>
    <t>t-CO2</t>
  </si>
  <si>
    <t>117</t>
  </si>
  <si>
    <t>株式会社京三製作所</t>
  </si>
  <si>
    <t>横浜市鶴見区平安町二丁目29番地の1</t>
  </si>
  <si>
    <t>代表取締役　國澤　良治</t>
  </si>
  <si>
    <t>本社　施設・安全管理部</t>
  </si>
  <si>
    <t>横浜市鶴見区平安町二丁目29番地の１</t>
  </si>
  <si>
    <t>営業日　9:00～16:00（土日祝日を除く）</t>
  </si>
  <si>
    <t>118</t>
  </si>
  <si>
    <t>ジャパンリアルエステイト投資法人</t>
  </si>
  <si>
    <t>東京都千代田区大手町一丁目１番１号</t>
  </si>
  <si>
    <t>ジャパンリアルエステイト投資法人　事務所</t>
  </si>
  <si>
    <t>東京都千代田区大手町一丁目１番１号　大手町パークビル</t>
  </si>
  <si>
    <t>１０：００～１７：００</t>
  </si>
  <si>
    <t>119</t>
  </si>
  <si>
    <t>株式会社ニップン</t>
  </si>
  <si>
    <t>東京都千代田区麹町４丁目８番地</t>
  </si>
  <si>
    <t>代表取締役社長　前鶴　俊哉</t>
  </si>
  <si>
    <t>神奈川県横浜市神奈川区千若町2-1</t>
  </si>
  <si>
    <t>照明設備を高効率照明に変更</t>
  </si>
  <si>
    <t>120</t>
  </si>
  <si>
    <t>相鉄ローゼン株式会社</t>
  </si>
  <si>
    <t>横浜市西区北幸二丁目9番14号</t>
  </si>
  <si>
    <t>代表取締役社長　曽我　清隆</t>
  </si>
  <si>
    <t>相鉄ローゼン株式会社　本社</t>
  </si>
  <si>
    <t>横浜市西区北幸二丁目９番１４号　相鉄本社ビル４階</t>
  </si>
  <si>
    <t>平日（月曜日から金曜日）　９時３０分から１８時２０分まで</t>
  </si>
  <si>
    <t>122</t>
  </si>
  <si>
    <t>横浜市場冷蔵株式会社</t>
  </si>
  <si>
    <t>横浜市神奈川区山内町1-1</t>
  </si>
  <si>
    <t>代表取締役社長　　善福　伸一</t>
  </si>
  <si>
    <t>代表取締役社長　善福　伸一</t>
  </si>
  <si>
    <t>横浜市場冷蔵株式会社　総務部総務課</t>
  </si>
  <si>
    <t>平日8:30～16：30</t>
  </si>
  <si>
    <t>123</t>
  </si>
  <si>
    <t>株式会社IHI</t>
  </si>
  <si>
    <t>神奈川県　横浜市　磯子区　新中原町1番地</t>
  </si>
  <si>
    <t>代表取締役社長　井手　博</t>
  </si>
  <si>
    <t>東京都江東区豊洲三丁目1番1号豊洲IHIビル</t>
  </si>
  <si>
    <t>横浜事業所　総務部</t>
  </si>
  <si>
    <t>神奈川県横浜市磯子区新中原町1番地</t>
  </si>
  <si>
    <t>営業日8:30～17:30</t>
  </si>
  <si>
    <t>124</t>
  </si>
  <si>
    <t>株式会社ダスキン</t>
  </si>
  <si>
    <t>大阪府吹田市豊津町1-33</t>
  </si>
  <si>
    <t>代表取締役　大久保　裕行</t>
  </si>
  <si>
    <t>http://www.duskin.co.jp/csr/ecology/regulation/index.html</t>
  </si>
  <si>
    <t>125</t>
  </si>
  <si>
    <t>高梨乳業株式会社</t>
  </si>
  <si>
    <t>神奈川県横浜市旭区本宿町５番地</t>
  </si>
  <si>
    <t>高梨乳業株式会社　企画センター</t>
  </si>
  <si>
    <t>横浜市保土ヶ谷区神戸町１３４　ＹＢＰイーストタワー　１３Ｆ</t>
  </si>
  <si>
    <t>月曜日から金曜日まで（国民の祝日・年末年始は除く）
午前10：00～12：00、午後1：00～5：00</t>
  </si>
  <si>
    <t>126</t>
  </si>
  <si>
    <t>社会福祉法人恩賜財団済生会</t>
  </si>
  <si>
    <t>神奈川県横浜市神奈川区西神奈川1-13-10</t>
  </si>
  <si>
    <t>支部神奈川県済生会 支部長　赤星　透</t>
  </si>
  <si>
    <t>理事長　炭谷　茂</t>
  </si>
  <si>
    <t>東京都港区三田1丁目4番28号 三田国際ビルヂング21階</t>
  </si>
  <si>
    <t>神奈川県済生会（個別票に記載の各事業所においても閲覧可）</t>
  </si>
  <si>
    <t>横浜市神奈川区西神奈川1-13-10
（各事業所において閲覧の場合は、個別票記載の所在地住所参照）</t>
  </si>
  <si>
    <t>AM10～PM12時、PM1時～4時迄</t>
  </si>
  <si>
    <t>129</t>
  </si>
  <si>
    <t>川崎市川崎区扇島1番地1号</t>
  </si>
  <si>
    <t>JFEスチール株式会社</t>
  </si>
  <si>
    <t>東日本製鉄所(京浜地区)　
専務執行役員　地区所長　古米 孝行</t>
  </si>
  <si>
    <t>代表取締役社長　北野 嘉久</t>
  </si>
  <si>
    <t>東京都千代田区内幸町二丁目2番3号</t>
  </si>
  <si>
    <t>アメニティホール</t>
  </si>
  <si>
    <t>９～１７時</t>
  </si>
  <si>
    <t>130</t>
  </si>
  <si>
    <t>株式会社横浜ベイホテル東急</t>
  </si>
  <si>
    <t>神奈川県横浜市西区みなとみらい
2丁目3番7号</t>
  </si>
  <si>
    <t>代表取締役　　飯塚　雅人</t>
  </si>
  <si>
    <t>神奈川県横浜市西区みなとみらい2丁目3番7号</t>
  </si>
  <si>
    <t>フロントカウンターで閲覧(事前に連絡のこと)</t>
  </si>
  <si>
    <t>133</t>
  </si>
  <si>
    <t>株式会社ＤＮＰテクノパック</t>
  </si>
  <si>
    <t>横浜市都筑区池辺町3500番地</t>
  </si>
  <si>
    <t>横浜工場長　谷古宇　学</t>
  </si>
  <si>
    <t>代表取締役　鈴木　康仁</t>
  </si>
  <si>
    <t>株式会社ＤＮＰテクノパック　横浜工場　総務課</t>
  </si>
  <si>
    <t>14:00～16:00（土日、祝日は除く）
＊申込は閲覧希望日の2日前でお願いします</t>
  </si>
  <si>
    <t>134</t>
  </si>
  <si>
    <t>東京都中央区銀座六丁目15番地1号</t>
  </si>
  <si>
    <t>電源開発株式会社</t>
  </si>
  <si>
    <t>東京都中央区銀座六丁目15番1号</t>
  </si>
  <si>
    <t>電源開発株式会社　磯子火力発電所　PR館</t>
  </si>
  <si>
    <t>横浜市磯子区新磯子町37番の2</t>
  </si>
  <si>
    <t>10:00～16:30(日曜日休館)</t>
  </si>
  <si>
    <t>GWh</t>
  </si>
  <si>
    <t>136</t>
  </si>
  <si>
    <t>国立大学法人東京工業大学</t>
  </si>
  <si>
    <t>東京都目黒区大岡山二丁目１２番１号</t>
  </si>
  <si>
    <t xml:space="preserve">学長　益　一哉　 </t>
  </si>
  <si>
    <t xml:space="preserve">学長　益　一哉 </t>
  </si>
  <si>
    <t>・新型コロナウィルス感染拡大防止対策による一部遠隔授業等
・節電と省エネガイドラインによる全学的省エネ推進
・高効率機器への更新等</t>
  </si>
  <si>
    <t>137</t>
  </si>
  <si>
    <t>株式会社横浜都市みらい</t>
  </si>
  <si>
    <t>横浜市都筑区荏田東四丁目10番4号</t>
  </si>
  <si>
    <t>代表取締役社長　椿　真吾</t>
  </si>
  <si>
    <t>営業日の午前9時30分～午後5時00分</t>
  </si>
  <si>
    <t>139</t>
  </si>
  <si>
    <t>学校法人聖マリアンナ医科大学</t>
  </si>
  <si>
    <t>神奈川県川崎市宮前区菅生２-１６-１</t>
  </si>
  <si>
    <t>理事長　明石　勝也</t>
  </si>
  <si>
    <t>横浜市西部病院内　総務課</t>
  </si>
  <si>
    <t>横浜市旭区矢指町1197-1</t>
  </si>
  <si>
    <t>午前９時～午後４時</t>
  </si>
  <si>
    <t>140</t>
  </si>
  <si>
    <t>学校法人慶應義塾</t>
  </si>
  <si>
    <t>東京都港区三田二丁目１５番４５号</t>
  </si>
  <si>
    <t>理事長　伊藤　公平</t>
  </si>
  <si>
    <t>日吉キャンパス事務センター</t>
  </si>
  <si>
    <t>神奈川県横浜市港北区日吉四丁目１番１号</t>
  </si>
  <si>
    <t>９：００～１６：００（平日のみ）</t>
  </si>
  <si>
    <t>141</t>
  </si>
  <si>
    <t>ＪＦＥエンジニアリング株式会社</t>
  </si>
  <si>
    <t>横浜市鶴見区末広町二丁目１番地</t>
  </si>
  <si>
    <t>横浜本社　常務執行役員  藤森  拓也</t>
  </si>
  <si>
    <t>代表取締役社長  大下  元</t>
  </si>
  <si>
    <t>東京都千代田区内幸町二丁目２番３号</t>
  </si>
  <si>
    <t>JFEエンジニアリング(株)横浜本社　総務部 不動産・施設管理室</t>
  </si>
  <si>
    <t>９：００ ～ １６：００（稼働日に限る）</t>
  </si>
  <si>
    <t>千人</t>
  </si>
  <si>
    <t>143</t>
  </si>
  <si>
    <t>相鉄ホテル株式会社</t>
  </si>
  <si>
    <t>神奈川県横浜市西区
北幸一丁目3番23号</t>
  </si>
  <si>
    <t>代表取締役社長　加藤　尊正</t>
  </si>
  <si>
    <t>神奈川県横浜市西区北幸一丁目3番23号</t>
  </si>
  <si>
    <t>相鉄ホテル株式会社運営管理部施設</t>
  </si>
  <si>
    <t>神奈川県横浜市西区北幸一丁目3番23号
　　　　　　横浜ﾍﾞｲｼｪﾗﾄﾝ ﾎﾃﾙ&amp;ﾀﾜｰｽﾞ7F　運営管理部施設</t>
  </si>
  <si>
    <t>　9:00～18:00</t>
  </si>
  <si>
    <t>144</t>
  </si>
  <si>
    <t>東急バス株式会社</t>
  </si>
  <si>
    <t>東京都目黒区東山三丁目８番１号</t>
  </si>
  <si>
    <t>取締役社長　古川　卓</t>
  </si>
  <si>
    <t>東急バス株式会社　本社　（サステナブル推進部）</t>
  </si>
  <si>
    <t>東京都目黒区東山３－８－１　東急池尻大橋ビル４Ｆ</t>
  </si>
  <si>
    <t>平日　9時30分～12時30分／13時15分～18時10分</t>
  </si>
  <si>
    <t>148</t>
  </si>
  <si>
    <t>日揮ホールディングス株式会社</t>
  </si>
  <si>
    <t>横浜市西区みなとみらい2-3-1</t>
  </si>
  <si>
    <t>代表取締役社長　石塚　忠</t>
  </si>
  <si>
    <t>神奈川県横浜市西区みなとみらい２－３－１</t>
  </si>
  <si>
    <t>日揮ホールディングス横浜本社内　地下2階　環境センター</t>
  </si>
  <si>
    <t>横浜市西区みなとみらい2－3－1</t>
  </si>
  <si>
    <t>10:00～17:00　(土日祝日を除く)</t>
  </si>
  <si>
    <t>千ｍ2</t>
  </si>
  <si>
    <t>149</t>
  </si>
  <si>
    <t>株式会社トヨタオートモールクリエイト</t>
  </si>
  <si>
    <t xml:space="preserve">愛知県名古屋市中村区平池町四丁目60番地12 </t>
  </si>
  <si>
    <t>代表取締役社長　河合　利夫</t>
  </si>
  <si>
    <t>トレッサ横浜　サポートセンター</t>
  </si>
  <si>
    <t>神奈川県横浜市港北区師岡町700番地</t>
  </si>
  <si>
    <t>10:00～19：00</t>
  </si>
  <si>
    <t>150</t>
  </si>
  <si>
    <t>東京ガス株式会社</t>
  </si>
  <si>
    <t>東京都港区海岸１－５－２０</t>
  </si>
  <si>
    <t>https://tokyo-gas.disclosure.site/ja/themes/131</t>
  </si>
  <si>
    <t>151</t>
  </si>
  <si>
    <t>イッツ・コミュニケーションズ株式会社</t>
  </si>
  <si>
    <t>東京都渋谷区南平台町５番６号</t>
  </si>
  <si>
    <t>東京都世田谷区用賀４丁目１０－１　世田谷ビジネススクエア</t>
  </si>
  <si>
    <t>神奈川県川崎市高津区久本3-5-7 新溝ノ口ビル</t>
  </si>
  <si>
    <t>イッツ・コミュニケーションズ株式会社　溝ノ口事務所</t>
  </si>
  <si>
    <t>9:30-17:00</t>
  </si>
  <si>
    <t>100㎡</t>
  </si>
  <si>
    <t>153</t>
  </si>
  <si>
    <t>横浜新都市センター株式会社</t>
  </si>
  <si>
    <t>神奈川県横浜市西区高島二丁目12番6号</t>
  </si>
  <si>
    <t>取締役社長　原田　一之</t>
  </si>
  <si>
    <t>横浜新都市センター本社</t>
  </si>
  <si>
    <t>平日9:15～17:45（土日祝日ならびに年末年始を除く）</t>
  </si>
  <si>
    <t>155</t>
  </si>
  <si>
    <t>鈴江コーポレーション株式会社</t>
  </si>
  <si>
    <t>神奈川県横浜市中区日本大通７番地</t>
  </si>
  <si>
    <t>代表取締役　田留　晏</t>
  </si>
  <si>
    <t>鈴江コーポレーション㈱　本社　管理本部　総務部　総務・法務課</t>
  </si>
  <si>
    <t>横浜市中区日本大通７番地</t>
  </si>
  <si>
    <t>午前９時～午後５時（祝日を除く月曜日から金曜日）</t>
  </si>
  <si>
    <t>157</t>
  </si>
  <si>
    <t>国立大学法人横浜国立大学</t>
  </si>
  <si>
    <t>神奈川県横浜市保土ケ谷区常盤台79－1</t>
  </si>
  <si>
    <t>学長　梅原　出</t>
  </si>
  <si>
    <t>http://shisetsu.ynu.ac.jp/gakugai/shisetsu/4kan_mane/ondanka/ondanka/ondankataisaku.html</t>
  </si>
  <si>
    <t>159</t>
  </si>
  <si>
    <t>SMBC日興証券株式会社</t>
  </si>
  <si>
    <t>鶴見日興ビル　中央監視盤室</t>
  </si>
  <si>
    <t>神奈川県横浜市鶴見区大東町12-12　鶴見日興ビル運用棟１階</t>
  </si>
  <si>
    <t xml:space="preserve"> 9:00～17:00</t>
  </si>
  <si>
    <t>160</t>
  </si>
  <si>
    <t>日興システムソリューションズ株式会社</t>
  </si>
  <si>
    <t>神奈川県横浜市鶴見区大東町12-1</t>
  </si>
  <si>
    <t>取締役社長　岩田　滋</t>
  </si>
  <si>
    <t xml:space="preserve">  9:00～17:00</t>
  </si>
  <si>
    <t>161</t>
  </si>
  <si>
    <t>生活協同組合ユーコープ</t>
  </si>
  <si>
    <t>2号3号</t>
  </si>
  <si>
    <t>横浜市中区桜木町１－１－８
日石横浜ビル</t>
  </si>
  <si>
    <t>代表理事理事長　當具　伸一</t>
  </si>
  <si>
    <t>横浜市中区桜木町１－１－８　日石横浜ビル</t>
  </si>
  <si>
    <t>9:00－17:30　閲覧希望の場合は事前にご連絡ください。(045-305-6115)</t>
  </si>
  <si>
    <t>千ｋｍ</t>
  </si>
  <si>
    <t>163</t>
  </si>
  <si>
    <t>横浜市交通局</t>
  </si>
  <si>
    <t>神奈川県横浜市中区本町６丁目50番地の10</t>
  </si>
  <si>
    <t>横浜市交通事業管理者 三村　庄一</t>
  </si>
  <si>
    <t>横浜市交通事業管理者　三村　庄一</t>
  </si>
  <si>
    <t>https://www.city.yokohama.lg.jp/kotsu/kigyo/anzen/sonotataisaku.html</t>
  </si>
  <si>
    <t>164</t>
  </si>
  <si>
    <t>オニキス・リアルティ有限会社</t>
  </si>
  <si>
    <t>東京都中央区日本橋一丁目４番１号
日本橋一丁目ビルディング</t>
  </si>
  <si>
    <t>取締役　三品　貴仙</t>
  </si>
  <si>
    <t>東京都中央区日本橋一丁目４番１号　日本橋一丁目ビルディング</t>
  </si>
  <si>
    <t>ノースポート・モール　防災センター受付</t>
  </si>
  <si>
    <t>神奈川県横浜市都筑区中川中央1-25-１</t>
  </si>
  <si>
    <t>165</t>
  </si>
  <si>
    <t>ユニー株式会社</t>
  </si>
  <si>
    <t>愛知県稲沢市天池五反田町1番地</t>
  </si>
  <si>
    <t>代表取締役社長　関口　憲司</t>
  </si>
  <si>
    <t>アピタ戸塚店・アピタ長津田店のサ-ビスカウンタ－</t>
  </si>
  <si>
    <t>戸塚区上倉田町７６９番１号・緑区長津田みなみ台４－７－１</t>
  </si>
  <si>
    <t>各店の営業時間内</t>
  </si>
  <si>
    <t>166</t>
  </si>
  <si>
    <t>髙田工業株式会社</t>
  </si>
  <si>
    <t>横浜市中区豊浦町2番地3</t>
  </si>
  <si>
    <t>代表取締役社長執行役員　松山　静夫</t>
  </si>
  <si>
    <t>神奈川県横浜市中区豊浦町2番地3</t>
  </si>
  <si>
    <t>https://takada-industries.com/sustainability/</t>
  </si>
  <si>
    <t>167</t>
  </si>
  <si>
    <t>株式会社ルネサンス</t>
  </si>
  <si>
    <t>東京都墨田区両国2-10-14両国シティコア3F</t>
  </si>
  <si>
    <t>代表取締役社長執行役員　岡本利治</t>
  </si>
  <si>
    <t>http://www.s-renaissance.co.jp/corp/IR/index.html</t>
  </si>
  <si>
    <t>168</t>
  </si>
  <si>
    <t>富士ソフト株式会社</t>
  </si>
  <si>
    <t>神奈川県横浜市中区桜木町1-1</t>
  </si>
  <si>
    <t>代表取締役 社長執行役員 坂下 智保</t>
  </si>
  <si>
    <t>代表取締役 社長執行役員　坂下　智保</t>
  </si>
  <si>
    <t>09：00　～　17：30</t>
  </si>
  <si>
    <t>169</t>
  </si>
  <si>
    <t>株式会社アイネット</t>
  </si>
  <si>
    <t>横浜市西区みなとみらい3-3-1
三菱重工横浜ビル23階</t>
  </si>
  <si>
    <t>横浜市西区みなとみらい3-3-1　三菱重工横浜ビル23階</t>
  </si>
  <si>
    <t>株式会社アイネット　本社</t>
  </si>
  <si>
    <t>10：00～17：00（土・日・祝日除く）</t>
  </si>
  <si>
    <t>170</t>
  </si>
  <si>
    <t>林精鋼株式会社</t>
  </si>
  <si>
    <t>横浜市戸塚区戸塚町407</t>
  </si>
  <si>
    <t>取締役　工場長　野﨑　周作</t>
  </si>
  <si>
    <t>代表取締役　社長　林　幹也</t>
  </si>
  <si>
    <t>東京都大田区東六郷2-8-3</t>
  </si>
  <si>
    <t>林精鋼株式会社　戸塚第1工場</t>
  </si>
  <si>
    <t>神奈川県横浜市戸塚区戸塚町407</t>
  </si>
  <si>
    <t>08:00～17:00</t>
  </si>
  <si>
    <t>171</t>
  </si>
  <si>
    <t>東京都豊島区南池袋一丁目16番15号</t>
  </si>
  <si>
    <t>取締役社長　齊藤 朝秀</t>
  </si>
  <si>
    <t>株式会社西武リアルティソリューションズ</t>
  </si>
  <si>
    <t>10:00～17:00</t>
  </si>
  <si>
    <t>2019年2月以降新型コロナウイルスの影響による客室稼働、レストラン利用の減少によりエネルギーが減少した。また、経費削減を実施したことにより更に使用量減少となった。</t>
  </si>
  <si>
    <t>174</t>
  </si>
  <si>
    <t>株式会社横浜八景島</t>
  </si>
  <si>
    <t>神奈川県横浜市金沢区八景島</t>
  </si>
  <si>
    <t>代表取締役社長　竹口　豊</t>
  </si>
  <si>
    <t>管理センターおよびインフォメーションブース</t>
  </si>
  <si>
    <t>10:00～18：00</t>
  </si>
  <si>
    <t>175</t>
  </si>
  <si>
    <t>株式会社日立製作所</t>
  </si>
  <si>
    <t>東京都千代田区丸の内一丁目6番6号</t>
  </si>
  <si>
    <t>執行役社長 小島 啓二</t>
  </si>
  <si>
    <t>日立製作所　サステナビリティ推進本部</t>
  </si>
  <si>
    <t>10:00 ～11:30 , 13:30～16:00（土日、祝祭日、及び当社休日を除く）</t>
  </si>
  <si>
    <t>176</t>
  </si>
  <si>
    <t>日本生命保険相互会社</t>
  </si>
  <si>
    <t>東京都千代田区丸の内１－６－６</t>
  </si>
  <si>
    <t>日本生命保険相互会社　不動産部　事務所</t>
  </si>
  <si>
    <t>東京都千代田区丸の内1-6-6</t>
  </si>
  <si>
    <t>平日 10時から12時、13時から17時</t>
  </si>
  <si>
    <t>177</t>
  </si>
  <si>
    <t>相鉄バス株式会社</t>
  </si>
  <si>
    <t>横浜市西区北幸2-9-14</t>
  </si>
  <si>
    <t>10：00～12：00　／　13：00～17：00</t>
  </si>
  <si>
    <t>特になし</t>
  </si>
  <si>
    <t>178</t>
  </si>
  <si>
    <t>三菱ケミカル株式会社</t>
  </si>
  <si>
    <t>東京都千代田区丸の内1-1-1</t>
  </si>
  <si>
    <t>東京都千代田区丸の内１丁目１番１号</t>
  </si>
  <si>
    <t>三菱ケミカル株式会社　Science &amp; Innovation Center 研究推進部動力グループ</t>
  </si>
  <si>
    <t>神奈川県横浜市青葉区鴨志田町1000</t>
  </si>
  <si>
    <t>平日　9:00～17:00（12:00～13:00は除く）</t>
  </si>
  <si>
    <t>179</t>
  </si>
  <si>
    <t>日清オイリオグループ株式会社</t>
  </si>
  <si>
    <t>東京都中央区新川一丁目23番1号</t>
  </si>
  <si>
    <t>代表取締役社長　久野 貴久</t>
  </si>
  <si>
    <t>　横浜磯子事業場</t>
  </si>
  <si>
    <t>　横浜市磯子区新森町1番地</t>
  </si>
  <si>
    <t>　9:00～16:00（土・日・祝日を除く）</t>
  </si>
  <si>
    <t>181</t>
  </si>
  <si>
    <t>株式会社ルミネ</t>
  </si>
  <si>
    <t>東京都渋谷区代々木二丁目2番2号</t>
  </si>
  <si>
    <t>ルミネ横浜店　Ｂ１Ｆ　受付カウンター</t>
  </si>
  <si>
    <t>横浜市西区高島２－１６－１　ルミネ横浜店</t>
  </si>
  <si>
    <t>11:00～17:00（土日、祝日、年末年始は除く）</t>
  </si>
  <si>
    <t>184</t>
  </si>
  <si>
    <t>フジパン株式会社</t>
  </si>
  <si>
    <t>横浜市旭区上白根３－３９－１</t>
  </si>
  <si>
    <t>代表取締役　安田　智彦</t>
  </si>
  <si>
    <t>愛知県名古屋市瑞穂区松園町１－５０</t>
  </si>
  <si>
    <t>事務所に掲示</t>
  </si>
  <si>
    <t>１０：００～１５：００</t>
  </si>
  <si>
    <t>t</t>
  </si>
  <si>
    <t>185</t>
  </si>
  <si>
    <t>山崎製パン株式会社</t>
  </si>
  <si>
    <t>東京都千代田区岩本町三丁目10番1号</t>
  </si>
  <si>
    <t>代表取締役社長　飯島　延浩</t>
  </si>
  <si>
    <t>代表取締役社長　飯島延浩</t>
  </si>
  <si>
    <t>山崎製パン株式会社総務部環境対策課</t>
  </si>
  <si>
    <t>186</t>
  </si>
  <si>
    <t>株式会社そごう・西武</t>
  </si>
  <si>
    <t>東京都豊島区南池袋1-18-21　西武池袋本店書籍館</t>
  </si>
  <si>
    <t>代表取締役　林　拓二</t>
  </si>
  <si>
    <t>〒171-0022　東京都豊島区南池袋1-18-21　西武池袋本店書籍館</t>
  </si>
  <si>
    <t>各店舗　総合事務所総務部</t>
  </si>
  <si>
    <t>横浜店：西区高島2-18-1　　東戸塚店：戸塚区品濃町537-1</t>
  </si>
  <si>
    <t>営業日の10：00～18：00</t>
  </si>
  <si>
    <t>全社の環境取組概要は、そごう・西武ホームページよりダウンロード可能</t>
  </si>
  <si>
    <t>187</t>
  </si>
  <si>
    <t>株式会社資生堂</t>
  </si>
  <si>
    <t>東京都港区東新橋1-6-2</t>
  </si>
  <si>
    <t>資生堂 グローバルイノベーションセンター　受付</t>
  </si>
  <si>
    <t>横浜市西区高島1-2-11</t>
  </si>
  <si>
    <t>190</t>
  </si>
  <si>
    <t>横浜市教育委員会</t>
  </si>
  <si>
    <t>神奈川県横浜市中区本町6丁目50番地の10</t>
  </si>
  <si>
    <t>事務局 教育長　鯉渕　信也</t>
  </si>
  <si>
    <t>横浜市教育委員会事務局総務課</t>
  </si>
  <si>
    <t>横浜市中区本町6丁目50番地の10</t>
  </si>
  <si>
    <t>月曜日から金曜日まで（国民の祝日・年末年始は除く）8時45分から17時15分まで（12時から13時までは除く）</t>
  </si>
  <si>
    <t>191</t>
  </si>
  <si>
    <t>横浜市水道事業管理者</t>
  </si>
  <si>
    <t>水道局長　山　岡　秀　一</t>
  </si>
  <si>
    <t>横浜市水道局　総務部総務課庶務係</t>
  </si>
  <si>
    <t>神奈川県横浜市中区本町６丁目50番地の10  横浜市役所20階</t>
  </si>
  <si>
    <t>月曜日から金曜日まで（国民の祝日・年末年始は除く）の8時45分から17時15分まで（12時から13時までは除く）</t>
  </si>
  <si>
    <t>192</t>
  </si>
  <si>
    <t>横浜市医療局病院経営本部</t>
  </si>
  <si>
    <t>医療局病院経営本部総務課</t>
  </si>
  <si>
    <t>横浜市中区本町６丁目50番地の10</t>
  </si>
  <si>
    <t>月曜日から金曜日まで（国民の祝日・年末年始は除く）の8時45分から17時まで（12時から13時までは除く）</t>
  </si>
  <si>
    <t>193</t>
  </si>
  <si>
    <t>三井不動産株式会社</t>
  </si>
  <si>
    <t>東京都中央区日本橋室町二丁目1番1号</t>
  </si>
  <si>
    <t>https://www.mitsuifudosan.co.jp/corporate/esg_csr/</t>
  </si>
  <si>
    <t>194</t>
  </si>
  <si>
    <t>株式会社髙島屋</t>
  </si>
  <si>
    <t>神奈川県横浜市西区南幸1-6-31</t>
  </si>
  <si>
    <t>執行役員横浜店長　髙田　明宏</t>
  </si>
  <si>
    <t>代表取締役社長　村田　善郎</t>
  </si>
  <si>
    <t>大阪府大阪市中央区難波5-1-5</t>
  </si>
  <si>
    <t>株式会社髙島屋　横浜店　総務部</t>
  </si>
  <si>
    <t>10:00～18:00（水・日曜日及び元旦を除く）</t>
  </si>
  <si>
    <t>196</t>
  </si>
  <si>
    <t>ヤマト運輸株式会社</t>
  </si>
  <si>
    <t>神奈川県横浜市鶴見区安善町1-1-1</t>
  </si>
  <si>
    <t>南関東地域統括担当 常務執行役員 南関東地域統括長　阿波　誠一</t>
  </si>
  <si>
    <t>代表取締役社長　長尾　裕</t>
  </si>
  <si>
    <t>東京都中央区銀座2-16-10</t>
  </si>
  <si>
    <t>ヤマト運輸株式会社 横浜主管支店</t>
  </si>
  <si>
    <t>横浜市磯子区杉田5-31-27</t>
  </si>
  <si>
    <t>24時間</t>
  </si>
  <si>
    <t>200</t>
  </si>
  <si>
    <t>株式会社ホンダカーズ横浜</t>
  </si>
  <si>
    <t>横浜市保土ケ谷区岡沢町82</t>
  </si>
  <si>
    <t>本社窓口</t>
  </si>
  <si>
    <t>神奈川県横浜市保土ケ谷区岡沢町82</t>
  </si>
  <si>
    <t>10:00～18：30</t>
  </si>
  <si>
    <t>・車両台数の減少
・車種構成の変更</t>
  </si>
  <si>
    <t>202</t>
  </si>
  <si>
    <t>野村不動産株式会社</t>
  </si>
  <si>
    <t>東京都新宿区西新宿1丁目26番2号
新宿野村ビル</t>
  </si>
  <si>
    <t>代表取締役　松尾　大作</t>
  </si>
  <si>
    <t>東京都新宿区西新宿1丁目26番2号　新宿野村ビル</t>
  </si>
  <si>
    <t>野村不動産株式会社　技術管理部</t>
  </si>
  <si>
    <t>東京都新宿区西新宿一丁目26番2号</t>
  </si>
  <si>
    <t>平日　9:00～17:00</t>
  </si>
  <si>
    <t>千㎡・月/12</t>
  </si>
  <si>
    <t>203</t>
  </si>
  <si>
    <t>日産自動車株式会社</t>
  </si>
  <si>
    <t>神奈川県横浜市神奈川区宝町2番地</t>
  </si>
  <si>
    <t>代表執行役社長兼最高経営責任者 内田 誠</t>
  </si>
  <si>
    <t>代表執行役社長兼最高経営責任者　内田 誠</t>
  </si>
  <si>
    <t>神奈川県横浜市西区高島1丁目1番1号</t>
  </si>
  <si>
    <t>日産テクニカルセンター　車両生産技術本部
環境＆ファシリティエンジニアリング部　環境エネルギー技術課</t>
  </si>
  <si>
    <t>神奈川県厚木市岡津古久560-2</t>
  </si>
  <si>
    <t>平日9時～17時</t>
  </si>
  <si>
    <t>204</t>
  </si>
  <si>
    <t>株式会社メディセオ</t>
  </si>
  <si>
    <t>代表取締役社長　今川　国明</t>
  </si>
  <si>
    <t>　株式会社メディセオ　東京本社　総務部</t>
  </si>
  <si>
    <t>　午前9時～午後5時</t>
  </si>
  <si>
    <t>205</t>
  </si>
  <si>
    <t>神奈川中央交通株式会社</t>
  </si>
  <si>
    <t>神奈川県平塚市八重咲町６番１８号</t>
  </si>
  <si>
    <t>https://www.kanachu.co.jp/kanachu/csr/environment.html</t>
  </si>
  <si>
    <t>206</t>
  </si>
  <si>
    <t>株式会社ニトリ</t>
  </si>
  <si>
    <t>北海道札幌市北区新琴似七条1丁目2番39号</t>
  </si>
  <si>
    <t>代表取締役社長　武田 政則</t>
  </si>
  <si>
    <t>代表取締役社長 武田 政則</t>
  </si>
  <si>
    <t>東京都北区神谷3丁目6番20号</t>
  </si>
  <si>
    <t>207</t>
  </si>
  <si>
    <t>スタンレー電気株式会社</t>
  </si>
  <si>
    <t>東京都目黒区中目黒２丁目９番１３号</t>
  </si>
  <si>
    <t>代表取締役社長　貝住泰昭</t>
  </si>
  <si>
    <t>代表取締役社長　貝住　泰昭</t>
  </si>
  <si>
    <t>スタンレー電気株式会社　技術研究所　受付窓口</t>
  </si>
  <si>
    <t>神奈川県横浜市青葉区荏田西1-3-1</t>
  </si>
  <si>
    <t>土日、祝祭日を除く　８:３０　～　１７：３０</t>
  </si>
  <si>
    <t>208</t>
  </si>
  <si>
    <t>日本飛行機株式会社</t>
  </si>
  <si>
    <t>横浜市金沢区昭和町3175</t>
  </si>
  <si>
    <t>代表取締役社長　飛永　佳成</t>
  </si>
  <si>
    <t>http://www.nippi.co.jp/environment/report.html</t>
  </si>
  <si>
    <t>209</t>
  </si>
  <si>
    <t>株式会社二葉</t>
  </si>
  <si>
    <t>東京都港区高輪3-19-15</t>
  </si>
  <si>
    <t>代表取締役社長　鈴木　英明</t>
  </si>
  <si>
    <t>213</t>
  </si>
  <si>
    <t>株式会社すかいらーくホールディングス</t>
  </si>
  <si>
    <t>東京都武蔵野市西久保一丁目25番8号</t>
  </si>
  <si>
    <t>代表取締役　　谷　真</t>
  </si>
  <si>
    <t>代表取締役　谷　真</t>
  </si>
  <si>
    <t>すかいらーくホールディングス本部　第３オフィス</t>
  </si>
  <si>
    <t>13時～17時（土日祝日・年末年始を除く）</t>
  </si>
  <si>
    <t>214</t>
  </si>
  <si>
    <t>野村不動産ライフ＆スポーツ株式会社</t>
  </si>
  <si>
    <t>東京都中野区本町1-32-2
ハーモニータワー15階</t>
  </si>
  <si>
    <t>代表取締役　小林　利彦</t>
  </si>
  <si>
    <t>東京都中野区本町1-32-2　ハーモニータワー15階</t>
  </si>
  <si>
    <t>本社</t>
  </si>
  <si>
    <t>10時～16時</t>
  </si>
  <si>
    <t>215</t>
  </si>
  <si>
    <t>株式会社ファミリーマート</t>
  </si>
  <si>
    <t>東京都港区芝浦三丁目１番21号</t>
  </si>
  <si>
    <t>代表取締役社長　細見　研介</t>
  </si>
  <si>
    <t>東京都港区芝浦三丁目１番21号　msb Tamachi 田町ｽﾃｰｼｮﾝﾀﾜｰS 9階</t>
  </si>
  <si>
    <t>本社にて実施</t>
  </si>
  <si>
    <t>店</t>
  </si>
  <si>
    <t>216</t>
  </si>
  <si>
    <t>株式会社クリエイトエス・ディー</t>
  </si>
  <si>
    <t>横浜市青葉区荏田西２－３－２</t>
  </si>
  <si>
    <t>代表取締役社長　廣瀬　泰三</t>
  </si>
  <si>
    <t>株式会社クリエイトエス・ディー　本社</t>
  </si>
  <si>
    <t>神奈川県横浜市青葉区荏田西2-3-2</t>
  </si>
  <si>
    <t>218</t>
  </si>
  <si>
    <t>国家公務員共済組合連合会</t>
  </si>
  <si>
    <t>東京都千代田区九段南１－１－１０
九段合同庁舎</t>
  </si>
  <si>
    <t>理 事 長　松　元　　崇</t>
  </si>
  <si>
    <t>東京都千代田区九段南１－１－１０　九段合同庁舎</t>
  </si>
  <si>
    <t>国家公務員共済組合連合会　総務部</t>
  </si>
  <si>
    <t>東京都千代田区九段南1-1-10</t>
  </si>
  <si>
    <t>9:30～17:00（12:00～13:00を除く）</t>
  </si>
  <si>
    <t>221</t>
  </si>
  <si>
    <t>京浜急行電鉄株式会社</t>
  </si>
  <si>
    <t>横浜市西区高島１丁目２番８号</t>
  </si>
  <si>
    <t>取締役社長　川俣　幸宏</t>
  </si>
  <si>
    <t>https://www.keikyu.co.jp/company/csr/report.html</t>
  </si>
  <si>
    <t>222</t>
  </si>
  <si>
    <t>エヌ・ティ・ティ・コミュニケーションズ株式会社</t>
  </si>
  <si>
    <t>東京都千代田区大手町二丁目3番1号</t>
  </si>
  <si>
    <t>代表取締役社長　丸岡　亨</t>
  </si>
  <si>
    <t>https://www.ntt.com/about-us/csr/en_report.html</t>
  </si>
  <si>
    <t>223</t>
  </si>
  <si>
    <t>神奈川県内広域水道企業団</t>
  </si>
  <si>
    <t>神奈川県横浜市旭区矢指町１１９４番地</t>
  </si>
  <si>
    <t>企業長  浅羽  義里</t>
  </si>
  <si>
    <t>企業長　浅羽 義里</t>
  </si>
  <si>
    <t>神奈川県内広域水道企業団　情報公開室</t>
  </si>
  <si>
    <t>月曜日から金曜日まで（国民の祝日・12月29日から翌年の1月3日までは除く）の8時30分から17時15分まで（12時から13時までは除く）</t>
  </si>
  <si>
    <t xml:space="preserve"> </t>
  </si>
  <si>
    <t>224</t>
  </si>
  <si>
    <t>麒麟麦酒株式会社</t>
  </si>
  <si>
    <t>横浜市鶴見区生麦一丁目17番1号</t>
  </si>
  <si>
    <t>代表取締役社長　堀口英樹</t>
  </si>
  <si>
    <t>東京都中野区中野四丁目10番2号
中野セントラルパークサウス</t>
  </si>
  <si>
    <t>麒麟麦酒株式会社横浜工場</t>
  </si>
  <si>
    <t>９：００～１７：００（工場休日を除く）</t>
  </si>
  <si>
    <t>千kL</t>
  </si>
  <si>
    <t>横浜市中区山下町33番地</t>
  </si>
  <si>
    <t>ウエインズビジネスサービス株式会社</t>
  </si>
  <si>
    <t>横浜市保土ヶ谷区狩場町65　トヨタカローラ神奈川本社ビル内４Ｆ</t>
  </si>
  <si>
    <t>227</t>
  </si>
  <si>
    <t>万葉倶楽部株式会社</t>
  </si>
  <si>
    <t>神奈川県小田原市栄町1-14-48</t>
  </si>
  <si>
    <t>代表取締役　高橋理</t>
  </si>
  <si>
    <t>横浜市中区新港2-7-1</t>
  </si>
  <si>
    <t>７８ 洗濯・理容・美容・浴場業</t>
  </si>
  <si>
    <t>横浜みなとみらい万葉倶楽部</t>
  </si>
  <si>
    <t>10～17時</t>
  </si>
  <si>
    <t>228</t>
  </si>
  <si>
    <t>日本舗材株式会社</t>
  </si>
  <si>
    <t>神奈川県横浜市緑区青砥町４１５番地</t>
  </si>
  <si>
    <t>代表取締役　三橋　広樹</t>
  </si>
  <si>
    <t>代表取締役　三橋広樹</t>
  </si>
  <si>
    <t>神奈川県横浜市緑区青砥町415番地</t>
  </si>
  <si>
    <t>http://nihonhozai.jp/kankyo</t>
  </si>
  <si>
    <t>日本舗材株式会社　横浜工場１F</t>
  </si>
  <si>
    <t>８時から１７時</t>
  </si>
  <si>
    <t>基準年度に対して製造数量が減少し、それに伴いエネルギ－消費量も減少したため、CO2排出量も減少した。</t>
  </si>
  <si>
    <t>230</t>
  </si>
  <si>
    <t>株式会社横浜銀行</t>
  </si>
  <si>
    <t>神奈川県横浜市西区みなとみらい３丁目１番１号</t>
  </si>
  <si>
    <t>代表取締役　片岡　達也</t>
  </si>
  <si>
    <t>横浜銀行人財部（045-225-1551）への照会による</t>
  </si>
  <si>
    <t>231</t>
  </si>
  <si>
    <t>株式会社阪急商業開発</t>
  </si>
  <si>
    <t>大阪府大阪市西成区花園南1-4-4</t>
  </si>
  <si>
    <t>取締役社長　細井和則</t>
  </si>
  <si>
    <t>横浜市都筑区中川中央１－３１－１－２</t>
  </si>
  <si>
    <t>阪急商業開発　港北事業部</t>
  </si>
  <si>
    <t>横浜市都筑区中川中央1-31-1-2  5F事務所</t>
  </si>
  <si>
    <t>午前１０時から午後５時</t>
  </si>
  <si>
    <t>234</t>
  </si>
  <si>
    <t>株式会社JVCケンウッド</t>
  </si>
  <si>
    <t>横浜市神奈川区守屋町3丁目12番地</t>
  </si>
  <si>
    <t>代表取締役社長　江口　祥一郎</t>
  </si>
  <si>
    <t>株式会社JVCケンウッド　本社・横浜事業所　通用門</t>
  </si>
  <si>
    <t>午前9：00～午後5：00</t>
  </si>
  <si>
    <t>235</t>
  </si>
  <si>
    <t>国立研究開発法人理化学研究所</t>
  </si>
  <si>
    <t>神奈川県横浜市鶴見区末広町1-7-22</t>
  </si>
  <si>
    <t>横浜事業所　所長　末広　峰政</t>
  </si>
  <si>
    <t>理事長　五神 真</t>
  </si>
  <si>
    <t>埼玉県和光市広沢２－１</t>
  </si>
  <si>
    <t>国立研究開発法人理化学研究所横浜事業所研究支援部施設課</t>
  </si>
  <si>
    <t>神奈川県横浜市鶴見区末広町1丁目7-22</t>
  </si>
  <si>
    <t>236</t>
  </si>
  <si>
    <t>株式会社関電工</t>
  </si>
  <si>
    <t>神奈川県横浜市西区平沼1-1-8</t>
  </si>
  <si>
    <t>株式会社関電工　南関東・東海営業本部　神奈川支店</t>
  </si>
  <si>
    <t>取締役社長　社長執行役員　仲摩 俊男</t>
  </si>
  <si>
    <t>株式会社関電工　南関東・東海営業本部　神奈川支店　総括部　安全・環境チーム</t>
  </si>
  <si>
    <t>横浜市西区平沼1-1-8</t>
  </si>
  <si>
    <t>平日　9:00～12:00</t>
  </si>
  <si>
    <t>237</t>
  </si>
  <si>
    <t>神奈川県</t>
  </si>
  <si>
    <t>神奈川県横浜市中区日本大通１</t>
  </si>
  <si>
    <t>知事　黒岩　祐治</t>
  </si>
  <si>
    <t>平日9:00～16:30（ただし、12:00～13:00を除く）</t>
  </si>
  <si>
    <t>千㎥</t>
  </si>
  <si>
    <t>240</t>
  </si>
  <si>
    <t>株式会社島忠</t>
  </si>
  <si>
    <t>埼玉県さいたま市中央区上落合8-3-32</t>
  </si>
  <si>
    <t>代表取締役社長　岡野　恭明</t>
  </si>
  <si>
    <t>https://www.shimachu.co.jp/corporate/environment4.html</t>
  </si>
  <si>
    <t>コロナ禍の影響による営業時間の縮小等により電力使用量、都市ガスの使用量が減少した。また、新山下店での低炭素電力の受入により調整後排出量が減少した。</t>
  </si>
  <si>
    <t>241</t>
  </si>
  <si>
    <t>株式会社武蔵野</t>
  </si>
  <si>
    <t>埼玉県朝霞市西原一丁目１番１号</t>
  </si>
  <si>
    <t>代表取締役社長　安田信行</t>
  </si>
  <si>
    <t>本社　エンジニアリング部</t>
  </si>
  <si>
    <t>１０：００～１６：００　＊事前に電話連絡の上、来社願います。</t>
  </si>
  <si>
    <t>242</t>
  </si>
  <si>
    <t>株式会社横浜スカイビル</t>
  </si>
  <si>
    <t>神奈川県横浜市西区高島2-19-12</t>
  </si>
  <si>
    <t>代表取締役社長　岩田 研一</t>
  </si>
  <si>
    <t>ビル事業部</t>
  </si>
  <si>
    <t>神奈川県横浜市西区高島2-19-12　スカイビル　21階</t>
  </si>
  <si>
    <t>9：00～17：30</t>
  </si>
  <si>
    <t>244</t>
  </si>
  <si>
    <t>株式会社丸井</t>
  </si>
  <si>
    <t>東京都中野区中野４丁目３番２号</t>
  </si>
  <si>
    <t>代表取締役社長　青野　真博</t>
  </si>
  <si>
    <t>株式会社マルイファシリティーズ　本社</t>
  </si>
  <si>
    <t>東京都中野区中野３丁目３４番２８号</t>
  </si>
  <si>
    <t>11：００～17：00（水曜・日曜定休）</t>
  </si>
  <si>
    <t>245</t>
  </si>
  <si>
    <t>サミット株式会社</t>
  </si>
  <si>
    <t>東京都杉並区永福3-57-14　　　　　　　　　　　　　　</t>
  </si>
  <si>
    <t>代表取締役社長　服部　哲也</t>
  </si>
  <si>
    <t>代表取締役社長　服部哲也</t>
  </si>
  <si>
    <t>東京都杉並区永福3-57-14</t>
  </si>
  <si>
    <t>サミット株式会社　店舗開発部</t>
  </si>
  <si>
    <t>246</t>
  </si>
  <si>
    <t>株式会社紀文食品</t>
  </si>
  <si>
    <t>東京都中央区銀座5-15-1</t>
  </si>
  <si>
    <t>代表取締役社長　堤　裕</t>
  </si>
  <si>
    <t>株式会社　紀文食品　横浜工場</t>
  </si>
  <si>
    <t>神奈川県横浜市戸塚区秋葉町427</t>
  </si>
  <si>
    <t>9:00～16:00</t>
  </si>
  <si>
    <t>248</t>
  </si>
  <si>
    <t>株式会社ヨドバシカメラ</t>
  </si>
  <si>
    <t>東京都新宿区新宿五丁目3番1号</t>
  </si>
  <si>
    <t>代表取締役　藤沢 和則</t>
  </si>
  <si>
    <t>代表取締役　藤沢　和則</t>
  </si>
  <si>
    <t>ヨドバシ横浜ビル　(株)ヨドバシ建物事務所</t>
  </si>
  <si>
    <t>神奈川県横浜市西区北幸１－２－７</t>
  </si>
  <si>
    <t>平日 10:00～16:00</t>
  </si>
  <si>
    <t>249</t>
  </si>
  <si>
    <t xml:space="preserve">東京都江東区豊洲2-2-1
</t>
  </si>
  <si>
    <t>富士フイルムビジネスイノベーション
ジャパン株式会社</t>
  </si>
  <si>
    <t>取締役社長　旗生 泰一</t>
  </si>
  <si>
    <t>富士フイルムビジネスイノベーションジャパン株式会社　</t>
  </si>
  <si>
    <t>横浜市西区みなとみらい6-1
横浜みなとみらい事業所 7階</t>
  </si>
  <si>
    <t>富士フイルムビジネスイノベーションジャパン株式会社　神奈川支社</t>
  </si>
  <si>
    <t>神奈川県横浜市西区みなとみらい6-1　 富士フイルムビジネスイノベーションジャパン株式会社　横浜みなとみらい事業所 7階</t>
  </si>
  <si>
    <t>9：00～17：45　（土曜・日曜・祝日を除く）</t>
  </si>
  <si>
    <t>254</t>
  </si>
  <si>
    <t>株式会社NTTドコモ</t>
  </si>
  <si>
    <t>東京都千代田区永田町二丁目１１番１号</t>
  </si>
  <si>
    <t>代表取締役社長　井伊　基之</t>
  </si>
  <si>
    <t>https://www.nttdocomo.co.jp/corporate/csr/ecology/environ_management/data/facility/index.html</t>
  </si>
  <si>
    <t>255</t>
  </si>
  <si>
    <t>ＥＮＥＯＳ株式会社</t>
  </si>
  <si>
    <t>東京都千代田区大手町一丁目１番２号</t>
  </si>
  <si>
    <t>代表取締役社長　齊藤 　猛</t>
  </si>
  <si>
    <t>代表取締役社長　　齊藤 猛</t>
  </si>
  <si>
    <t>https://www.eneos.co.jp/company/csr/environment/warming.html</t>
  </si>
  <si>
    <t>256</t>
  </si>
  <si>
    <t>株式会社ミツハシ</t>
  </si>
  <si>
    <t>神奈川県横浜市神奈川区栄町3-4
パシフィックマークス横浜イースト3F</t>
  </si>
  <si>
    <t>代表取締役   　　三橋　美幸</t>
  </si>
  <si>
    <t>代表取締役  　　三橋　美幸</t>
  </si>
  <si>
    <t>横浜市神奈川区栄町3-4　パシフィックマークス横浜イースト3F</t>
  </si>
  <si>
    <t>株式会社ミツハシ本社　管理部　総務課　　連絡先：045-285-3284</t>
  </si>
  <si>
    <t>10:00～16:00　予約の上閲覧をお願い致します。</t>
  </si>
  <si>
    <t>257</t>
  </si>
  <si>
    <t>株式会社いなげや</t>
  </si>
  <si>
    <t>東京都立川市栄町6-1-1</t>
  </si>
  <si>
    <t>代表取締役社長　　　本杉　　吉員</t>
  </si>
  <si>
    <t>経営戦略本部　サステナビリティ推進室　環境担当</t>
  </si>
  <si>
    <t>9：00～18：00（月曜日～金曜日）</t>
  </si>
  <si>
    <t>258</t>
  </si>
  <si>
    <t>神奈川県警察</t>
  </si>
  <si>
    <t>神奈川県横浜市中区海岸通２丁目４番</t>
  </si>
  <si>
    <t>神奈川県警察本部総務部施設課</t>
  </si>
  <si>
    <t>午前８時30分から午後５時15分までの間（土、日、祝日を除く）</t>
  </si>
  <si>
    <t>260</t>
  </si>
  <si>
    <t>株式会社東急ストア</t>
  </si>
  <si>
    <t>東京都目黒区上目黒一丁目21番12号</t>
  </si>
  <si>
    <t>取締役社長　大堀 左千夫</t>
  </si>
  <si>
    <t>株式会社東急ストア　本社　開発統括室　施設管理部</t>
  </si>
  <si>
    <t>９：００～１８：００（土・日曜日及び12/29～1/3を除く）</t>
  </si>
  <si>
    <t>261</t>
  </si>
  <si>
    <t>東京海上日動火災保険株式会社</t>
  </si>
  <si>
    <t>東京都千代田区大手町2-6-4
常盤橋タワー</t>
  </si>
  <si>
    <t>代表取締役　広瀬　伸一</t>
  </si>
  <si>
    <t>東京都千代田区大手町2-6-4　常盤橋タワー</t>
  </si>
  <si>
    <t>https://www.tokiomarine-nichido.co.jp/company/csr/archive/archive_01.html</t>
  </si>
  <si>
    <t>262</t>
  </si>
  <si>
    <t>国立研究開発法人海洋研究開発機構</t>
  </si>
  <si>
    <t>神奈川県横須賀市夏島町２番地１５</t>
  </si>
  <si>
    <t>理事長　　大和　裕幸</t>
  </si>
  <si>
    <t>　国立研究開発法人海洋研究開発機構</t>
  </si>
  <si>
    <t>　理事長　　大和　裕幸</t>
  </si>
  <si>
    <t>　神奈川県横須賀市夏島町２番地１５</t>
  </si>
  <si>
    <t xml:space="preserve">平日10:00～12:00、13:00～16:00（土曜・日曜・祝日・年末年始は閲覧できません。） </t>
  </si>
  <si>
    <t>PFLOPS</t>
  </si>
  <si>
    <t>263</t>
  </si>
  <si>
    <t>株式会社イトーヨーカ堂</t>
  </si>
  <si>
    <t>代表取締役　山本　哲也</t>
  </si>
  <si>
    <t>サービスカウンター内</t>
  </si>
  <si>
    <t>各店舗</t>
  </si>
  <si>
    <t>営業時間内に限る</t>
  </si>
  <si>
    <t>㎡・百万h</t>
  </si>
  <si>
    <t>264</t>
  </si>
  <si>
    <t>株式会社セブン-イレブン・ジャパン</t>
  </si>
  <si>
    <t>東京都千代田区二番町８番地８</t>
  </si>
  <si>
    <t>代表取締役社長　永松　文彦</t>
  </si>
  <si>
    <t>５階　建築設備本部</t>
  </si>
  <si>
    <t>265</t>
  </si>
  <si>
    <t>住友生命保険相互会社</t>
  </si>
  <si>
    <t>代表執行役　高田 幸徳</t>
  </si>
  <si>
    <t>㈱スミセイビルマネージメント本店</t>
  </si>
  <si>
    <t>東京都中央区日本橋小網町14-1 住生日本橋小網町ビル8階</t>
  </si>
  <si>
    <t>9:00 ～ 17:00</t>
  </si>
  <si>
    <t>269</t>
  </si>
  <si>
    <t>武松商事株式会社</t>
  </si>
  <si>
    <t>神奈川県横浜市中区山下町１０５番地</t>
  </si>
  <si>
    <t>９：００～１８：００</t>
  </si>
  <si>
    <t>270</t>
  </si>
  <si>
    <t>安田倉庫株式会社</t>
  </si>
  <si>
    <t>代表取締役社長執行役員  藤井 信行</t>
  </si>
  <si>
    <t>代表取締役社長執行役員　藤井 信行</t>
  </si>
  <si>
    <t>安田倉庫株式会社(品質管理部)</t>
  </si>
  <si>
    <t>09：00～17：00</t>
  </si>
  <si>
    <t>100m2</t>
  </si>
  <si>
    <t>271</t>
  </si>
  <si>
    <t>272</t>
  </si>
  <si>
    <t>第一生命保険株式会社</t>
  </si>
  <si>
    <t>東京都千代田区有楽町一丁目13番1号</t>
  </si>
  <si>
    <t>本社での据え置き</t>
  </si>
  <si>
    <t>275</t>
  </si>
  <si>
    <t>株式会社横浜グランドインターコンチネンタルホテル</t>
  </si>
  <si>
    <t>神奈川県横浜市西区
みなとみらい一丁目1番地1号</t>
  </si>
  <si>
    <t>代表取締役社長　　梅村　東</t>
  </si>
  <si>
    <t>代表取締役社長　梅村　東</t>
  </si>
  <si>
    <t>神奈川県横浜市西区みなとみらい一丁目1番地1号</t>
  </si>
  <si>
    <t>施設管理部</t>
  </si>
  <si>
    <t>神奈川県横浜市西区みなとみらい一丁目１番地１号</t>
  </si>
  <si>
    <t>276</t>
  </si>
  <si>
    <t>株式会社アクティオ</t>
  </si>
  <si>
    <t>神奈川県横浜市中区扇町3-8-8</t>
  </si>
  <si>
    <t>株式会社アクティオ 横浜支店</t>
  </si>
  <si>
    <t>支店長　三上　和幸</t>
  </si>
  <si>
    <t>代表取締役社長　小沼　直人</t>
  </si>
  <si>
    <t>東京都中央区日本橋３－１２－２　朝日ビルヂング７階</t>
  </si>
  <si>
    <t>神奈川県横浜市中区扇町３－８－８ 関内ファーストビル７Ｆ</t>
  </si>
  <si>
    <t>８：３０～１７：３０</t>
  </si>
  <si>
    <t>㎡</t>
  </si>
  <si>
    <t>279</t>
  </si>
  <si>
    <t>株式会社マルエツ</t>
  </si>
  <si>
    <t>東京都豊島区東池袋5-51-12</t>
  </si>
  <si>
    <t>百万㎡ｈ</t>
  </si>
  <si>
    <t>280</t>
  </si>
  <si>
    <t>代表取締役　　大久保　恒夫</t>
  </si>
  <si>
    <t xml:space="preserve">株式会社　西友 </t>
  </si>
  <si>
    <t>281</t>
  </si>
  <si>
    <t>株式会社ダイエー</t>
  </si>
  <si>
    <t>兵庫県神戸市中央区港島中町４丁目1番１</t>
  </si>
  <si>
    <t>代表取締役　西峠　泰男</t>
  </si>
  <si>
    <t>株式会社ダイエー　関東事業本部　経営管理部　営繕チーム</t>
  </si>
  <si>
    <t>東京都江東区東陽2－2－20</t>
  </si>
  <si>
    <t>09：00～18：00</t>
  </si>
  <si>
    <t>283</t>
  </si>
  <si>
    <t>森紙業株式会社</t>
  </si>
  <si>
    <t>横浜市戸塚区柏尾町６２８番地</t>
  </si>
  <si>
    <t>関東事業所　事業所長　大町　智応</t>
  </si>
  <si>
    <t>代表取締役　北村　正</t>
  </si>
  <si>
    <t>京都市南区西九条南田町６１番地</t>
  </si>
  <si>
    <t>森紙業株式会社関東事業所　総務部</t>
  </si>
  <si>
    <t>10:00～16:00（土日・祝日を除く）</t>
  </si>
  <si>
    <t>百万㎡</t>
  </si>
  <si>
    <t>284</t>
  </si>
  <si>
    <t>株式会社横浜国際平和会議場</t>
  </si>
  <si>
    <t>横浜市西区みなとみらい一丁目１番１号</t>
  </si>
  <si>
    <t>代表取締役社長  林 琢己</t>
  </si>
  <si>
    <t>代表取締役社長　林 琢己</t>
  </si>
  <si>
    <t>株式会社横浜国際平和会議場　施設事業部　ファシリティ事業課</t>
  </si>
  <si>
    <t>平日　9：30から17：00まで</t>
  </si>
  <si>
    <t>百万㎡H</t>
  </si>
  <si>
    <t>285</t>
  </si>
  <si>
    <t>神奈川県教育委員会</t>
  </si>
  <si>
    <t>横浜市中区日本大通１</t>
  </si>
  <si>
    <t>教育長　花田　忠雄</t>
  </si>
  <si>
    <t>神奈川県教育委員会教育局行政部教育施設課</t>
  </si>
  <si>
    <t>横浜市中区日本大通１　県庁東庁舎７階</t>
  </si>
  <si>
    <t>午前８時３０分から午後５時１５分まで</t>
  </si>
  <si>
    <t>288</t>
  </si>
  <si>
    <t>株式会社崎陽軒</t>
  </si>
  <si>
    <t>神奈川県横浜市西区高島二丁目１２番６号</t>
  </si>
  <si>
    <t>代表取締役社長　野並　晃</t>
  </si>
  <si>
    <t>株式会社　崎陽軒　ヨコハマジャスト１号館８階不動産部</t>
  </si>
  <si>
    <t>10：00-17：00</t>
  </si>
  <si>
    <t>290</t>
  </si>
  <si>
    <t>株式会社ライフコーポレーション</t>
  </si>
  <si>
    <t>東京都台東区台東1-2-16</t>
  </si>
  <si>
    <t>代表取締役社長執行役員　岩崎　高治</t>
  </si>
  <si>
    <t>ライフコーポレーション東京本社</t>
  </si>
  <si>
    <t>9：30～17：00　（土・日・祝日除く）　要事前電話連絡</t>
  </si>
  <si>
    <t>293</t>
  </si>
  <si>
    <t>株式会社ローソン</t>
  </si>
  <si>
    <t>東京都品川区大崎1丁目11-2</t>
  </si>
  <si>
    <t>代表取締役　竹増　貞信</t>
  </si>
  <si>
    <t>東京都品川区大崎１丁目１１－２</t>
  </si>
  <si>
    <t>東京都港区三田3－10－1　アーバンネット三田ビル７F</t>
  </si>
  <si>
    <t>9:00～17:45</t>
  </si>
  <si>
    <t>294</t>
  </si>
  <si>
    <t>有限会社鴨居プロパティーズ</t>
  </si>
  <si>
    <t>取締役　　三品　貴仙</t>
  </si>
  <si>
    <t>ららぽーと横浜　１Fセキュリティオフィス内</t>
  </si>
  <si>
    <t>神奈川県横浜市都筑区池辺町4035-1　ららぽーと横浜1Fｾｷｭﾘﾃｨｵﾌｨｽ</t>
  </si>
  <si>
    <t>9：00～17：30　土日祝祭日を除く</t>
  </si>
  <si>
    <t>296</t>
  </si>
  <si>
    <t>横浜冷凍株式会社</t>
  </si>
  <si>
    <t>代表取締役社長　松原 弘幸</t>
  </si>
  <si>
    <t>https://www.yokorei.co.jp/csr/environment/policy/</t>
  </si>
  <si>
    <t>297</t>
  </si>
  <si>
    <t>株式会社読売新聞東京本社</t>
  </si>
  <si>
    <t>東京都千代田区大手町一丁目7番1号</t>
  </si>
  <si>
    <t>https://info.yomiuri.co.jp/social/environment</t>
  </si>
  <si>
    <t>298</t>
  </si>
  <si>
    <t>コストコホールセールジャパン株式会社</t>
  </si>
  <si>
    <t>代表取締役　ケン　テリオ</t>
  </si>
  <si>
    <t>神奈川県横浜市金沢区幸浦２－６</t>
  </si>
  <si>
    <t>300</t>
  </si>
  <si>
    <t>神奈川日産自動車株式会社</t>
  </si>
  <si>
    <t>神奈川県横浜市西区花咲町６－１３９</t>
  </si>
  <si>
    <t>横浜市西区花咲町６－１３９</t>
  </si>
  <si>
    <t>10:00～17:30（火曜･日曜定休）</t>
  </si>
  <si>
    <t>302</t>
  </si>
  <si>
    <t>東洋製罐株式会社</t>
  </si>
  <si>
    <t>横浜市鶴見区矢向１－１－７０</t>
  </si>
  <si>
    <t>代表取締役社長　本多正憲</t>
  </si>
  <si>
    <t>東京都品川区東五反田２－１８－１</t>
  </si>
  <si>
    <t>工場パンフレット添付資料「地球温暖化対策計画書」
生産管理課窓口で来場者の希望する方に配布します。</t>
  </si>
  <si>
    <t>303</t>
  </si>
  <si>
    <t>日本ケンタッキー・フライド・チキン株式会社</t>
  </si>
  <si>
    <t>神奈川県横浜市西区みなとみらい4‐4‐5</t>
  </si>
  <si>
    <t>代表取締役社長 判治 孝之</t>
  </si>
  <si>
    <t>神奈川県横浜市西区みなとみらい4-4-5 横浜アイマークプレイス</t>
  </si>
  <si>
    <t>https://www.kfc.co.jp/about_kfc/ourpromise/environment.html</t>
  </si>
  <si>
    <t>千万円</t>
  </si>
  <si>
    <t>304</t>
  </si>
  <si>
    <t>日本郵便株式会社</t>
  </si>
  <si>
    <t>川崎市川崎区榎町１－２</t>
  </si>
  <si>
    <t>南関東支社</t>
  </si>
  <si>
    <t>神奈川県川崎市川崎区榎町１－２</t>
  </si>
  <si>
    <t>９：００～１７：４５（土日、祝日を除く。）</t>
  </si>
  <si>
    <t>305</t>
  </si>
  <si>
    <t>東日本電信電話株式会社</t>
  </si>
  <si>
    <t>神奈川県横浜市中区山下町１９８
ＮＴＴ横浜ビル</t>
  </si>
  <si>
    <t>代表取締役社長　澁谷　直樹</t>
  </si>
  <si>
    <t>東京都新宿区西新宿三丁目19番2号</t>
  </si>
  <si>
    <t>306</t>
  </si>
  <si>
    <t>学校法人桐蔭学園</t>
  </si>
  <si>
    <t>　神奈川県横浜市青葉区鉄町1614番地</t>
  </si>
  <si>
    <t>　学校法人桐蔭学園</t>
  </si>
  <si>
    <t>　理事長　溝上慎一</t>
  </si>
  <si>
    <t>理事長　溝上慎一</t>
  </si>
  <si>
    <t>横浜市青葉区鉄町1614番地</t>
  </si>
  <si>
    <t>A棟高校受付事務室</t>
  </si>
  <si>
    <t>307</t>
  </si>
  <si>
    <t>EMGルブリカンツ合同会社</t>
  </si>
  <si>
    <t>横浜市鶴見区安善町２－１</t>
  </si>
  <si>
    <t>鶴見潤滑油工場　工場長 小池 次男</t>
  </si>
  <si>
    <t>EMGルブリカンツ合同会社　鶴見潤滑油工場　第5会議室</t>
  </si>
  <si>
    <t>横浜市鶴見区安善町2-1</t>
  </si>
  <si>
    <t>月曜から金曜まで(国民の日、年末年始を除く)
９時から１６時(12時～13時は除く)</t>
  </si>
  <si>
    <t>310</t>
  </si>
  <si>
    <t>財務省</t>
  </si>
  <si>
    <t>東京都千代田区霞が関3-1-1</t>
  </si>
  <si>
    <t>財務大臣　鈴木　俊一</t>
  </si>
  <si>
    <t>311</t>
  </si>
  <si>
    <t>法務省</t>
  </si>
  <si>
    <t>東京都千代田区霞が関１－１－１</t>
  </si>
  <si>
    <t>法務省大臣官房秘書課政策立案・情報管理室</t>
  </si>
  <si>
    <t>午前９時３０分から正午、午後１時から午後５時（土日祝日を除く。）</t>
  </si>
  <si>
    <t>313</t>
  </si>
  <si>
    <t>株式会社京急ストア</t>
  </si>
  <si>
    <t>神奈川県横浜市西区高島1丁目2番8号</t>
  </si>
  <si>
    <t>取締役社長  青野　良生</t>
  </si>
  <si>
    <t>株式会社京急ストア　本社　総務部</t>
  </si>
  <si>
    <t>9：30～18：00（土日祝日を除く）</t>
  </si>
  <si>
    <t>315</t>
  </si>
  <si>
    <t>株式会社扇島パワー</t>
  </si>
  <si>
    <t>神奈川県横浜市鶴見区扇島2番1</t>
  </si>
  <si>
    <t>代表取締役社長　堀　哲也</t>
  </si>
  <si>
    <t>神奈川県横浜市鶴見区扇島２番１</t>
  </si>
  <si>
    <t>9:00～17:30（土日、祝祭日除く）</t>
  </si>
  <si>
    <t>百万kWh</t>
  </si>
  <si>
    <t>318</t>
  </si>
  <si>
    <t>富士フイルムビジネスイノベーション株式会社</t>
  </si>
  <si>
    <t>東京都港区赤坂９丁目７番３号</t>
  </si>
  <si>
    <t>代表取締役社長・CEO 浜 直樹</t>
  </si>
  <si>
    <t>横浜みなとみらい事業所 3階 受付</t>
  </si>
  <si>
    <t>神奈川県横浜市西区みなとみらい6-1</t>
  </si>
  <si>
    <t>320</t>
  </si>
  <si>
    <t>佐川急便株式会社</t>
  </si>
  <si>
    <t>京都府京都市南区上鳥羽角田町68番地</t>
  </si>
  <si>
    <t>代表取締役　本村　正秀</t>
  </si>
  <si>
    <t>8：30～17：30（土日祭日を除く）</t>
  </si>
  <si>
    <t>321</t>
  </si>
  <si>
    <t>株式会社サイゼリヤ</t>
  </si>
  <si>
    <t>埼玉県吉川市旭２番地５</t>
  </si>
  <si>
    <t>代表取締役　正垣泰彦</t>
  </si>
  <si>
    <t>サイゼリヤ吉川本社受付</t>
  </si>
  <si>
    <t>平日９時～１７時</t>
  </si>
  <si>
    <t>322</t>
  </si>
  <si>
    <t>日本通運株式会社</t>
  </si>
  <si>
    <t>横浜市中区尾上町5-78</t>
  </si>
  <si>
    <t>横浜支店　支店長　　東　順治</t>
  </si>
  <si>
    <t>東京都千代田区神田和泉町２番地</t>
  </si>
  <si>
    <t>日本通運株式会社横浜支店</t>
  </si>
  <si>
    <t>神奈川県横浜市中区尾上町5-78</t>
  </si>
  <si>
    <t>８：３０～１７：３０（平日）</t>
  </si>
  <si>
    <t>324</t>
  </si>
  <si>
    <t>株式会社カメガヤ</t>
  </si>
  <si>
    <t>神奈川県横浜市港北区新横浜3-9-18
新横浜TECHビルA館8階</t>
  </si>
  <si>
    <t>代表取締役  亀ヶ谷　博之</t>
  </si>
  <si>
    <t>神奈川県横浜市港北区新横浜3-9-18新横浜TECHビルA館8階</t>
  </si>
  <si>
    <t>株式会社カメガヤ TECHﾋﾞﾙｵﾌｨｽ</t>
  </si>
  <si>
    <t>神奈川県横浜市港北区新横浜3-9-18 新横浜TECHﾋﾞﾙA館 8F</t>
  </si>
  <si>
    <t>9：30～18：00</t>
  </si>
  <si>
    <t>坪</t>
  </si>
  <si>
    <t>325</t>
  </si>
  <si>
    <t>日本マクドナルド株式会社</t>
  </si>
  <si>
    <t>東京都新宿区西新宿六丁目５番１号</t>
  </si>
  <si>
    <t>代表取締役社長兼CEO　日色　保</t>
  </si>
  <si>
    <t>代表取締役社長兼CEO　日色 保</t>
  </si>
  <si>
    <t>日本マクドナルド㈱　本社 サステナビリティ＆ESG部　03-6911-5750</t>
  </si>
  <si>
    <t xml:space="preserve">東京都新宿区西新宿6-5-1　新宿アイランドタワー </t>
  </si>
  <si>
    <t>10:30～16:00（予約を前提とする）</t>
  </si>
  <si>
    <t>万回</t>
  </si>
  <si>
    <t>327</t>
  </si>
  <si>
    <t>コナミスポーツ株式会社</t>
  </si>
  <si>
    <t>東京都品川区東品川4-10-1</t>
  </si>
  <si>
    <t>代表取締役社長　室田 健志</t>
  </si>
  <si>
    <t>https://www.konami.com/socialsupport/ja/environmental/globalwarming.html</t>
  </si>
  <si>
    <t>328</t>
  </si>
  <si>
    <t>株式会社ティップネス</t>
  </si>
  <si>
    <t>株式会社ティップネス　開発部</t>
  </si>
  <si>
    <t>AM10:00～PM5:00（土日・祝日を除く）</t>
  </si>
  <si>
    <t>329</t>
  </si>
  <si>
    <t>西濃運輸株式会社</t>
  </si>
  <si>
    <t>岐阜県大垣市田口町１番地</t>
  </si>
  <si>
    <t>取締役社長　小寺　康久</t>
  </si>
  <si>
    <t>西濃運輸株式会社　総務課</t>
  </si>
  <si>
    <t>平日午前８時～午後５時</t>
  </si>
  <si>
    <t>330</t>
  </si>
  <si>
    <t>株式会社ゼンショーホールディングス</t>
  </si>
  <si>
    <t>東京都港区港南2-18-1 
JR品川イーストビル</t>
  </si>
  <si>
    <t>代表取締役社長　小川　賢太郎</t>
  </si>
  <si>
    <t>東京都港区港南2-18-1　JR品川イーストビル</t>
  </si>
  <si>
    <t>グループ建設本部　グループ保全部</t>
  </si>
  <si>
    <t>東京都港区港南2-18-1　JR品川イーストビル８Ｆ受付</t>
  </si>
  <si>
    <t>月曜日から金曜日(国民の祝日　年末年始は除く）9：00～16：00</t>
  </si>
  <si>
    <t>332</t>
  </si>
  <si>
    <t>株式会社ビック・ライズ</t>
  </si>
  <si>
    <t>横浜市青葉区柿の木台1番地16</t>
  </si>
  <si>
    <t>代表取締役　中嶋　哲夫</t>
  </si>
  <si>
    <t>代表取締役　中嶋哲夫</t>
  </si>
  <si>
    <t>株式会社ビック・ライズ　本社</t>
  </si>
  <si>
    <t>横浜市青葉区荏田北一丁目5番1</t>
  </si>
  <si>
    <t>333</t>
  </si>
  <si>
    <t>オーケー株式会社</t>
  </si>
  <si>
    <t>神奈川県横浜市西区みなとみらい6-3-6</t>
  </si>
  <si>
    <t>代表取締役社長　二宮　涼太郎</t>
  </si>
  <si>
    <t>オーケー株式会社　本社</t>
  </si>
  <si>
    <t>8:00～16:00</t>
  </si>
  <si>
    <t>336</t>
  </si>
  <si>
    <t>ユナイテッド・アーバン投資法人</t>
  </si>
  <si>
    <t>東京都港区虎ノ門四丁目３番地１号
城山トラストタワー18階</t>
  </si>
  <si>
    <t>執行役員　衛門　利明</t>
  </si>
  <si>
    <t>〒105-6018
東京都港区虎ノ門四丁目３番地１号 城山トラストタワー18階</t>
  </si>
  <si>
    <t>ジャパン・リート・アドバイザーズ株式会社</t>
  </si>
  <si>
    <t>東京都港区虎ノ門四丁目３番地１号 城山トラストタワー18階</t>
  </si>
  <si>
    <t>10：00 ～ 17：00（平日）</t>
  </si>
  <si>
    <t>337</t>
  </si>
  <si>
    <t>神奈川県川崎市中原区木月住吉町１番　１号</t>
  </si>
  <si>
    <t>独立行政法人　労働者健康安全機構</t>
  </si>
  <si>
    <t>理事長　有賀　徹</t>
  </si>
  <si>
    <t>神奈川県川崎市中原区木月住吉町１番１号</t>
  </si>
  <si>
    <t>横浜労災病院　総務課</t>
  </si>
  <si>
    <t>横浜市港北区小机３２１１</t>
  </si>
  <si>
    <t>平日の９時から１６時（１２時～１３時除く）</t>
  </si>
  <si>
    <t>338</t>
  </si>
  <si>
    <t>シェルルブリカンツジャパン株式会社</t>
  </si>
  <si>
    <t>横浜市鶴見区安善町2-4</t>
  </si>
  <si>
    <t>横浜事業所　所長　秋山　貴志</t>
  </si>
  <si>
    <t>シェルルブリカンツジャパン株式会社　</t>
  </si>
  <si>
    <t>代表取締役社長　　阿部　真</t>
  </si>
  <si>
    <t>東京都千代田区丸の内1丁目11番1号</t>
  </si>
  <si>
    <t>シェルルブリカンツジャパン(株)横浜事業所</t>
  </si>
  <si>
    <t xml:space="preserve">横浜市鶴見区安善町2-4 </t>
  </si>
  <si>
    <t>9:00～17：00（土日、祝日を除く営業日）</t>
  </si>
  <si>
    <t>千ＫＬ</t>
  </si>
  <si>
    <t>・引き続きボイラー及びコンプレッサーの効率運転推進を継続</t>
  </si>
  <si>
    <t>339</t>
  </si>
  <si>
    <t>世紀東急工業株式会社</t>
  </si>
  <si>
    <t>代表取締役社長　平 喜一</t>
  </si>
  <si>
    <t>世紀東急工業株式会社　横浜混合所</t>
  </si>
  <si>
    <t>横浜市都筑区川和町219番地</t>
  </si>
  <si>
    <t>9：00～17：00（土日・祝日を除く）</t>
  </si>
  <si>
    <t>342</t>
  </si>
  <si>
    <t>医療法人社団明芳会</t>
  </si>
  <si>
    <t>東京都板橋区小豆沢２丁目１２番７号</t>
  </si>
  <si>
    <t>理事長　　中村　哲也</t>
  </si>
  <si>
    <t>株式会社アイセルネットワークス</t>
  </si>
  <si>
    <t>〒100-0005
東京都千代田区丸の内1丁目6番2号　新丸の内センタービルディング11F</t>
  </si>
  <si>
    <t>343</t>
  </si>
  <si>
    <t>独立行政法人国立病院機構</t>
  </si>
  <si>
    <t>横浜市戸塚区原宿3－60-2</t>
  </si>
  <si>
    <t>理事長　楠岡　英雄</t>
  </si>
  <si>
    <t>東京都目黒区東が丘２－５－２１</t>
  </si>
  <si>
    <t>横浜医療センター　事務部</t>
  </si>
  <si>
    <t>閲覧には事前予約が必要</t>
  </si>
  <si>
    <t>346</t>
  </si>
  <si>
    <t>まいばすけっと株式会社</t>
  </si>
  <si>
    <t>千葉県千葉市美浜区中瀬１－５－１</t>
  </si>
  <si>
    <t>代表取締役　岩下　欽哉</t>
  </si>
  <si>
    <t>まいばすけっと株式会社　横浜事務所</t>
  </si>
  <si>
    <t>　10：00～16：00（土日・祝祭日は除く）</t>
  </si>
  <si>
    <t>348</t>
  </si>
  <si>
    <t>株式会社総合車両製作所</t>
  </si>
  <si>
    <t>横浜市金沢区大川3番1号
株式会社　総合車両製作所</t>
  </si>
  <si>
    <t>代表取締役社長　　西山　隆雄</t>
  </si>
  <si>
    <t>横浜市金沢区大川3番1号</t>
  </si>
  <si>
    <t>　生産本部　生産管理部　設備・生産性・環境改善ｸﾞﾙｰﾌﾟ事務所</t>
  </si>
  <si>
    <t>　横浜市金沢区大川3番1号</t>
  </si>
  <si>
    <t>　8：05　～　16：55　（横浜事業所稼働日のみ）</t>
  </si>
  <si>
    <t>千時間</t>
  </si>
  <si>
    <t>349</t>
  </si>
  <si>
    <t>株式会社光洲産業</t>
  </si>
  <si>
    <t>神奈川県川崎市高津区久地4-10-11</t>
  </si>
  <si>
    <t>代表取締役　光田栄吉</t>
  </si>
  <si>
    <t>光洲エコファクトリー　YOKOHAMA BAY</t>
  </si>
  <si>
    <t>横浜市神奈川区恵比須町5-12</t>
  </si>
  <si>
    <t>350</t>
  </si>
  <si>
    <t>トオカツフーズ株式会社</t>
  </si>
  <si>
    <t>神奈川県横浜市港北区日吉7-15-14</t>
  </si>
  <si>
    <t>代表取締役　池田　晋一</t>
  </si>
  <si>
    <t>神奈川県横浜市港北区日吉７－１５－１４</t>
  </si>
  <si>
    <t>本社　生産管理部</t>
  </si>
  <si>
    <t>神奈川県横浜市日吉７－１５－１４</t>
  </si>
  <si>
    <t>午前９；００～午後１７；００</t>
  </si>
  <si>
    <t>351</t>
  </si>
  <si>
    <t>株式会社サンジェルマン</t>
  </si>
  <si>
    <t>神奈川県横浜市港北区新羽町688</t>
  </si>
  <si>
    <t>神奈川県横浜市港北区新羽町688番地</t>
  </si>
  <si>
    <t>平日9：00～18：00</t>
  </si>
  <si>
    <t>353</t>
  </si>
  <si>
    <t>ソフトバンク株式会社</t>
  </si>
  <si>
    <t>東京都港区海岸一丁目7番1号</t>
  </si>
  <si>
    <t>代表取締役 社長執行役員 兼 CEO
宮川　潤一</t>
  </si>
  <si>
    <t>代表取締役 社長執行役員 兼 CEO　宮川　潤一</t>
  </si>
  <si>
    <t>東京都港区海岸一丁目7番1号　東京ﾎﾟｰﾄｼﾃｨ竹芝ｵﾌｨｽﾀﾜｰ</t>
  </si>
  <si>
    <t>Gbps</t>
  </si>
  <si>
    <t>計画書提出時には想定していなかったエネルギー管理対象となる基地局が2021年度より増加したため、電力消費量が大きく増加し、基準年度に対してCO2排出量も増加しています。</t>
  </si>
  <si>
    <t>354</t>
  </si>
  <si>
    <t>株式会社ヤマダデンキ</t>
  </si>
  <si>
    <t>群馬県高崎市栄町1-1</t>
  </si>
  <si>
    <t>代表取締役　上野 善紀</t>
  </si>
  <si>
    <t>株式会社ヤマダホールディングス 総務部</t>
  </si>
  <si>
    <t>10：00～16：00</t>
  </si>
  <si>
    <t>355</t>
  </si>
  <si>
    <t>株式会社信光社</t>
  </si>
  <si>
    <t>横浜市栄区小菅ヶ谷2-4-1</t>
  </si>
  <si>
    <t>代表取締役社長 米澤 勝之</t>
  </si>
  <si>
    <t>株式会社　信光社</t>
  </si>
  <si>
    <t>千cm3</t>
  </si>
  <si>
    <t>359</t>
  </si>
  <si>
    <t>北海道札幌市中央区大通東３丁目１－１９</t>
  </si>
  <si>
    <t>株式会社　カナモト</t>
  </si>
  <si>
    <t xml:space="preserve">
代表取締役　金本　哲男</t>
  </si>
  <si>
    <t>　代表取締役　金本　哲男</t>
  </si>
  <si>
    <t>株式会社カナモト　横浜営業所</t>
  </si>
  <si>
    <t>神奈川県横浜市金沢区鳥浜町5番地の16</t>
  </si>
  <si>
    <t>8：30～17：00（土日祝除く）</t>
  </si>
  <si>
    <t>360</t>
  </si>
  <si>
    <t>株式会社ＪＥＲＡ　横浜火力発電所</t>
  </si>
  <si>
    <t>株式会社ＪＥＲＡ</t>
  </si>
  <si>
    <t>東京都中央区日本橋二丁目５番１号</t>
  </si>
  <si>
    <t>神奈川県横浜市鶴見区大黒町１１－１</t>
  </si>
  <si>
    <t>８：１０から１６：５０</t>
  </si>
  <si>
    <t>MWh</t>
  </si>
  <si>
    <t>361</t>
  </si>
  <si>
    <t>東京電力パワーグリッド株式会社</t>
  </si>
  <si>
    <t>神奈川県横浜市中区弁天通１－１</t>
  </si>
  <si>
    <t>代表取締役社長　金子　禎則</t>
  </si>
  <si>
    <t>東京都千代田区内幸町１丁目１番３号</t>
  </si>
  <si>
    <t>東京電力パワーグリッド（株）神奈川総支社本館　１階受付</t>
  </si>
  <si>
    <t>横浜市中区弁天通１丁目１番地</t>
  </si>
  <si>
    <t>９：３０～１６：３０（土日祝・年末年始は休日）</t>
  </si>
  <si>
    <t>362</t>
  </si>
  <si>
    <t>東京電力ホールディングス株式会社</t>
  </si>
  <si>
    <t>代表執行役社長 小早川 智明</t>
  </si>
  <si>
    <t>東京都千代田区内幸町１－１－３</t>
  </si>
  <si>
    <t>実験室の稼働低下</t>
  </si>
  <si>
    <t>363</t>
  </si>
  <si>
    <t>丸紅プライベートリート投資法人</t>
  </si>
  <si>
    <t>東京都千代田区大手町一丁目6番1号</t>
  </si>
  <si>
    <t>丸紅アセットマネジメント株式会社</t>
  </si>
  <si>
    <t>364</t>
  </si>
  <si>
    <t>株式会社上組</t>
  </si>
  <si>
    <t>横浜市中区北仲通3-31</t>
  </si>
  <si>
    <t>横浜支店　支店長　下西正時</t>
  </si>
  <si>
    <t>代表取締役社長　深井義博</t>
  </si>
  <si>
    <t>株式会社上組横浜支店</t>
  </si>
  <si>
    <t>365</t>
  </si>
  <si>
    <t>ＳＣリアルティプライベート投資法人</t>
  </si>
  <si>
    <t>東京都中央区京橋1-17-10</t>
  </si>
  <si>
    <t>執行役員 清水 重和</t>
  </si>
  <si>
    <t>住商ﾘｱﾙﾃｨ･ﾏﾈｼﾞﾒﾝﾄ（株）　私募リート事業部</t>
  </si>
  <si>
    <t>東京都中央区京橋1-17-10　住友商事京橋ビル９階</t>
  </si>
  <si>
    <t>平日9：30～18：00（土日・祝日は除く）</t>
  </si>
  <si>
    <t>366</t>
  </si>
  <si>
    <t>株式会社松屋フーズ</t>
  </si>
  <si>
    <t>東京都武蔵野市中町1-14-5</t>
  </si>
  <si>
    <t>代表取締役　瓦葺　一利</t>
  </si>
  <si>
    <t>株式会社松屋フーズ本社ビル　　総務・広報グループ</t>
  </si>
  <si>
    <t>9：00-18：00</t>
  </si>
  <si>
    <t>367</t>
  </si>
  <si>
    <t>ＳＢＳロジコム関東株式会社</t>
  </si>
  <si>
    <t>東京都新宿区西新宿８丁目１７番１号</t>
  </si>
  <si>
    <t>代表取締役　　中村武志</t>
  </si>
  <si>
    <t>ＳＢＳロジコム関東株式会社　本社　管理部</t>
  </si>
  <si>
    <t>平日　９：００～１８：００</t>
  </si>
  <si>
    <t>368</t>
  </si>
  <si>
    <t>フタムラ化学株式会社</t>
  </si>
  <si>
    <t>愛知県名古屋市中村区名駅二丁目29番16号</t>
  </si>
  <si>
    <t>代表取締役社長　長江　泰雄</t>
  </si>
  <si>
    <t>https://www.futamura.co.jp/csr/</t>
  </si>
  <si>
    <t>369</t>
  </si>
  <si>
    <t>ジャパンエクセレント投資法人</t>
  </si>
  <si>
    <t>東京都港区南青山1-15-9
第45興和ビル</t>
  </si>
  <si>
    <t>執行役員　香山　秀一郎</t>
  </si>
  <si>
    <t>東京都港区南青山1-15-9　第45興和ビル</t>
  </si>
  <si>
    <t>ＥＮＥＯＳ不動産株式会社　ビル事業部技術グループ</t>
  </si>
  <si>
    <t>横浜市中区桜木町一丁目１番地８</t>
  </si>
  <si>
    <t>９：００～１７：３０</t>
  </si>
  <si>
    <t>370</t>
  </si>
  <si>
    <t>ケネディクス・オフィス投資法人</t>
  </si>
  <si>
    <t>東京都千代田区内幸町二丁目１番６号</t>
  </si>
  <si>
    <t>ケネディクス不動産投資顧問株式会社　オフィス・リート本部</t>
  </si>
  <si>
    <t>東京都千代田区内幸町2-1-6　日比谷パークフロント</t>
  </si>
  <si>
    <t>371</t>
  </si>
  <si>
    <t>三菱食品株式会社</t>
  </si>
  <si>
    <t>東京都文京区小石川1-1-1</t>
  </si>
  <si>
    <t>代表取締役         京谷   裕</t>
  </si>
  <si>
    <t>代表取締役 京谷　裕</t>
  </si>
  <si>
    <t>SCM統括 SCM統括オフィス</t>
  </si>
  <si>
    <t>平日 9:00 ～ 17:30</t>
  </si>
  <si>
    <t>374</t>
  </si>
  <si>
    <t>地方独立行政法人神奈川県立病院機構</t>
  </si>
  <si>
    <t>横浜市中区本町２－22</t>
  </si>
  <si>
    <t>理事長　吉川　伸治</t>
  </si>
  <si>
    <t>本部事務局総務企画部</t>
  </si>
  <si>
    <t>横浜市中区本町２-22　京阪横浜ビル４階</t>
  </si>
  <si>
    <t>375</t>
  </si>
  <si>
    <t>新日本ウエックス株式会社</t>
  </si>
  <si>
    <t>愛知県名古屋市南区七条町3‐5‐1</t>
  </si>
  <si>
    <t>代表取締役社長　廣瀬　純平</t>
  </si>
  <si>
    <t>神奈川県横浜市中区かもめ町３７</t>
  </si>
  <si>
    <t>376</t>
  </si>
  <si>
    <t>神奈川県横浜市西区みなとみらい3-6-1</t>
  </si>
  <si>
    <t>みなとみらいセンタービル　1階　防災センター</t>
  </si>
  <si>
    <t>横浜市西区みなとみらい3-6-1</t>
  </si>
  <si>
    <t>11 特記事項に記載</t>
  </si>
  <si>
    <t>377</t>
  </si>
  <si>
    <t>株式会社快活フロンティア</t>
  </si>
  <si>
    <t>神奈川県横浜市都筑区北山田3-1-50</t>
  </si>
  <si>
    <t>代表取締役　竹島文明</t>
  </si>
  <si>
    <t>㈱快活フロンティア</t>
  </si>
  <si>
    <t>横浜市都筑区北山田3-1-50　</t>
  </si>
  <si>
    <t>　　10：00～17：00　　（土日祝日除く）</t>
  </si>
  <si>
    <t>378</t>
  </si>
  <si>
    <t>株式会社タツノ</t>
  </si>
  <si>
    <t>神奈川県横浜市栄区笠間4-1-1</t>
  </si>
  <si>
    <t>株式会社タツノ横浜工場</t>
  </si>
  <si>
    <t>工場代表者　綾部　能一</t>
  </si>
  <si>
    <t>代表取締役社長　龍野　廣道</t>
  </si>
  <si>
    <t>東京都港区三田三丁目２番６号</t>
  </si>
  <si>
    <t>株式会社タツノ横浜工場（守衛所）</t>
  </si>
  <si>
    <t>8：30～11：30、13：00～16：00まで</t>
  </si>
  <si>
    <t>379</t>
  </si>
  <si>
    <t>東京都品川区東品川2-2-24 天王洲セントラルタワー21階</t>
  </si>
  <si>
    <t>シーエムエーシージーエムジャパン　株式会社</t>
  </si>
  <si>
    <t>日本に於ける代表者　内田秀樹</t>
  </si>
  <si>
    <t>横浜市中区本牧埠頭1番10本牧D-4</t>
  </si>
  <si>
    <t>http://www.cma-cgm.com/local/japan-agencies</t>
  </si>
  <si>
    <t>本牧D-4 ターミナル</t>
  </si>
  <si>
    <t>横浜市中区本牧埠頭1番10</t>
  </si>
  <si>
    <t>午前10時から午後4時まで（平日のみ）</t>
  </si>
  <si>
    <t>千unit</t>
  </si>
  <si>
    <t>380</t>
  </si>
  <si>
    <t>山村フォトニクス株式会社</t>
  </si>
  <si>
    <t>横浜市都筑区池辺町４２０７</t>
  </si>
  <si>
    <t>横浜市都筑区池辺町４２０7</t>
  </si>
  <si>
    <t>山村フォトニクス株式会社　本社工場</t>
  </si>
  <si>
    <t>15：00～16:00</t>
  </si>
  <si>
    <t>382</t>
  </si>
  <si>
    <t>芙蓉総合リース株式会社</t>
  </si>
  <si>
    <t>東京都千代田区麹町五丁目1番地1</t>
  </si>
  <si>
    <t>代表取締役社長　織田　寛明</t>
  </si>
  <si>
    <t>ヒューリックみなとみらい　防災センター</t>
  </si>
  <si>
    <t>横浜市中区桜木町1-1-7</t>
  </si>
  <si>
    <t>09:30～18:00</t>
  </si>
  <si>
    <t>383</t>
  </si>
  <si>
    <t>キオクシア株式会社</t>
  </si>
  <si>
    <t>東京都港区芝浦三丁目１番２１号</t>
  </si>
  <si>
    <t>代表取締役社長　早坂 伸夫</t>
  </si>
  <si>
    <t>384</t>
  </si>
  <si>
    <t>東芝エネルギーシステムズ株式会社</t>
  </si>
  <si>
    <t>神奈川県川崎市幸区堀川町72番地34</t>
  </si>
  <si>
    <t>代表取締役社長　四柳 端</t>
  </si>
  <si>
    <t>東芝エネルギーシステムズ株式会社　京浜事業所</t>
  </si>
  <si>
    <t>横浜市鶴見区末広町２－４</t>
  </si>
  <si>
    <t>385</t>
  </si>
  <si>
    <t>東京都千代田区内幸町２丁目１番６号</t>
  </si>
  <si>
    <t>合同会社ＹＭＭインベストメント</t>
  </si>
  <si>
    <t>一般社団法人ＹＭＭホールディングス
職務執行者　中津正憲</t>
  </si>
  <si>
    <t>一般社団法人ＹＭＭホールディングス　　職務執行者　中津正憲</t>
  </si>
  <si>
    <t>三菱重工横浜ビル　防災センター</t>
  </si>
  <si>
    <t>横浜市西区みなとみらい3丁目3番1号</t>
  </si>
  <si>
    <t>10:00～16:30</t>
  </si>
  <si>
    <t>386</t>
  </si>
  <si>
    <t>イオンリテールストア株式会社</t>
  </si>
  <si>
    <t xml:space="preserve">
イオンリテールストア株式会社</t>
  </si>
  <si>
    <t>南関東カンパニー 管理部長 広澤　章</t>
  </si>
  <si>
    <t>①イオン金沢八景店②イオンスタイル東戸塚　各サ－ビスカウンタ－</t>
  </si>
  <si>
    <t>①金沢区泥亀1-27-1　②戸塚区品濃町535-1</t>
  </si>
  <si>
    <t>387</t>
  </si>
  <si>
    <t>住友電工デバイス・イノベーション株式会社</t>
  </si>
  <si>
    <t>神奈川県横浜市栄区金井町１番地</t>
  </si>
  <si>
    <t>代表取締役社長　長谷川　裕一</t>
  </si>
  <si>
    <t>神奈川県横浜市栄区金井町1番地</t>
  </si>
  <si>
    <t>住友電工デバイス・イノベーション㈱　本社</t>
  </si>
  <si>
    <t>横浜市栄区金井町１番地</t>
  </si>
  <si>
    <t>8:30～17:00（土・日除く）</t>
  </si>
  <si>
    <t>枚</t>
  </si>
  <si>
    <t>388</t>
  </si>
  <si>
    <t>NS Yokohama ML 合同会社</t>
  </si>
  <si>
    <t>NS Yokohama ML 合同会社 ( 旧：合同会社NSY　ML　）</t>
  </si>
  <si>
    <t>389</t>
  </si>
  <si>
    <t>京浜交通株式会社</t>
  </si>
  <si>
    <t>神奈川県川崎市川崎区境町５－２</t>
  </si>
  <si>
    <t>代表取締役 岩浦 哲彦</t>
  </si>
  <si>
    <t>京浜交通㈱弁天橋営業所</t>
  </si>
  <si>
    <t>神奈川県横浜市鶴見区小野町４３－１</t>
  </si>
  <si>
    <t>390</t>
  </si>
  <si>
    <t>京セラＳＯＣ株式会社</t>
  </si>
  <si>
    <t>神奈川県横浜市緑区白山一丁目22番1号</t>
  </si>
  <si>
    <t>代表取締役　土川　稔</t>
  </si>
  <si>
    <t>京セラＳＯＣ株式会社　本社・事業所</t>
  </si>
  <si>
    <t>391</t>
  </si>
  <si>
    <t>横浜ベイアスコン株式会社</t>
  </si>
  <si>
    <t>神奈川県横浜市磯子区新磯子町27-1</t>
  </si>
  <si>
    <t>代表取締役社長　佐々木　理夫　</t>
  </si>
  <si>
    <t>代表取締役社長　佐々木　理夫</t>
  </si>
  <si>
    <t>横浜ベイアスコン株式会社事務所窓口</t>
  </si>
  <si>
    <t>平日8：00～18：00</t>
  </si>
  <si>
    <t>392</t>
  </si>
  <si>
    <t>株式会社東急モールズデベロップメント</t>
  </si>
  <si>
    <t>東京都渋谷区道玄坂一丁目10番7号</t>
  </si>
  <si>
    <t>代表取締役社長　佐々木　桃子</t>
  </si>
  <si>
    <t>株式会社東急モールズデベロップメント　本社　施設管理部</t>
  </si>
  <si>
    <t>東京都渋谷区道玄坂一丁目１０番７号</t>
  </si>
  <si>
    <t>HPにて公表すべく準備中</t>
  </si>
  <si>
    <t>日</t>
  </si>
  <si>
    <t>393</t>
  </si>
  <si>
    <t>株式会社ミツウロコ</t>
  </si>
  <si>
    <t>東京都千代田区丸の内3-1-1
東京スクエアガーデン</t>
  </si>
  <si>
    <t>代表取締役社長　田島晃平</t>
  </si>
  <si>
    <t>神奈川県横浜市西区北幸2-2-1</t>
  </si>
  <si>
    <t>株式会社ミツウロコグループホールディングス本社</t>
  </si>
  <si>
    <t>東京都千代田区丸の内3-1-1国際ビル3階</t>
  </si>
  <si>
    <t>395</t>
  </si>
  <si>
    <t>積水ハウス株式会社</t>
  </si>
  <si>
    <t>大阪府大阪市北区大淀中1丁目1番88号
梅田ｽｶｲﾋﾞﾙ　ﾀﾜｰｲｰｽﾄ</t>
  </si>
  <si>
    <t>代表取締役社長　仲井　嘉浩</t>
  </si>
  <si>
    <t>積水ハウス株式会社　人事総務部</t>
  </si>
  <si>
    <t>大阪府大阪市北区大淀中１丁目１番８８号</t>
  </si>
  <si>
    <t>午前９時～午後６時</t>
  </si>
  <si>
    <t>万ｋｍ</t>
  </si>
  <si>
    <t>396</t>
  </si>
  <si>
    <t>キリンホールディングス株式会社</t>
  </si>
  <si>
    <t>横浜市金沢区福浦1-13-5</t>
  </si>
  <si>
    <t>福浦リサーチパーク長　矢島 宏昭</t>
  </si>
  <si>
    <t>代表取締役社長 磯崎 功典</t>
  </si>
  <si>
    <t>平日（年末年始・夏季休暇を除く）９：００～１７：３０</t>
  </si>
  <si>
    <t>397</t>
  </si>
  <si>
    <t>Apple Japan合同会社</t>
  </si>
  <si>
    <t>東京都港区六本木6－10－1　六本木ヒルズ　森タワー</t>
  </si>
  <si>
    <t>代表社員アップルサウスアジアピ–テｲ–イ–リミテッド職務執行者　秋間　亮</t>
  </si>
  <si>
    <t>個別対応いたします。（連絡先：045-605-1020)</t>
  </si>
  <si>
    <t>398</t>
  </si>
  <si>
    <t>株式会社横浜アリーナ</t>
  </si>
  <si>
    <t>神奈川県横浜市港北区新横浜３－１０</t>
  </si>
  <si>
    <t>代表取締役社長　　関　洋二</t>
  </si>
  <si>
    <t>https://www.yokohama-arena.co.jp/company/environment/</t>
  </si>
  <si>
    <t>399</t>
  </si>
  <si>
    <t>アパホテル株式会社</t>
  </si>
  <si>
    <t>東京都港区赤坂3丁目2番3号</t>
  </si>
  <si>
    <t>代表取締役　元谷 芙美子</t>
  </si>
  <si>
    <t>アパグループ東京本社　CM事業部</t>
  </si>
  <si>
    <t>平日9：30～17：00（12：00～13：00除く、祝日・年末年始は除く）</t>
  </si>
  <si>
    <t>400</t>
  </si>
  <si>
    <t>東芝マテリアル株式会社</t>
  </si>
  <si>
    <t>神奈川県横浜市磯子区新杉田町8番地</t>
  </si>
  <si>
    <t>代表取締役社長　青木　克明</t>
  </si>
  <si>
    <t>(株)東芝 内(浜松町　事業所)</t>
  </si>
  <si>
    <t>東京都港区芝浦1－1－1</t>
  </si>
  <si>
    <t>10：00－17：00</t>
  </si>
  <si>
    <t>401</t>
  </si>
  <si>
    <t>東芝デバイス＆ストレージ株式会社</t>
  </si>
  <si>
    <t>代表取締役社長　佐藤　裕之</t>
  </si>
  <si>
    <t>本社　事業所</t>
  </si>
  <si>
    <t>402</t>
  </si>
  <si>
    <t>ケネディクス商業リート投資法人</t>
  </si>
  <si>
    <t>執行役員　　渡辺　萌</t>
  </si>
  <si>
    <t>ケネディクス不動産投資顧問株式会社　商業リート本部</t>
  </si>
  <si>
    <t>403</t>
  </si>
  <si>
    <t>東新工業株式会社</t>
  </si>
  <si>
    <t>神奈川県横浜市金沢区福浦2-10-13</t>
  </si>
  <si>
    <t>代表取締役社長　山﨑慎介</t>
  </si>
  <si>
    <t xml:space="preserve"> 東新工業株式会社</t>
  </si>
  <si>
    <t>横浜市金沢区福浦2-10-13</t>
  </si>
  <si>
    <t>東新工業株式会社　横浜工場　総務課</t>
  </si>
  <si>
    <t>平日　８：３０～１７：００　（要事前予約）</t>
  </si>
  <si>
    <t>404</t>
  </si>
  <si>
    <t>株式会社ドン・キホーテ</t>
  </si>
  <si>
    <t>東京都目黒区青葉台2丁目19番10号</t>
  </si>
  <si>
    <t>代表取締役　吉田　直樹</t>
  </si>
  <si>
    <t>閲覧希望者に郵送（連絡先窓口：環境対策管理課エネルギー）</t>
  </si>
  <si>
    <t>(M㎡･h)</t>
  </si>
  <si>
    <t>405</t>
  </si>
  <si>
    <t>リゾートトラスト株式会社</t>
  </si>
  <si>
    <t>愛知県名古屋市中区東桜2-18-31</t>
  </si>
  <si>
    <t>代表取締役　伏見有貴</t>
  </si>
  <si>
    <t>https://baycourt.jp/yokohama/guide/</t>
  </si>
  <si>
    <t>406</t>
  </si>
  <si>
    <t>神奈川県横浜市西区南幸1-1-1 
JR横浜タワー26階</t>
  </si>
  <si>
    <t>株式会社　ノジマ</t>
  </si>
  <si>
    <t>代表執行役社長
野島廣司</t>
  </si>
  <si>
    <t>株式会社 ノジマ</t>
  </si>
  <si>
    <t>　代表執行役社長　野島廣司</t>
  </si>
  <si>
    <t>神奈川県横浜市西区南幸1-1-1　JR横浜タワー26階</t>
  </si>
  <si>
    <t>本社総務部窓口</t>
  </si>
  <si>
    <t>神奈川県横浜市西区南幸1-1-1 JR横浜タワー26階</t>
  </si>
  <si>
    <t>上記結果となり、目標を上回った。</t>
  </si>
  <si>
    <t>407</t>
  </si>
  <si>
    <t>医療法人社団　善仁会</t>
  </si>
  <si>
    <t>神奈川県横浜市西区高島二丁目6番32号</t>
  </si>
  <si>
    <t>理事長 安藤　和弘</t>
  </si>
  <si>
    <t>神奈川県横浜市西区高島二丁目６番３２号</t>
  </si>
  <si>
    <t>９時００分～１７時１５分</t>
  </si>
  <si>
    <r>
      <t xml:space="preserve">事業者ID
</t>
    </r>
    <r>
      <rPr>
        <sz val="11"/>
        <rFont val="HGPｺﾞｼｯｸM"/>
        <family val="3"/>
        <charset val="128"/>
      </rPr>
      <t>(フォルダ名から取得)</t>
    </r>
    <rPh sb="0" eb="3">
      <t>ジギョウシャ</t>
    </rPh>
    <rPh sb="11" eb="12">
      <t>メイ</t>
    </rPh>
    <rPh sb="14" eb="16">
      <t>シュトク</t>
    </rPh>
    <phoneticPr fontId="89"/>
  </si>
  <si>
    <r>
      <t xml:space="preserve">原油換算
</t>
    </r>
    <r>
      <rPr>
        <b/>
        <sz val="9"/>
        <rFont val="HGPｺﾞｼｯｸM"/>
        <family val="3"/>
        <charset val="128"/>
      </rPr>
      <t>エネルギー</t>
    </r>
    <r>
      <rPr>
        <b/>
        <sz val="10"/>
        <rFont val="HGPｺﾞｼｯｸM"/>
        <family val="3"/>
        <charset val="128"/>
      </rPr>
      <t xml:space="preserve">
使用量</t>
    </r>
    <rPh sb="0" eb="2">
      <t>ゲンユ</t>
    </rPh>
    <rPh sb="2" eb="4">
      <t>カンサン</t>
    </rPh>
    <rPh sb="11" eb="14">
      <t>シヨウリョウ</t>
    </rPh>
    <phoneticPr fontId="87"/>
  </si>
  <si>
    <t>計画
開始
年度</t>
    <rPh sb="0" eb="2">
      <t>ケイカク</t>
    </rPh>
    <rPh sb="3" eb="5">
      <t>カイシ</t>
    </rPh>
    <rPh sb="6" eb="8">
      <t>ネンド</t>
    </rPh>
    <phoneticPr fontId="87"/>
  </si>
  <si>
    <r>
      <t xml:space="preserve">該当
号数
</t>
    </r>
    <r>
      <rPr>
        <sz val="9"/>
        <color theme="1"/>
        <rFont val="HGPｺﾞｼｯｸM"/>
        <family val="3"/>
        <charset val="128"/>
      </rPr>
      <t>(記載)</t>
    </r>
    <rPh sb="0" eb="2">
      <t>ガイトウ</t>
    </rPh>
    <rPh sb="3" eb="5">
      <t>ゴウスウ</t>
    </rPh>
    <rPh sb="7" eb="9">
      <t>キサイ</t>
    </rPh>
    <phoneticPr fontId="88"/>
  </si>
  <si>
    <r>
      <t xml:space="preserve">事業者ID
</t>
    </r>
    <r>
      <rPr>
        <sz val="11"/>
        <color theme="1"/>
        <rFont val="HGPｺﾞｼｯｸM"/>
        <family val="3"/>
        <charset val="128"/>
      </rPr>
      <t>(フォルダ名から取得)</t>
    </r>
    <rPh sb="0" eb="3">
      <t>ジギョウシャ</t>
    </rPh>
    <rPh sb="11" eb="12">
      <t>メイ</t>
    </rPh>
    <rPh sb="14" eb="16">
      <t>シュトク</t>
    </rPh>
    <phoneticPr fontId="89"/>
  </si>
  <si>
    <r>
      <t xml:space="preserve">原油換算
</t>
    </r>
    <r>
      <rPr>
        <b/>
        <sz val="9"/>
        <color theme="1"/>
        <rFont val="HGPｺﾞｼｯｸM"/>
        <family val="3"/>
        <charset val="128"/>
      </rPr>
      <t>エネルギー</t>
    </r>
    <r>
      <rPr>
        <b/>
        <sz val="10"/>
        <color theme="1"/>
        <rFont val="HGPｺﾞｼｯｸM"/>
        <family val="3"/>
        <charset val="128"/>
      </rPr>
      <t xml:space="preserve">
使用量</t>
    </r>
    <rPh sb="0" eb="2">
      <t>ゲンユ</t>
    </rPh>
    <rPh sb="2" eb="4">
      <t>カンサン</t>
    </rPh>
    <rPh sb="11" eb="14">
      <t>シヨウリョウ</t>
    </rPh>
    <phoneticPr fontId="87"/>
  </si>
  <si>
    <t>３　温室効果ガスの排出の抑制等を図るための基本方針</t>
    <phoneticPr fontId="88"/>
  </si>
  <si>
    <t>調整後排出量</t>
    <rPh sb="0" eb="3">
      <t>チョウセイゴ</t>
    </rPh>
    <rPh sb="3" eb="5">
      <t>ハイシュツ</t>
    </rPh>
    <rPh sb="5" eb="6">
      <t>リョウ</t>
    </rPh>
    <phoneticPr fontId="88"/>
  </si>
  <si>
    <t>排出量削減率</t>
    <rPh sb="0" eb="2">
      <t>ハイシュツ</t>
    </rPh>
    <rPh sb="2" eb="3">
      <t>リョウ</t>
    </rPh>
    <rPh sb="3" eb="5">
      <t>サクゲン</t>
    </rPh>
    <rPh sb="5" eb="6">
      <t>リツ</t>
    </rPh>
    <phoneticPr fontId="88"/>
  </si>
  <si>
    <t>調整後排出量削減率</t>
    <rPh sb="0" eb="3">
      <t>チョウセイゴ</t>
    </rPh>
    <rPh sb="3" eb="5">
      <t>ハイシュツ</t>
    </rPh>
    <rPh sb="5" eb="6">
      <t>リョウ</t>
    </rPh>
    <rPh sb="6" eb="8">
      <t>サクゲン</t>
    </rPh>
    <rPh sb="8" eb="9">
      <t>リツ</t>
    </rPh>
    <phoneticPr fontId="88"/>
  </si>
  <si>
    <t>原単位削減率</t>
    <rPh sb="0" eb="3">
      <t>ゲンタンイ</t>
    </rPh>
    <rPh sb="3" eb="5">
      <t>サクゲン</t>
    </rPh>
    <rPh sb="5" eb="6">
      <t>リツ</t>
    </rPh>
    <phoneticPr fontId="88"/>
  </si>
  <si>
    <t>排出の抑制に係る目標の設定の考え方</t>
    <rPh sb="0" eb="2">
      <t>ハイシュツ</t>
    </rPh>
    <rPh sb="3" eb="5">
      <t>ヨクセイ</t>
    </rPh>
    <rPh sb="6" eb="7">
      <t>カカ</t>
    </rPh>
    <rPh sb="8" eb="10">
      <t>モクヒョウ</t>
    </rPh>
    <rPh sb="11" eb="13">
      <t>セッテイ</t>
    </rPh>
    <rPh sb="14" eb="15">
      <t>カンガ</t>
    </rPh>
    <rPh sb="16" eb="17">
      <t>カタ</t>
    </rPh>
    <phoneticPr fontId="100"/>
  </si>
  <si>
    <t>千h</t>
  </si>
  <si>
    <t>百万m3</t>
  </si>
  <si>
    <t>株式会社西武リアルティソリューションズ　施設管理部</t>
  </si>
  <si>
    <t xml:space="preserve">[基本方針]
・「CO2削減プラン」を作成し、エネルギー使用量を年1%削減する目標を設定し、対策に取り組む
・この目標を達成するため、従来より推移してきた電気使用量の削減など省エネ対策の再徹底を図る
・自動車については、エコドライブの継続的な取り組みと合わせて、ハイブリッドなど二酸化炭素の
　は支出が少ない車種への代替を引き続き推進していく
</t>
  </si>
  <si>
    <t>・クールビズやそれに伴う適正な室温設定など全社的に節電に伴う　　　　　　　　・店舗の空調機についてインバーター機など高効率機への代替を促進する
・ＬＥＤ照明への代替への促進など省エネ型設備・機器への代替を促進する</t>
  </si>
  <si>
    <t>・低公害車への代替を促進する
・日常点検励行し定期点検を確実に実施する
・急発進、急停車の禁止などエコドライブの継続実施</t>
  </si>
  <si>
    <t>百万㎡･ｈ</t>
  </si>
  <si>
    <t>100万㎡･h</t>
  </si>
  <si>
    <t>十t</t>
  </si>
  <si>
    <t>万㎞</t>
  </si>
  <si>
    <t>株式会社　西　友</t>
  </si>
  <si>
    <t>百万本</t>
  </si>
  <si>
    <t>408</t>
  </si>
  <si>
    <t>デジタルエッジ・ジャパン合同会社</t>
  </si>
  <si>
    <t>デジタルエッジ・シンガポール・ホールディングス・ピーティーイーリミテッド 職務執行者　古田 敬</t>
  </si>
  <si>
    <t>神奈川県横浜市都筑区二の丸1番2号</t>
  </si>
  <si>
    <t>本社事務所</t>
  </si>
  <si>
    <t>【平日】10:00　～　17:00　（事前連絡が必要）</t>
  </si>
  <si>
    <t>百台</t>
  </si>
  <si>
    <t>409</t>
  </si>
  <si>
    <t>パナソニック オートモーティブシステムズ株式会社</t>
  </si>
  <si>
    <t>神奈川県横浜市都筑区池辺町４２６１番地</t>
  </si>
  <si>
    <t>代表取締役　永易　正吏</t>
  </si>
  <si>
    <t>品質保証センター　環境推進部</t>
  </si>
  <si>
    <t>410</t>
  </si>
  <si>
    <t>ピーピーエフエー・ジャパン・シックス特定目的会社</t>
  </si>
  <si>
    <t>東京都江東区亀戸六丁目56番15号</t>
  </si>
  <si>
    <t>取締役　中村　武</t>
  </si>
  <si>
    <t>横浜野村ビル　防災センター</t>
  </si>
  <si>
    <t>神奈川県横浜市西区みなとみらい4-4-1</t>
  </si>
  <si>
    <t>411</t>
  </si>
  <si>
    <t>ソニーグループ株式会社</t>
  </si>
  <si>
    <t>東京都港区港南1-7-1</t>
  </si>
  <si>
    <t>代表執行役　吉田　憲一郎</t>
  </si>
  <si>
    <t>ソニーシティみなとみらい受付（事前連絡要）</t>
  </si>
  <si>
    <t>神奈川県横浜市西区みなとみらい5-1-1</t>
  </si>
  <si>
    <t>9:00-17:00</t>
  </si>
  <si>
    <t>412</t>
  </si>
  <si>
    <t>パナソニック コネクト株式会社</t>
  </si>
  <si>
    <t>東京都中央区銀座8丁目21番1号 住友不動産汐留浜離宮ビル</t>
  </si>
  <si>
    <t>社長　樋口 泰行</t>
  </si>
  <si>
    <t>413</t>
  </si>
  <si>
    <t>東京都中央区京橋１丁目１７番１０号</t>
  </si>
  <si>
    <t xml:space="preserve">ＳＯＳｉＬＡ物流リート投資法人 </t>
  </si>
  <si>
    <t>執行役員　松本　展彦</t>
  </si>
  <si>
    <t>ＳＯＳｉＬＡ物流リート投資法人</t>
  </si>
  <si>
    <t>住商リアルティ・マネジメント株式会社　上場リート事業部</t>
  </si>
  <si>
    <t>東京都中央区京橋１丁目１７番１０号住友商事京橋ビル9F</t>
  </si>
  <si>
    <t>414</t>
  </si>
  <si>
    <t>株式会社村田製作所</t>
  </si>
  <si>
    <t>京都府長岡京市東神足１丁目１０番１号</t>
  </si>
  <si>
    <t>代表取締役社長　中島　規巨</t>
  </si>
  <si>
    <t>京都府長岡京市東神足1丁目10番1号</t>
  </si>
  <si>
    <t>株式会社村田製作所　みなとみらいイノベーションセンター</t>
  </si>
  <si>
    <t>神奈川県横浜市西区みなとみらい4丁目3-8</t>
  </si>
  <si>
    <t>月曜から金曜まで(自社で定める休業日を除く)
10:00～16:00(12:00～13:00は除く)
※要事前連絡：045-227-3103</t>
  </si>
  <si>
    <t>415</t>
  </si>
  <si>
    <t>株式会社JR東日本クロスステーション</t>
  </si>
  <si>
    <t>東京都渋谷区千駄ヶ谷五丁目33番8号</t>
  </si>
  <si>
    <t>代表取締役社長　西野　史尚</t>
  </si>
  <si>
    <t>代表取締役社長 西野　史尚</t>
  </si>
  <si>
    <t>https://www.jr-cross.co.jp/</t>
  </si>
  <si>
    <t>416</t>
  </si>
  <si>
    <t>株式会社ニューフレアテクノロジー</t>
  </si>
  <si>
    <t>神奈川県横浜市磯子区新杉田町8番1</t>
  </si>
  <si>
    <t xml:space="preserve">代表取締役社長 高松 潤 </t>
  </si>
  <si>
    <t>本社　生産部　環境設備グループ</t>
  </si>
  <si>
    <t>０９：００～１７：００</t>
  </si>
  <si>
    <t>昨年度計画書</t>
    <rPh sb="0" eb="3">
      <t>サクネンド</t>
    </rPh>
    <rPh sb="3" eb="6">
      <t>ケイカクショ</t>
    </rPh>
    <phoneticPr fontId="15"/>
  </si>
  <si>
    <t>昨年度報告書</t>
    <rPh sb="0" eb="3">
      <t>サクネンド</t>
    </rPh>
    <rPh sb="3" eb="6">
      <t>ホウコクショ</t>
    </rPh>
    <phoneticPr fontId="15"/>
  </si>
  <si>
    <t>昨年度計画書が提出されている事業者は、計画書データを使い、報告書のみが提出されている事業者は、報告書データを使い、どちらも提出されていない事業者は、新規扱い</t>
    <rPh sb="0" eb="3">
      <t>サクネンド</t>
    </rPh>
    <rPh sb="3" eb="6">
      <t>ケイカクショ</t>
    </rPh>
    <rPh sb="7" eb="9">
      <t>テイシュツ</t>
    </rPh>
    <rPh sb="14" eb="17">
      <t>ジギョウシャ</t>
    </rPh>
    <rPh sb="19" eb="22">
      <t>ケイカクショ</t>
    </rPh>
    <rPh sb="26" eb="27">
      <t>ツカ</t>
    </rPh>
    <rPh sb="29" eb="32">
      <t>ホウコクショ</t>
    </rPh>
    <rPh sb="35" eb="37">
      <t>テイシュツ</t>
    </rPh>
    <rPh sb="42" eb="45">
      <t>ジギョウシャ</t>
    </rPh>
    <rPh sb="47" eb="50">
      <t>ホウコクショ</t>
    </rPh>
    <rPh sb="54" eb="55">
      <t>ツカ</t>
    </rPh>
    <rPh sb="61" eb="63">
      <t>テイシュツ</t>
    </rPh>
    <rPh sb="69" eb="72">
      <t>ジギョウシャ</t>
    </rPh>
    <rPh sb="74" eb="76">
      <t>シンキ</t>
    </rPh>
    <rPh sb="76" eb="77">
      <t>アツカ</t>
    </rPh>
    <phoneticPr fontId="15"/>
  </si>
  <si>
    <t>報告書title</t>
    <rPh sb="0" eb="3">
      <t>ホウコクショ</t>
    </rPh>
    <phoneticPr fontId="15"/>
  </si>
  <si>
    <t>計画書title</t>
    <rPh sb="0" eb="3">
      <t>ケイカクショ</t>
    </rPh>
    <phoneticPr fontId="15"/>
  </si>
  <si>
    <t>書き換え不可</t>
    <rPh sb="0" eb="1">
      <t>カ</t>
    </rPh>
    <rPh sb="2" eb="3">
      <t>カ</t>
    </rPh>
    <rPh sb="4" eb="6">
      <t>フカ</t>
    </rPh>
    <phoneticPr fontId="15"/>
  </si>
  <si>
    <t>＜昨年度情報の呼び出し＞</t>
    <rPh sb="1" eb="4">
      <t>サクネンド</t>
    </rPh>
    <rPh sb="4" eb="6">
      <t>ジョウホウ</t>
    </rPh>
    <rPh sb="7" eb="8">
      <t>ヨ</t>
    </rPh>
    <rPh sb="9" eb="10">
      <t>ダ</t>
    </rPh>
    <phoneticPr fontId="15"/>
  </si>
  <si>
    <t>＜セルの色分け＞</t>
    <rPh sb="4" eb="6">
      <t>イロワ</t>
    </rPh>
    <phoneticPr fontId="15"/>
  </si>
  <si>
    <t>＜シート構成＞</t>
    <rPh sb="4" eb="6">
      <t>コウセイ</t>
    </rPh>
    <phoneticPr fontId="15"/>
  </si>
  <si>
    <t>シート名</t>
    <rPh sb="3" eb="4">
      <t>メイ</t>
    </rPh>
    <phoneticPr fontId="15"/>
  </si>
  <si>
    <t>概要</t>
    <rPh sb="0" eb="2">
      <t>ガイヨウ</t>
    </rPh>
    <phoneticPr fontId="15"/>
  </si>
  <si>
    <t>はじめに</t>
    <phoneticPr fontId="15"/>
  </si>
  <si>
    <t>↓選択された大分類</t>
    <rPh sb="1" eb="3">
      <t>センタク</t>
    </rPh>
    <rPh sb="6" eb="9">
      <t>ダイブンルイ</t>
    </rPh>
    <phoneticPr fontId="15"/>
  </si>
  <si>
    <t>任意12号</t>
    <rPh sb="0" eb="2">
      <t>ニンイ</t>
    </rPh>
    <rPh sb="4" eb="5">
      <t>ゴウ</t>
    </rPh>
    <phoneticPr fontId="15"/>
  </si>
  <si>
    <t>任意3号</t>
    <rPh sb="0" eb="2">
      <t>ニンイ</t>
    </rPh>
    <rPh sb="3" eb="4">
      <t>ゴウ</t>
    </rPh>
    <phoneticPr fontId="15"/>
  </si>
  <si>
    <t>原油換算エネルギー使用量が500ｋl 以上の大規模事業所数</t>
    <rPh sb="22" eb="25">
      <t>ダイキボ</t>
    </rPh>
    <rPh sb="28" eb="29">
      <t>スウ</t>
    </rPh>
    <phoneticPr fontId="89"/>
  </si>
  <si>
    <t>件</t>
    <rPh sb="0" eb="1">
      <t>ケン</t>
    </rPh>
    <phoneticPr fontId="15"/>
  </si>
  <si>
    <t>単位発熱量</t>
    <phoneticPr fontId="15"/>
  </si>
  <si>
    <t>CO2排出係数</t>
    <rPh sb="3" eb="5">
      <t>ハイシュツ</t>
    </rPh>
    <rPh sb="5" eb="7">
      <t>ケイスウ</t>
    </rPh>
    <phoneticPr fontId="15"/>
  </si>
  <si>
    <r>
      <t>CO</t>
    </r>
    <r>
      <rPr>
        <vertAlign val="subscript"/>
        <sz val="11"/>
        <rFont val="ＭＳ Ｐゴシック"/>
        <family val="3"/>
        <charset val="128"/>
      </rPr>
      <t>2</t>
    </r>
    <r>
      <rPr>
        <sz val="11"/>
        <rFont val="ＭＳ Ｐゴシック"/>
        <family val="3"/>
        <charset val="128"/>
      </rPr>
      <t>換算</t>
    </r>
    <rPh sb="3" eb="5">
      <t>カンザン</t>
    </rPh>
    <phoneticPr fontId="117"/>
  </si>
  <si>
    <t>基礎</t>
    <rPh sb="0" eb="2">
      <t>キソ</t>
    </rPh>
    <phoneticPr fontId="15"/>
  </si>
  <si>
    <t>調整後</t>
    <rPh sb="0" eb="2">
      <t>チョウセイ</t>
    </rPh>
    <rPh sb="2" eb="3">
      <t>ゴ</t>
    </rPh>
    <phoneticPr fontId="15"/>
  </si>
  <si>
    <t>燃料</t>
    <rPh sb="0" eb="2">
      <t>ネンリョウ</t>
    </rPh>
    <phoneticPr fontId="15"/>
  </si>
  <si>
    <t>原油（コンデンセートを除く。）</t>
    <rPh sb="0" eb="2">
      <t>ゲンユ</t>
    </rPh>
    <rPh sb="11" eb="12">
      <t>ノゾ</t>
    </rPh>
    <phoneticPr fontId="15"/>
  </si>
  <si>
    <t>kL</t>
  </si>
  <si>
    <t>tC/GJ</t>
    <phoneticPr fontId="15"/>
  </si>
  <si>
    <r>
      <t>tCO</t>
    </r>
    <r>
      <rPr>
        <vertAlign val="subscript"/>
        <sz val="11"/>
        <rFont val="ＭＳ Ｐゴシック"/>
        <family val="3"/>
        <charset val="128"/>
      </rPr>
      <t>2</t>
    </r>
    <r>
      <rPr>
        <sz val="11"/>
        <rFont val="ＭＳ Ｐゴシック"/>
        <family val="3"/>
        <charset val="128"/>
      </rPr>
      <t>/kl</t>
    </r>
    <phoneticPr fontId="15"/>
  </si>
  <si>
    <t>原油のうちコンデンセート（NGL）</t>
    <rPh sb="0" eb="2">
      <t>ゲンユ</t>
    </rPh>
    <phoneticPr fontId="15"/>
  </si>
  <si>
    <t>揮発油（ガソリン）</t>
    <rPh sb="0" eb="3">
      <t>キハツユ</t>
    </rPh>
    <phoneticPr fontId="15"/>
  </si>
  <si>
    <t>ナフサ</t>
    <phoneticPr fontId="15"/>
  </si>
  <si>
    <t>灯油</t>
    <rPh sb="0" eb="2">
      <t>トウユ</t>
    </rPh>
    <phoneticPr fontId="15"/>
  </si>
  <si>
    <t>軽油</t>
    <rPh sb="0" eb="2">
      <t>ケイユ</t>
    </rPh>
    <phoneticPr fontId="15"/>
  </si>
  <si>
    <t>A重油</t>
    <rPh sb="1" eb="3">
      <t>ジュウユ</t>
    </rPh>
    <phoneticPr fontId="15"/>
  </si>
  <si>
    <t>B・C重油</t>
    <rPh sb="3" eb="5">
      <t>ジュウユ</t>
    </rPh>
    <phoneticPr fontId="15"/>
  </si>
  <si>
    <t>石油アスファルト</t>
    <rPh sb="0" eb="2">
      <t>セキユ</t>
    </rPh>
    <phoneticPr fontId="15"/>
  </si>
  <si>
    <r>
      <t>tCO</t>
    </r>
    <r>
      <rPr>
        <vertAlign val="subscript"/>
        <sz val="11"/>
        <rFont val="ＭＳ Ｐゴシック"/>
        <family val="3"/>
        <charset val="128"/>
      </rPr>
      <t>2</t>
    </r>
    <r>
      <rPr>
        <sz val="11"/>
        <rFont val="ＭＳ Ｐゴシック"/>
        <family val="3"/>
        <charset val="128"/>
      </rPr>
      <t>/t</t>
    </r>
    <phoneticPr fontId="15"/>
  </si>
  <si>
    <t>石油コークス</t>
    <rPh sb="0" eb="2">
      <t>セキユ</t>
    </rPh>
    <phoneticPr fontId="15"/>
  </si>
  <si>
    <t>石油ガス</t>
    <rPh sb="0" eb="2">
      <t>セキユ</t>
    </rPh>
    <phoneticPr fontId="15"/>
  </si>
  <si>
    <t>液化石油ガス（LPG）</t>
    <rPh sb="0" eb="2">
      <t>エキカ</t>
    </rPh>
    <rPh sb="2" eb="4">
      <t>セキユ</t>
    </rPh>
    <phoneticPr fontId="15"/>
  </si>
  <si>
    <t>石油系炭化水素ガス</t>
    <rPh sb="0" eb="3">
      <t>セキユケイ</t>
    </rPh>
    <rPh sb="3" eb="5">
      <t>タンカ</t>
    </rPh>
    <rPh sb="5" eb="7">
      <t>スイソ</t>
    </rPh>
    <phoneticPr fontId="15"/>
  </si>
  <si>
    <r>
      <t>tCO</t>
    </r>
    <r>
      <rPr>
        <vertAlign val="subscript"/>
        <sz val="11"/>
        <rFont val="ＭＳ Ｐゴシック"/>
        <family val="3"/>
        <charset val="128"/>
      </rPr>
      <t>2</t>
    </r>
    <r>
      <rPr>
        <sz val="11"/>
        <rFont val="ＭＳ Ｐゴシック"/>
        <family val="3"/>
        <charset val="128"/>
      </rPr>
      <t>/千m</t>
    </r>
    <r>
      <rPr>
        <vertAlign val="superscript"/>
        <sz val="11"/>
        <rFont val="ＭＳ Ｐゴシック"/>
        <family val="3"/>
        <charset val="128"/>
      </rPr>
      <t>3</t>
    </r>
    <rPh sb="5" eb="6">
      <t>セン</t>
    </rPh>
    <phoneticPr fontId="15"/>
  </si>
  <si>
    <t>可燃性
天然ガス</t>
    <rPh sb="0" eb="3">
      <t>カネンセイ</t>
    </rPh>
    <rPh sb="4" eb="6">
      <t>テンネン</t>
    </rPh>
    <phoneticPr fontId="15"/>
  </si>
  <si>
    <t>液化天然ガス（LＮG）</t>
    <rPh sb="0" eb="2">
      <t>エキカ</t>
    </rPh>
    <rPh sb="2" eb="4">
      <t>テンネン</t>
    </rPh>
    <phoneticPr fontId="15"/>
  </si>
  <si>
    <t>その他可燃性天然ガス</t>
    <rPh sb="2" eb="3">
      <t>タ</t>
    </rPh>
    <rPh sb="3" eb="6">
      <t>カネンセイ</t>
    </rPh>
    <rPh sb="6" eb="8">
      <t>テンネン</t>
    </rPh>
    <phoneticPr fontId="15"/>
  </si>
  <si>
    <t>石炭</t>
    <rPh sb="0" eb="2">
      <t>セキタン</t>
    </rPh>
    <phoneticPr fontId="15"/>
  </si>
  <si>
    <t>原料炭</t>
    <rPh sb="0" eb="2">
      <t>ゲンリョウ</t>
    </rPh>
    <rPh sb="2" eb="3">
      <t>タン</t>
    </rPh>
    <phoneticPr fontId="15"/>
  </si>
  <si>
    <t>一般炭</t>
    <rPh sb="0" eb="2">
      <t>イッパン</t>
    </rPh>
    <rPh sb="2" eb="3">
      <t>タン</t>
    </rPh>
    <phoneticPr fontId="15"/>
  </si>
  <si>
    <t>無煙炭</t>
    <rPh sb="0" eb="2">
      <t>ムエン</t>
    </rPh>
    <rPh sb="2" eb="3">
      <t>タン</t>
    </rPh>
    <phoneticPr fontId="15"/>
  </si>
  <si>
    <t>石炭コークス</t>
    <rPh sb="0" eb="2">
      <t>セキタン</t>
    </rPh>
    <phoneticPr fontId="15"/>
  </si>
  <si>
    <t>コールタール</t>
    <phoneticPr fontId="15"/>
  </si>
  <si>
    <t>コークス炉ガス</t>
    <rPh sb="4" eb="5">
      <t>ロ</t>
    </rPh>
    <phoneticPr fontId="15"/>
  </si>
  <si>
    <t>高炉ガス</t>
    <rPh sb="0" eb="2">
      <t>コウロ</t>
    </rPh>
    <phoneticPr fontId="15"/>
  </si>
  <si>
    <t>転炉ガス</t>
    <rPh sb="0" eb="2">
      <t>テンロ</t>
    </rPh>
    <phoneticPr fontId="15"/>
  </si>
  <si>
    <t>都市ガス</t>
    <rPh sb="0" eb="2">
      <t>トシ</t>
    </rPh>
    <phoneticPr fontId="15"/>
  </si>
  <si>
    <t>単位発熱量GJ/千㎥：</t>
    <rPh sb="0" eb="2">
      <t>タンイ</t>
    </rPh>
    <rPh sb="2" eb="4">
      <t>ハツネツ</t>
    </rPh>
    <rPh sb="4" eb="5">
      <t>リョウ</t>
    </rPh>
    <rPh sb="8" eb="9">
      <t>セン</t>
    </rPh>
    <phoneticPr fontId="15"/>
  </si>
  <si>
    <t>GＪ</t>
  </si>
  <si>
    <r>
      <t>tCO</t>
    </r>
    <r>
      <rPr>
        <vertAlign val="subscript"/>
        <sz val="11"/>
        <rFont val="ＭＳ Ｐゴシック"/>
        <family val="3"/>
        <charset val="128"/>
      </rPr>
      <t>2</t>
    </r>
    <r>
      <rPr>
        <sz val="11"/>
        <rFont val="ＭＳ Ｐゴシック"/>
        <family val="3"/>
        <charset val="128"/>
      </rPr>
      <t>/GJ</t>
    </r>
    <phoneticPr fontId="15"/>
  </si>
  <si>
    <t>小計</t>
    <rPh sb="0" eb="2">
      <t>ショウケイ</t>
    </rPh>
    <phoneticPr fontId="15"/>
  </si>
  <si>
    <t>産業用蒸気</t>
    <rPh sb="0" eb="3">
      <t>サンギョウヨウ</t>
    </rPh>
    <rPh sb="3" eb="5">
      <t>ジョウキ</t>
    </rPh>
    <phoneticPr fontId="15"/>
  </si>
  <si>
    <t>tCO2/GJ</t>
    <phoneticPr fontId="15"/>
  </si>
  <si>
    <t>産業用以外の蒸気</t>
    <rPh sb="0" eb="3">
      <t>サンギョウヨウ</t>
    </rPh>
    <rPh sb="3" eb="5">
      <t>イガイ</t>
    </rPh>
    <rPh sb="6" eb="8">
      <t>ジョウキ</t>
    </rPh>
    <phoneticPr fontId="15"/>
  </si>
  <si>
    <t>温水</t>
    <rPh sb="0" eb="2">
      <t>オンスイ</t>
    </rPh>
    <phoneticPr fontId="15"/>
  </si>
  <si>
    <t>冷水</t>
    <rPh sb="0" eb="2">
      <t>レイスイ</t>
    </rPh>
    <phoneticPr fontId="15"/>
  </si>
  <si>
    <t>電気</t>
    <rPh sb="0" eb="2">
      <t>デンキ</t>
    </rPh>
    <phoneticPr fontId="15"/>
  </si>
  <si>
    <t>昼間</t>
    <rPh sb="0" eb="2">
      <t>ヒルマ</t>
    </rPh>
    <phoneticPr fontId="15"/>
  </si>
  <si>
    <t>GJ/千kWh</t>
  </si>
  <si>
    <t>tCO2/kWh</t>
    <phoneticPr fontId="15"/>
  </si>
  <si>
    <t>夜間</t>
    <rPh sb="0" eb="2">
      <t>ヤカン</t>
    </rPh>
    <phoneticPr fontId="15"/>
  </si>
  <si>
    <t>上記以外の買電(※1)</t>
    <rPh sb="0" eb="2">
      <t>ジョウキ</t>
    </rPh>
    <rPh sb="2" eb="4">
      <t>イガイ</t>
    </rPh>
    <rPh sb="5" eb="6">
      <t>カ</t>
    </rPh>
    <rPh sb="6" eb="7">
      <t>デン</t>
    </rPh>
    <phoneticPr fontId="15"/>
  </si>
  <si>
    <r>
      <t>二酸化炭素排出量算定表（１号、２号用）エネルギー</t>
    </r>
    <r>
      <rPr>
        <sz val="16"/>
        <rFont val="ＭＳ Ｐゴシック"/>
        <family val="3"/>
        <charset val="128"/>
        <scheme val="minor"/>
      </rPr>
      <t>使用量入力表</t>
    </r>
    <rPh sb="24" eb="27">
      <t>シヨウリョウ</t>
    </rPh>
    <rPh sb="27" eb="30">
      <t>ニュウリョクヒョウ</t>
    </rPh>
    <phoneticPr fontId="89"/>
  </si>
  <si>
    <t>種類</t>
    <rPh sb="0" eb="2">
      <t>シュルイ</t>
    </rPh>
    <phoneticPr fontId="89"/>
  </si>
  <si>
    <t>横浜市内
合計</t>
    <rPh sb="0" eb="4">
      <t>ヨコハマシナイ</t>
    </rPh>
    <rPh sb="5" eb="7">
      <t>ゴウケイ</t>
    </rPh>
    <phoneticPr fontId="89"/>
  </si>
  <si>
    <t>原油換算500ｋl 以上の事業所名称</t>
    <rPh sb="16" eb="18">
      <t>メイショウ</t>
    </rPh>
    <phoneticPr fontId="89"/>
  </si>
  <si>
    <t>エネルギーの種類</t>
    <phoneticPr fontId="15"/>
  </si>
  <si>
    <t>単位</t>
    <phoneticPr fontId="15"/>
  </si>
  <si>
    <t>↓自動計算</t>
    <rPh sb="1" eb="3">
      <t>ジドウ</t>
    </rPh>
    <rPh sb="3" eb="5">
      <t>ケイサン</t>
    </rPh>
    <phoneticPr fontId="15"/>
  </si>
  <si>
    <t>GJ</t>
  </si>
  <si>
    <t>終日</t>
    <rPh sb="0" eb="2">
      <t>シュウジツ</t>
    </rPh>
    <phoneticPr fontId="15"/>
  </si>
  <si>
    <t>基　礎</t>
    <rPh sb="0" eb="1">
      <t>モト</t>
    </rPh>
    <rPh sb="2" eb="3">
      <t>イシズエ</t>
    </rPh>
    <phoneticPr fontId="15"/>
  </si>
  <si>
    <t>排出量原単位の指標</t>
    <rPh sb="0" eb="2">
      <t>ハイシュツ</t>
    </rPh>
    <rPh sb="2" eb="3">
      <t>リョウ</t>
    </rPh>
    <rPh sb="3" eb="6">
      <t>ゲンタンイ</t>
    </rPh>
    <rPh sb="7" eb="9">
      <t>シヒョウ</t>
    </rPh>
    <phoneticPr fontId="15"/>
  </si>
  <si>
    <t>名　称</t>
    <rPh sb="0" eb="1">
      <t>メイ</t>
    </rPh>
    <rPh sb="2" eb="3">
      <t>ショウ</t>
    </rPh>
    <phoneticPr fontId="15"/>
  </si>
  <si>
    <t>量</t>
    <rPh sb="0" eb="1">
      <t>リョウ</t>
    </rPh>
    <phoneticPr fontId="15"/>
  </si>
  <si>
    <r>
      <t>単位</t>
    </r>
    <r>
      <rPr>
        <sz val="10"/>
        <rFont val="ＭＳ Ｐゴシック"/>
        <family val="3"/>
        <charset val="128"/>
      </rPr>
      <t>(★)</t>
    </r>
    <rPh sb="0" eb="2">
      <t>タンイ</t>
    </rPh>
    <phoneticPr fontId="15"/>
  </si>
  <si>
    <t>原単位種類</t>
    <rPh sb="0" eb="3">
      <t>ゲンタンイ</t>
    </rPh>
    <rPh sb="3" eb="5">
      <t>シュルイ</t>
    </rPh>
    <phoneticPr fontId="89"/>
  </si>
  <si>
    <t>排出係数の設定</t>
    <rPh sb="0" eb="4">
      <t>ハイシュツケイスウ</t>
    </rPh>
    <rPh sb="5" eb="7">
      <t>セッテイ</t>
    </rPh>
    <phoneticPr fontId="15"/>
  </si>
  <si>
    <t>【小売電気事業者】</t>
  </si>
  <si>
    <t>【小売電気事業者排出係数一覧】</t>
    <rPh sb="8" eb="12">
      <t>ハイシュツケイスウ</t>
    </rPh>
    <rPh sb="12" eb="14">
      <t>イチラン</t>
    </rPh>
    <phoneticPr fontId="15"/>
  </si>
  <si>
    <t>登録番号</t>
  </si>
  <si>
    <t>電気事業者名</t>
  </si>
  <si>
    <t>基礎排出係数</t>
  </si>
  <si>
    <t>メニュー別</t>
    <rPh sb="4" eb="5">
      <t>ベツ</t>
    </rPh>
    <phoneticPr fontId="15"/>
  </si>
  <si>
    <t>調整後排出係数</t>
  </si>
  <si>
    <t>登録番号+メニュー</t>
    <phoneticPr fontId="15"/>
  </si>
  <si>
    <r>
      <t>(t-CO</t>
    </r>
    <r>
      <rPr>
        <b/>
        <vertAlign val="subscript"/>
        <sz val="11"/>
        <rFont val="ＭＳ Ｐゴシック"/>
        <family val="3"/>
        <charset val="128"/>
      </rPr>
      <t>2</t>
    </r>
    <r>
      <rPr>
        <b/>
        <sz val="11"/>
        <rFont val="ＭＳ Ｐゴシック"/>
        <family val="3"/>
        <charset val="128"/>
      </rPr>
      <t>/kWh)</t>
    </r>
  </si>
  <si>
    <t>【使い方の説明】</t>
    <rPh sb="1" eb="2">
      <t>ツカ</t>
    </rPh>
    <rPh sb="3" eb="4">
      <t>カタ</t>
    </rPh>
    <rPh sb="5" eb="7">
      <t>セツメイ</t>
    </rPh>
    <phoneticPr fontId="15"/>
  </si>
  <si>
    <t>　１電気事業者の選び出しには「オートフィルター」機能で検索し、メニューのセルをコピー。</t>
    <rPh sb="2" eb="4">
      <t>デンキ</t>
    </rPh>
    <rPh sb="4" eb="7">
      <t>ジギョウシャ</t>
    </rPh>
    <rPh sb="8" eb="9">
      <t>エラ</t>
    </rPh>
    <rPh sb="10" eb="11">
      <t>ダ</t>
    </rPh>
    <rPh sb="24" eb="26">
      <t>キノウ</t>
    </rPh>
    <rPh sb="27" eb="29">
      <t>ケンサク</t>
    </rPh>
    <phoneticPr fontId="15"/>
  </si>
  <si>
    <t>　　　『東京電力エナジーパートナー（株）』を例に、以下説明します。</t>
    <rPh sb="4" eb="8">
      <t>トウキョウデンリョク</t>
    </rPh>
    <rPh sb="17" eb="20">
      <t>カブ</t>
    </rPh>
    <rPh sb="22" eb="23">
      <t>レイ</t>
    </rPh>
    <rPh sb="25" eb="27">
      <t>イカ</t>
    </rPh>
    <rPh sb="27" eb="29">
      <t>セツメイ</t>
    </rPh>
    <phoneticPr fontId="15"/>
  </si>
  <si>
    <t>　　　①「電気事業者名」のプルダウンを開く</t>
    <rPh sb="5" eb="10">
      <t>デンキジギョウシャ</t>
    </rPh>
    <rPh sb="10" eb="11">
      <t>メイ</t>
    </rPh>
    <rPh sb="19" eb="20">
      <t>カイ</t>
    </rPh>
    <phoneticPr fontId="15"/>
  </si>
  <si>
    <r>
      <t>②　「</t>
    </r>
    <r>
      <rPr>
        <b/>
        <sz val="11"/>
        <color rgb="FF000000"/>
        <rFont val="ＭＳ Ｐゴシック"/>
        <family val="3"/>
        <charset val="128"/>
      </rPr>
      <t>東京</t>
    </r>
    <r>
      <rPr>
        <sz val="11"/>
        <color rgb="FF000000"/>
        <rFont val="ＭＳ Ｐゴシック"/>
        <family val="3"/>
        <charset val="128"/>
      </rPr>
      <t>」で検索する</t>
    </r>
    <rPh sb="3" eb="5">
      <t>トウキョウ</t>
    </rPh>
    <rPh sb="7" eb="9">
      <t>ケンサク</t>
    </rPh>
    <phoneticPr fontId="15"/>
  </si>
  <si>
    <t>A0002</t>
  </si>
  <si>
    <t>イーレックス(株)</t>
  </si>
  <si>
    <t>A0003</t>
  </si>
  <si>
    <t>リエスパワー(株)</t>
  </si>
  <si>
    <t>A0004_メニューA</t>
  </si>
  <si>
    <t>エバーグリーン・リテイリング(株)</t>
  </si>
  <si>
    <t>A0006_メニューA</t>
  </si>
  <si>
    <t>エバーグリーン・マーケティング(株)</t>
  </si>
  <si>
    <t>A0007</t>
  </si>
  <si>
    <t>(株)ＳＥウイングズ</t>
  </si>
  <si>
    <t>A0008</t>
  </si>
  <si>
    <t>(株)イーセル</t>
  </si>
  <si>
    <t>A0009_メニューA</t>
  </si>
  <si>
    <t>(株)エネット</t>
  </si>
  <si>
    <t>A0009_メニューB</t>
  </si>
  <si>
    <t>A0009_メニューC</t>
  </si>
  <si>
    <t>A0009_メニューD</t>
  </si>
  <si>
    <t>A0009_メニューE</t>
  </si>
  <si>
    <t>A0009_メニューF</t>
  </si>
  <si>
    <t>A0009_メニューG</t>
  </si>
  <si>
    <t>須賀川瓦斯(株)</t>
  </si>
  <si>
    <t>A0012_メニューA</t>
  </si>
  <si>
    <t>出光興産(株)</t>
  </si>
  <si>
    <t>A0012_メニューB</t>
  </si>
  <si>
    <t>(株)オプテージ</t>
  </si>
  <si>
    <t>　　③「東京」の付いた名称に絞り込まれるので、目的の「東電EP」の行にあるセルから</t>
    <rPh sb="4" eb="6">
      <t>トウキョウ</t>
    </rPh>
    <rPh sb="8" eb="9">
      <t>ツ</t>
    </rPh>
    <rPh sb="11" eb="13">
      <t>メイショウ</t>
    </rPh>
    <rPh sb="14" eb="15">
      <t>シボ</t>
    </rPh>
    <rPh sb="16" eb="17">
      <t>コ</t>
    </rPh>
    <rPh sb="23" eb="25">
      <t>モクテキ</t>
    </rPh>
    <rPh sb="27" eb="29">
      <t>トウデン</t>
    </rPh>
    <rPh sb="33" eb="34">
      <t>ギョウ</t>
    </rPh>
    <phoneticPr fontId="15"/>
  </si>
  <si>
    <t>A0014_メニューA</t>
  </si>
  <si>
    <t>エネサーブ(株)</t>
  </si>
  <si>
    <t>A0015_メニューA</t>
  </si>
  <si>
    <t>A0016_メニューA</t>
  </si>
  <si>
    <t>ミツウロコグリーンエネルギー(株)</t>
  </si>
  <si>
    <t>A0016_メニューB</t>
  </si>
  <si>
    <t>A0016_メニューC</t>
  </si>
  <si>
    <t>A0016_メニューD</t>
  </si>
  <si>
    <t>A0016_メニューE</t>
  </si>
  <si>
    <t>A0016_メニューF</t>
  </si>
  <si>
    <t>A0016_メニューG</t>
  </si>
  <si>
    <t>A0017</t>
  </si>
  <si>
    <t>ネクストパワーやまと(株)</t>
  </si>
  <si>
    <t>日本テクノ(株)</t>
  </si>
  <si>
    <t>中央電力エナジー(株)</t>
  </si>
  <si>
    <t>A0021_メニューA</t>
  </si>
  <si>
    <t>(株)Ｌｏｏｏｐ</t>
  </si>
  <si>
    <t>A0021_メニューB</t>
  </si>
  <si>
    <t>A0021_メニューC</t>
  </si>
  <si>
    <t>A0021_メニューD</t>
  </si>
  <si>
    <t>A0023_メニューA</t>
  </si>
  <si>
    <t>(株)ナンワエナジー</t>
  </si>
  <si>
    <r>
      <t>　　　※ メニュー別を設定している</t>
    </r>
    <r>
      <rPr>
        <b/>
        <sz val="10"/>
        <color rgb="FF000000"/>
        <rFont val="ＭＳ Ｐゴシック"/>
        <family val="3"/>
        <charset val="128"/>
      </rPr>
      <t>小売電気事業者</t>
    </r>
    <r>
      <rPr>
        <sz val="10"/>
        <color rgb="FF000000"/>
        <rFont val="ＭＳ Ｐゴシック"/>
        <family val="3"/>
        <charset val="128"/>
      </rPr>
      <t>の</t>
    </r>
    <r>
      <rPr>
        <sz val="10"/>
        <color rgb="FFFF0000"/>
        <rFont val="ＭＳ Ｐゴシック"/>
        <family val="3"/>
        <charset val="128"/>
      </rPr>
      <t>標準メニュー</t>
    </r>
    <r>
      <rPr>
        <sz val="10"/>
        <color rgb="FF000000"/>
        <rFont val="ＭＳ Ｐゴシック"/>
        <family val="3"/>
        <charset val="128"/>
      </rPr>
      <t>は</t>
    </r>
    <r>
      <rPr>
        <b/>
        <sz val="10"/>
        <color rgb="FF000000"/>
        <rFont val="ＭＳ Ｐゴシック"/>
        <family val="3"/>
        <charset val="128"/>
      </rPr>
      <t>「（残差）」</t>
    </r>
    <r>
      <rPr>
        <sz val="10"/>
        <color rgb="FF000000"/>
        <rFont val="ＭＳ Ｐゴシック"/>
        <family val="3"/>
        <charset val="128"/>
      </rPr>
      <t>と記載されるメニューです。</t>
    </r>
    <rPh sb="9" eb="10">
      <t>ベツ</t>
    </rPh>
    <rPh sb="11" eb="13">
      <t>セッテイ</t>
    </rPh>
    <rPh sb="17" eb="19">
      <t>コウリ</t>
    </rPh>
    <rPh sb="19" eb="21">
      <t>デンキ</t>
    </rPh>
    <rPh sb="21" eb="24">
      <t>ジギョウシャ</t>
    </rPh>
    <rPh sb="25" eb="27">
      <t>ヒョウジュン</t>
    </rPh>
    <rPh sb="34" eb="36">
      <t>ザンサ</t>
    </rPh>
    <rPh sb="39" eb="41">
      <t>キサイ</t>
    </rPh>
    <phoneticPr fontId="15"/>
  </si>
  <si>
    <t>A0024_メニューA</t>
  </si>
  <si>
    <t>静岡ガス＆パワー(株)</t>
  </si>
  <si>
    <t>A0024_メニューB</t>
  </si>
  <si>
    <t>→　指定された電気事業者+メニューの基礎/調整後排出係数の値が表示される。</t>
    <rPh sb="2" eb="4">
      <t>シテイ</t>
    </rPh>
    <rPh sb="7" eb="9">
      <t>デンキ</t>
    </rPh>
    <rPh sb="9" eb="12">
      <t>ジギョウシャ</t>
    </rPh>
    <rPh sb="29" eb="30">
      <t>アタイ</t>
    </rPh>
    <rPh sb="31" eb="33">
      <t>ヒョウジ</t>
    </rPh>
    <phoneticPr fontId="15"/>
  </si>
  <si>
    <t>A0025_メニューA</t>
  </si>
  <si>
    <t>荏原環境プラント(株)</t>
  </si>
  <si>
    <t>A0025_メニューB</t>
  </si>
  <si>
    <t>A0025_メニューC</t>
  </si>
  <si>
    <t>A0025_メニューD</t>
  </si>
  <si>
    <t>A0025_メニューE</t>
  </si>
  <si>
    <t>A0025_メニューF</t>
  </si>
  <si>
    <t>A0025_メニューG</t>
  </si>
  <si>
    <t>A0025_メニューH</t>
  </si>
  <si>
    <t>A0025_メニューI</t>
  </si>
  <si>
    <t>A0025_メニューJ</t>
  </si>
  <si>
    <t>A0025_メニューK</t>
  </si>
  <si>
    <t>A0025_メニューL</t>
  </si>
  <si>
    <t>東京エコサービス(株)</t>
  </si>
  <si>
    <t>A0027_メニューA</t>
  </si>
  <si>
    <t>ダイヤモンドパワー(株)</t>
  </si>
  <si>
    <t>A0027_メニューB</t>
  </si>
  <si>
    <t>A0028_メニューA</t>
  </si>
  <si>
    <t>出光グリーンパワー(株)</t>
  </si>
  <si>
    <t>A0028_メニューB</t>
  </si>
  <si>
    <t>A0028_メニューC</t>
  </si>
  <si>
    <t>(株)新出光</t>
  </si>
  <si>
    <t>A0032</t>
  </si>
  <si>
    <t>セントラル石油瓦斯(株)</t>
  </si>
  <si>
    <t>A0034</t>
  </si>
  <si>
    <t>A0035_メニューA</t>
  </si>
  <si>
    <t>A0036</t>
  </si>
  <si>
    <t>(株)グリーンサークル</t>
  </si>
  <si>
    <t>A0037_メニューA</t>
  </si>
  <si>
    <t>(株)ウエスト電力</t>
  </si>
  <si>
    <t>北海道瓦斯(株)</t>
  </si>
  <si>
    <t>新エネルギー開発(株)</t>
  </si>
  <si>
    <t>A0043_メニューA</t>
  </si>
  <si>
    <t>伊藤忠エネクス(株)</t>
  </si>
  <si>
    <t>A0045_メニューA</t>
  </si>
  <si>
    <t>(株)Ｖ－Ｐｏｗｅｒ</t>
  </si>
  <si>
    <t>A0046_メニューA</t>
  </si>
  <si>
    <t>大和エネルギー(株)</t>
  </si>
  <si>
    <t>A0048_メニューA</t>
  </si>
  <si>
    <t>大阪瓦斯(株)</t>
  </si>
  <si>
    <t>A0049_メニューA</t>
  </si>
  <si>
    <t>A0049_メニューB</t>
  </si>
  <si>
    <t>A0050_メニューA</t>
  </si>
  <si>
    <t>A0050_メニューB</t>
  </si>
  <si>
    <t>A0051</t>
  </si>
  <si>
    <t>真庭バイオエネルギー(株)</t>
  </si>
  <si>
    <t>A0052_メニューA</t>
  </si>
  <si>
    <t>三井物産(株)</t>
  </si>
  <si>
    <t>A0052_メニューB</t>
  </si>
  <si>
    <t>A0053_メニューA</t>
  </si>
  <si>
    <t>オリックス(株)</t>
  </si>
  <si>
    <t>A0053_メニューB</t>
  </si>
  <si>
    <t>A0053_メニューC</t>
  </si>
  <si>
    <t>A0053_メニューD</t>
  </si>
  <si>
    <t>A0053_メニューE</t>
  </si>
  <si>
    <t>A0053_メニューF</t>
  </si>
  <si>
    <t>A0054</t>
  </si>
  <si>
    <t>(株)エネサンス関東</t>
  </si>
  <si>
    <t>A0055_メニューA</t>
  </si>
  <si>
    <t>シン・エナジー(株)</t>
  </si>
  <si>
    <t>(株)サニックス</t>
  </si>
  <si>
    <t>(株)コンシェルジュ</t>
  </si>
  <si>
    <t>A0060_メニューA</t>
  </si>
  <si>
    <t>(株)アイ・グリッド・ソリューションズ</t>
  </si>
  <si>
    <t>A0061_メニューA</t>
  </si>
  <si>
    <t>サミットエナジー(株)</t>
  </si>
  <si>
    <t>A0062_メニューA</t>
  </si>
  <si>
    <t>リコージャパン(株)</t>
  </si>
  <si>
    <t>A0062_メニューB</t>
  </si>
  <si>
    <t>A0062_メニューC</t>
  </si>
  <si>
    <t>A0062_メニューD</t>
  </si>
  <si>
    <t>A0062_メニューE</t>
  </si>
  <si>
    <t>(株)エネルギア・ソリューション・アンド・サービス</t>
  </si>
  <si>
    <t>A0064_メニューA</t>
  </si>
  <si>
    <t>東京ガス(株)</t>
  </si>
  <si>
    <t>A0064_メニューB</t>
  </si>
  <si>
    <t>A0065_メニューA</t>
  </si>
  <si>
    <t>テス・エンジニアリング(株)</t>
  </si>
  <si>
    <t>青梅ガス(株)</t>
  </si>
  <si>
    <t>A0067_メニューA</t>
  </si>
  <si>
    <t>(株)イーネットワークシステムズ</t>
  </si>
  <si>
    <t>A0067_メニューB</t>
  </si>
  <si>
    <t>A0068</t>
  </si>
  <si>
    <t>(株)エネアーク関東</t>
  </si>
  <si>
    <t>A0069_メニューA</t>
  </si>
  <si>
    <t>(株)東急パワーサプライ</t>
  </si>
  <si>
    <t>A0070_メニューA</t>
  </si>
  <si>
    <t>王子・伊藤忠エネクス電力販売(株)</t>
  </si>
  <si>
    <t>A0071_メニューA</t>
  </si>
  <si>
    <t>伊藤忠商事(株)</t>
  </si>
  <si>
    <t>A0072_メニューA</t>
  </si>
  <si>
    <t>(株)エコスタイル</t>
  </si>
  <si>
    <t>A0072_メニューB</t>
  </si>
  <si>
    <t>A0073</t>
  </si>
  <si>
    <t>入間ガス(株)</t>
  </si>
  <si>
    <t>テプコカスタマーサービス(株)</t>
  </si>
  <si>
    <t>A0075</t>
  </si>
  <si>
    <t>(株)とんでんホールディングス</t>
  </si>
  <si>
    <t>A0076_メニューA</t>
  </si>
  <si>
    <t>日鉄エンジニアリング(株)</t>
  </si>
  <si>
    <t>A0076_メニューB</t>
  </si>
  <si>
    <t>A0079</t>
  </si>
  <si>
    <t>イワタニ関東(株)</t>
  </si>
  <si>
    <t>A0080</t>
  </si>
  <si>
    <t>イワタニ首都圏(株)</t>
  </si>
  <si>
    <t>A0081_メニューA</t>
  </si>
  <si>
    <t>サーラｅエナジー(株)</t>
  </si>
  <si>
    <t>A0081_メニューB</t>
  </si>
  <si>
    <t>A0082_メニューA</t>
  </si>
  <si>
    <t>(株)地球クラブ</t>
  </si>
  <si>
    <t>A0083</t>
  </si>
  <si>
    <t>(株)エコア</t>
  </si>
  <si>
    <t>A0084</t>
  </si>
  <si>
    <t>西部瓦斯(株)</t>
  </si>
  <si>
    <t>A0085_メニューA</t>
  </si>
  <si>
    <t>東邦ガス(株)</t>
  </si>
  <si>
    <t>A0085_メニューB</t>
  </si>
  <si>
    <t>A0086_メニューA</t>
  </si>
  <si>
    <t>シナネン(株)</t>
  </si>
  <si>
    <t>A0086_メニューB</t>
  </si>
  <si>
    <t>A0086_メニューC</t>
  </si>
  <si>
    <t>A0086_メニューD</t>
  </si>
  <si>
    <t>A0086_メニューE</t>
  </si>
  <si>
    <t>A0087_メニューA</t>
  </si>
  <si>
    <t>(株)シナジアパワー</t>
  </si>
  <si>
    <t>A0087_メニューB</t>
  </si>
  <si>
    <t>A0087_メニューC</t>
  </si>
  <si>
    <t>A0088_メニューA</t>
  </si>
  <si>
    <t>A0088_メニューB</t>
  </si>
  <si>
    <t>A0089</t>
  </si>
  <si>
    <t>大一ガス(株)</t>
  </si>
  <si>
    <t>A0090_メニューA</t>
  </si>
  <si>
    <t>(株)リミックスポイント</t>
  </si>
  <si>
    <t>大阪いずみ市民生活協同組合</t>
  </si>
  <si>
    <t>A0091_メニューA</t>
  </si>
  <si>
    <t>A0092</t>
  </si>
  <si>
    <t>(株)中海テレビ放送</t>
  </si>
  <si>
    <t>A0093</t>
  </si>
  <si>
    <t>パシフィックパワー(株)</t>
  </si>
  <si>
    <t>(株)ジェイコムウエスト</t>
  </si>
  <si>
    <t>(株)ジェイコム埼玉・東日本</t>
  </si>
  <si>
    <t>(株)ジェイコム札幌</t>
  </si>
  <si>
    <t>(株)ジェイコム湘南・神奈川</t>
  </si>
  <si>
    <t>(株)ジェイコム千葉</t>
  </si>
  <si>
    <t>(株)ジェイコム東京</t>
  </si>
  <si>
    <t>土浦ケーブルテレビ(株)</t>
  </si>
  <si>
    <t>A0120</t>
  </si>
  <si>
    <t>鹿児島電力(株)</t>
  </si>
  <si>
    <t>A0121</t>
  </si>
  <si>
    <t>太陽ガス(株)</t>
  </si>
  <si>
    <t>A0122_メニューA</t>
  </si>
  <si>
    <t>アーバンエナジー(株)</t>
  </si>
  <si>
    <t>A0122_メニューB</t>
  </si>
  <si>
    <t>A0122_メニューC</t>
  </si>
  <si>
    <t>A0122_メニューD</t>
  </si>
  <si>
    <t>A0122_メニューE</t>
  </si>
  <si>
    <t>A0122_メニューF</t>
  </si>
  <si>
    <t>A0122_メニューG</t>
  </si>
  <si>
    <t>A0123</t>
  </si>
  <si>
    <t>パワーネクスト(株)</t>
  </si>
  <si>
    <t>A0124</t>
  </si>
  <si>
    <t>合同会社北上新電力</t>
  </si>
  <si>
    <t>A0125</t>
  </si>
  <si>
    <t>パーパススマートパワー(株)</t>
  </si>
  <si>
    <t>A0126_メニューA</t>
  </si>
  <si>
    <t>(株)タクマエナジー</t>
  </si>
  <si>
    <t>A0127_メニューA</t>
  </si>
  <si>
    <t>(株)スマートテック</t>
  </si>
  <si>
    <t>A0128</t>
  </si>
  <si>
    <t>水戸電力(株)</t>
  </si>
  <si>
    <t>A0130_メニューA</t>
  </si>
  <si>
    <t>丸紅新電力(株)</t>
  </si>
  <si>
    <t>A0130_メニューB</t>
  </si>
  <si>
    <t>A0130_メニューC</t>
  </si>
  <si>
    <t>A0130_メニューD</t>
  </si>
  <si>
    <t>A0133</t>
  </si>
  <si>
    <t>奈良電力(株)</t>
  </si>
  <si>
    <t>A0134_メニューA</t>
  </si>
  <si>
    <t>日立造船(株)</t>
  </si>
  <si>
    <t>A0134_メニューB</t>
  </si>
  <si>
    <t>A0135_メニューA</t>
  </si>
  <si>
    <t>大東ガス(株)</t>
  </si>
  <si>
    <t>A0136_メニューA</t>
  </si>
  <si>
    <t>A0137</t>
  </si>
  <si>
    <t>アストモスエネルギー(株)</t>
  </si>
  <si>
    <t>A0138_メニューA</t>
  </si>
  <si>
    <t>(株)関電エネルギーソリューション</t>
  </si>
  <si>
    <t>A0140_メニューA</t>
  </si>
  <si>
    <t>ＭＣリテールエナジー(株)</t>
  </si>
  <si>
    <t>A0140_メニューB</t>
  </si>
  <si>
    <t>(株)北九州パワー</t>
  </si>
  <si>
    <t>A0142_メニューA</t>
  </si>
  <si>
    <t>武州瓦斯(株)</t>
  </si>
  <si>
    <t>A0143_メニューA</t>
  </si>
  <si>
    <t>A0144</t>
  </si>
  <si>
    <t>大垣ガス(株)</t>
  </si>
  <si>
    <t>A0145_メニューA</t>
  </si>
  <si>
    <t>(株)藤田商店</t>
  </si>
  <si>
    <t>A0145_メニューB(残差)</t>
  </si>
  <si>
    <t>(株)ケーブルネット下関</t>
  </si>
  <si>
    <t>(株)ジェイコム九州</t>
  </si>
  <si>
    <t>A0149_メニューA</t>
  </si>
  <si>
    <t>(株)グローバルエンジニアリング</t>
  </si>
  <si>
    <t>A0150_メニューA</t>
  </si>
  <si>
    <t>九州エナジー(株)</t>
  </si>
  <si>
    <t>(株)トヨタエナジーソリューションズ</t>
  </si>
  <si>
    <t>A0153_メニューA</t>
  </si>
  <si>
    <t>(株)エナリス・パワー・マーケティング</t>
  </si>
  <si>
    <t>A0153_メニューB</t>
  </si>
  <si>
    <t>A0153_メニューC</t>
  </si>
  <si>
    <t>A0153_メニューD</t>
  </si>
  <si>
    <t>A0153_メニューE</t>
  </si>
  <si>
    <t>A0153_メニューF</t>
  </si>
  <si>
    <t>A0153_メニューG</t>
  </si>
  <si>
    <t>A0153_メニューH</t>
  </si>
  <si>
    <t>みやまスマートエネルギー(株)</t>
  </si>
  <si>
    <t>A0156</t>
  </si>
  <si>
    <t>エフィシエント(株)</t>
  </si>
  <si>
    <t>A0157_メニューA</t>
  </si>
  <si>
    <t>(株)生活クラブエナジー</t>
  </si>
  <si>
    <t>生活協同組合コープこうべ</t>
  </si>
  <si>
    <t>A0159</t>
  </si>
  <si>
    <t>(株)シーエナジー</t>
  </si>
  <si>
    <t>A0160</t>
  </si>
  <si>
    <t>角栄ガス(株)</t>
  </si>
  <si>
    <t>京葉瓦斯(株)</t>
  </si>
  <si>
    <t>凸版印刷(株)</t>
  </si>
  <si>
    <t>A0163</t>
  </si>
  <si>
    <t>伊勢崎ガス(株)</t>
  </si>
  <si>
    <t>A0164</t>
  </si>
  <si>
    <t>キヤノンマーケティングジャパン(株)</t>
  </si>
  <si>
    <t>(株)とっとり市民電力</t>
  </si>
  <si>
    <t>A0166</t>
  </si>
  <si>
    <t>(株)イーエムアイ</t>
  </si>
  <si>
    <t>A0167</t>
  </si>
  <si>
    <t>佐野瓦斯(株)</t>
  </si>
  <si>
    <t>A0168</t>
  </si>
  <si>
    <t>桐生瓦斯(株)</t>
  </si>
  <si>
    <t>A0169_メニューA</t>
  </si>
  <si>
    <t>森の電力(株)</t>
  </si>
  <si>
    <t>A0170_メニューA</t>
  </si>
  <si>
    <t>A0170_メニューB</t>
  </si>
  <si>
    <t>A0170_メニューC</t>
  </si>
  <si>
    <t>A0170_メニューD</t>
  </si>
  <si>
    <t>A0170_メニューE</t>
  </si>
  <si>
    <t>A0170_メニューF</t>
  </si>
  <si>
    <t>A0170_メニューG</t>
  </si>
  <si>
    <t>A0170_メニューH</t>
  </si>
  <si>
    <t>ＨＴＢエナジー(株)</t>
  </si>
  <si>
    <t>A0173</t>
  </si>
  <si>
    <t>(株)アシストワンエナジー</t>
  </si>
  <si>
    <t>A0175</t>
  </si>
  <si>
    <t>(株)フソウ・エナジー</t>
  </si>
  <si>
    <t>A0177_メニューA</t>
  </si>
  <si>
    <t>湘南電力(株)</t>
  </si>
  <si>
    <t>A0178</t>
  </si>
  <si>
    <t>大東建託パートナーズ(株)</t>
  </si>
  <si>
    <t>A0179_メニューA</t>
  </si>
  <si>
    <t>A0181_メニューA</t>
  </si>
  <si>
    <t>鈴与商事(株)</t>
  </si>
  <si>
    <t>A0183</t>
  </si>
  <si>
    <t>(株)バランスハーツ</t>
  </si>
  <si>
    <t>A0184_メニューA</t>
  </si>
  <si>
    <t>ワタミエナジー(株)</t>
  </si>
  <si>
    <t>A0185</t>
  </si>
  <si>
    <t>(株)パルシステム電力</t>
  </si>
  <si>
    <t>A0186_メニューA</t>
  </si>
  <si>
    <t>ＳＢパワー(株)</t>
  </si>
  <si>
    <t>A0186_メニューB</t>
  </si>
  <si>
    <t>A0187_メニューA</t>
  </si>
  <si>
    <t>ＮＦパワーサービス(株)</t>
  </si>
  <si>
    <t>A0188_メニューA</t>
  </si>
  <si>
    <t>ひおき地域エネルギー(株)</t>
  </si>
  <si>
    <t>A0188_メニューB</t>
  </si>
  <si>
    <t>A0189</t>
  </si>
  <si>
    <t>和歌山電力(株)</t>
  </si>
  <si>
    <t>A0190</t>
  </si>
  <si>
    <t>(株)トドック電力</t>
  </si>
  <si>
    <t>九電みらいエナジー(株)</t>
  </si>
  <si>
    <t>A0194</t>
  </si>
  <si>
    <t>(株)ミツウロコヴェッセル</t>
  </si>
  <si>
    <t>A0195</t>
  </si>
  <si>
    <t>(株)フォレストパワー</t>
  </si>
  <si>
    <t>A0196</t>
  </si>
  <si>
    <t>日高都市ガス(株)</t>
  </si>
  <si>
    <t>(株)アドバンテック</t>
  </si>
  <si>
    <t>A0199_メニューA</t>
  </si>
  <si>
    <t>ローカルエナジー(株)</t>
  </si>
  <si>
    <t>エネックス(株)</t>
  </si>
  <si>
    <t>A0203</t>
  </si>
  <si>
    <t>A0204</t>
  </si>
  <si>
    <t>なでしこ電力(株)</t>
  </si>
  <si>
    <t>A0206_メニューA</t>
  </si>
  <si>
    <t>日田グリーン電力(株)</t>
  </si>
  <si>
    <t>A0209</t>
  </si>
  <si>
    <t>埼玉ガス(株)</t>
  </si>
  <si>
    <t>A0210</t>
  </si>
  <si>
    <t>宮崎パワーライン(株)</t>
  </si>
  <si>
    <t>A0211</t>
  </si>
  <si>
    <t>(株)パワー・オプティマイザー</t>
  </si>
  <si>
    <t>A0214</t>
  </si>
  <si>
    <t>(株)ＴＴＳパワー</t>
  </si>
  <si>
    <t>A0216</t>
  </si>
  <si>
    <t>(株)岩手ウッドパワー</t>
  </si>
  <si>
    <t>A0217</t>
  </si>
  <si>
    <t>里山パワーワークス(株)</t>
  </si>
  <si>
    <t>(株)中之条パワー</t>
  </si>
  <si>
    <t>日産トレーデイング(株)</t>
  </si>
  <si>
    <t>A0221_メニューA</t>
  </si>
  <si>
    <t>A0222</t>
  </si>
  <si>
    <t>A0223</t>
  </si>
  <si>
    <t>伊藤忠エネクスホームライフ西日本(株)</t>
  </si>
  <si>
    <t>A0226_メニューA</t>
  </si>
  <si>
    <t>グリーナ(株)</t>
  </si>
  <si>
    <t>A0227</t>
  </si>
  <si>
    <t>はりま電力(株)</t>
  </si>
  <si>
    <t>(株)浜松新電力</t>
  </si>
  <si>
    <t>A0229_メニューA</t>
  </si>
  <si>
    <t>ゼロワットパワー(株)</t>
  </si>
  <si>
    <t>A0230</t>
  </si>
  <si>
    <t>A0231_メニューA</t>
  </si>
  <si>
    <t>(株)やまがた新電力</t>
  </si>
  <si>
    <t>一般社団法人東松島みらいとし機構</t>
  </si>
  <si>
    <t>(株)グリーンパワー大東</t>
  </si>
  <si>
    <t>A0237</t>
  </si>
  <si>
    <t>御所野縄文電力(株)</t>
  </si>
  <si>
    <t>A0239</t>
  </si>
  <si>
    <t>宮古新電力(株)</t>
  </si>
  <si>
    <t>A0240</t>
  </si>
  <si>
    <t>長崎地域電力(株)</t>
  </si>
  <si>
    <t>A0241</t>
  </si>
  <si>
    <t>(株)エネアーク関西</t>
  </si>
  <si>
    <t>A0243</t>
  </si>
  <si>
    <t>近畿電力(株)</t>
  </si>
  <si>
    <t>新電力おおいた(株)</t>
  </si>
  <si>
    <t>A0246</t>
  </si>
  <si>
    <t>(株)日本セレモニー</t>
  </si>
  <si>
    <t>A0248</t>
  </si>
  <si>
    <t>(株)池見石油店</t>
  </si>
  <si>
    <t>芝浦電力(株)</t>
  </si>
  <si>
    <t>A0253</t>
  </si>
  <si>
    <t>A0254</t>
  </si>
  <si>
    <t>スズカ電工(株)</t>
  </si>
  <si>
    <t>A0256</t>
  </si>
  <si>
    <t>(株)エーコープサービス</t>
  </si>
  <si>
    <t>サンリン(株)</t>
  </si>
  <si>
    <t>A0258</t>
  </si>
  <si>
    <t>(株)宮崎ガスリビング</t>
  </si>
  <si>
    <t>A0259</t>
  </si>
  <si>
    <t>山陰エレキ・アライアンス(株)</t>
  </si>
  <si>
    <t>A0261</t>
  </si>
  <si>
    <t>ミライフ東日本(株)</t>
  </si>
  <si>
    <t>A0263</t>
  </si>
  <si>
    <t>(株)ウッドエナジー</t>
  </si>
  <si>
    <t>A0264</t>
  </si>
  <si>
    <t>山陰酸素工業(株)</t>
  </si>
  <si>
    <t>武陽ガス(株)</t>
  </si>
  <si>
    <t>A0267_メニューA</t>
  </si>
  <si>
    <t>北海道電力(株)</t>
  </si>
  <si>
    <t>A0268_メニューA</t>
  </si>
  <si>
    <t>東北電力(株)</t>
  </si>
  <si>
    <t>A0268_メニューB</t>
  </si>
  <si>
    <t>A0269_メニューA</t>
  </si>
  <si>
    <t>東京電力エナジーパートナー(株)</t>
  </si>
  <si>
    <t>A0269_メニューB</t>
  </si>
  <si>
    <t>A0269_メニューC</t>
  </si>
  <si>
    <t>A0269_メニューD</t>
  </si>
  <si>
    <t>A0269_メニューE</t>
  </si>
  <si>
    <t>A0269_メニューF</t>
  </si>
  <si>
    <t>A0270_メニューA</t>
  </si>
  <si>
    <t>中部電力ミライズ(株)</t>
  </si>
  <si>
    <t>A0271_メニューA</t>
  </si>
  <si>
    <t>北陸電力(株)</t>
  </si>
  <si>
    <t>A0272_メニューA</t>
  </si>
  <si>
    <t>A0272_メニューB</t>
  </si>
  <si>
    <t>A0272_メニューC</t>
  </si>
  <si>
    <t>A0273_メニューA</t>
  </si>
  <si>
    <t>中国電力(株)</t>
  </si>
  <si>
    <t>A0273_メニューB</t>
  </si>
  <si>
    <t>A0274_メニューA</t>
  </si>
  <si>
    <t>四国電力(株)</t>
  </si>
  <si>
    <t>A0274_メニューB</t>
  </si>
  <si>
    <t>A0275_メニューA</t>
  </si>
  <si>
    <t>九州電力(株)</t>
  </si>
  <si>
    <t>沖縄電力(株)</t>
  </si>
  <si>
    <t>A0277</t>
  </si>
  <si>
    <t>北日本石油(株)</t>
  </si>
  <si>
    <t>A0278</t>
  </si>
  <si>
    <t>千葉電力(株)</t>
  </si>
  <si>
    <t>A0279</t>
  </si>
  <si>
    <t>(株)坊っちゃん電力</t>
  </si>
  <si>
    <t>A0280</t>
  </si>
  <si>
    <t>やめエネルギー(株)</t>
  </si>
  <si>
    <t>A0281</t>
  </si>
  <si>
    <t>(株)アースインフィニティ</t>
  </si>
  <si>
    <t>A0283</t>
  </si>
  <si>
    <t>足利ガス(株)</t>
  </si>
  <si>
    <t>A0284</t>
  </si>
  <si>
    <t>(株)Ｍｉｓｕｍｉ</t>
  </si>
  <si>
    <t>A0285</t>
  </si>
  <si>
    <t>米子瓦斯(株)</t>
  </si>
  <si>
    <t>A0286</t>
  </si>
  <si>
    <t>(株)エルピオ</t>
  </si>
  <si>
    <t>A0287</t>
  </si>
  <si>
    <t>浜田ガス(株)</t>
  </si>
  <si>
    <t>(株)アメニティ電力</t>
  </si>
  <si>
    <t>A0292</t>
  </si>
  <si>
    <t>岡田建設(株)</t>
  </si>
  <si>
    <t>A0293</t>
  </si>
  <si>
    <t>出雲ガス(株)</t>
  </si>
  <si>
    <t>A0294</t>
  </si>
  <si>
    <t>富山電力(株)</t>
  </si>
  <si>
    <t>一般社団法人グリーンコープでんき</t>
  </si>
  <si>
    <t>A0296</t>
  </si>
  <si>
    <t>公益財団法人東京都環境公社</t>
  </si>
  <si>
    <t>A0298</t>
  </si>
  <si>
    <t>イオンディライト(株)</t>
  </si>
  <si>
    <t>A0300_メニューA</t>
  </si>
  <si>
    <t>(株)ファミリーネット・ジャパン</t>
  </si>
  <si>
    <t>A0303</t>
  </si>
  <si>
    <t>ＭＫステーションズ(株)</t>
  </si>
  <si>
    <t>A0305</t>
  </si>
  <si>
    <t>フラワーペイメント(株)</t>
  </si>
  <si>
    <t>A0306</t>
  </si>
  <si>
    <t>(株)ＪＴＢコミュニケーションデザイン</t>
  </si>
  <si>
    <t>A0308_メニューA</t>
  </si>
  <si>
    <t>積水化学工業(株)</t>
  </si>
  <si>
    <t>全農エネルギー(株)</t>
  </si>
  <si>
    <t>A0311</t>
  </si>
  <si>
    <t>(株)ハルエネ</t>
  </si>
  <si>
    <t>A0312</t>
  </si>
  <si>
    <t>A0313</t>
  </si>
  <si>
    <t>(株)リケン工業</t>
  </si>
  <si>
    <t>A0314</t>
  </si>
  <si>
    <t>(株)ビビット</t>
  </si>
  <si>
    <t>A0315</t>
  </si>
  <si>
    <t>(株)おおた電力</t>
  </si>
  <si>
    <t>A0317</t>
  </si>
  <si>
    <t>伊藤忠プランテック(株)</t>
  </si>
  <si>
    <t>A0318</t>
  </si>
  <si>
    <t>(株)オカモト</t>
  </si>
  <si>
    <t>A0323</t>
  </si>
  <si>
    <t>キタコー(株)</t>
  </si>
  <si>
    <t>生活協同組合コープしが</t>
  </si>
  <si>
    <t>A0324_メニューA</t>
  </si>
  <si>
    <t>A0330_メニューA</t>
  </si>
  <si>
    <t>(株)ＰｉｎＴ</t>
  </si>
  <si>
    <t>(株)沖縄ガスニューパワー</t>
  </si>
  <si>
    <t>A0337</t>
  </si>
  <si>
    <t>諏訪瓦斯(株)</t>
  </si>
  <si>
    <t>A0338</t>
  </si>
  <si>
    <t>A0340</t>
  </si>
  <si>
    <t>A0342</t>
  </si>
  <si>
    <t>(株)いちき串木野電力</t>
  </si>
  <si>
    <t>A0343</t>
  </si>
  <si>
    <t>A0344</t>
  </si>
  <si>
    <t>西武ガス(株)</t>
  </si>
  <si>
    <t>松本ガス(株)</t>
  </si>
  <si>
    <t>A0348</t>
  </si>
  <si>
    <t>南部だんだんエナジー(株)</t>
  </si>
  <si>
    <t>A0349</t>
  </si>
  <si>
    <t>(株)エフエネ</t>
  </si>
  <si>
    <t>A0350</t>
  </si>
  <si>
    <t>こなんウルトラパワー(株)</t>
  </si>
  <si>
    <t>A0351</t>
  </si>
  <si>
    <t>(株)ＣＨＩＢＡむつざわエナジー</t>
  </si>
  <si>
    <t>A0352</t>
  </si>
  <si>
    <t>A0353</t>
  </si>
  <si>
    <t>奥出雲電力(株)</t>
  </si>
  <si>
    <t>A0355_メニューA</t>
  </si>
  <si>
    <t>A0356</t>
  </si>
  <si>
    <t>(株)成田香取エネルギー</t>
  </si>
  <si>
    <t>A0360</t>
  </si>
  <si>
    <t>グローバルソリューションサービス(株)</t>
  </si>
  <si>
    <t>A0362</t>
  </si>
  <si>
    <t>(株)ＣＷＳ</t>
  </si>
  <si>
    <t>A0364</t>
  </si>
  <si>
    <t>ふくしま新電力(株)</t>
  </si>
  <si>
    <t>ティーダッシュ合同会社</t>
  </si>
  <si>
    <t>A0366</t>
  </si>
  <si>
    <t>(株)エネクスライフサービス</t>
  </si>
  <si>
    <t>A0367</t>
  </si>
  <si>
    <t>ネイチャーエナジー小国(株)</t>
  </si>
  <si>
    <t>A0368</t>
  </si>
  <si>
    <t>リエスパワーネクスト(株)</t>
  </si>
  <si>
    <t>京都生活協同組合</t>
  </si>
  <si>
    <t>A0369_メニューA</t>
  </si>
  <si>
    <t>エネルギーパワー(株)</t>
  </si>
  <si>
    <t>A0372</t>
  </si>
  <si>
    <t>(株)グリムスパワー</t>
  </si>
  <si>
    <t>日本ファシリティ・ソリューション(株)</t>
  </si>
  <si>
    <t>A0376_メニューA</t>
  </si>
  <si>
    <t>自然電力(株)</t>
  </si>
  <si>
    <t>A0376_メニューB</t>
  </si>
  <si>
    <t>A0376_メニューC</t>
  </si>
  <si>
    <t>A0376_メニューD</t>
  </si>
  <si>
    <t>A0377</t>
  </si>
  <si>
    <t>(株)オノプロックス</t>
  </si>
  <si>
    <t>A0378</t>
  </si>
  <si>
    <t>本庄ガス(株)</t>
  </si>
  <si>
    <t>A0379</t>
  </si>
  <si>
    <t>(株)フィット</t>
  </si>
  <si>
    <t>A0380</t>
  </si>
  <si>
    <t>青森県民エナジー(株)</t>
  </si>
  <si>
    <t>国際航業(株)</t>
  </si>
  <si>
    <t>A0382_メニューA</t>
  </si>
  <si>
    <t>ローカルでんき(株)</t>
  </si>
  <si>
    <t>A0383</t>
  </si>
  <si>
    <t>(株)明治産業</t>
  </si>
  <si>
    <t>岡山電力(株)</t>
  </si>
  <si>
    <t>ミライフ(株)</t>
  </si>
  <si>
    <t>A0387</t>
  </si>
  <si>
    <t>(株)翠光トップライン</t>
  </si>
  <si>
    <t>A0388_メニューA</t>
  </si>
  <si>
    <t>A0389</t>
  </si>
  <si>
    <t>うすきエネルギー(株)</t>
  </si>
  <si>
    <t>A0390</t>
  </si>
  <si>
    <t>(株)トーヨーエネルギーファーム</t>
  </si>
  <si>
    <t>A0391</t>
  </si>
  <si>
    <t>森のエネルギー(株)</t>
  </si>
  <si>
    <t>A0392</t>
  </si>
  <si>
    <t>岐阜電力(株)</t>
  </si>
  <si>
    <t>A0393</t>
  </si>
  <si>
    <t>格安電力(株)</t>
  </si>
  <si>
    <t>A0396</t>
  </si>
  <si>
    <t>(株)エスケーエナジー</t>
  </si>
  <si>
    <t>A0397</t>
  </si>
  <si>
    <t>名南共同エネルギー(株)</t>
  </si>
  <si>
    <t>A0398</t>
  </si>
  <si>
    <t>A0402</t>
  </si>
  <si>
    <t>(株)ＴＯＫＹＯ油電力</t>
  </si>
  <si>
    <t>大分ケーブルテレコム(株)</t>
  </si>
  <si>
    <t>アストマックス・エネルギー合同会社</t>
  </si>
  <si>
    <t>A0406</t>
  </si>
  <si>
    <t>生活協同組合コープみらい</t>
  </si>
  <si>
    <t>A0411</t>
  </si>
  <si>
    <t>福井電力(株)</t>
  </si>
  <si>
    <t>A0413</t>
  </si>
  <si>
    <t>エネラボ(株)</t>
  </si>
  <si>
    <t>A0416</t>
  </si>
  <si>
    <t>(株)ネクシィーズ・ゼロ</t>
  </si>
  <si>
    <t>A0418</t>
  </si>
  <si>
    <t>横浜ウォーター(株)</t>
  </si>
  <si>
    <t>A0419_メニューA</t>
  </si>
  <si>
    <t>スマートエナジー磐田(株)</t>
  </si>
  <si>
    <t>A0420</t>
  </si>
  <si>
    <t>そうまＩグリッド合同会社</t>
  </si>
  <si>
    <t>A0424</t>
  </si>
  <si>
    <t>新潟県民電力(株)</t>
  </si>
  <si>
    <t>A0425</t>
  </si>
  <si>
    <t>エネトレード(株)</t>
  </si>
  <si>
    <t>A0427</t>
  </si>
  <si>
    <t>Ｍｙシティ電力(株)</t>
  </si>
  <si>
    <t>A0429</t>
  </si>
  <si>
    <t>ニシムラ(株)</t>
  </si>
  <si>
    <t>(株)さくら新電力</t>
  </si>
  <si>
    <t>A0431</t>
  </si>
  <si>
    <t>(株)グローアップ</t>
  </si>
  <si>
    <t>A0435</t>
  </si>
  <si>
    <t>いこま市民パワー(株)</t>
  </si>
  <si>
    <t>A0436</t>
  </si>
  <si>
    <t>(株)コープでんき東北</t>
  </si>
  <si>
    <t>A0437</t>
  </si>
  <si>
    <t>おもてなし山形(株)</t>
  </si>
  <si>
    <t>A0438</t>
  </si>
  <si>
    <t>長野都市ガス(株)</t>
  </si>
  <si>
    <t>A0439</t>
  </si>
  <si>
    <t>上田ガス(株)</t>
  </si>
  <si>
    <t>日本瓦斯(株)</t>
  </si>
  <si>
    <t>A0441</t>
  </si>
  <si>
    <t>(株)内藤工業所</t>
  </si>
  <si>
    <t>A0442</t>
  </si>
  <si>
    <t>(株)シグナストラスト</t>
  </si>
  <si>
    <t>A0443</t>
  </si>
  <si>
    <t>ゲーテハウス(株)</t>
  </si>
  <si>
    <t>A0445</t>
  </si>
  <si>
    <t>岩手電力(株)</t>
  </si>
  <si>
    <t>A0446</t>
  </si>
  <si>
    <t>ＪＰエネルギー(株)</t>
  </si>
  <si>
    <t>A0447</t>
  </si>
  <si>
    <t>兵庫電力(株)</t>
  </si>
  <si>
    <t>大和ライフエナジア(株)</t>
  </si>
  <si>
    <t>A0451</t>
  </si>
  <si>
    <t>Ｃｏｃｏテラスたがわ(株)</t>
  </si>
  <si>
    <t>A0452</t>
  </si>
  <si>
    <t>東北電力エナジートレーディング(株)</t>
  </si>
  <si>
    <t>A0453</t>
  </si>
  <si>
    <t>(株)横浜環境デザイン</t>
  </si>
  <si>
    <t>(株)まち未来製作所</t>
  </si>
  <si>
    <t>A0455</t>
  </si>
  <si>
    <t>ＴＲＥＮＤＥ(株)</t>
  </si>
  <si>
    <t>(株)どさんこパワー</t>
  </si>
  <si>
    <t>A0458</t>
  </si>
  <si>
    <t>A0461_メニューA</t>
  </si>
  <si>
    <t>A0463</t>
  </si>
  <si>
    <t>A0465</t>
  </si>
  <si>
    <t>A0466</t>
  </si>
  <si>
    <t>(株)宮交シティ</t>
  </si>
  <si>
    <t>A0467</t>
  </si>
  <si>
    <t>(株)アルファライズ</t>
  </si>
  <si>
    <t>A0468</t>
  </si>
  <si>
    <t>おおすみ半島スマートエネルギー(株)</t>
  </si>
  <si>
    <t>A0470</t>
  </si>
  <si>
    <t>おきなわコープエナジー(株)</t>
  </si>
  <si>
    <t>久慈地域エネルギー(株)</t>
  </si>
  <si>
    <t>A0472</t>
  </si>
  <si>
    <t>弘前ガス(株)</t>
  </si>
  <si>
    <t>A0476</t>
  </si>
  <si>
    <t>(株)グランデータ</t>
  </si>
  <si>
    <t>A0477</t>
  </si>
  <si>
    <t>くるめエネルギー(株)</t>
  </si>
  <si>
    <t>A0480</t>
  </si>
  <si>
    <t>松阪新電力(株)</t>
  </si>
  <si>
    <t>ヒューリックプロパティソリューション(株)</t>
  </si>
  <si>
    <t>A0482</t>
  </si>
  <si>
    <t>宮崎電力(株)</t>
  </si>
  <si>
    <t>A0484</t>
  </si>
  <si>
    <t>三友エンテック(株)</t>
  </si>
  <si>
    <t>府中・調布まちなかエナジー(株)</t>
  </si>
  <si>
    <t>A0487</t>
  </si>
  <si>
    <t>伊勢志摩電力(株)</t>
  </si>
  <si>
    <t>A0490_メニューA</t>
  </si>
  <si>
    <t>(株)ＣＤエナジーダイレクト</t>
  </si>
  <si>
    <t>A0493</t>
  </si>
  <si>
    <t>(株)ぶんごおおのエナジー</t>
  </si>
  <si>
    <t>A0494</t>
  </si>
  <si>
    <t>ヴィジョナリーパワー(株)</t>
  </si>
  <si>
    <t>A0495</t>
  </si>
  <si>
    <t>有明エナジー(株)</t>
  </si>
  <si>
    <t>厚木瓦斯(株)</t>
  </si>
  <si>
    <t>A0500</t>
  </si>
  <si>
    <t>(株)エネ・ビジョン</t>
  </si>
  <si>
    <t>A0501</t>
  </si>
  <si>
    <t>イワタニ三重(株)</t>
  </si>
  <si>
    <t>A0502</t>
  </si>
  <si>
    <t>(株)マルヰ</t>
  </si>
  <si>
    <t>A0503</t>
  </si>
  <si>
    <t>大多喜ガス(株)</t>
  </si>
  <si>
    <t>A0506_メニューA</t>
  </si>
  <si>
    <t>鈴与電力(株)</t>
  </si>
  <si>
    <t>コープ電力(株)</t>
  </si>
  <si>
    <t>A0508</t>
  </si>
  <si>
    <t>生活協同組合コープぐんま</t>
  </si>
  <si>
    <t>A0509</t>
  </si>
  <si>
    <t>とちぎコープ生活協同組合</t>
  </si>
  <si>
    <t>A0510</t>
  </si>
  <si>
    <t>いばらきコープ生活協同組合</t>
  </si>
  <si>
    <t>A0511</t>
  </si>
  <si>
    <t>亀岡ふるさとエナジー(株)</t>
  </si>
  <si>
    <t>(株)織戸組</t>
  </si>
  <si>
    <t>A0514_メニューA</t>
  </si>
  <si>
    <t>ふかやｅパワー(株)</t>
  </si>
  <si>
    <t>A0515</t>
  </si>
  <si>
    <t>A0518</t>
  </si>
  <si>
    <t>(株)グローバルキャスト</t>
  </si>
  <si>
    <t>A0519_メニューA</t>
  </si>
  <si>
    <t>日本エネルギー総合システム(株)</t>
  </si>
  <si>
    <t>A0520</t>
  </si>
  <si>
    <t>イワタニ東海(株)</t>
  </si>
  <si>
    <t>A0522</t>
  </si>
  <si>
    <t>(株)デライトアップ</t>
  </si>
  <si>
    <t>A0525_メニューA</t>
  </si>
  <si>
    <t>(株)ところざわ未来電力</t>
  </si>
  <si>
    <t>A0526</t>
  </si>
  <si>
    <t>朝日ガスエナジー(株)</t>
  </si>
  <si>
    <t>A0528_メニューA</t>
  </si>
  <si>
    <t>(株)エネファント</t>
  </si>
  <si>
    <t>A0528_メニューB</t>
  </si>
  <si>
    <t>A0529</t>
  </si>
  <si>
    <t>(株)エスエナジー</t>
  </si>
  <si>
    <t>A0533_メニューA</t>
  </si>
  <si>
    <t>秩父新電力(株)</t>
  </si>
  <si>
    <t>A0533_メニューB</t>
  </si>
  <si>
    <t>A0534</t>
  </si>
  <si>
    <t>みよしエナジー(株)</t>
  </si>
  <si>
    <t>東日本ガス(株)</t>
  </si>
  <si>
    <t>A0538</t>
  </si>
  <si>
    <t>綿半パートナーズ(株)</t>
  </si>
  <si>
    <t>A0539</t>
  </si>
  <si>
    <t>(株)ｋａｒｃｈ</t>
  </si>
  <si>
    <t>A0543</t>
  </si>
  <si>
    <t>(株)かみでん里山公社</t>
  </si>
  <si>
    <t>A0546</t>
  </si>
  <si>
    <t>(株)三郷ひまわりエナジー</t>
  </si>
  <si>
    <t>A0547</t>
  </si>
  <si>
    <t>(株)球磨村森電力</t>
  </si>
  <si>
    <t>北日本ガス(株)</t>
  </si>
  <si>
    <t>A0549</t>
  </si>
  <si>
    <t>飯田まちづくり電力(株)</t>
  </si>
  <si>
    <t>A0552</t>
  </si>
  <si>
    <t>イワタニ長野(株)</t>
  </si>
  <si>
    <t>A0553_メニューA</t>
  </si>
  <si>
    <t>シェルジャパン(株)</t>
  </si>
  <si>
    <t>A0555</t>
  </si>
  <si>
    <t>石油資源開発(株)</t>
  </si>
  <si>
    <t>越後天然ガス(株)</t>
  </si>
  <si>
    <t>A0558</t>
  </si>
  <si>
    <t>坂戸ガス(株)</t>
  </si>
  <si>
    <t>A0559</t>
  </si>
  <si>
    <t>(株)デベロップ</t>
  </si>
  <si>
    <t>A0560</t>
  </si>
  <si>
    <t>(株)テレ・マーカー</t>
  </si>
  <si>
    <t>A0562</t>
  </si>
  <si>
    <t>ＭＧＣエネルギー(株)</t>
  </si>
  <si>
    <t>A0565</t>
  </si>
  <si>
    <t>福島フェニックス電力(株)</t>
  </si>
  <si>
    <t>A0567</t>
  </si>
  <si>
    <t>(株)美作国電力</t>
  </si>
  <si>
    <t>A0568</t>
  </si>
  <si>
    <t>エア・ウォーター(株)</t>
  </si>
  <si>
    <t>A0570</t>
  </si>
  <si>
    <t>八幡商事(株)</t>
  </si>
  <si>
    <t>おいでんエネルギー(株)</t>
  </si>
  <si>
    <t>A0572</t>
  </si>
  <si>
    <t>(株)イシオ</t>
  </si>
  <si>
    <t>A0575</t>
  </si>
  <si>
    <t>A0577_メニューA</t>
  </si>
  <si>
    <t>丸紅伊那みらいでんき(株)</t>
  </si>
  <si>
    <t>A0578</t>
  </si>
  <si>
    <t>富士山エナジー(株)</t>
  </si>
  <si>
    <t>A0581_メニューA</t>
  </si>
  <si>
    <t>A0582</t>
  </si>
  <si>
    <t>A0583</t>
  </si>
  <si>
    <t>A0586</t>
  </si>
  <si>
    <t>グリーンシティこばやし(株)</t>
  </si>
  <si>
    <t>A0587</t>
  </si>
  <si>
    <t>(株)吉田石油店</t>
  </si>
  <si>
    <t>A0589</t>
  </si>
  <si>
    <t>スマートエナジー熊本(株)</t>
  </si>
  <si>
    <t>A0590</t>
  </si>
  <si>
    <t>福山未来エナジー(株)</t>
  </si>
  <si>
    <t>(株)メディオテック</t>
  </si>
  <si>
    <t>五島市民電力(株)</t>
  </si>
  <si>
    <t>A0597</t>
  </si>
  <si>
    <t>電力保全サービス(株)</t>
  </si>
  <si>
    <t>A0598</t>
  </si>
  <si>
    <t>リストプロパティーズ(株)</t>
  </si>
  <si>
    <t>A0602</t>
  </si>
  <si>
    <t>(株)情熱電力</t>
  </si>
  <si>
    <t>バンプーパワートレーディング合同会社</t>
  </si>
  <si>
    <t>A0605</t>
  </si>
  <si>
    <t>(株)センカク</t>
  </si>
  <si>
    <t>A0606</t>
  </si>
  <si>
    <t>新電力いばらき(株)</t>
  </si>
  <si>
    <t>A0607</t>
  </si>
  <si>
    <t>緑屋電気(株)</t>
  </si>
  <si>
    <t>A0609</t>
  </si>
  <si>
    <t>(株)ミナサポ</t>
  </si>
  <si>
    <t>A0610</t>
  </si>
  <si>
    <t>唐津電力(株)</t>
  </si>
  <si>
    <t>A0611_メニューA</t>
  </si>
  <si>
    <t>A0615</t>
  </si>
  <si>
    <t>(株)イーネットワーク</t>
  </si>
  <si>
    <t>A0617_メニューA</t>
  </si>
  <si>
    <t>スマートエコエナジー(株)</t>
  </si>
  <si>
    <t>A0620</t>
  </si>
  <si>
    <t>A0622</t>
  </si>
  <si>
    <t>A0627</t>
  </si>
  <si>
    <t>フィンテックラボ協同組合</t>
  </si>
  <si>
    <t>A0629</t>
  </si>
  <si>
    <t>新電力新潟(株)</t>
  </si>
  <si>
    <t>気仙沼グリーンエナジー(株)</t>
  </si>
  <si>
    <t>A0632_メニューA</t>
  </si>
  <si>
    <t>(株)ユーラスグリーンエナジー</t>
  </si>
  <si>
    <t>A0636</t>
  </si>
  <si>
    <t>生活協同組合コープながの</t>
  </si>
  <si>
    <t>A0637</t>
  </si>
  <si>
    <t>京セラ関電エナジー合同会社</t>
  </si>
  <si>
    <t>A0639</t>
  </si>
  <si>
    <t>酒田天然瓦斯(株)</t>
  </si>
  <si>
    <t>A0640</t>
  </si>
  <si>
    <t>東亜ガス(株)</t>
  </si>
  <si>
    <t>A0641</t>
  </si>
  <si>
    <t>(株)三河の山里コミュニティパワー</t>
  </si>
  <si>
    <t>A0642_メニューA</t>
  </si>
  <si>
    <t>新潟スワンエナジー(株)</t>
  </si>
  <si>
    <t>A0642_メニューB</t>
  </si>
  <si>
    <t>A0644</t>
  </si>
  <si>
    <t>グリーンピープルズパワー(株)</t>
  </si>
  <si>
    <t>A0648</t>
  </si>
  <si>
    <t>(株)マルイファシリティーズ</t>
  </si>
  <si>
    <t>A0649</t>
  </si>
  <si>
    <t>(株)デンケン</t>
  </si>
  <si>
    <t>(株)東名</t>
  </si>
  <si>
    <t>A0652</t>
  </si>
  <si>
    <t>北海道電力コクリエーション(株)</t>
  </si>
  <si>
    <t>A0655</t>
  </si>
  <si>
    <t>(株)唐津パワーホールディングス</t>
  </si>
  <si>
    <t>(株)クリーンエネルギー総合研究所</t>
  </si>
  <si>
    <t>A0659</t>
  </si>
  <si>
    <t>A0660</t>
  </si>
  <si>
    <t>A0661</t>
  </si>
  <si>
    <t>A0664_メニューA</t>
  </si>
  <si>
    <t>デジタルグリッド(株)</t>
  </si>
  <si>
    <t>A0664_メニューB</t>
  </si>
  <si>
    <t>(株)西九州させぼパワーズ</t>
  </si>
  <si>
    <t>A0667_メニューA</t>
  </si>
  <si>
    <t>たんたんエナジー(株)</t>
  </si>
  <si>
    <t>A0668</t>
  </si>
  <si>
    <t>A0670</t>
  </si>
  <si>
    <t>(株)再エネ思考電力</t>
  </si>
  <si>
    <t>A0671</t>
  </si>
  <si>
    <t>(株)スマート</t>
  </si>
  <si>
    <t>A0673</t>
  </si>
  <si>
    <t>(株)ジャパネットサービスイノベーション</t>
  </si>
  <si>
    <t>A0675</t>
  </si>
  <si>
    <t>(株)リクルート</t>
  </si>
  <si>
    <t>A0676</t>
  </si>
  <si>
    <t>A0677</t>
  </si>
  <si>
    <t>(株)しおさい電力</t>
  </si>
  <si>
    <t>A0678_メニューA</t>
  </si>
  <si>
    <t>アスエネ(株)</t>
  </si>
  <si>
    <t>A0678_メニューB</t>
  </si>
  <si>
    <t>A0678_メニューC</t>
  </si>
  <si>
    <t>A0678_メニューD</t>
  </si>
  <si>
    <t>A0679</t>
  </si>
  <si>
    <t>A0681</t>
  </si>
  <si>
    <t>うべ未来エネルギー(株)</t>
  </si>
  <si>
    <t>A0685</t>
  </si>
  <si>
    <t>陸前高田しみんエネルギー(株)</t>
  </si>
  <si>
    <t>A0687</t>
  </si>
  <si>
    <t>(株)チャームドライフ</t>
  </si>
  <si>
    <t>スターティア(株)</t>
  </si>
  <si>
    <t>A0690</t>
  </si>
  <si>
    <t>東広島スマートエネルギー(株)</t>
  </si>
  <si>
    <t>A0692_メニューA</t>
  </si>
  <si>
    <t>旭化成(株)</t>
  </si>
  <si>
    <t>A0692_メニューB</t>
  </si>
  <si>
    <t>A0693</t>
  </si>
  <si>
    <t>京和ガス(株)</t>
  </si>
  <si>
    <t>A0695</t>
  </si>
  <si>
    <t>A0696</t>
  </si>
  <si>
    <t>(株)岡崎建材</t>
  </si>
  <si>
    <t>A0698_メニューA</t>
  </si>
  <si>
    <t>(株)エフオン</t>
  </si>
  <si>
    <t>A0698_メニューB</t>
  </si>
  <si>
    <t>A0698_メニューC</t>
  </si>
  <si>
    <t>A0698_メニューD</t>
  </si>
  <si>
    <t>A0698_メニューE</t>
  </si>
  <si>
    <t>A0699</t>
  </si>
  <si>
    <t>(株)岡崎さくら電力</t>
  </si>
  <si>
    <t>A0702</t>
  </si>
  <si>
    <t>旭マルヰガス(株)</t>
  </si>
  <si>
    <t>A0704</t>
  </si>
  <si>
    <t>A0705</t>
  </si>
  <si>
    <t>神戸電力(株)</t>
  </si>
  <si>
    <t>A0708</t>
  </si>
  <si>
    <t>生活協同組合ひろしま</t>
  </si>
  <si>
    <t>A0709_メニューA</t>
  </si>
  <si>
    <t>A0711</t>
  </si>
  <si>
    <t>A0712</t>
  </si>
  <si>
    <t>アークエルテクノロジーズ(株)</t>
  </si>
  <si>
    <t>A0713</t>
  </si>
  <si>
    <t>弥富ガス協同組合</t>
  </si>
  <si>
    <t>A0714</t>
  </si>
  <si>
    <t>エルメック(株)</t>
  </si>
  <si>
    <t>A0715</t>
  </si>
  <si>
    <t>(株)オズエナジー</t>
  </si>
  <si>
    <t>A0720_メニューA</t>
  </si>
  <si>
    <t>(株)ａｆｔｅｒＦＩＴ</t>
  </si>
  <si>
    <t>A0721</t>
  </si>
  <si>
    <t>中小企業支援(株)</t>
  </si>
  <si>
    <t>A0722</t>
  </si>
  <si>
    <t>サントラベラーズサービス有限会社</t>
  </si>
  <si>
    <t>A0729</t>
  </si>
  <si>
    <t>神楽電力(株)</t>
  </si>
  <si>
    <t>A0732</t>
  </si>
  <si>
    <t>(株)ながさきサステナエナジー</t>
  </si>
  <si>
    <t>A0739</t>
  </si>
  <si>
    <t>高知ニューエナジー(株)</t>
  </si>
  <si>
    <t>A0740</t>
  </si>
  <si>
    <t>もみじ電力(株)</t>
  </si>
  <si>
    <t>A0741</t>
  </si>
  <si>
    <t>A0743</t>
  </si>
  <si>
    <t>A0748</t>
  </si>
  <si>
    <t>穂の国とよはし電力(株)</t>
  </si>
  <si>
    <t>北海道電力ネットワーク(株)</t>
  </si>
  <si>
    <t>東北電力ネットワーク(株)</t>
  </si>
  <si>
    <t>東京電力パワーグリッド(株)</t>
  </si>
  <si>
    <t>中部電力パワーグリッド(株)</t>
  </si>
  <si>
    <t>送配電-4</t>
  </si>
  <si>
    <t>北陸電力送配電(株)</t>
  </si>
  <si>
    <t>送配電-5</t>
  </si>
  <si>
    <t>関西電力送配電(株)</t>
  </si>
  <si>
    <t>送配電-6</t>
  </si>
  <si>
    <t>中国電力ネットワーク(株)</t>
  </si>
  <si>
    <t>送配電-7</t>
  </si>
  <si>
    <t>四国電力送配電(株)</t>
  </si>
  <si>
    <t>送配電-8</t>
  </si>
  <si>
    <t>九州電力送配電(株)</t>
  </si>
  <si>
    <t>送配電-9</t>
  </si>
  <si>
    <t>送配電-10</t>
  </si>
  <si>
    <t>代替値</t>
  </si>
  <si>
    <t>送配電-1</t>
  </si>
  <si>
    <t>A0004_メニューB(残差)</t>
  </si>
  <si>
    <t>A0011_メニューA</t>
  </si>
  <si>
    <t>A0011_メニューB(残差)</t>
  </si>
  <si>
    <t>A0012_メニューC(残差)</t>
  </si>
  <si>
    <t>A0014_メニューB(残差)</t>
  </si>
  <si>
    <t>A0015_メニューB(残差)</t>
  </si>
  <si>
    <t>A0016_メニューH</t>
  </si>
  <si>
    <t>A0016_メニューI</t>
  </si>
  <si>
    <t>A0018_メニューA</t>
  </si>
  <si>
    <t>A0018_メニューB(残差)</t>
  </si>
  <si>
    <t>A0019_メニューA</t>
  </si>
  <si>
    <t>A0019_メニューB(残差)</t>
  </si>
  <si>
    <t>A0020_メニューA</t>
  </si>
  <si>
    <t>A0020_メニューB(残差)</t>
  </si>
  <si>
    <t>A0023_メニューB(残差)</t>
  </si>
  <si>
    <t>A0025_メニューM</t>
  </si>
  <si>
    <t>A0026_メニューA</t>
  </si>
  <si>
    <t>A0028_メニューD(残差)</t>
  </si>
  <si>
    <t>A0031_メニューA</t>
  </si>
  <si>
    <t>A0031_メニューB</t>
  </si>
  <si>
    <t>A0031_メニューC</t>
  </si>
  <si>
    <t>A0031_メニューD</t>
  </si>
  <si>
    <t>A0031_メニューE</t>
  </si>
  <si>
    <t>A0031_メニューF</t>
  </si>
  <si>
    <t>A0031_メニューG</t>
  </si>
  <si>
    <t>A0031_メニューH</t>
  </si>
  <si>
    <t>一般財団法人泉佐野電力　　</t>
  </si>
  <si>
    <t>コスモエネルギーソリューションズ(株)</t>
  </si>
  <si>
    <t>A0037_メニューB(残差)</t>
  </si>
  <si>
    <t>A0039_メニューA</t>
  </si>
  <si>
    <t>A0039_メニューB(残差)</t>
  </si>
  <si>
    <t>A0043_メニューB</t>
  </si>
  <si>
    <t>A0043_メニューC(残差)</t>
  </si>
  <si>
    <t>A0045_メニューB</t>
  </si>
  <si>
    <t>A0045_メニューC(残差)</t>
  </si>
  <si>
    <t>A0046_メニューB(残差)</t>
  </si>
  <si>
    <t>A0048_メニューB</t>
  </si>
  <si>
    <t>A0048_メニューC</t>
  </si>
  <si>
    <t>A0048_メニューD(残差)</t>
  </si>
  <si>
    <t>エフビットコミュニケーションズ(株)　</t>
  </si>
  <si>
    <t>A0049_メニューC(残差)</t>
  </si>
  <si>
    <t>ＥＮＥＯＳ(株)</t>
  </si>
  <si>
    <t>A0050_メニューC</t>
  </si>
  <si>
    <t>A0052_メニューC(残差)</t>
  </si>
  <si>
    <t>A0053_メニューG</t>
  </si>
  <si>
    <t>A0053_メニューH(残差)</t>
  </si>
  <si>
    <t>(株)ＵＰＤＡＴＥＲ</t>
  </si>
  <si>
    <t>A0056_メニューA</t>
  </si>
  <si>
    <t>A0057_メニューA</t>
  </si>
  <si>
    <t>A0057_メニューB</t>
  </si>
  <si>
    <t>A0057_メニューC</t>
  </si>
  <si>
    <t>A0057_メニューD(残差)</t>
  </si>
  <si>
    <t>A0058_メニューA</t>
  </si>
  <si>
    <t>A0058_メニューB(残差)</t>
  </si>
  <si>
    <t>A0060_メニューB(残差)</t>
  </si>
  <si>
    <t>A0061_メニューB(残差)</t>
  </si>
  <si>
    <t>A0062_メニューF(残差)</t>
  </si>
  <si>
    <t>A0063_メニューA</t>
  </si>
  <si>
    <t>A0063_メニューB(残差)</t>
  </si>
  <si>
    <t>A0064_メニューC</t>
  </si>
  <si>
    <t>A0065_メニューB(残差)</t>
  </si>
  <si>
    <t>A0067_メニューC</t>
  </si>
  <si>
    <t>A0069_メニューB</t>
  </si>
  <si>
    <t>A0069_メニューC</t>
  </si>
  <si>
    <t>A0069_メニューD</t>
  </si>
  <si>
    <t>A0069_メニューE</t>
  </si>
  <si>
    <t>A0069_メニューF</t>
  </si>
  <si>
    <t>A0070_メニューB</t>
  </si>
  <si>
    <t>A0070_メニューC</t>
  </si>
  <si>
    <t>A0070_メニューD(残差)</t>
  </si>
  <si>
    <t>A0071_メニューB(残差)</t>
  </si>
  <si>
    <t>A0072_メニューC(残差)</t>
  </si>
  <si>
    <t>A0076_メニューC</t>
  </si>
  <si>
    <t>A0076_メニューD</t>
  </si>
  <si>
    <t>A0077_メニューA</t>
  </si>
  <si>
    <t>ａｕエネルギー＆ライフ(株)(旧：ＫＤＤＩ(株))</t>
  </si>
  <si>
    <t>A0077_メニューB(残差)</t>
  </si>
  <si>
    <t>A0081_メニューC(残差)</t>
  </si>
  <si>
    <t>A0082_メニューB(残差)</t>
  </si>
  <si>
    <t>A0085_メニューC(残差)</t>
  </si>
  <si>
    <t>A0086_メニューF</t>
  </si>
  <si>
    <t>A0087_メニューD</t>
  </si>
  <si>
    <t>A0087_メニューE</t>
  </si>
  <si>
    <t>A0087_メニューF</t>
  </si>
  <si>
    <t>A0087_メニューG</t>
  </si>
  <si>
    <t>A0087_メニューH</t>
  </si>
  <si>
    <t>カワサキグリーンエナジー(株)</t>
  </si>
  <si>
    <t>A0088_メニューC</t>
  </si>
  <si>
    <t>A0088_メニューD(残差)</t>
  </si>
  <si>
    <t>A0091_メニューB(残差)</t>
  </si>
  <si>
    <t>A0122_メニューH</t>
  </si>
  <si>
    <t>A0127_メニューB(残差)</t>
  </si>
  <si>
    <t>A0134_メニューC(残差)</t>
  </si>
  <si>
    <t>A0135_メニューB(残差)</t>
  </si>
  <si>
    <t>パナソニックオペレーショナルエクセレンス(株)(旧：パナソニック(株))</t>
  </si>
  <si>
    <t>A0138_メニューB(残差)</t>
  </si>
  <si>
    <t>A0141_メニューA</t>
  </si>
  <si>
    <t>A0141_メニューB(残差)</t>
  </si>
  <si>
    <t>A0142_メニューB(残差)</t>
  </si>
  <si>
    <t>リニューアブル・ジャパン(株)(旧：(株)みらい電力)</t>
  </si>
  <si>
    <t>A0143_メニューB</t>
  </si>
  <si>
    <t>A0143_メニューC</t>
  </si>
  <si>
    <t>A0143_メニューD</t>
  </si>
  <si>
    <t>A0143_メニューE(残差)</t>
  </si>
  <si>
    <t>A0149_メニューB(残差)</t>
  </si>
  <si>
    <t>A0150_メニューB(残差)</t>
  </si>
  <si>
    <t>A0153_メニューI</t>
  </si>
  <si>
    <t>A0153_メニューJ</t>
  </si>
  <si>
    <t>A0154</t>
  </si>
  <si>
    <t>歌舞伎エナジー(株)</t>
  </si>
  <si>
    <t>A0155_メニューA</t>
  </si>
  <si>
    <t>A0155_メニューB(残差)</t>
  </si>
  <si>
    <t>A0161_メニューA</t>
  </si>
  <si>
    <t>A0161_メニューB(残差)</t>
  </si>
  <si>
    <t>A0162_メニューA</t>
  </si>
  <si>
    <t>A0162_メニューB(残差)</t>
  </si>
  <si>
    <t>A0165_メニューA</t>
  </si>
  <si>
    <t>A0165_メニューB(残差)</t>
  </si>
  <si>
    <t>A0169_メニューB(残差)</t>
  </si>
  <si>
    <t>大和ハウス工業(株)　</t>
  </si>
  <si>
    <t>A0170_メニューI</t>
  </si>
  <si>
    <t>A0170_メニューJ</t>
  </si>
  <si>
    <t>A0170_メニューK(残差)</t>
  </si>
  <si>
    <t>A0172_メニューA</t>
  </si>
  <si>
    <t>A0172_メニューB</t>
  </si>
  <si>
    <t>A0172_メニューC(残差)</t>
  </si>
  <si>
    <t>A0177_メニューB(残差)</t>
  </si>
  <si>
    <t>Ｊａｐａｎ電力(株)</t>
  </si>
  <si>
    <t>A0180_メニューA</t>
  </si>
  <si>
    <t>電源開発(株)</t>
  </si>
  <si>
    <t>A0180_メニューB</t>
  </si>
  <si>
    <t>A0180_メニューC(残差)</t>
  </si>
  <si>
    <t>A0181_メニューB</t>
  </si>
  <si>
    <t>A0181_メニューC</t>
  </si>
  <si>
    <t>A0181_メニューD(残差)</t>
  </si>
  <si>
    <t>A0184_メニューB(残差)</t>
  </si>
  <si>
    <t>A0187_メニューB(残差)</t>
  </si>
  <si>
    <t>A0188_メニューC(残差)</t>
  </si>
  <si>
    <t>日本瓦斯(株)(旧：(株)エナジードリーム)</t>
  </si>
  <si>
    <t>A0193_メニューA</t>
  </si>
  <si>
    <t>A0197_メニューA</t>
  </si>
  <si>
    <t>A0197_メニューB</t>
  </si>
  <si>
    <t>A0199_メニューB(残差)</t>
  </si>
  <si>
    <t>A0200_メニューA</t>
  </si>
  <si>
    <t>A0200_メニューB(残差)</t>
  </si>
  <si>
    <t>(株)レクスポート</t>
  </si>
  <si>
    <t>A0206_メニューB(残差)</t>
  </si>
  <si>
    <t>(株)Ｕ－ＰＯＷＥＲ</t>
  </si>
  <si>
    <t>A0218_メニューA</t>
  </si>
  <si>
    <t>A0218_メニューB(残差)</t>
  </si>
  <si>
    <t>A0221_メニューB(残差)</t>
  </si>
  <si>
    <t>Ｎｅｘｔ　Ｐｏｗｅｒ(株)</t>
  </si>
  <si>
    <t>アストマックス(株)</t>
  </si>
  <si>
    <t>A0231_メニューB(残差)</t>
  </si>
  <si>
    <t>A0234_メニューA</t>
  </si>
  <si>
    <t>A0234_メニューB(残差)</t>
  </si>
  <si>
    <t>A0236_メニューA</t>
  </si>
  <si>
    <t>A0236_メニューB(残差)</t>
  </si>
  <si>
    <t>A0238</t>
  </si>
  <si>
    <t>(株)カーボンニュートラル(旧：西多摩バイオパワー(株))</t>
  </si>
  <si>
    <t>(株)地域創生ホールディングス</t>
  </si>
  <si>
    <t>A0257_メニューA</t>
  </si>
  <si>
    <t>A0257_メニューB(残差)</t>
  </si>
  <si>
    <t>A0267_メニューB</t>
  </si>
  <si>
    <t>A0267_メニューC(残差)</t>
  </si>
  <si>
    <t>A0269_メニューG</t>
  </si>
  <si>
    <t>A0269_メニューH</t>
  </si>
  <si>
    <t>A0269_メニューI</t>
  </si>
  <si>
    <t>A0270_メニューB(残差)</t>
  </si>
  <si>
    <t>A0272_メニューD</t>
  </si>
  <si>
    <t>A0272_メニューE</t>
  </si>
  <si>
    <t>A0273_メニューC</t>
  </si>
  <si>
    <t>A0273_メニューD</t>
  </si>
  <si>
    <t>A0274_メニューC(残差)</t>
  </si>
  <si>
    <t>A0275_メニューB(残差)</t>
  </si>
  <si>
    <t>A0276_メニューA</t>
  </si>
  <si>
    <t>A0276_メニューB(残差)</t>
  </si>
  <si>
    <t>A0300_メニューB</t>
  </si>
  <si>
    <t>A0308_メニューB(残差)</t>
  </si>
  <si>
    <t>A0310_メニューA</t>
  </si>
  <si>
    <t>A0310_メニューB</t>
  </si>
  <si>
    <t>A0310_メニューC</t>
  </si>
  <si>
    <t>三愛オブリ(株)(旧：三愛石油(株))</t>
  </si>
  <si>
    <t>A0324_メニューB(残差)</t>
  </si>
  <si>
    <t>香川電力(株)　</t>
  </si>
  <si>
    <t>A0330_メニューB(残差)</t>
  </si>
  <si>
    <t>A0336_メニューA</t>
  </si>
  <si>
    <t>A0336_メニューB(残差)</t>
  </si>
  <si>
    <t>エッセンシャルエナジー(株)</t>
  </si>
  <si>
    <t>(株)エージーピー　</t>
  </si>
  <si>
    <t>(株)クローバー・テクノロジーズ(旧：四つ葉電力(株))</t>
  </si>
  <si>
    <t>(株)関西空調　</t>
  </si>
  <si>
    <t>A0355_メニューB</t>
  </si>
  <si>
    <t>A0355_メニューC</t>
  </si>
  <si>
    <t>A0355_メニューD(残差)</t>
  </si>
  <si>
    <t>A0369_メニューB(残差)</t>
  </si>
  <si>
    <t>A0371_メニューA</t>
  </si>
  <si>
    <t>A0371_メニューB</t>
  </si>
  <si>
    <t>A0371_メニューC</t>
  </si>
  <si>
    <t>A0371_メニューD</t>
  </si>
  <si>
    <t>A0373_メニューA</t>
  </si>
  <si>
    <t>A0373_メニューB(残差)</t>
  </si>
  <si>
    <t>A0382_メニューB(残差)</t>
  </si>
  <si>
    <t>A0385_メニューA</t>
  </si>
  <si>
    <t>A0385_メニューB(残差)</t>
  </si>
  <si>
    <t>楽天エナジー(株)</t>
  </si>
  <si>
    <t>A0388_メニューB</t>
  </si>
  <si>
    <t>A0388_メニューC(残差)</t>
  </si>
  <si>
    <t>Ａｐａｍａｎ　Ｅｎｅｒｇｙ(株)</t>
  </si>
  <si>
    <t>A0415_メニューA</t>
  </si>
  <si>
    <t>A0415_メニューB(残差)</t>
  </si>
  <si>
    <t>A0419_メニューB</t>
  </si>
  <si>
    <t>A0419_メニューC(残差)</t>
  </si>
  <si>
    <t>A0430_メニューA</t>
  </si>
  <si>
    <t>A0430_メニューB(残差)</t>
  </si>
  <si>
    <t>A0440_メニューA</t>
  </si>
  <si>
    <t>A0440_メニューB(残差)</t>
  </si>
  <si>
    <t>A0448_メニューA</t>
  </si>
  <si>
    <t>A0448_メニューB(残差)</t>
  </si>
  <si>
    <t>A0456_メニューA</t>
  </si>
  <si>
    <t>A0456_メニューB(残差)</t>
  </si>
  <si>
    <t>A0457</t>
  </si>
  <si>
    <t>トリニティエナジー(株)</t>
  </si>
  <si>
    <t>(株)ＬＩＸＩＬ　ＴＥＰＣＯ　スマートパートナーズ</t>
  </si>
  <si>
    <t>(株)ＮＥＸＴ　ＯＮＥ</t>
  </si>
  <si>
    <t>A0473_メニューA</t>
  </si>
  <si>
    <t>(株)フォーバルテレコム　</t>
  </si>
  <si>
    <t>A0473_メニューB(残差)</t>
  </si>
  <si>
    <t>A0486_メニューA</t>
  </si>
  <si>
    <t>A0486_メニューB(残差)</t>
  </si>
  <si>
    <t>A0490_メニューB(残差)</t>
  </si>
  <si>
    <t>A0491_メニューA</t>
  </si>
  <si>
    <t>A0491_メニューB</t>
  </si>
  <si>
    <t>A0491_メニューC(残差)</t>
  </si>
  <si>
    <t>A0499_メニューA</t>
  </si>
  <si>
    <t>A0499_メニューB(残差)</t>
  </si>
  <si>
    <t>A0506_メニューB</t>
  </si>
  <si>
    <t>A0506_メニューC</t>
  </si>
  <si>
    <t>A0506_メニューD</t>
  </si>
  <si>
    <t>A0513_メニューA</t>
  </si>
  <si>
    <t>A0513_メニューB(残差)</t>
  </si>
  <si>
    <t>A0514_メニューB(残差)</t>
  </si>
  <si>
    <t>(株)Ｌｉｎｋ　Ｌｉｆｅ</t>
  </si>
  <si>
    <t>A0519_メニューB(残差)</t>
  </si>
  <si>
    <t>A0525_メニューB</t>
  </si>
  <si>
    <t>A0525_メニューC(残差)</t>
  </si>
  <si>
    <t>A0528_メニューC(残差)</t>
  </si>
  <si>
    <t>A0537_メニューA</t>
  </si>
  <si>
    <t>東彩ガス(株)</t>
  </si>
  <si>
    <t>A0537_メニューB(残差)</t>
  </si>
  <si>
    <t>くこくエネルギー(株)(旧：熊本電力(株))</t>
  </si>
  <si>
    <t>A0550</t>
  </si>
  <si>
    <t>(株)エコログ</t>
  </si>
  <si>
    <t>A0551_メニューA</t>
  </si>
  <si>
    <t>A0556_メニューA</t>
  </si>
  <si>
    <t>A0556_メニューB(残差)</t>
  </si>
  <si>
    <t>A0571_メニューA</t>
  </si>
  <si>
    <t>A0571_メニューB</t>
  </si>
  <si>
    <t>A0571_メニューC(残差)</t>
  </si>
  <si>
    <t>A0573</t>
  </si>
  <si>
    <t>北陸電力ビズ・エナジーソリューション(株)</t>
  </si>
  <si>
    <t>A0577_メニューB(残差)</t>
  </si>
  <si>
    <t>A0581_メニューB</t>
  </si>
  <si>
    <t>A0581_メニューC(残差)</t>
  </si>
  <si>
    <t>(株)ケアネス(旧：(株)ルーア)</t>
  </si>
  <si>
    <t>A0584_メニューA</t>
  </si>
  <si>
    <t>A0592_メニューA</t>
  </si>
  <si>
    <t>A0592_メニューB(残差)</t>
  </si>
  <si>
    <t>A0596_メニューA</t>
  </si>
  <si>
    <t>A0596_メニューB</t>
  </si>
  <si>
    <t>A0596_メニューC(残差)</t>
  </si>
  <si>
    <t>A0604</t>
  </si>
  <si>
    <t>(株)エイチティーピー</t>
  </si>
  <si>
    <t>A0617_メニューB</t>
  </si>
  <si>
    <t>A0617_メニューC(残差)</t>
  </si>
  <si>
    <t>(株)ＬＥＮＥＴＳ</t>
  </si>
  <si>
    <t>アイエスジー(株)</t>
  </si>
  <si>
    <t>(株)エネクル(旧：堀川産業(株))</t>
  </si>
  <si>
    <t>A0631_メニューA</t>
  </si>
  <si>
    <t>A0631_メニューB(残差)</t>
  </si>
  <si>
    <t>A0642_メニューC</t>
  </si>
  <si>
    <t>A0642_メニューD(残差)</t>
  </si>
  <si>
    <t>A0647</t>
  </si>
  <si>
    <t>レネックス電力合同会社</t>
  </si>
  <si>
    <t>A0653_メニューA</t>
  </si>
  <si>
    <t>A0653_メニューB(残差)</t>
  </si>
  <si>
    <t>A0654</t>
  </si>
  <si>
    <t>スマート電気(株)</t>
  </si>
  <si>
    <t>A0656_メニューA</t>
  </si>
  <si>
    <t>ＵＮＩＶＥＲＧＹ(株)</t>
  </si>
  <si>
    <t>ＪＲ西日本住宅サービス(株)</t>
  </si>
  <si>
    <t>A0663</t>
  </si>
  <si>
    <t>(株)アイキューブ・マーケティング</t>
  </si>
  <si>
    <t>A0664_メニューC</t>
  </si>
  <si>
    <t>A0667_メニューB(残差)</t>
  </si>
  <si>
    <t>(株)能勢・豊能まちづくり</t>
  </si>
  <si>
    <t>ＫＢＮ(株)</t>
  </si>
  <si>
    <t>A0678_メニューE</t>
  </si>
  <si>
    <t>ＴＥＰＣＯライフサービス(株)</t>
  </si>
  <si>
    <t>A0680</t>
  </si>
  <si>
    <t>会津エナジー(株)</t>
  </si>
  <si>
    <t>A0683</t>
  </si>
  <si>
    <t>永井自動車工業(株)</t>
  </si>
  <si>
    <t>A0689_メニューA</t>
  </si>
  <si>
    <t>A0689_メニューB(残差)</t>
  </si>
  <si>
    <t>A0692_メニューC</t>
  </si>
  <si>
    <t>A0692_メニューD</t>
  </si>
  <si>
    <t>A0692_メニューE</t>
  </si>
  <si>
    <t>A0692_メニューF</t>
  </si>
  <si>
    <t>A0703</t>
  </si>
  <si>
    <t>ＪＲＥトレーディング(株)</t>
  </si>
  <si>
    <t>Ｃａｓｔｌｅｔｏｎ　Ｃｏｍｍｏｄｉｔｉｅｓ　Ｊａｐａｎ合同会社</t>
  </si>
  <si>
    <t>エア・ウォーター・ライフソリューション(株)(旧：エア・ウォーター北海道(株))</t>
  </si>
  <si>
    <t>A0709_メニューB(残差)</t>
  </si>
  <si>
    <t>(株)ＲｅｎｏＬａｂｏ</t>
  </si>
  <si>
    <t>A0716</t>
  </si>
  <si>
    <t>レモンガス(株)</t>
  </si>
  <si>
    <t>A0718</t>
  </si>
  <si>
    <t>(株)日本海水</t>
  </si>
  <si>
    <t>A0726</t>
  </si>
  <si>
    <t>八千代エンジニヤリング(株)</t>
  </si>
  <si>
    <t>A0730</t>
  </si>
  <si>
    <t>ゆきぐに新電力(株)</t>
  </si>
  <si>
    <t>A0734</t>
  </si>
  <si>
    <t>(株)Ｉ＆Ｉ</t>
  </si>
  <si>
    <t>A0738</t>
  </si>
  <si>
    <t>(株)グルーヴエナジー</t>
  </si>
  <si>
    <t>A0742</t>
  </si>
  <si>
    <t>(株)縁人</t>
  </si>
  <si>
    <t>Ｔ＆Ｔエナジー(株)</t>
  </si>
  <si>
    <t>A0744_メニューA</t>
  </si>
  <si>
    <t>(株)ルーク</t>
  </si>
  <si>
    <t>A0746</t>
  </si>
  <si>
    <t>かけがわ報徳パワー(株)</t>
  </si>
  <si>
    <t>A0747</t>
  </si>
  <si>
    <t>ＳｕｓｔａｉｎａｂｌｅＥｎｅｒｇｙ(株)</t>
  </si>
  <si>
    <t>A0752</t>
  </si>
  <si>
    <t>イワタニセントラル北海道(株)</t>
  </si>
  <si>
    <t>A0753</t>
  </si>
  <si>
    <t>ホームタウンエナジー(株)</t>
  </si>
  <si>
    <t>A0754</t>
  </si>
  <si>
    <t>(株)彩の国でんき</t>
  </si>
  <si>
    <t>A0759</t>
  </si>
  <si>
    <t>(株)クリーンベンチャー２１</t>
  </si>
  <si>
    <t>A0760</t>
  </si>
  <si>
    <t>三河商事(株)</t>
  </si>
  <si>
    <t>A0761</t>
  </si>
  <si>
    <t>(株)みとや</t>
  </si>
  <si>
    <t>A0762</t>
  </si>
  <si>
    <t>三州電力(株)</t>
  </si>
  <si>
    <t>A0763</t>
  </si>
  <si>
    <t>フラットエナジー(株)</t>
  </si>
  <si>
    <t>A0764</t>
  </si>
  <si>
    <t>沖縄新エネ開発(株)</t>
  </si>
  <si>
    <t>つづくみらいエナジー(株)</t>
  </si>
  <si>
    <t>A0769</t>
  </si>
  <si>
    <t>(株)中庄商店</t>
  </si>
  <si>
    <t>A0770</t>
  </si>
  <si>
    <t>(株)ほくだん</t>
  </si>
  <si>
    <t>A0774</t>
  </si>
  <si>
    <t>(株)コノミヤホールディングス</t>
  </si>
  <si>
    <t>A0780</t>
  </si>
  <si>
    <t>(株)ビジョン</t>
  </si>
  <si>
    <t>A0781</t>
  </si>
  <si>
    <t>(株)丸の内電力</t>
  </si>
  <si>
    <t>A0782</t>
  </si>
  <si>
    <t>西川建材工業(株)</t>
  </si>
  <si>
    <t>A0783</t>
  </si>
  <si>
    <t>(株)中京電力</t>
  </si>
  <si>
    <t>A0785</t>
  </si>
  <si>
    <t>(株)クオリティプラス</t>
  </si>
  <si>
    <t>A0786</t>
  </si>
  <si>
    <t>Ｙ．Ｗ．Ｃ(株)</t>
  </si>
  <si>
    <t>A0793_メニューA</t>
  </si>
  <si>
    <t>ＴＧオクトパスエナジー(株)</t>
  </si>
  <si>
    <t>A0793_メニューB</t>
  </si>
  <si>
    <t>A0796</t>
  </si>
  <si>
    <t>東北電力フロンティア(株)</t>
  </si>
  <si>
    <t>A0798</t>
  </si>
  <si>
    <t>(株)ファラデー</t>
  </si>
  <si>
    <t>A0803</t>
  </si>
  <si>
    <t>出雲ケーブルビジョン(株)</t>
  </si>
  <si>
    <t>いずも縁結び電力(株)</t>
  </si>
  <si>
    <t>A0808</t>
  </si>
  <si>
    <t>宇都宮ライトパワー(株)</t>
  </si>
  <si>
    <t>送配電-2</t>
  </si>
  <si>
    <t>エネルギー集計対象の事業所数</t>
    <rPh sb="5" eb="7">
      <t>シュウケイ</t>
    </rPh>
    <rPh sb="7" eb="9">
      <t>タイショウ</t>
    </rPh>
    <rPh sb="10" eb="13">
      <t>ジギョウショ</t>
    </rPh>
    <rPh sb="13" eb="14">
      <t>スウ</t>
    </rPh>
    <phoneticPr fontId="89"/>
  </si>
  <si>
    <t>うち、原油換算エネルギー使用量が500ｋl 以上の事業所数</t>
    <rPh sb="28" eb="29">
      <t>スウ</t>
    </rPh>
    <phoneticPr fontId="89"/>
  </si>
  <si>
    <t>その他電気事業者名</t>
    <rPh sb="2" eb="3">
      <t>タ</t>
    </rPh>
    <rPh sb="3" eb="8">
      <t>デンキジギョウシャ</t>
    </rPh>
    <rPh sb="8" eb="9">
      <t>メイ</t>
    </rPh>
    <phoneticPr fontId="15"/>
  </si>
  <si>
    <t>排出係数と、電気の発熱量の設定（標準の設定から変更する場合）</t>
    <rPh sb="6" eb="8">
      <t>デンキ</t>
    </rPh>
    <rPh sb="9" eb="12">
      <t>ハツネツリョウ</t>
    </rPh>
    <rPh sb="13" eb="15">
      <t>セッテイ</t>
    </rPh>
    <rPh sb="16" eb="18">
      <t>ヒョウジュン</t>
    </rPh>
    <rPh sb="19" eb="21">
      <t>セッテイ</t>
    </rPh>
    <rPh sb="23" eb="25">
      <t>ヘンコウ</t>
    </rPh>
    <rPh sb="27" eb="29">
      <t>バアイ</t>
    </rPh>
    <phoneticPr fontId="15"/>
  </si>
  <si>
    <t>1,2号</t>
    <rPh sb="3" eb="4">
      <t>ゴウ</t>
    </rPh>
    <phoneticPr fontId="15"/>
  </si>
  <si>
    <t>3号</t>
    <rPh sb="1" eb="2">
      <t>ゴウ</t>
    </rPh>
    <phoneticPr fontId="15"/>
  </si>
  <si>
    <t>根拠さんて</t>
    <rPh sb="0" eb="2">
      <t>コンキョ</t>
    </rPh>
    <phoneticPr fontId="15"/>
  </si>
  <si>
    <r>
      <t>０　はじめにお読みください　</t>
    </r>
    <r>
      <rPr>
        <sz val="11"/>
        <color theme="0"/>
        <rFont val="ＭＳ Ｐゴシック"/>
        <family val="3"/>
        <charset val="128"/>
        <scheme val="minor"/>
      </rPr>
      <t>※この項目は印刷対象範囲外です。</t>
    </r>
    <rPh sb="7" eb="8">
      <t>ヨ</t>
    </rPh>
    <rPh sb="22" eb="24">
      <t>タイショウ</t>
    </rPh>
    <phoneticPr fontId="137"/>
  </si>
  <si>
    <t>集計の対象となる自動車</t>
    <rPh sb="0" eb="2">
      <t>シュウケイ</t>
    </rPh>
    <rPh sb="3" eb="5">
      <t>タイショウ</t>
    </rPh>
    <rPh sb="8" eb="11">
      <t>ジドウシャ</t>
    </rPh>
    <phoneticPr fontId="137"/>
  </si>
  <si>
    <t>※自動車ＮＯx・ＰＭ法の報告対象車両との違い</t>
    <rPh sb="12" eb="14">
      <t>ホウコク</t>
    </rPh>
    <rPh sb="16" eb="18">
      <t>シャリョウ</t>
    </rPh>
    <rPh sb="20" eb="21">
      <t>チガ</t>
    </rPh>
    <phoneticPr fontId="137"/>
  </si>
  <si>
    <t>　本県の事業活動温暖化対策計画書制度では、自動車ＮＯx・ＰＭ法の対策地域以外の県内の区域（相模原市の一部（旧津久井町、旧相模湖町、旧藤野町）、南足柄市、松田町、山北町、開成町、箱根町、真鶴町、湯河原町、清川村）に使用の本拠の位置を有する自動車も集計の対象となります。</t>
    <rPh sb="1" eb="3">
      <t>ホンケン</t>
    </rPh>
    <rPh sb="4" eb="6">
      <t>ジギョウ</t>
    </rPh>
    <rPh sb="6" eb="8">
      <t>カツドウ</t>
    </rPh>
    <rPh sb="8" eb="11">
      <t>オンダンカ</t>
    </rPh>
    <rPh sb="11" eb="13">
      <t>タイサク</t>
    </rPh>
    <rPh sb="13" eb="16">
      <t>ケイカクショ</t>
    </rPh>
    <rPh sb="16" eb="18">
      <t>セイド</t>
    </rPh>
    <rPh sb="32" eb="34">
      <t>タイサク</t>
    </rPh>
    <rPh sb="112" eb="114">
      <t>イチ</t>
    </rPh>
    <rPh sb="122" eb="124">
      <t>シュウケイ</t>
    </rPh>
    <rPh sb="125" eb="127">
      <t>タイショウ</t>
    </rPh>
    <phoneticPr fontId="137"/>
  </si>
  <si>
    <r>
      <t>集計の</t>
    </r>
    <r>
      <rPr>
        <b/>
        <u/>
        <sz val="12"/>
        <color theme="1"/>
        <rFont val="ＭＳ Ｐゴシック"/>
        <family val="3"/>
        <charset val="128"/>
        <scheme val="minor"/>
      </rPr>
      <t>対象外</t>
    </r>
    <r>
      <rPr>
        <b/>
        <sz val="12"/>
        <color theme="1"/>
        <rFont val="ＭＳ Ｐゴシック"/>
        <family val="3"/>
        <charset val="128"/>
        <scheme val="minor"/>
      </rPr>
      <t>となる自動車</t>
    </r>
    <rPh sb="0" eb="2">
      <t>シュウケイ</t>
    </rPh>
    <rPh sb="3" eb="5">
      <t>タイショウ</t>
    </rPh>
    <rPh sb="5" eb="6">
      <t>ガイ</t>
    </rPh>
    <rPh sb="9" eb="12">
      <t>ジドウシャ</t>
    </rPh>
    <phoneticPr fontId="137"/>
  </si>
  <si>
    <r>
      <t>◆</t>
    </r>
    <r>
      <rPr>
        <b/>
        <u/>
        <sz val="11"/>
        <color theme="1"/>
        <rFont val="ＭＳ Ｐゴシック"/>
        <family val="3"/>
        <charset val="128"/>
        <scheme val="minor"/>
      </rPr>
      <t>軽自動車</t>
    </r>
    <rPh sb="1" eb="5">
      <t>ケイジドウシャ</t>
    </rPh>
    <phoneticPr fontId="137"/>
  </si>
  <si>
    <r>
      <t>◆従業員の自家用車</t>
    </r>
    <r>
      <rPr>
        <sz val="11"/>
        <color theme="1"/>
        <rFont val="ＭＳ Ｐゴシック"/>
        <family val="3"/>
        <charset val="128"/>
        <scheme val="minor"/>
      </rPr>
      <t>（車検証の「使用者の氏名又は名称」欄が当該事業者ではないもの）</t>
    </r>
    <rPh sb="1" eb="4">
      <t>ジュウギョウイン</t>
    </rPh>
    <rPh sb="5" eb="9">
      <t>ジカヨウシャ</t>
    </rPh>
    <rPh sb="10" eb="13">
      <t>シャケンショウ</t>
    </rPh>
    <rPh sb="15" eb="18">
      <t>シヨウシャ</t>
    </rPh>
    <rPh sb="19" eb="21">
      <t>シメイ</t>
    </rPh>
    <rPh sb="21" eb="22">
      <t>マタ</t>
    </rPh>
    <rPh sb="23" eb="25">
      <t>メイショウ</t>
    </rPh>
    <rPh sb="26" eb="27">
      <t>ラン</t>
    </rPh>
    <rPh sb="28" eb="30">
      <t>トウガイ</t>
    </rPh>
    <rPh sb="30" eb="32">
      <t>ジギョウ</t>
    </rPh>
    <rPh sb="32" eb="33">
      <t>シャ</t>
    </rPh>
    <phoneticPr fontId="137"/>
  </si>
  <si>
    <t>◆被けん引車</t>
    <phoneticPr fontId="137"/>
  </si>
  <si>
    <t>◆貨物運送等を委託する場合に、その受託者が使用する自動車</t>
    <phoneticPr fontId="137"/>
  </si>
  <si>
    <t>◆中古車等を販売している事業者などが、販売することを前提に所有している自動車</t>
    <phoneticPr fontId="137"/>
  </si>
  <si>
    <r>
      <t>集計の結果、</t>
    </r>
    <r>
      <rPr>
        <b/>
        <u/>
        <sz val="12"/>
        <color theme="1"/>
        <rFont val="ＭＳ Ｐゴシック"/>
        <family val="3"/>
        <charset val="128"/>
        <scheme val="minor"/>
      </rPr>
      <t>前年度以前の報告台数等に誤りがあることが判明した場合</t>
    </r>
    <r>
      <rPr>
        <b/>
        <sz val="12"/>
        <color theme="1"/>
        <rFont val="ＭＳ Ｐゴシック"/>
        <family val="3"/>
        <charset val="128"/>
        <scheme val="minor"/>
      </rPr>
      <t>の対応</t>
    </r>
    <rPh sb="0" eb="2">
      <t>シュウケイ</t>
    </rPh>
    <rPh sb="3" eb="5">
      <t>ケッカ</t>
    </rPh>
    <rPh sb="6" eb="9">
      <t>ゼンネンド</t>
    </rPh>
    <rPh sb="9" eb="11">
      <t>イゼン</t>
    </rPh>
    <rPh sb="12" eb="14">
      <t>ホウコク</t>
    </rPh>
    <rPh sb="14" eb="16">
      <t>ダイスウ</t>
    </rPh>
    <rPh sb="16" eb="17">
      <t>トウ</t>
    </rPh>
    <rPh sb="18" eb="19">
      <t>アヤマ</t>
    </rPh>
    <rPh sb="26" eb="28">
      <t>ハンメイ</t>
    </rPh>
    <rPh sb="30" eb="32">
      <t>バアイ</t>
    </rPh>
    <rPh sb="33" eb="35">
      <t>タイオウ</t>
    </rPh>
    <phoneticPr fontId="137"/>
  </si>
  <si>
    <r>
      <t>⇒前年度以前の報告台数等は県ホームページ上で公開しており、内容修正のため、</t>
    </r>
    <r>
      <rPr>
        <b/>
        <u/>
        <sz val="11"/>
        <color theme="1"/>
        <rFont val="ＭＳ Ｐゴシック"/>
        <family val="3"/>
        <charset val="128"/>
        <scheme val="minor"/>
      </rPr>
      <t>「修正理由書」</t>
    </r>
    <r>
      <rPr>
        <u/>
        <sz val="11"/>
        <color theme="1"/>
        <rFont val="ＭＳ Ｐゴシック"/>
        <family val="3"/>
        <charset val="128"/>
        <scheme val="minor"/>
      </rPr>
      <t>（押印不要）</t>
    </r>
    <r>
      <rPr>
        <sz val="11"/>
        <color theme="1"/>
        <rFont val="ＭＳ Ｐゴシック"/>
        <family val="3"/>
        <charset val="128"/>
        <scheme val="minor"/>
      </rPr>
      <t>を提出していただきます。誤りが判明した場合は、速やかにご相談ください。</t>
    </r>
    <rPh sb="1" eb="4">
      <t>ゼンネンド</t>
    </rPh>
    <rPh sb="4" eb="6">
      <t>イゼン</t>
    </rPh>
    <rPh sb="7" eb="9">
      <t>ホウコク</t>
    </rPh>
    <rPh sb="9" eb="11">
      <t>ダイスウ</t>
    </rPh>
    <rPh sb="11" eb="12">
      <t>トウ</t>
    </rPh>
    <rPh sb="13" eb="14">
      <t>ケン</t>
    </rPh>
    <rPh sb="20" eb="21">
      <t>ジョウ</t>
    </rPh>
    <rPh sb="22" eb="24">
      <t>コウカイ</t>
    </rPh>
    <rPh sb="29" eb="31">
      <t>ナイヨウ</t>
    </rPh>
    <rPh sb="31" eb="33">
      <t>シュウセイ</t>
    </rPh>
    <rPh sb="38" eb="40">
      <t>シュウセイ</t>
    </rPh>
    <rPh sb="40" eb="43">
      <t>リユウショ</t>
    </rPh>
    <rPh sb="45" eb="47">
      <t>オウイン</t>
    </rPh>
    <rPh sb="47" eb="49">
      <t>フヨウ</t>
    </rPh>
    <rPh sb="51" eb="53">
      <t>テイシュツ</t>
    </rPh>
    <rPh sb="62" eb="63">
      <t>アヤマ</t>
    </rPh>
    <rPh sb="65" eb="67">
      <t>ハンメイ</t>
    </rPh>
    <rPh sb="69" eb="71">
      <t>バアイ</t>
    </rPh>
    <rPh sb="73" eb="74">
      <t>スミ</t>
    </rPh>
    <rPh sb="78" eb="80">
      <t>ソウダン</t>
    </rPh>
    <phoneticPr fontId="137"/>
  </si>
  <si>
    <t>年度末所有車両</t>
    <rPh sb="5" eb="7">
      <t>シャリョウ</t>
    </rPh>
    <phoneticPr fontId="137"/>
  </si>
  <si>
    <t>a</t>
    <phoneticPr fontId="137"/>
  </si>
  <si>
    <t>継続台数</t>
    <rPh sb="0" eb="2">
      <t>ケイゾク</t>
    </rPh>
    <rPh sb="2" eb="4">
      <t>ダイスウ</t>
    </rPh>
    <phoneticPr fontId="137"/>
  </si>
  <si>
    <t>走行なし</t>
    <rPh sb="0" eb="2">
      <t>ソウコウ</t>
    </rPh>
    <phoneticPr fontId="137"/>
  </si>
  <si>
    <t>年度末所有車両</t>
    <rPh sb="0" eb="2">
      <t>ネンド</t>
    </rPh>
    <rPh sb="2" eb="3">
      <t>マツ</t>
    </rPh>
    <rPh sb="3" eb="5">
      <t>ショユウ</t>
    </rPh>
    <rPh sb="5" eb="7">
      <t>シャリョウ</t>
    </rPh>
    <phoneticPr fontId="137"/>
  </si>
  <si>
    <t>台</t>
    <rPh sb="0" eb="1">
      <t>ダイ</t>
    </rPh>
    <phoneticPr fontId="137"/>
  </si>
  <si>
    <t>↑昨年度提出した計画書等の第１面（上段）に記載した台数 （新規事業者の場合を除く。）</t>
    <rPh sb="31" eb="33">
      <t>ジギョウ</t>
    </rPh>
    <rPh sb="33" eb="34">
      <t>シャ</t>
    </rPh>
    <phoneticPr fontId="137"/>
  </si>
  <si>
    <t>b</t>
    <phoneticPr fontId="137"/>
  </si>
  <si>
    <t>減車台数</t>
    <rPh sb="0" eb="1">
      <t>ゲン</t>
    </rPh>
    <rPh sb="1" eb="2">
      <t>シャ</t>
    </rPh>
    <rPh sb="2" eb="4">
      <t>ダイスウ</t>
    </rPh>
    <phoneticPr fontId="137"/>
  </si>
  <si>
    <t>新規台数</t>
    <rPh sb="0" eb="2">
      <t>シンキ</t>
    </rPh>
    <rPh sb="2" eb="4">
      <t>ダイスウ</t>
    </rPh>
    <phoneticPr fontId="137"/>
  </si>
  <si>
    <t>c</t>
    <phoneticPr fontId="137"/>
  </si>
  <si>
    <t>走行台数</t>
    <rPh sb="0" eb="2">
      <t>ソウコウ</t>
    </rPh>
    <rPh sb="2" eb="4">
      <t>ダイスウ</t>
    </rPh>
    <phoneticPr fontId="137"/>
  </si>
  <si>
    <t>d</t>
    <phoneticPr fontId="137"/>
  </si>
  <si>
    <t>(①+②+③+④)</t>
    <phoneticPr fontId="137"/>
  </si>
  <si>
    <r>
      <rPr>
        <sz val="9"/>
        <rFont val="ＭＳ Ｐゴシック"/>
        <family val="3"/>
        <charset val="128"/>
        <scheme val="minor"/>
      </rPr>
      <t>横浜・川崎を除く</t>
    </r>
    <r>
      <rPr>
        <b/>
        <sz val="11"/>
        <rFont val="ＭＳ Ｐゴシック"/>
        <family val="3"/>
        <charset val="128"/>
        <scheme val="minor"/>
      </rPr>
      <t>県域</t>
    </r>
    <rPh sb="0" eb="1">
      <t>ヨコ</t>
    </rPh>
    <rPh sb="1" eb="2">
      <t>ハマ</t>
    </rPh>
    <rPh sb="3" eb="5">
      <t>カワサキ</t>
    </rPh>
    <rPh sb="6" eb="7">
      <t>ノゾ</t>
    </rPh>
    <rPh sb="8" eb="10">
      <t>ケンイキ</t>
    </rPh>
    <phoneticPr fontId="137"/>
  </si>
  <si>
    <t>a'</t>
    <phoneticPr fontId="137"/>
  </si>
  <si>
    <r>
      <t>走行あり</t>
    </r>
    <r>
      <rPr>
        <sz val="9"/>
        <color theme="0"/>
        <rFont val="ＭＳ Ｐゴシック"/>
        <family val="3"/>
        <charset val="128"/>
        <scheme val="minor"/>
      </rPr>
      <t>①'</t>
    </r>
    <rPh sb="0" eb="2">
      <t>ソウコウ</t>
    </rPh>
    <phoneticPr fontId="137"/>
  </si>
  <si>
    <t>↑昨年度提出した計画書等の第１面（下段）に記載した台数 （新規事業者の場合を除く。）</t>
    <rPh sb="17" eb="18">
      <t>シタ</t>
    </rPh>
    <phoneticPr fontId="137"/>
  </si>
  <si>
    <t>b'</t>
    <phoneticPr fontId="137"/>
  </si>
  <si>
    <r>
      <t>走行あり</t>
    </r>
    <r>
      <rPr>
        <sz val="9"/>
        <color theme="0"/>
        <rFont val="ＭＳ Ｐゴシック"/>
        <family val="3"/>
        <charset val="128"/>
        <scheme val="minor"/>
      </rPr>
      <t>②'</t>
    </r>
    <rPh sb="0" eb="2">
      <t>ソウコウ</t>
    </rPh>
    <phoneticPr fontId="137"/>
  </si>
  <si>
    <r>
      <t>↑今年度提出する計画書等の第１面（下段）に記載する台数</t>
    </r>
    <r>
      <rPr>
        <sz val="9"/>
        <color theme="1"/>
        <rFont val="ＭＳ Ｐゴシック"/>
        <family val="3"/>
        <charset val="128"/>
        <scheme val="minor"/>
      </rPr>
      <t>　(a'+c')</t>
    </r>
    <rPh sb="17" eb="18">
      <t>シタ</t>
    </rPh>
    <phoneticPr fontId="137"/>
  </si>
  <si>
    <t>c'</t>
    <phoneticPr fontId="137"/>
  </si>
  <si>
    <r>
      <t>走行あり</t>
    </r>
    <r>
      <rPr>
        <sz val="9"/>
        <color theme="0"/>
        <rFont val="ＭＳ Ｐゴシック"/>
        <family val="3"/>
        <charset val="128"/>
        <scheme val="minor"/>
      </rPr>
      <t>③'</t>
    </r>
    <rPh sb="0" eb="2">
      <t>ソウコウ</t>
    </rPh>
    <phoneticPr fontId="137"/>
  </si>
  <si>
    <t>d'</t>
    <phoneticPr fontId="137"/>
  </si>
  <si>
    <r>
      <t>走行あり</t>
    </r>
    <r>
      <rPr>
        <sz val="9"/>
        <color theme="0"/>
        <rFont val="ＭＳ Ｐゴシック"/>
        <family val="3"/>
        <charset val="128"/>
        <scheme val="minor"/>
      </rPr>
      <t>④'</t>
    </r>
    <rPh sb="0" eb="2">
      <t>ソウコウ</t>
    </rPh>
    <phoneticPr fontId="137"/>
  </si>
  <si>
    <t>(①'+②'+③'+④')</t>
    <phoneticPr fontId="137"/>
  </si>
  <si>
    <t>燃料の種類</t>
    <rPh sb="0" eb="2">
      <t>ネンリョウ</t>
    </rPh>
    <rPh sb="3" eb="5">
      <t>シュルイ</t>
    </rPh>
    <phoneticPr fontId="137"/>
  </si>
  <si>
    <t>うち県域</t>
    <rPh sb="2" eb="4">
      <t>ケンイキ</t>
    </rPh>
    <phoneticPr fontId="137"/>
  </si>
  <si>
    <t>ガソリン</t>
    <phoneticPr fontId="137"/>
  </si>
  <si>
    <t>L</t>
    <phoneticPr fontId="137"/>
  </si>
  <si>
    <t>軽油</t>
    <rPh sb="0" eb="2">
      <t>ケイユ</t>
    </rPh>
    <phoneticPr fontId="137"/>
  </si>
  <si>
    <t>天然ガス</t>
    <rPh sb="0" eb="2">
      <t>テンネン</t>
    </rPh>
    <phoneticPr fontId="137"/>
  </si>
  <si>
    <t>㎥</t>
    <phoneticPr fontId="137"/>
  </si>
  <si>
    <t>LPG</t>
    <phoneticPr fontId="137"/>
  </si>
  <si>
    <t>kg</t>
    <phoneticPr fontId="137"/>
  </si>
  <si>
    <t>水素</t>
    <rPh sb="0" eb="2">
      <t>スイソ</t>
    </rPh>
    <phoneticPr fontId="137"/>
  </si>
  <si>
    <t>電気</t>
    <rPh sb="0" eb="2">
      <t>デンキ</t>
    </rPh>
    <phoneticPr fontId="137"/>
  </si>
  <si>
    <t>kWh</t>
    <phoneticPr fontId="137"/>
  </si>
  <si>
    <t>合　計</t>
    <rPh sb="0" eb="1">
      <t>ゴウ</t>
    </rPh>
    <rPh sb="2" eb="3">
      <t>ケイ</t>
    </rPh>
    <phoneticPr fontId="137"/>
  </si>
  <si>
    <t>←検算用の値と走行台数の合計値が一致</t>
    <rPh sb="7" eb="9">
      <t>ソウコウ</t>
    </rPh>
    <rPh sb="9" eb="11">
      <t>ダイスウ</t>
    </rPh>
    <rPh sb="12" eb="15">
      <t>ゴウケイチ</t>
    </rPh>
    <rPh sb="16" eb="18">
      <t>イッチ</t>
    </rPh>
    <phoneticPr fontId="137"/>
  </si>
  <si>
    <t xml:space="preserve">排出量原単位の指標
</t>
    <rPh sb="0" eb="2">
      <t>ハイシュツ</t>
    </rPh>
    <rPh sb="2" eb="3">
      <t>リョウ</t>
    </rPh>
    <rPh sb="3" eb="6">
      <t>ゲンタンイ</t>
    </rPh>
    <rPh sb="7" eb="9">
      <t>シヒョウ</t>
    </rPh>
    <phoneticPr fontId="137"/>
  </si>
  <si>
    <t>基礎</t>
    <rPh sb="0" eb="2">
      <t>キソ</t>
    </rPh>
    <phoneticPr fontId="137"/>
  </si>
  <si>
    <t>調整後</t>
    <rPh sb="0" eb="3">
      <t>チョウセイゴ</t>
    </rPh>
    <phoneticPr fontId="137"/>
  </si>
  <si>
    <t>走行距離</t>
    <rPh sb="0" eb="2">
      <t>ソウコウ</t>
    </rPh>
    <rPh sb="2" eb="4">
      <t>キョリ</t>
    </rPh>
    <phoneticPr fontId="137"/>
  </si>
  <si>
    <t>量</t>
    <rPh sb="0" eb="1">
      <t>リョウ</t>
    </rPh>
    <phoneticPr fontId="137"/>
  </si>
  <si>
    <t>単位★</t>
    <rPh sb="0" eb="2">
      <t>タンイ</t>
    </rPh>
    <phoneticPr fontId="137"/>
  </si>
  <si>
    <t>千km</t>
    <rPh sb="0" eb="1">
      <t>セン</t>
    </rPh>
    <phoneticPr fontId="137"/>
  </si>
  <si>
    <t>別紙２（自動車管理表）</t>
    <rPh sb="0" eb="2">
      <t>ベッシ</t>
    </rPh>
    <rPh sb="4" eb="6">
      <t>ジドウ</t>
    </rPh>
    <rPh sb="6" eb="7">
      <t>シャ</t>
    </rPh>
    <rPh sb="7" eb="9">
      <t>カンリ</t>
    </rPh>
    <rPh sb="9" eb="10">
      <t>ヒョウ</t>
    </rPh>
    <phoneticPr fontId="137"/>
  </si>
  <si>
    <t>事業者名</t>
    <rPh sb="0" eb="3">
      <t>ジギョウシャ</t>
    </rPh>
    <rPh sb="3" eb="4">
      <t>メイ</t>
    </rPh>
    <phoneticPr fontId="137"/>
  </si>
  <si>
    <t>：</t>
    <phoneticPr fontId="137"/>
  </si>
  <si>
    <t>対象</t>
    <rPh sb="0" eb="2">
      <t>タイショウ</t>
    </rPh>
    <phoneticPr fontId="137"/>
  </si>
  <si>
    <t>【自動車台数】</t>
    <phoneticPr fontId="137"/>
  </si>
  <si>
    <t>報告対象年度中の
走行の有無</t>
    <rPh sb="0" eb="2">
      <t>ホウコク</t>
    </rPh>
    <rPh sb="2" eb="4">
      <t>タイショウ</t>
    </rPh>
    <rPh sb="4" eb="6">
      <t>ネンド</t>
    </rPh>
    <rPh sb="6" eb="7">
      <t>ナカ</t>
    </rPh>
    <rPh sb="9" eb="11">
      <t>ソウコウ</t>
    </rPh>
    <rPh sb="12" eb="14">
      <t>ウム</t>
    </rPh>
    <phoneticPr fontId="137"/>
  </si>
  <si>
    <r>
      <rPr>
        <b/>
        <sz val="11"/>
        <rFont val="ＭＳ Ｐゴシック"/>
        <family val="3"/>
        <charset val="128"/>
      </rPr>
      <t>報告対象年度の前年度末
に</t>
    </r>
    <r>
      <rPr>
        <b/>
        <sz val="11"/>
        <rFont val="ＭＳ Ｐゴシック"/>
        <family val="3"/>
        <charset val="128"/>
      </rPr>
      <t>所有していた車両</t>
    </r>
    <r>
      <rPr>
        <b/>
        <sz val="10"/>
        <rFont val="ＭＳ Ｐゴシック"/>
        <family val="3"/>
        <charset val="128"/>
      </rPr>
      <t>（台）</t>
    </r>
    <rPh sb="0" eb="2">
      <t>ホウコク</t>
    </rPh>
    <rPh sb="2" eb="4">
      <t>タイショウ</t>
    </rPh>
    <rPh sb="4" eb="6">
      <t>ネンド</t>
    </rPh>
    <rPh sb="7" eb="10">
      <t>ゼンネンド</t>
    </rPh>
    <rPh sb="10" eb="11">
      <t>マツ</t>
    </rPh>
    <rPh sb="13" eb="15">
      <t>ショユウ</t>
    </rPh>
    <rPh sb="19" eb="21">
      <t>シャリョウ</t>
    </rPh>
    <rPh sb="22" eb="23">
      <t>ダイ</t>
    </rPh>
    <phoneticPr fontId="137"/>
  </si>
  <si>
    <r>
      <rPr>
        <b/>
        <sz val="11"/>
        <rFont val="ＭＳ Ｐゴシック"/>
        <family val="3"/>
        <charset val="128"/>
      </rPr>
      <t>報告対象年度中に</t>
    </r>
    <r>
      <rPr>
        <b/>
        <sz val="12"/>
        <rFont val="ＭＳ Ｐゴシック"/>
        <family val="3"/>
        <charset val="128"/>
      </rPr>
      <t xml:space="preserve">
</t>
    </r>
    <r>
      <rPr>
        <b/>
        <u/>
        <sz val="11"/>
        <rFont val="ＭＳ Ｐゴシック"/>
        <family val="3"/>
        <charset val="128"/>
      </rPr>
      <t>増車</t>
    </r>
    <r>
      <rPr>
        <b/>
        <sz val="11"/>
        <rFont val="ＭＳ Ｐゴシック"/>
        <family val="3"/>
        <charset val="128"/>
      </rPr>
      <t>した車両</t>
    </r>
    <r>
      <rPr>
        <b/>
        <sz val="10"/>
        <rFont val="ＭＳ Ｐゴシック"/>
        <family val="3"/>
        <charset val="128"/>
      </rPr>
      <t>（台）</t>
    </r>
    <rPh sb="0" eb="2">
      <t>ホウコク</t>
    </rPh>
    <rPh sb="2" eb="4">
      <t>タイショウ</t>
    </rPh>
    <rPh sb="4" eb="7">
      <t>ネンドチュウ</t>
    </rPh>
    <rPh sb="6" eb="7">
      <t>チュウ</t>
    </rPh>
    <rPh sb="9" eb="11">
      <t>ゾウシャ</t>
    </rPh>
    <rPh sb="13" eb="15">
      <t>シャリョウ</t>
    </rPh>
    <rPh sb="16" eb="17">
      <t>ダイ</t>
    </rPh>
    <phoneticPr fontId="137"/>
  </si>
  <si>
    <r>
      <t>報告対象年度末の所有車両</t>
    </r>
    <r>
      <rPr>
        <b/>
        <sz val="10"/>
        <rFont val="ＭＳ Ｐゴシック"/>
        <family val="3"/>
        <charset val="128"/>
      </rPr>
      <t xml:space="preserve">（台）
</t>
    </r>
    <r>
      <rPr>
        <sz val="10"/>
        <rFont val="ＭＳ Ｐゴシック"/>
        <family val="3"/>
        <charset val="128"/>
      </rPr>
      <t>　( A-B+C-D )</t>
    </r>
    <rPh sb="0" eb="2">
      <t>ホウコク</t>
    </rPh>
    <rPh sb="2" eb="4">
      <t>タイショウ</t>
    </rPh>
    <rPh sb="4" eb="7">
      <t>ネンドマツ</t>
    </rPh>
    <rPh sb="5" eb="6">
      <t>ド</t>
    </rPh>
    <rPh sb="6" eb="7">
      <t>マツ</t>
    </rPh>
    <rPh sb="8" eb="10">
      <t>ショユウ</t>
    </rPh>
    <rPh sb="10" eb="12">
      <t>シャリョウ</t>
    </rPh>
    <rPh sb="13" eb="14">
      <t>ダイ</t>
    </rPh>
    <phoneticPr fontId="137"/>
  </si>
  <si>
    <t>( A )</t>
    <phoneticPr fontId="137"/>
  </si>
  <si>
    <r>
      <t>うち報告対象年度中に</t>
    </r>
    <r>
      <rPr>
        <b/>
        <u/>
        <sz val="12"/>
        <rFont val="ＭＳ Ｐゴシック"/>
        <family val="3"/>
        <charset val="128"/>
      </rPr>
      <t>廃車</t>
    </r>
    <r>
      <rPr>
        <sz val="10"/>
        <rFont val="ＭＳ Ｐゴシック"/>
        <family val="3"/>
        <charset val="128"/>
      </rPr>
      <t>した車両
（台）( B )</t>
    </r>
    <rPh sb="2" eb="4">
      <t>ホウコク</t>
    </rPh>
    <rPh sb="4" eb="6">
      <t>タイショウ</t>
    </rPh>
    <rPh sb="6" eb="9">
      <t>ネンドチュウ</t>
    </rPh>
    <rPh sb="7" eb="8">
      <t>ガンネン</t>
    </rPh>
    <rPh sb="8" eb="9">
      <t>チュウ</t>
    </rPh>
    <rPh sb="10" eb="12">
      <t>ハイシャ</t>
    </rPh>
    <rPh sb="14" eb="16">
      <t>シャリョウ</t>
    </rPh>
    <rPh sb="18" eb="19">
      <t>ダイ</t>
    </rPh>
    <phoneticPr fontId="137"/>
  </si>
  <si>
    <t>( C )</t>
    <phoneticPr fontId="137"/>
  </si>
  <si>
    <r>
      <t>うち報告対象年度中に</t>
    </r>
    <r>
      <rPr>
        <b/>
        <u/>
        <sz val="12"/>
        <rFont val="ＭＳ Ｐゴシック"/>
        <family val="3"/>
        <charset val="128"/>
      </rPr>
      <t>廃車</t>
    </r>
    <r>
      <rPr>
        <sz val="10"/>
        <rFont val="ＭＳ Ｐゴシック"/>
        <family val="3"/>
        <charset val="128"/>
      </rPr>
      <t>した車両
（台）( Ｄ )</t>
    </r>
    <rPh sb="2" eb="4">
      <t>ホウコク</t>
    </rPh>
    <rPh sb="4" eb="6">
      <t>タイショウ</t>
    </rPh>
    <rPh sb="6" eb="9">
      <t>ネンドチュウ</t>
    </rPh>
    <phoneticPr fontId="137"/>
  </si>
  <si>
    <r>
      <t>走行</t>
    </r>
    <r>
      <rPr>
        <b/>
        <u/>
        <sz val="12"/>
        <color indexed="8"/>
        <rFont val="ＭＳ Ｐゴシック"/>
        <family val="3"/>
        <charset val="128"/>
      </rPr>
      <t>あり</t>
    </r>
    <rPh sb="0" eb="2">
      <t>ソウコウ</t>
    </rPh>
    <phoneticPr fontId="137"/>
  </si>
  <si>
    <r>
      <t>走行</t>
    </r>
    <r>
      <rPr>
        <b/>
        <u/>
        <sz val="12"/>
        <rFont val="ＭＳ Ｐゴシック"/>
        <family val="3"/>
        <charset val="128"/>
      </rPr>
      <t>なし</t>
    </r>
    <rPh sb="0" eb="2">
      <t>ソウコウ</t>
    </rPh>
    <rPh sb="1" eb="2">
      <t>ネンドチュウ</t>
    </rPh>
    <phoneticPr fontId="137"/>
  </si>
  <si>
    <t>↑昨年度提出した計画書等の第１面（上段）に記載した
　台数と一致 （新規提出の場合を除く。）</t>
    <rPh sb="1" eb="4">
      <t>サクネンド</t>
    </rPh>
    <rPh sb="4" eb="6">
      <t>テイシュツ</t>
    </rPh>
    <rPh sb="8" eb="11">
      <t>ケイカクショ</t>
    </rPh>
    <rPh sb="11" eb="12">
      <t>トウ</t>
    </rPh>
    <rPh sb="13" eb="14">
      <t>ダイ</t>
    </rPh>
    <rPh sb="15" eb="16">
      <t>メン</t>
    </rPh>
    <rPh sb="17" eb="19">
      <t>ジョウダン</t>
    </rPh>
    <rPh sb="21" eb="23">
      <t>キサイ</t>
    </rPh>
    <rPh sb="27" eb="29">
      <t>ダイスウ</t>
    </rPh>
    <rPh sb="30" eb="32">
      <t>イッチ</t>
    </rPh>
    <rPh sb="34" eb="36">
      <t>シンキ</t>
    </rPh>
    <rPh sb="36" eb="38">
      <t>テイシュツ</t>
    </rPh>
    <rPh sb="39" eb="41">
      <t>バアイ</t>
    </rPh>
    <rPh sb="42" eb="43">
      <t>ノゾ</t>
    </rPh>
    <phoneticPr fontId="137"/>
  </si>
  <si>
    <t>↑今年度提出する計画書等の第１面（上段）に記載する台数</t>
    <rPh sb="1" eb="4">
      <t>コンネンド</t>
    </rPh>
    <rPh sb="4" eb="6">
      <t>テイシュツ</t>
    </rPh>
    <rPh sb="8" eb="10">
      <t>ケイカク</t>
    </rPh>
    <rPh sb="10" eb="11">
      <t>ショ</t>
    </rPh>
    <rPh sb="11" eb="12">
      <t>トウ</t>
    </rPh>
    <rPh sb="13" eb="14">
      <t>ダイ</t>
    </rPh>
    <rPh sb="15" eb="16">
      <t>メン</t>
    </rPh>
    <rPh sb="17" eb="19">
      <t>ジョウダン</t>
    </rPh>
    <rPh sb="21" eb="23">
      <t>キサイ</t>
    </rPh>
    <rPh sb="25" eb="27">
      <t>ダイスウ</t>
    </rPh>
    <phoneticPr fontId="137"/>
  </si>
  <si>
    <t>【排出量計算書】</t>
    <phoneticPr fontId="137"/>
  </si>
  <si>
    <t>年間
走行
台数
（台）</t>
    <rPh sb="0" eb="2">
      <t>ネンカン</t>
    </rPh>
    <rPh sb="3" eb="5">
      <t>ソウコウ</t>
    </rPh>
    <rPh sb="6" eb="8">
      <t>ダイスウ</t>
    </rPh>
    <rPh sb="10" eb="11">
      <t>ダイ</t>
    </rPh>
    <phoneticPr fontId="137"/>
  </si>
  <si>
    <t>年間
走行
距離
(km)(a)</t>
    <rPh sb="0" eb="2">
      <t>ネンカン</t>
    </rPh>
    <rPh sb="3" eb="5">
      <t>ソウコウ</t>
    </rPh>
    <rPh sb="6" eb="8">
      <t>キョリ</t>
    </rPh>
    <phoneticPr fontId="137"/>
  </si>
  <si>
    <t>年間
燃料補給量</t>
    <rPh sb="0" eb="2">
      <t>ネンカン</t>
    </rPh>
    <rPh sb="3" eb="5">
      <t>ネンリョウ</t>
    </rPh>
    <rPh sb="5" eb="7">
      <t>ホキュウ</t>
    </rPh>
    <rPh sb="7" eb="8">
      <t>リョウ</t>
    </rPh>
    <phoneticPr fontId="137"/>
  </si>
  <si>
    <t>燃費
（　/km)</t>
    <rPh sb="0" eb="2">
      <t>ネンピ</t>
    </rPh>
    <phoneticPr fontId="137"/>
  </si>
  <si>
    <r>
      <t>ＣＯ</t>
    </r>
    <r>
      <rPr>
        <vertAlign val="subscript"/>
        <sz val="11"/>
        <rFont val="ＭＳ Ｐゴシック"/>
        <family val="3"/>
        <charset val="128"/>
      </rPr>
      <t>2</t>
    </r>
    <r>
      <rPr>
        <sz val="11"/>
        <rFont val="ＭＳ Ｐゴシック"/>
        <family val="3"/>
        <charset val="128"/>
      </rPr>
      <t>排出係数</t>
    </r>
    <rPh sb="3" eb="5">
      <t>ハイシュツ</t>
    </rPh>
    <rPh sb="5" eb="7">
      <t>ケイスウ</t>
    </rPh>
    <phoneticPr fontId="137"/>
  </si>
  <si>
    <r>
      <t>ＣＯ</t>
    </r>
    <r>
      <rPr>
        <vertAlign val="subscript"/>
        <sz val="11"/>
        <rFont val="ＭＳ Ｐゴシック"/>
        <family val="3"/>
        <charset val="128"/>
      </rPr>
      <t>2</t>
    </r>
    <r>
      <rPr>
        <sz val="11"/>
        <rFont val="ＭＳ Ｐゴシック"/>
        <family val="3"/>
        <charset val="128"/>
      </rPr>
      <t>排出量
(tCO2)</t>
    </r>
    <rPh sb="3" eb="5">
      <t>ハイシュツ</t>
    </rPh>
    <rPh sb="5" eb="6">
      <t>リョウ</t>
    </rPh>
    <phoneticPr fontId="137"/>
  </si>
  <si>
    <t>(b)</t>
    <phoneticPr fontId="137"/>
  </si>
  <si>
    <t>(b÷a)</t>
    <phoneticPr fontId="137"/>
  </si>
  <si>
    <t>調整後</t>
    <rPh sb="0" eb="2">
      <t>チョウセイ</t>
    </rPh>
    <rPh sb="2" eb="3">
      <t>ゴ</t>
    </rPh>
    <phoneticPr fontId="137"/>
  </si>
  <si>
    <t>単位</t>
    <rPh sb="0" eb="2">
      <t>タンイ</t>
    </rPh>
    <phoneticPr fontId="137"/>
  </si>
  <si>
    <t>tCO2/L</t>
    <phoneticPr fontId="137"/>
  </si>
  <si>
    <t>tCO2/㎥</t>
    <phoneticPr fontId="137"/>
  </si>
  <si>
    <t>tCO2/kg</t>
    <phoneticPr fontId="137"/>
  </si>
  <si>
    <t>tCO2/kWh</t>
    <phoneticPr fontId="137"/>
  </si>
  <si>
    <t>報告対象年度に走行した
車両台数（Ａ＋Ｃ）</t>
    <rPh sb="0" eb="2">
      <t>ホウコク</t>
    </rPh>
    <rPh sb="2" eb="4">
      <t>タイショウ</t>
    </rPh>
    <rPh sb="4" eb="6">
      <t>ネンド</t>
    </rPh>
    <rPh sb="7" eb="9">
      <t>ソウコウ</t>
    </rPh>
    <rPh sb="12" eb="14">
      <t>シャリョウ</t>
    </rPh>
    <rPh sb="14" eb="15">
      <t>ダイ</t>
    </rPh>
    <rPh sb="15" eb="16">
      <t>スウ</t>
    </rPh>
    <phoneticPr fontId="137"/>
  </si>
  <si>
    <t xml:space="preserve">
</t>
    <phoneticPr fontId="137"/>
  </si>
  <si>
    <r>
      <rPr>
        <b/>
        <sz val="14"/>
        <rFont val="ＭＳ Ｐゴシック"/>
        <family val="3"/>
        <charset val="128"/>
      </rPr>
      <t>二酸化炭素排出合計量(tCO2)</t>
    </r>
    <r>
      <rPr>
        <sz val="12"/>
        <rFont val="ＭＳ Ｐゴシック"/>
        <family val="3"/>
        <charset val="128"/>
      </rPr>
      <t xml:space="preserve">
</t>
    </r>
    <r>
      <rPr>
        <sz val="11"/>
        <rFont val="ＭＳ Ｐゴシック"/>
        <family val="3"/>
        <charset val="128"/>
      </rPr>
      <t>（有効数字３桁処理後）</t>
    </r>
    <rPh sb="0" eb="3">
      <t>ニサンカ</t>
    </rPh>
    <rPh sb="3" eb="5">
      <t>タンソ</t>
    </rPh>
    <rPh sb="5" eb="7">
      <t>ハイシュツ</t>
    </rPh>
    <rPh sb="7" eb="9">
      <t>ゴウケイ</t>
    </rPh>
    <rPh sb="9" eb="10">
      <t>リョウ</t>
    </rPh>
    <rPh sb="18" eb="20">
      <t>ユウコウ</t>
    </rPh>
    <rPh sb="20" eb="22">
      <t>スウジ</t>
    </rPh>
    <rPh sb="23" eb="24">
      <t>ケタ</t>
    </rPh>
    <rPh sb="24" eb="26">
      <t>ショリ</t>
    </rPh>
    <rPh sb="26" eb="27">
      <t>ゴ</t>
    </rPh>
    <phoneticPr fontId="137"/>
  </si>
  <si>
    <t>↑年間走行台数の合計値と（Ａ＋Ｃ）の値が一致</t>
    <rPh sb="1" eb="3">
      <t>ネンカン</t>
    </rPh>
    <rPh sb="3" eb="5">
      <t>ソウコウ</t>
    </rPh>
    <rPh sb="5" eb="7">
      <t>ダイスウ</t>
    </rPh>
    <rPh sb="8" eb="11">
      <t>ゴウケイチ</t>
    </rPh>
    <rPh sb="18" eb="19">
      <t>アタイ</t>
    </rPh>
    <rPh sb="20" eb="22">
      <t>イッチ</t>
    </rPh>
    <phoneticPr fontId="137"/>
  </si>
  <si>
    <t>↑今年度の計画書等
　に記載する排出量</t>
    <phoneticPr fontId="137"/>
  </si>
  <si>
    <r>
      <t>【排出量原単位計算書】</t>
    </r>
    <r>
      <rPr>
        <sz val="12"/>
        <rFont val="ＭＳ ゴシック"/>
        <family val="3"/>
        <charset val="128"/>
      </rPr>
      <t>（排出量原単位の目標を設定している場合のみ）</t>
    </r>
    <rPh sb="12" eb="14">
      <t>ハイシュツ</t>
    </rPh>
    <rPh sb="14" eb="15">
      <t>リョウ</t>
    </rPh>
    <rPh sb="15" eb="18">
      <t>ゲンタンイ</t>
    </rPh>
    <rPh sb="19" eb="21">
      <t>モクヒョウ</t>
    </rPh>
    <rPh sb="22" eb="24">
      <t>セッテイ</t>
    </rPh>
    <rPh sb="28" eb="30">
      <t>バアイ</t>
    </rPh>
    <phoneticPr fontId="137"/>
  </si>
  <si>
    <t>走行距離（千km）を指標とした場合
の排出量原単位</t>
    <rPh sb="19" eb="21">
      <t>ハイシュツ</t>
    </rPh>
    <rPh sb="21" eb="22">
      <t>リョウ</t>
    </rPh>
    <rPh sb="22" eb="25">
      <t>ゲンタンイ</t>
    </rPh>
    <phoneticPr fontId="137"/>
  </si>
  <si>
    <r>
      <rPr>
        <u/>
        <sz val="12"/>
        <rFont val="ＭＳ Ｐゴシック"/>
        <family val="3"/>
        <charset val="128"/>
      </rPr>
      <t>走行距離（千km）以外を指標</t>
    </r>
    <r>
      <rPr>
        <sz val="12"/>
        <rFont val="ＭＳ Ｐゴシック"/>
        <family val="3"/>
        <charset val="128"/>
      </rPr>
      <t>とした場合
の排出量原単位</t>
    </r>
    <rPh sb="9" eb="11">
      <t>イガイ</t>
    </rPh>
    <rPh sb="17" eb="19">
      <t>バアイ</t>
    </rPh>
    <rPh sb="21" eb="23">
      <t>ハイシュツ</t>
    </rPh>
    <rPh sb="23" eb="24">
      <t>リョウ</t>
    </rPh>
    <rPh sb="24" eb="27">
      <t>ゲンタンイ</t>
    </rPh>
    <phoneticPr fontId="137"/>
  </si>
  <si>
    <t>排出量原単位の指標</t>
    <phoneticPr fontId="137"/>
  </si>
  <si>
    <t>排出量原単位</t>
    <rPh sb="0" eb="2">
      <t>ハイシュツ</t>
    </rPh>
    <rPh sb="2" eb="3">
      <t>リョウ</t>
    </rPh>
    <phoneticPr fontId="137"/>
  </si>
  <si>
    <t>調整後</t>
    <phoneticPr fontId="137"/>
  </si>
  <si>
    <t>tCO2/千km</t>
    <phoneticPr fontId="137"/>
  </si>
  <si>
    <t>横浜市内</t>
    <rPh sb="0" eb="2">
      <t>ヨコハマ</t>
    </rPh>
    <rPh sb="2" eb="4">
      <t>シナイ</t>
    </rPh>
    <phoneticPr fontId="137"/>
  </si>
  <si>
    <t>横浜市内</t>
    <rPh sb="0" eb="4">
      <t>ヨコハマシナイ</t>
    </rPh>
    <phoneticPr fontId="137"/>
  </si>
  <si>
    <t>m</t>
    <phoneticPr fontId="15"/>
  </si>
  <si>
    <t>ID</t>
    <phoneticPr fontId="15"/>
  </si>
  <si>
    <t>vlookupを使って、IDで検索する際には、テキスト化されているID文字列を使う</t>
    <rPh sb="8" eb="9">
      <t>ツカ</t>
    </rPh>
    <rPh sb="15" eb="17">
      <t>ケンサク</t>
    </rPh>
    <rPh sb="19" eb="20">
      <t>サイ</t>
    </rPh>
    <rPh sb="27" eb="28">
      <t>カ</t>
    </rPh>
    <rPh sb="39" eb="40">
      <t>ツカ</t>
    </rPh>
    <phoneticPr fontId="15"/>
  </si>
  <si>
    <t>１号true</t>
    <rPh sb="1" eb="2">
      <t>ゴウ</t>
    </rPh>
    <phoneticPr fontId="15"/>
  </si>
  <si>
    <t>２号true</t>
    <rPh sb="1" eb="2">
      <t>ゴウ</t>
    </rPh>
    <phoneticPr fontId="15"/>
  </si>
  <si>
    <t>３号true</t>
    <rPh sb="1" eb="2">
      <t>ゴウ</t>
    </rPh>
    <phoneticPr fontId="15"/>
  </si>
  <si>
    <t>任意true</t>
    <rPh sb="0" eb="2">
      <t>ニンイ</t>
    </rPh>
    <phoneticPr fontId="15"/>
  </si>
  <si>
    <t>任意12号true</t>
    <rPh sb="0" eb="2">
      <t>ニンイ</t>
    </rPh>
    <rPh sb="4" eb="5">
      <t>ゴウ</t>
    </rPh>
    <phoneticPr fontId="15"/>
  </si>
  <si>
    <t>任意3号true</t>
    <rPh sb="0" eb="2">
      <t>ニンイ</t>
    </rPh>
    <rPh sb="3" eb="4">
      <t>ゴウ</t>
    </rPh>
    <phoneticPr fontId="15"/>
  </si>
  <si>
    <t>ホームページ_有無true</t>
    <phoneticPr fontId="15"/>
  </si>
  <si>
    <t>窓口閲覧_有無true</t>
    <phoneticPr fontId="15"/>
  </si>
  <si>
    <t>公表その他方式_有無true</t>
    <phoneticPr fontId="15"/>
  </si>
  <si>
    <t>参照先シート名</t>
    <rPh sb="2" eb="3">
      <t>サキ</t>
    </rPh>
    <rPh sb="6" eb="7">
      <t>メイ</t>
    </rPh>
    <phoneticPr fontId="15"/>
  </si>
  <si>
    <t>参照先アドレス</t>
    <rPh sb="0" eb="2">
      <t>サンショウ</t>
    </rPh>
    <rPh sb="2" eb="3">
      <t>サキ</t>
    </rPh>
    <phoneticPr fontId="15"/>
  </si>
  <si>
    <t>参照先</t>
    <rPh sb="0" eb="3">
      <t>サンショウサキ</t>
    </rPh>
    <phoneticPr fontId="15"/>
  </si>
  <si>
    <t>参照先数式文字列</t>
    <rPh sb="0" eb="3">
      <t>サンショウサキ</t>
    </rPh>
    <rPh sb="3" eb="5">
      <t>スウシキ</t>
    </rPh>
    <rPh sb="5" eb="8">
      <t>モジレツ</t>
    </rPh>
    <phoneticPr fontId="15"/>
  </si>
  <si>
    <t>参照先に入れる数式文字列</t>
    <rPh sb="0" eb="2">
      <t>サンショウ</t>
    </rPh>
    <rPh sb="2" eb="3">
      <t>サキ</t>
    </rPh>
    <rPh sb="4" eb="5">
      <t>イ</t>
    </rPh>
    <rPh sb="7" eb="9">
      <t>スウシキ</t>
    </rPh>
    <rPh sb="9" eb="12">
      <t>モジレツ</t>
    </rPh>
    <phoneticPr fontId="15"/>
  </si>
  <si>
    <t>1,2号報告書用</t>
    <rPh sb="4" eb="8">
      <t>ホウコクショヨウ</t>
    </rPh>
    <phoneticPr fontId="15"/>
  </si>
  <si>
    <t>1,2号計画書用</t>
    <rPh sb="4" eb="8">
      <t>ケイカクショヨウ</t>
    </rPh>
    <phoneticPr fontId="15"/>
  </si>
  <si>
    <t>3号報告用</t>
    <rPh sb="1" eb="2">
      <t>ゴウ</t>
    </rPh>
    <rPh sb="2" eb="5">
      <t>ホウコクヨウ</t>
    </rPh>
    <phoneticPr fontId="15"/>
  </si>
  <si>
    <t>３号計画用</t>
    <rPh sb="1" eb="2">
      <t>ゴウ</t>
    </rPh>
    <rPh sb="2" eb="5">
      <t>ケイカクヨウ</t>
    </rPh>
    <phoneticPr fontId="15"/>
  </si>
  <si>
    <t>別紙１（エネルギー起源二酸化炭素排出量計算表）</t>
    <rPh sb="0" eb="2">
      <t>ベッシ</t>
    </rPh>
    <rPh sb="9" eb="11">
      <t>キゲン</t>
    </rPh>
    <rPh sb="11" eb="14">
      <t>ニサンカ</t>
    </rPh>
    <rPh sb="14" eb="16">
      <t>タンソ</t>
    </rPh>
    <rPh sb="16" eb="18">
      <t>ハイシュツ</t>
    </rPh>
    <rPh sb="18" eb="19">
      <t>リョウ</t>
    </rPh>
    <rPh sb="19" eb="21">
      <t>ケイサン</t>
    </rPh>
    <rPh sb="21" eb="22">
      <t>ヒョウ</t>
    </rPh>
    <phoneticPr fontId="15"/>
  </si>
  <si>
    <t>事業者名：</t>
    <rPh sb="0" eb="3">
      <t>ジギョウシャ</t>
    </rPh>
    <rPh sb="3" eb="4">
      <t>メイ</t>
    </rPh>
    <phoneticPr fontId="15"/>
  </si>
  <si>
    <t>対象：</t>
    <phoneticPr fontId="15"/>
  </si>
  <si>
    <r>
      <rPr>
        <b/>
        <sz val="16"/>
        <rFont val="ＭＳ Ｐゴシック"/>
        <family val="3"/>
        <charset val="128"/>
      </rPr>
      <t>二酸化炭素排出合計量(tCO2)</t>
    </r>
    <r>
      <rPr>
        <b/>
        <sz val="14"/>
        <rFont val="ＭＳ Ｐゴシック"/>
        <family val="3"/>
        <charset val="128"/>
      </rPr>
      <t xml:space="preserve">
</t>
    </r>
    <r>
      <rPr>
        <sz val="12"/>
        <rFont val="ＭＳ Ｐゴシック"/>
        <family val="3"/>
        <charset val="128"/>
      </rPr>
      <t>（有効数字３桁処理後）</t>
    </r>
    <rPh sb="23" eb="24">
      <t>ケタ</t>
    </rPh>
    <rPh sb="26" eb="27">
      <t>ゴ</t>
    </rPh>
    <phoneticPr fontId="15"/>
  </si>
  <si>
    <t>原油換算エネルギー使用量(kL)</t>
    <rPh sb="0" eb="2">
      <t>ゲンユ</t>
    </rPh>
    <rPh sb="2" eb="4">
      <t>カンサン</t>
    </rPh>
    <rPh sb="9" eb="11">
      <t>シヨウ</t>
    </rPh>
    <rPh sb="11" eb="12">
      <t>リョウ</t>
    </rPh>
    <phoneticPr fontId="15"/>
  </si>
  <si>
    <t>エネルギー使用量</t>
    <rPh sb="5" eb="7">
      <t>シヨウ</t>
    </rPh>
    <rPh sb="7" eb="8">
      <t>リョウ</t>
    </rPh>
    <phoneticPr fontId="15"/>
  </si>
  <si>
    <t>販売されたエネルギー量</t>
    <rPh sb="0" eb="2">
      <t>ハンバイ</t>
    </rPh>
    <rPh sb="10" eb="11">
      <t>リョウ</t>
    </rPh>
    <phoneticPr fontId="15"/>
  </si>
  <si>
    <t>熱量Ａ
－熱量Ｂ
（※2）</t>
    <rPh sb="0" eb="2">
      <t>ネツリョウ</t>
    </rPh>
    <rPh sb="5" eb="7">
      <t>ネツリョウ</t>
    </rPh>
    <phoneticPr fontId="15"/>
  </si>
  <si>
    <t>エネルギー起源二酸化炭素</t>
    <rPh sb="5" eb="7">
      <t>キゲン</t>
    </rPh>
    <rPh sb="7" eb="10">
      <t>ニサンカ</t>
    </rPh>
    <rPh sb="10" eb="12">
      <t>タンソ</t>
    </rPh>
    <phoneticPr fontId="15"/>
  </si>
  <si>
    <t>数値Ａ</t>
    <rPh sb="0" eb="2">
      <t>スウチ</t>
    </rPh>
    <phoneticPr fontId="15"/>
  </si>
  <si>
    <t>熱量Ａ
（GJ）</t>
    <rPh sb="0" eb="2">
      <t>ネツリョウ</t>
    </rPh>
    <phoneticPr fontId="15"/>
  </si>
  <si>
    <t>数値Ｂ</t>
    <rPh sb="0" eb="2">
      <t>スウチ</t>
    </rPh>
    <phoneticPr fontId="15"/>
  </si>
  <si>
    <t>熱量Ｂ
（GJ）</t>
    <rPh sb="0" eb="2">
      <t>ネツリョウ</t>
    </rPh>
    <phoneticPr fontId="15"/>
  </si>
  <si>
    <t>CO2排出量(tCO2)</t>
    <rPh sb="3" eb="5">
      <t>ハイシュツ</t>
    </rPh>
    <rPh sb="5" eb="6">
      <t>リョウ</t>
    </rPh>
    <phoneticPr fontId="15"/>
  </si>
  <si>
    <t>kL</t>
    <phoneticPr fontId="15"/>
  </si>
  <si>
    <t>千㎥</t>
    <rPh sb="0" eb="1">
      <t>セン</t>
    </rPh>
    <phoneticPr fontId="15"/>
  </si>
  <si>
    <r>
      <t>千k</t>
    </r>
    <r>
      <rPr>
        <sz val="11"/>
        <rFont val="ＭＳ Ｐゴシック"/>
        <family val="3"/>
        <charset val="128"/>
      </rPr>
      <t>W</t>
    </r>
    <r>
      <rPr>
        <sz val="11"/>
        <rFont val="ＭＳ Ｐゴシック"/>
        <family val="3"/>
        <charset val="128"/>
      </rPr>
      <t>h</t>
    </r>
    <rPh sb="0" eb="1">
      <t>セン</t>
    </rPh>
    <phoneticPr fontId="15"/>
  </si>
  <si>
    <t>千kWh</t>
    <phoneticPr fontId="15"/>
  </si>
  <si>
    <t>合　計</t>
    <rPh sb="0" eb="1">
      <t>ゴウ</t>
    </rPh>
    <rPh sb="2" eb="3">
      <t>ケイ</t>
    </rPh>
    <phoneticPr fontId="15"/>
  </si>
  <si>
    <t>※1　一般送配電事業者、送電事業者及び特定送配電事業者が維持し、及び運用する電線路を介して供給を受ける電気以外の電気及び自己託送制度を用いて供給を受ける電気で使用した電力がある場合に記入してください。</t>
    <rPh sb="88" eb="90">
      <t>バアイ</t>
    </rPh>
    <rPh sb="91" eb="93">
      <t>キニュウ</t>
    </rPh>
    <phoneticPr fontId="15"/>
  </si>
  <si>
    <t>※2　「熱」に該当するエネルギー種（産業用蒸気等）については、(数値A)－(数値Ｂ)</t>
    <rPh sb="4" eb="5">
      <t>ネツ</t>
    </rPh>
    <rPh sb="7" eb="9">
      <t>ガイトウ</t>
    </rPh>
    <rPh sb="16" eb="17">
      <t>シュ</t>
    </rPh>
    <rPh sb="18" eb="21">
      <t>サンギョウヨウ</t>
    </rPh>
    <rPh sb="21" eb="23">
      <t>ジョウキ</t>
    </rPh>
    <rPh sb="23" eb="24">
      <t>トウ</t>
    </rPh>
    <rPh sb="32" eb="34">
      <t>スウチ</t>
    </rPh>
    <rPh sb="38" eb="40">
      <t>スウチ</t>
    </rPh>
    <phoneticPr fontId="15"/>
  </si>
  <si>
    <t>入力シートの参照列：</t>
  </si>
  <si>
    <t>入力シート名</t>
    <rPh sb="0" eb="2">
      <t>ニュウリョク</t>
    </rPh>
    <rPh sb="5" eb="6">
      <t>メイ</t>
    </rPh>
    <phoneticPr fontId="15"/>
  </si>
  <si>
    <t>事業所別No</t>
    <rPh sb="0" eb="3">
      <t>ジギョウショ</t>
    </rPh>
    <rPh sb="3" eb="4">
      <t>ベツ</t>
    </rPh>
    <phoneticPr fontId="87"/>
  </si>
  <si>
    <t>事業所等の名称</t>
    <rPh sb="0" eb="3">
      <t>ジギョウショ</t>
    </rPh>
    <rPh sb="3" eb="4">
      <t>トウ</t>
    </rPh>
    <rPh sb="5" eb="7">
      <t>メイショウ</t>
    </rPh>
    <phoneticPr fontId="88"/>
  </si>
  <si>
    <t>原油換算エネルギー使用量</t>
    <rPh sb="0" eb="4">
      <t>ゲンユカンサン</t>
    </rPh>
    <rPh sb="9" eb="12">
      <t>シヨウリョウ</t>
    </rPh>
    <phoneticPr fontId="88"/>
  </si>
  <si>
    <t>連番_事業所別No</t>
    <rPh sb="3" eb="6">
      <t>ジギョウショ</t>
    </rPh>
    <rPh sb="6" eb="7">
      <t>ベツ</t>
    </rPh>
    <phoneticPr fontId="87"/>
  </si>
  <si>
    <t>事業者ID3</t>
    <phoneticPr fontId="15"/>
  </si>
  <si>
    <t>参照元</t>
    <rPh sb="0" eb="2">
      <t>サンショウ</t>
    </rPh>
    <rPh sb="2" eb="3">
      <t>モト</t>
    </rPh>
    <phoneticPr fontId="15"/>
  </si>
  <si>
    <t>参照元</t>
    <rPh sb="0" eb="3">
      <t>サンショウモト</t>
    </rPh>
    <phoneticPr fontId="15"/>
  </si>
  <si>
    <t>根拠</t>
    <rPh sb="0" eb="2">
      <t>コンキョ</t>
    </rPh>
    <phoneticPr fontId="15"/>
  </si>
  <si>
    <t>報告個別票用</t>
    <rPh sb="0" eb="2">
      <t>ホウコク</t>
    </rPh>
    <rPh sb="2" eb="5">
      <t>コベツヒョウ</t>
    </rPh>
    <rPh sb="5" eb="6">
      <t>ヨウ</t>
    </rPh>
    <phoneticPr fontId="15"/>
  </si>
  <si>
    <r>
      <t>◆自動車検査証の</t>
    </r>
    <r>
      <rPr>
        <b/>
        <u/>
        <sz val="11"/>
        <color theme="1"/>
        <rFont val="ＭＳ ゴシック"/>
        <family val="3"/>
        <charset val="128"/>
      </rPr>
      <t>「使用者の氏名又は名称」欄</t>
    </r>
    <r>
      <rPr>
        <u/>
        <sz val="11"/>
        <color theme="1"/>
        <rFont val="ＭＳ ゴシック"/>
        <family val="3"/>
        <charset val="128"/>
      </rPr>
      <t>が自身（自社）</t>
    </r>
    <r>
      <rPr>
        <sz val="11"/>
        <color theme="1"/>
        <rFont val="ＭＳ ゴシック"/>
        <family val="3"/>
        <charset val="128"/>
      </rPr>
      <t>であり、かつ</t>
    </r>
    <r>
      <rPr>
        <b/>
        <u/>
        <sz val="11"/>
        <color theme="1"/>
        <rFont val="ＭＳ ゴシック"/>
        <family val="3"/>
        <charset val="128"/>
      </rPr>
      <t xml:space="preserve">「使用の本拠の位置」
</t>
    </r>
    <r>
      <rPr>
        <b/>
        <sz val="11"/>
        <color theme="1"/>
        <rFont val="ＭＳ ゴシック"/>
        <family val="3"/>
        <charset val="128"/>
      </rPr>
      <t>　</t>
    </r>
    <r>
      <rPr>
        <b/>
        <u/>
        <sz val="11"/>
        <color theme="1"/>
        <rFont val="ＭＳ ゴシック"/>
        <family val="3"/>
        <charset val="128"/>
      </rPr>
      <t>欄</t>
    </r>
    <r>
      <rPr>
        <u/>
        <sz val="11"/>
        <color theme="1"/>
        <rFont val="ＭＳ ゴシック"/>
        <family val="3"/>
        <charset val="128"/>
      </rPr>
      <t>が横浜市内</t>
    </r>
    <r>
      <rPr>
        <sz val="11"/>
        <color theme="1"/>
        <rFont val="ＭＳ ゴシック"/>
        <family val="3"/>
        <charset val="128"/>
      </rPr>
      <t>にある自動車（※）
　⇒リース車両など、</t>
    </r>
    <r>
      <rPr>
        <u/>
        <sz val="11"/>
        <color theme="1"/>
        <rFont val="ＭＳ ゴシック"/>
        <family val="3"/>
        <charset val="128"/>
      </rPr>
      <t xml:space="preserve">１年以上継続的に借り受けて使用する自動車は、使用者となる事業者の自動車
</t>
    </r>
    <r>
      <rPr>
        <sz val="11"/>
        <color theme="1"/>
        <rFont val="ＭＳ ゴシック"/>
        <family val="3"/>
        <charset val="128"/>
      </rPr>
      <t>　　</t>
    </r>
    <r>
      <rPr>
        <u/>
        <sz val="11"/>
        <color theme="1"/>
        <rFont val="ＭＳ ゴシック"/>
        <family val="3"/>
        <charset val="128"/>
      </rPr>
      <t>として取扱い、集計対象の台数に含めてください</t>
    </r>
    <r>
      <rPr>
        <sz val="11"/>
        <color theme="1"/>
        <rFont val="ＭＳ ゴシック"/>
        <family val="3"/>
        <charset val="128"/>
      </rPr>
      <t>。</t>
    </r>
    <rPh sb="20" eb="21">
      <t>ラン</t>
    </rPh>
    <rPh sb="22" eb="24">
      <t>ジシン</t>
    </rPh>
    <rPh sb="25" eb="27">
      <t>ジシャ</t>
    </rPh>
    <rPh sb="46" eb="47">
      <t>ラン</t>
    </rPh>
    <rPh sb="48" eb="50">
      <t>ヨコハマ</t>
    </rPh>
    <rPh sb="50" eb="51">
      <t>シ</t>
    </rPh>
    <phoneticPr fontId="137"/>
  </si>
  <si>
    <t>電力会社</t>
    <rPh sb="0" eb="4">
      <t>デンリョクガイシャ</t>
    </rPh>
    <phoneticPr fontId="15"/>
  </si>
  <si>
    <t>小売電気事業者を検索して、排出係数を調べます。</t>
    <rPh sb="8" eb="10">
      <t>ケンサク</t>
    </rPh>
    <rPh sb="15" eb="17">
      <t>ケイスウ</t>
    </rPh>
    <rPh sb="18" eb="19">
      <t>シラ</t>
    </rPh>
    <phoneticPr fontId="15"/>
  </si>
  <si>
    <t>計画書様式（新規事業者と、第３年度報告事業者が作成します。）</t>
    <rPh sb="0" eb="3">
      <t>ケイカクショ</t>
    </rPh>
    <rPh sb="3" eb="5">
      <t>ヨウシキ</t>
    </rPh>
    <rPh sb="6" eb="11">
      <t>シンキジギョウシャ</t>
    </rPh>
    <rPh sb="13" eb="14">
      <t>ダイ</t>
    </rPh>
    <rPh sb="15" eb="17">
      <t>ネンド</t>
    </rPh>
    <rPh sb="17" eb="22">
      <t>ホウコクジギョウシャ</t>
    </rPh>
    <rPh sb="23" eb="25">
      <t>サクセイ</t>
    </rPh>
    <phoneticPr fontId="15"/>
  </si>
  <si>
    <t>係数</t>
    <rPh sb="0" eb="2">
      <t>ケイスウ</t>
    </rPh>
    <phoneticPr fontId="15"/>
  </si>
  <si>
    <t>非表示シート</t>
    <rPh sb="0" eb="3">
      <t>ヒヒョウジ</t>
    </rPh>
    <phoneticPr fontId="15"/>
  </si>
  <si>
    <t>昨年度報告書</t>
    <rPh sb="0" eb="3">
      <t>サクネンド</t>
    </rPh>
    <rPh sb="3" eb="6">
      <t>ホウコクショ</t>
    </rPh>
    <phoneticPr fontId="15"/>
  </si>
  <si>
    <t>参照元</t>
    <rPh sb="0" eb="3">
      <t>サンショウモト</t>
    </rPh>
    <phoneticPr fontId="15"/>
  </si>
  <si>
    <t>１号２号事業者用：燃料などの排出係数等を変更する場合に使います。</t>
    <rPh sb="9" eb="11">
      <t>ネンリョウ</t>
    </rPh>
    <rPh sb="14" eb="19">
      <t>ハイシュツケイスウトウ</t>
    </rPh>
    <rPh sb="20" eb="22">
      <t>ヘンコウ</t>
    </rPh>
    <rPh sb="24" eb="26">
      <t>バアイ</t>
    </rPh>
    <rPh sb="27" eb="28">
      <t>ツカ</t>
    </rPh>
    <phoneticPr fontId="15"/>
  </si>
  <si>
    <t>「昨年度報告書」、「昨年度計画書」、「使用量」、「自動車」の各シートから、当該事業者の報告書・計画書から参照すべきデータを取り出したシート</t>
    <rPh sb="1" eb="7">
      <t>サクネンドホウコクショ</t>
    </rPh>
    <rPh sb="10" eb="16">
      <t>サクネンドケイカクショ</t>
    </rPh>
    <rPh sb="19" eb="22">
      <t>シヨウリョウ</t>
    </rPh>
    <rPh sb="25" eb="28">
      <t>ジドウシャ</t>
    </rPh>
    <rPh sb="30" eb="31">
      <t>カク</t>
    </rPh>
    <rPh sb="37" eb="39">
      <t>トウガイ</t>
    </rPh>
    <rPh sb="39" eb="42">
      <t>ジギョウシャ</t>
    </rPh>
    <rPh sb="43" eb="46">
      <t>ホウコクショ</t>
    </rPh>
    <rPh sb="47" eb="50">
      <t>ケイカクショ</t>
    </rPh>
    <rPh sb="52" eb="54">
      <t>サンショウ</t>
    </rPh>
    <rPh sb="61" eb="62">
      <t>ト</t>
    </rPh>
    <rPh sb="63" eb="64">
      <t>ダ</t>
    </rPh>
    <phoneticPr fontId="15"/>
  </si>
  <si>
    <t>報告個別</t>
    <rPh sb="0" eb="2">
      <t>ホウコク</t>
    </rPh>
    <rPh sb="2" eb="4">
      <t>コベツ</t>
    </rPh>
    <phoneticPr fontId="15"/>
  </si>
  <si>
    <t>削除予定</t>
    <rPh sb="0" eb="2">
      <t>サクジョ</t>
    </rPh>
    <rPh sb="2" eb="4">
      <t>ヨテイ</t>
    </rPh>
    <phoneticPr fontId="15"/>
  </si>
  <si>
    <t>R4年度に提出された報告書の全事業者データ（一部列）</t>
    <rPh sb="2" eb="4">
      <t>ネンド</t>
    </rPh>
    <rPh sb="5" eb="7">
      <t>テイシュツ</t>
    </rPh>
    <rPh sb="10" eb="13">
      <t>ホウコクショ</t>
    </rPh>
    <rPh sb="14" eb="18">
      <t>ゼンジギョウシャ</t>
    </rPh>
    <phoneticPr fontId="15"/>
  </si>
  <si>
    <t>R4年度に提出された計画書の全事業者データ（一部列）</t>
    <rPh sb="2" eb="4">
      <t>ネンド</t>
    </rPh>
    <rPh sb="5" eb="7">
      <t>テイシュツ</t>
    </rPh>
    <rPh sb="10" eb="13">
      <t>ケイカクショ</t>
    </rPh>
    <rPh sb="14" eb="18">
      <t>ゼンジギョウシャ</t>
    </rPh>
    <phoneticPr fontId="15"/>
  </si>
  <si>
    <t>R4年度に提出された報告書個別票の全事業所データ（一部列）、R3年度に提出された報告個別票と照合名寄せしたもの</t>
    <rPh sb="2" eb="4">
      <t>ネンド</t>
    </rPh>
    <rPh sb="5" eb="7">
      <t>テイシュツ</t>
    </rPh>
    <rPh sb="10" eb="13">
      <t>ホウコクショ</t>
    </rPh>
    <rPh sb="13" eb="16">
      <t>コベツヒョウ</t>
    </rPh>
    <rPh sb="17" eb="18">
      <t>ゼン</t>
    </rPh>
    <rPh sb="18" eb="21">
      <t>ジギョウショ</t>
    </rPh>
    <rPh sb="25" eb="27">
      <t>イチブ</t>
    </rPh>
    <rPh sb="27" eb="28">
      <t>レツ</t>
    </rPh>
    <rPh sb="32" eb="34">
      <t>ネンド</t>
    </rPh>
    <rPh sb="35" eb="37">
      <t>テイシュツ</t>
    </rPh>
    <rPh sb="40" eb="42">
      <t>ホウコク</t>
    </rPh>
    <rPh sb="42" eb="45">
      <t>コベツヒョウ</t>
    </rPh>
    <rPh sb="46" eb="48">
      <t>ショウゴウ</t>
    </rPh>
    <rPh sb="48" eb="50">
      <t>ナヨ</t>
    </rPh>
    <phoneticPr fontId="15"/>
  </si>
  <si>
    <t>計画個別</t>
    <rPh sb="0" eb="2">
      <t>ケイカク</t>
    </rPh>
    <rPh sb="2" eb="4">
      <t>コベツ</t>
    </rPh>
    <phoneticPr fontId="15"/>
  </si>
  <si>
    <t>R4年度に提出された計画書個別票の全事業所データ（一部列）</t>
    <rPh sb="2" eb="4">
      <t>ネンド</t>
    </rPh>
    <rPh sb="5" eb="7">
      <t>テイシュツ</t>
    </rPh>
    <rPh sb="10" eb="13">
      <t>ケイカクショ</t>
    </rPh>
    <rPh sb="13" eb="16">
      <t>コベツヒョウ</t>
    </rPh>
    <rPh sb="17" eb="18">
      <t>ゼン</t>
    </rPh>
    <rPh sb="18" eb="21">
      <t>ジギョウショ</t>
    </rPh>
    <rPh sb="25" eb="27">
      <t>イチブ</t>
    </rPh>
    <rPh sb="27" eb="28">
      <t>レツ</t>
    </rPh>
    <phoneticPr fontId="15"/>
  </si>
  <si>
    <t>参照元個別</t>
    <rPh sb="0" eb="3">
      <t>サンショウモト</t>
    </rPh>
    <rPh sb="3" eb="5">
      <t>コベツ</t>
    </rPh>
    <phoneticPr fontId="15"/>
  </si>
  <si>
    <t>o1～o43</t>
    <phoneticPr fontId="15"/>
  </si>
  <si>
    <t>開発メモ）</t>
    <rPh sb="0" eb="2">
      <t>カイハツ</t>
    </rPh>
    <phoneticPr fontId="15"/>
  </si>
  <si>
    <t>記入欄</t>
    <rPh sb="0" eb="3">
      <t>キニュウラン</t>
    </rPh>
    <phoneticPr fontId="15"/>
  </si>
  <si>
    <t>事業者ID下３桁</t>
    <rPh sb="0" eb="3">
      <t>ジギョウシャ</t>
    </rPh>
    <phoneticPr fontId="15"/>
  </si>
  <si>
    <t>報1～報7</t>
    <rPh sb="0" eb="1">
      <t>ホウ</t>
    </rPh>
    <rPh sb="3" eb="4">
      <t>ホウ</t>
    </rPh>
    <phoneticPr fontId="15"/>
  </si>
  <si>
    <t>計1～計5</t>
    <rPh sb="0" eb="1">
      <t>ケイ</t>
    </rPh>
    <rPh sb="3" eb="4">
      <t>ケイ</t>
    </rPh>
    <phoneticPr fontId="15"/>
  </si>
  <si>
    <t>　　④「使用量」シートのC65:C104範囲の該当するセルにペーストする。</t>
    <rPh sb="4" eb="7">
      <t>シヨウリョウ</t>
    </rPh>
    <rPh sb="20" eb="22">
      <t>ハンイ</t>
    </rPh>
    <rPh sb="23" eb="25">
      <t>ガイトウ</t>
    </rPh>
    <phoneticPr fontId="15"/>
  </si>
  <si>
    <t>　　④'（３号事業者が電気自動車の充電量を記入する場合）</t>
    <phoneticPr fontId="15"/>
  </si>
  <si>
    <t>「自動車」シートのC75:C84範囲の該当セルにペースとする。</t>
    <rPh sb="16" eb="18">
      <t>ハンイ</t>
    </rPh>
    <rPh sb="19" eb="21">
      <t>ガイトウ</t>
    </rPh>
    <phoneticPr fontId="15"/>
  </si>
  <si>
    <r>
      <t xml:space="preserve">走行台数 </t>
    </r>
    <r>
      <rPr>
        <sz val="10"/>
        <color theme="1"/>
        <rFont val="ＭＳ Ｐゴシック"/>
        <family val="3"/>
        <charset val="128"/>
        <scheme val="minor"/>
      </rPr>
      <t>（台/年）</t>
    </r>
    <rPh sb="0" eb="2">
      <t>ソウコウ</t>
    </rPh>
    <rPh sb="2" eb="4">
      <t>ダイスウ</t>
    </rPh>
    <rPh sb="6" eb="7">
      <t>ダイ</t>
    </rPh>
    <rPh sb="8" eb="9">
      <t>ネン</t>
    </rPh>
    <phoneticPr fontId="137"/>
  </si>
  <si>
    <r>
      <t xml:space="preserve">走行距離 </t>
    </r>
    <r>
      <rPr>
        <sz val="10"/>
        <color theme="1"/>
        <rFont val="ＭＳ Ｐゴシック"/>
        <family val="3"/>
        <charset val="128"/>
        <scheme val="minor"/>
      </rPr>
      <t>(km/年)</t>
    </r>
    <r>
      <rPr>
        <b/>
        <sz val="8"/>
        <color theme="1"/>
        <rFont val="ＭＳ Ｐゴシック"/>
        <family val="3"/>
        <charset val="128"/>
        <scheme val="minor"/>
      </rPr>
      <t xml:space="preserve">
</t>
    </r>
    <r>
      <rPr>
        <sz val="10"/>
        <color theme="1"/>
        <rFont val="ＭＳ Ｐゴシック"/>
        <family val="3"/>
        <charset val="128"/>
        <scheme val="minor"/>
      </rPr>
      <t xml:space="preserve"> (a)</t>
    </r>
    <rPh sb="0" eb="2">
      <t>ソウコウ</t>
    </rPh>
    <rPh sb="2" eb="4">
      <t>キョリ</t>
    </rPh>
    <rPh sb="9" eb="10">
      <t>ネン</t>
    </rPh>
    <phoneticPr fontId="137"/>
  </si>
  <si>
    <r>
      <t xml:space="preserve">燃料補給量 </t>
    </r>
    <r>
      <rPr>
        <sz val="10"/>
        <color theme="1"/>
        <rFont val="ＭＳ Ｐゴシック"/>
        <family val="3"/>
        <charset val="128"/>
        <scheme val="minor"/>
      </rPr>
      <t xml:space="preserve">( 　/年) </t>
    </r>
    <r>
      <rPr>
        <b/>
        <sz val="8"/>
        <color theme="1"/>
        <rFont val="ＭＳ Ｐゴシック"/>
        <family val="3"/>
        <charset val="128"/>
        <scheme val="minor"/>
      </rPr>
      <t xml:space="preserve">
</t>
    </r>
    <r>
      <rPr>
        <sz val="10"/>
        <color theme="1"/>
        <rFont val="ＭＳ Ｐゴシック"/>
        <family val="3"/>
        <charset val="128"/>
        <scheme val="minor"/>
      </rPr>
      <t>(b)</t>
    </r>
    <rPh sb="0" eb="2">
      <t>ネンリョウ</t>
    </rPh>
    <rPh sb="2" eb="4">
      <t>ホキュウ</t>
    </rPh>
    <rPh sb="4" eb="5">
      <t>リョウ</t>
    </rPh>
    <rPh sb="10" eb="11">
      <t>ネン</t>
    </rPh>
    <phoneticPr fontId="137"/>
  </si>
  <si>
    <r>
      <t>※</t>
    </r>
    <r>
      <rPr>
        <u/>
        <sz val="9"/>
        <color theme="1"/>
        <rFont val="ＭＳ Ｐゴシック"/>
        <family val="3"/>
        <charset val="128"/>
        <scheme val="minor"/>
      </rPr>
      <t>走行距離以外</t>
    </r>
    <r>
      <rPr>
        <sz val="9"/>
        <color theme="1"/>
        <rFont val="ＭＳ Ｐゴシック"/>
        <family val="3"/>
        <charset val="128"/>
        <scheme val="minor"/>
      </rPr>
      <t>の原単位指標を
使用する場合は右欄に入力↓</t>
    </r>
    <phoneticPr fontId="137"/>
  </si>
  <si>
    <r>
      <t>走行台数</t>
    </r>
    <r>
      <rPr>
        <sz val="9"/>
        <color theme="1"/>
        <rFont val="ＭＳ Ｐゴシック"/>
        <family val="3"/>
        <charset val="128"/>
        <scheme val="minor"/>
      </rPr>
      <t>（検算用）</t>
    </r>
    <rPh sb="0" eb="2">
      <t>ソウコウ</t>
    </rPh>
    <rPh sb="2" eb="3">
      <t>ダイ</t>
    </rPh>
    <rPh sb="3" eb="4">
      <t>スウ</t>
    </rPh>
    <rPh sb="5" eb="7">
      <t>ケンザン</t>
    </rPh>
    <rPh sb="7" eb="8">
      <t>ヨウ</t>
    </rPh>
    <phoneticPr fontId="137"/>
  </si>
  <si>
    <r>
      <t>走行あり</t>
    </r>
    <r>
      <rPr>
        <sz val="9"/>
        <color theme="1"/>
        <rFont val="ＭＳ Ｐゴシック"/>
        <family val="3"/>
        <charset val="128"/>
        <scheme val="minor"/>
      </rPr>
      <t>①</t>
    </r>
    <rPh sb="0" eb="2">
      <t>ソウコウ</t>
    </rPh>
    <phoneticPr fontId="137"/>
  </si>
  <si>
    <r>
      <t>走行あり</t>
    </r>
    <r>
      <rPr>
        <sz val="9"/>
        <color theme="1"/>
        <rFont val="ＭＳ Ｐゴシック"/>
        <family val="3"/>
        <charset val="128"/>
        <scheme val="minor"/>
      </rPr>
      <t>②</t>
    </r>
    <rPh sb="0" eb="2">
      <t>ソウコウ</t>
    </rPh>
    <phoneticPr fontId="137"/>
  </si>
  <si>
    <r>
      <t>走行あり</t>
    </r>
    <r>
      <rPr>
        <sz val="9"/>
        <color theme="1"/>
        <rFont val="ＭＳ Ｐゴシック"/>
        <family val="3"/>
        <charset val="128"/>
        <scheme val="minor"/>
      </rPr>
      <t>③</t>
    </r>
    <rPh sb="0" eb="2">
      <t>ソウコウ</t>
    </rPh>
    <phoneticPr fontId="137"/>
  </si>
  <si>
    <r>
      <t>走行あり</t>
    </r>
    <r>
      <rPr>
        <sz val="9"/>
        <color theme="1"/>
        <rFont val="ＭＳ Ｐゴシック"/>
        <family val="3"/>
        <charset val="128"/>
        <scheme val="minor"/>
      </rPr>
      <t>④</t>
    </r>
    <rPh sb="0" eb="2">
      <t>ソウコウ</t>
    </rPh>
    <phoneticPr fontId="137"/>
  </si>
  <si>
    <t>二酸化炭素排出量算定表（３号用）車両台数及びエネルギー使用量入力表</t>
    <rPh sb="0" eb="3">
      <t>ニサンカ</t>
    </rPh>
    <rPh sb="3" eb="5">
      <t>タンソ</t>
    </rPh>
    <rPh sb="5" eb="7">
      <t>ハイシュツ</t>
    </rPh>
    <rPh sb="7" eb="8">
      <t>リョウ</t>
    </rPh>
    <rPh sb="8" eb="10">
      <t>サンテイ</t>
    </rPh>
    <rPh sb="10" eb="11">
      <t>ヒョウ</t>
    </rPh>
    <rPh sb="13" eb="14">
      <t>ゴウ</t>
    </rPh>
    <rPh sb="14" eb="15">
      <t>ヨウ</t>
    </rPh>
    <rPh sb="16" eb="18">
      <t>シャリョウ</t>
    </rPh>
    <rPh sb="18" eb="20">
      <t>ダイスウ</t>
    </rPh>
    <rPh sb="20" eb="21">
      <t>オヨ</t>
    </rPh>
    <rPh sb="27" eb="30">
      <t>シヨウリョウ</t>
    </rPh>
    <rPh sb="30" eb="32">
      <t>ニュウリョク</t>
    </rPh>
    <rPh sb="32" eb="33">
      <t>ヒョウ</t>
    </rPh>
    <phoneticPr fontId="137"/>
  </si>
  <si>
    <r>
      <t>二酸化炭素排出量算定表（１号、２号用）エネルギー外部供給</t>
    </r>
    <r>
      <rPr>
        <sz val="16"/>
        <color theme="1"/>
        <rFont val="ＭＳ Ｐゴシック"/>
        <family val="3"/>
        <charset val="128"/>
        <scheme val="minor"/>
      </rPr>
      <t>量入力表</t>
    </r>
    <rPh sb="24" eb="26">
      <t>ガイブ</t>
    </rPh>
    <rPh sb="26" eb="28">
      <t>キョウキュウ</t>
    </rPh>
    <rPh sb="28" eb="29">
      <t>リョウ</t>
    </rPh>
    <rPh sb="29" eb="32">
      <t>ニュウリョクヒョウ</t>
    </rPh>
    <phoneticPr fontId="89"/>
  </si>
  <si>
    <t>横浜市内合計</t>
    <phoneticPr fontId="15"/>
  </si>
  <si>
    <t>　　　　『登録番号＋メニュー』が「A0269_メニューJ（残差）」のセルをコピーする。</t>
    <rPh sb="5" eb="9">
      <t>トウロクバンゴウ</t>
    </rPh>
    <phoneticPr fontId="15"/>
  </si>
  <si>
    <t>登録番号+メニュー</t>
  </si>
  <si>
    <t>↑原単位は目標設定がある場合のみ</t>
  </si>
  <si>
    <t>前年度自動車台数</t>
    <rPh sb="0" eb="3">
      <t>ゼンネンド</t>
    </rPh>
    <rPh sb="3" eb="6">
      <t>ジドウシャ</t>
    </rPh>
    <rPh sb="6" eb="8">
      <t>ダイスウ</t>
    </rPh>
    <phoneticPr fontId="87"/>
  </si>
  <si>
    <t>2023年度提出用（2022年度実績値）ver.1</t>
    <phoneticPr fontId="137"/>
  </si>
  <si>
    <t>基礎(tCO2)</t>
    <rPh sb="0" eb="2">
      <t>キソ</t>
    </rPh>
    <phoneticPr fontId="15"/>
  </si>
  <si>
    <t>基礎原単位</t>
    <rPh sb="0" eb="2">
      <t>キソ</t>
    </rPh>
    <rPh sb="2" eb="5">
      <t>ゲンタンイ</t>
    </rPh>
    <phoneticPr fontId="15"/>
  </si>
  <si>
    <t>原単位分母</t>
    <rPh sb="0" eb="3">
      <t>ゲンタンイ</t>
    </rPh>
    <rPh sb="3" eb="5">
      <t>ブンボ</t>
    </rPh>
    <phoneticPr fontId="15"/>
  </si>
  <si>
    <t>t-CO2/</t>
  </si>
  <si>
    <t>使用量シート用</t>
    <rPh sb="6" eb="7">
      <t>ヨウ</t>
    </rPh>
    <phoneticPr fontId="15"/>
  </si>
  <si>
    <t>報告書用</t>
    <rPh sb="0" eb="3">
      <t>ホウコクショ</t>
    </rPh>
    <rPh sb="3" eb="4">
      <t>ヨウ</t>
    </rPh>
    <phoneticPr fontId="15"/>
  </si>
  <si>
    <t>原油換算500ｋl 以上の事業所のエネルギー使用量</t>
    <rPh sb="0" eb="2">
      <t>ゲンユ</t>
    </rPh>
    <rPh sb="2" eb="4">
      <t>カンサン</t>
    </rPh>
    <rPh sb="10" eb="12">
      <t>イジョウ</t>
    </rPh>
    <rPh sb="13" eb="16">
      <t>ジギョウショ</t>
    </rPh>
    <rPh sb="22" eb="25">
      <t>シヨウリョウ</t>
    </rPh>
    <phoneticPr fontId="89"/>
  </si>
  <si>
    <t>複数の原単位を使用して報告書を作成する場合</t>
  </si>
  <si>
    <t>複数の原単位を使用して計画書を作成する場合</t>
  </si>
  <si>
    <t>基礎(A)</t>
    <rPh sb="0" eb="1">
      <t>モト</t>
    </rPh>
    <rPh sb="1" eb="2">
      <t>イシズエ</t>
    </rPh>
    <phoneticPr fontId="15"/>
  </si>
  <si>
    <t>基礎(B)</t>
    <rPh sb="0" eb="1">
      <t>モト</t>
    </rPh>
    <rPh sb="1" eb="2">
      <t>イシズエ</t>
    </rPh>
    <phoneticPr fontId="15"/>
  </si>
  <si>
    <t>基礎(D)</t>
    <rPh sb="0" eb="1">
      <t>モト</t>
    </rPh>
    <rPh sb="1" eb="2">
      <t>イシズエ</t>
    </rPh>
    <phoneticPr fontId="15"/>
  </si>
  <si>
    <t>基礎排出量構成比</t>
    <phoneticPr fontId="15"/>
  </si>
  <si>
    <t>（R）</t>
    <phoneticPr fontId="15"/>
  </si>
  <si>
    <t>（E）</t>
    <phoneticPr fontId="15"/>
  </si>
  <si>
    <t>（C）</t>
    <phoneticPr fontId="15"/>
  </si>
  <si>
    <t>目標原単位削減率
複数原単位の場合</t>
    <rPh sb="0" eb="2">
      <t>モクヒョウ</t>
    </rPh>
    <rPh sb="2" eb="5">
      <t>ゲンタンイ</t>
    </rPh>
    <rPh sb="5" eb="7">
      <t>サクゲン</t>
    </rPh>
    <rPh sb="7" eb="8">
      <t>リツ</t>
    </rPh>
    <phoneticPr fontId="88"/>
  </si>
  <si>
    <t>排出量原単位（tCO2/★）</t>
    <phoneticPr fontId="15"/>
  </si>
  <si>
    <t>原単位分母の量</t>
    <rPh sb="0" eb="3">
      <t>ゲンタンイ</t>
    </rPh>
    <rPh sb="3" eb="5">
      <t>ブンボ</t>
    </rPh>
    <rPh sb="6" eb="7">
      <t>リョウ</t>
    </rPh>
    <phoneticPr fontId="137"/>
  </si>
  <si>
    <t>二酸化炭素基礎排出量（tCO2）</t>
    <phoneticPr fontId="137"/>
  </si>
  <si>
    <t>合計</t>
    <rPh sb="0" eb="2">
      <t>ゴウケイ</t>
    </rPh>
    <phoneticPr fontId="15"/>
  </si>
  <si>
    <t>基礎排出量構成比</t>
    <rPh sb="0" eb="5">
      <t>キソハイシュツリョウ</t>
    </rPh>
    <rPh sb="5" eb="8">
      <t>コウセイヒ</t>
    </rPh>
    <phoneticPr fontId="15"/>
  </si>
  <si>
    <t>（R）</t>
    <phoneticPr fontId="15"/>
  </si>
  <si>
    <t>実施年度削減率（構成比重みづけ）
(Σ(R×C)×100)[%]</t>
    <rPh sb="4" eb="6">
      <t>サクゲン</t>
    </rPh>
    <rPh sb="8" eb="11">
      <t>コウセイヒ</t>
    </rPh>
    <rPh sb="11" eb="12">
      <t>オモ</t>
    </rPh>
    <phoneticPr fontId="15"/>
  </si>
  <si>
    <t>目標年度削減率（構成比重みづけ）
(Σ(R×E)×100)[%]</t>
    <rPh sb="4" eb="6">
      <t>サクゲン</t>
    </rPh>
    <phoneticPr fontId="15"/>
  </si>
  <si>
    <t>(A)</t>
    <phoneticPr fontId="15"/>
  </si>
  <si>
    <t>(B)</t>
    <phoneticPr fontId="15"/>
  </si>
  <si>
    <t>実施年度削減率</t>
  </si>
  <si>
    <t>実施年度削減率
(C＝(１-A/B)×100)[%]</t>
    <rPh sb="4" eb="7">
      <t>サクゲンリツ</t>
    </rPh>
    <phoneticPr fontId="15"/>
  </si>
  <si>
    <t>目標年度削減率
(E＝(１-D/A)×100)[%]</t>
    <rPh sb="4" eb="7">
      <t>サクゲンリツ</t>
    </rPh>
    <phoneticPr fontId="15"/>
  </si>
  <si>
    <t>種類</t>
    <rPh sb="0" eb="2">
      <t>シュルイ</t>
    </rPh>
    <phoneticPr fontId="15"/>
  </si>
  <si>
    <t>実施年度削減率（構成比重みづけ）</t>
  </si>
  <si>
    <t>(Σ(R×C)×100)[%]</t>
  </si>
  <si>
    <t>(C＝(１-A/B)×100)[%]</t>
    <phoneticPr fontId="15"/>
  </si>
  <si>
    <t>目標年度削減率</t>
    <phoneticPr fontId="15"/>
  </si>
  <si>
    <t>(E＝(１-D/A)×100)[%]</t>
    <phoneticPr fontId="15"/>
  </si>
  <si>
    <t>(D)</t>
    <phoneticPr fontId="15"/>
  </si>
  <si>
    <t>(Σ(R×E)×100)[%]</t>
    <phoneticPr fontId="15"/>
  </si>
  <si>
    <t>目標年度削減率（構成比重みづけ）</t>
    <phoneticPr fontId="15"/>
  </si>
  <si>
    <t>L19セル:Lで入力したものに0.56 kg/Lを掛ける</t>
    <rPh sb="8" eb="10">
      <t>ニュウリョク</t>
    </rPh>
    <phoneticPr fontId="15"/>
  </si>
  <si>
    <r>
      <t>↑今年度提出する計画書等の第１面に表示される台数</t>
    </r>
    <r>
      <rPr>
        <sz val="9"/>
        <color theme="1"/>
        <rFont val="ＭＳ Ｐゴシック"/>
        <family val="3"/>
        <charset val="128"/>
        <scheme val="minor"/>
      </rPr>
      <t>　(a+c)</t>
    </r>
    <rPh sb="17" eb="19">
      <t>ヒョウジ</t>
    </rPh>
    <phoneticPr fontId="137"/>
  </si>
  <si>
    <t>「使用量_1,2」シートで入力したエネルギー使用量からCO2を計算する</t>
    <rPh sb="13" eb="15">
      <t>ニュウリョク</t>
    </rPh>
    <rPh sb="22" eb="25">
      <t>シヨウリョウ</t>
    </rPh>
    <rPh sb="31" eb="33">
      <t>ケイサン</t>
    </rPh>
    <phoneticPr fontId="15"/>
  </si>
  <si>
    <t>「使用量_1,2」シートから、事業所名を取り出したシート（個別票から参照）</t>
    <rPh sb="1" eb="4">
      <t>シヨウリョウ</t>
    </rPh>
    <rPh sb="15" eb="18">
      <t>ジギョウショ</t>
    </rPh>
    <rPh sb="18" eb="19">
      <t>メイ</t>
    </rPh>
    <rPh sb="20" eb="21">
      <t>ト</t>
    </rPh>
    <rPh sb="22" eb="23">
      <t>ダ</t>
    </rPh>
    <rPh sb="29" eb="32">
      <t>コベツヒョウ</t>
    </rPh>
    <rPh sb="34" eb="36">
      <t>サンショウ</t>
    </rPh>
    <phoneticPr fontId="15"/>
  </si>
  <si>
    <t>使用量_1,2</t>
    <rPh sb="0" eb="3">
      <t>シヨウリョウ</t>
    </rPh>
    <phoneticPr fontId="15"/>
  </si>
  <si>
    <t>非表示列</t>
    <rPh sb="0" eb="3">
      <t>ヒヒョウジ</t>
    </rPh>
    <rPh sb="3" eb="4">
      <t>レツ</t>
    </rPh>
    <phoneticPr fontId="15"/>
  </si>
  <si>
    <t>非表示列</t>
    <rPh sb="0" eb="4">
      <t>ヒヒョウジレツ</t>
    </rPh>
    <phoneticPr fontId="15"/>
  </si>
  <si>
    <t>非表示列</t>
    <rPh sb="0" eb="4">
      <t>ヒヒョウジレツ</t>
    </rPh>
    <phoneticPr fontId="15"/>
  </si>
  <si>
    <t>事業所名を入力3</t>
    <rPh sb="0" eb="4">
      <t>ジギョウショメイ</t>
    </rPh>
    <rPh sb="5" eb="7">
      <t>ニュウリョク</t>
    </rPh>
    <phoneticPr fontId="15"/>
  </si>
  <si>
    <t>事業所名を入力4</t>
    <rPh sb="0" eb="4">
      <t>ジギョウショメイ</t>
    </rPh>
    <rPh sb="5" eb="7">
      <t>ニュウリョク</t>
    </rPh>
    <phoneticPr fontId="15"/>
  </si>
  <si>
    <t>事業所名を入力5</t>
    <rPh sb="0" eb="4">
      <t>ジギョウショメイ</t>
    </rPh>
    <rPh sb="5" eb="7">
      <t>ニュウリョク</t>
    </rPh>
    <phoneticPr fontId="15"/>
  </si>
  <si>
    <t>事業所名を入力6</t>
    <rPh sb="0" eb="4">
      <t>ジギョウショメイ</t>
    </rPh>
    <rPh sb="5" eb="7">
      <t>ニュウリョク</t>
    </rPh>
    <phoneticPr fontId="15"/>
  </si>
  <si>
    <t>事業所名を入力7</t>
    <rPh sb="0" eb="4">
      <t>ジギョウショメイ</t>
    </rPh>
    <rPh sb="5" eb="7">
      <t>ニュウリョク</t>
    </rPh>
    <phoneticPr fontId="15"/>
  </si>
  <si>
    <t>事業所名を入力8</t>
    <rPh sb="0" eb="4">
      <t>ジギョウショメイ</t>
    </rPh>
    <rPh sb="5" eb="7">
      <t>ニュウリョク</t>
    </rPh>
    <phoneticPr fontId="15"/>
  </si>
  <si>
    <t>事業所名を入力9</t>
    <rPh sb="0" eb="4">
      <t>ジギョウショメイ</t>
    </rPh>
    <rPh sb="5" eb="7">
      <t>ニュウリョク</t>
    </rPh>
    <phoneticPr fontId="15"/>
  </si>
  <si>
    <t>事業所名を入力10</t>
    <rPh sb="0" eb="4">
      <t>ジギョウショメイ</t>
    </rPh>
    <rPh sb="5" eb="7">
      <t>ニュウリョク</t>
    </rPh>
    <phoneticPr fontId="15"/>
  </si>
  <si>
    <t>事業所名を入力11</t>
    <rPh sb="0" eb="4">
      <t>ジギョウショメイ</t>
    </rPh>
    <rPh sb="5" eb="7">
      <t>ニュウリョク</t>
    </rPh>
    <phoneticPr fontId="15"/>
  </si>
  <si>
    <t>事業所名を入力12</t>
    <rPh sb="0" eb="4">
      <t>ジギョウショメイ</t>
    </rPh>
    <rPh sb="5" eb="7">
      <t>ニュウリョク</t>
    </rPh>
    <phoneticPr fontId="15"/>
  </si>
  <si>
    <t>事業所名を入力13</t>
    <rPh sb="0" eb="4">
      <t>ジギョウショメイ</t>
    </rPh>
    <rPh sb="5" eb="7">
      <t>ニュウリョク</t>
    </rPh>
    <phoneticPr fontId="15"/>
  </si>
  <si>
    <t>事業所名を入力14</t>
    <rPh sb="0" eb="4">
      <t>ジギョウショメイ</t>
    </rPh>
    <rPh sb="5" eb="7">
      <t>ニュウリョク</t>
    </rPh>
    <phoneticPr fontId="15"/>
  </si>
  <si>
    <t>事業所名を入力15</t>
    <rPh sb="0" eb="4">
      <t>ジギョウショメイ</t>
    </rPh>
    <rPh sb="5" eb="7">
      <t>ニュウリョク</t>
    </rPh>
    <phoneticPr fontId="15"/>
  </si>
  <si>
    <t>事業所名を入力16</t>
    <rPh sb="0" eb="4">
      <t>ジギョウショメイ</t>
    </rPh>
    <rPh sb="5" eb="7">
      <t>ニュウリョク</t>
    </rPh>
    <phoneticPr fontId="15"/>
  </si>
  <si>
    <t>事業所名を入力17</t>
    <rPh sb="0" eb="4">
      <t>ジギョウショメイ</t>
    </rPh>
    <rPh sb="5" eb="7">
      <t>ニュウリョク</t>
    </rPh>
    <phoneticPr fontId="15"/>
  </si>
  <si>
    <t>事業所名を入力18</t>
    <rPh sb="0" eb="4">
      <t>ジギョウショメイ</t>
    </rPh>
    <rPh sb="5" eb="7">
      <t>ニュウリョク</t>
    </rPh>
    <phoneticPr fontId="15"/>
  </si>
  <si>
    <t>事業所名を入力19</t>
    <rPh sb="0" eb="4">
      <t>ジギョウショメイ</t>
    </rPh>
    <rPh sb="5" eb="7">
      <t>ニュウリョク</t>
    </rPh>
    <phoneticPr fontId="15"/>
  </si>
  <si>
    <t>事業所名を入力20</t>
    <rPh sb="0" eb="4">
      <t>ジギョウショメイ</t>
    </rPh>
    <rPh sb="5" eb="7">
      <t>ニュウリョク</t>
    </rPh>
    <phoneticPr fontId="15"/>
  </si>
  <si>
    <t>事業所名を入力21</t>
    <rPh sb="0" eb="4">
      <t>ジギョウショメイ</t>
    </rPh>
    <rPh sb="5" eb="7">
      <t>ニュウリョク</t>
    </rPh>
    <phoneticPr fontId="15"/>
  </si>
  <si>
    <t>事業所名を入力22</t>
    <rPh sb="0" eb="4">
      <t>ジギョウショメイ</t>
    </rPh>
    <rPh sb="5" eb="7">
      <t>ニュウリョク</t>
    </rPh>
    <phoneticPr fontId="15"/>
  </si>
  <si>
    <t>事業所名を入力23</t>
    <rPh sb="0" eb="4">
      <t>ジギョウショメイ</t>
    </rPh>
    <rPh sb="5" eb="7">
      <t>ニュウリョク</t>
    </rPh>
    <phoneticPr fontId="15"/>
  </si>
  <si>
    <t>事業所名を入力24</t>
    <rPh sb="0" eb="4">
      <t>ジギョウショメイ</t>
    </rPh>
    <rPh sb="5" eb="7">
      <t>ニュウリョク</t>
    </rPh>
    <phoneticPr fontId="15"/>
  </si>
  <si>
    <t>事業所名を入力25</t>
    <rPh sb="0" eb="4">
      <t>ジギョウショメイ</t>
    </rPh>
    <rPh sb="5" eb="7">
      <t>ニュウリョク</t>
    </rPh>
    <phoneticPr fontId="15"/>
  </si>
  <si>
    <t>事業所名を入力26</t>
    <rPh sb="0" eb="4">
      <t>ジギョウショメイ</t>
    </rPh>
    <rPh sb="5" eb="7">
      <t>ニュウリョク</t>
    </rPh>
    <phoneticPr fontId="15"/>
  </si>
  <si>
    <t>事業所名を入力27</t>
    <rPh sb="0" eb="4">
      <t>ジギョウショメイ</t>
    </rPh>
    <rPh sb="5" eb="7">
      <t>ニュウリョク</t>
    </rPh>
    <phoneticPr fontId="15"/>
  </si>
  <si>
    <t>事業所名を入力28</t>
    <rPh sb="0" eb="4">
      <t>ジギョウショメイ</t>
    </rPh>
    <rPh sb="5" eb="7">
      <t>ニュウリョク</t>
    </rPh>
    <phoneticPr fontId="15"/>
  </si>
  <si>
    <t>事業所名を入力29</t>
    <rPh sb="0" eb="4">
      <t>ジギョウショメイ</t>
    </rPh>
    <rPh sb="5" eb="7">
      <t>ニュウリョク</t>
    </rPh>
    <phoneticPr fontId="15"/>
  </si>
  <si>
    <t>事業所名を入力30</t>
    <rPh sb="0" eb="4">
      <t>ジギョウショメイ</t>
    </rPh>
    <rPh sb="5" eb="7">
      <t>ニュウリョク</t>
    </rPh>
    <phoneticPr fontId="15"/>
  </si>
  <si>
    <t>事業所名を入力31</t>
    <rPh sb="0" eb="4">
      <t>ジギョウショメイ</t>
    </rPh>
    <rPh sb="5" eb="7">
      <t>ニュウリョク</t>
    </rPh>
    <phoneticPr fontId="15"/>
  </si>
  <si>
    <t>事業所名を入力32</t>
    <rPh sb="0" eb="4">
      <t>ジギョウショメイ</t>
    </rPh>
    <rPh sb="5" eb="7">
      <t>ニュウリョク</t>
    </rPh>
    <phoneticPr fontId="15"/>
  </si>
  <si>
    <t>事業所名を入力33</t>
    <rPh sb="0" eb="4">
      <t>ジギョウショメイ</t>
    </rPh>
    <rPh sb="5" eb="7">
      <t>ニュウリョク</t>
    </rPh>
    <phoneticPr fontId="15"/>
  </si>
  <si>
    <t>事業所名を入力34</t>
    <rPh sb="0" eb="4">
      <t>ジギョウショメイ</t>
    </rPh>
    <rPh sb="5" eb="7">
      <t>ニュウリョク</t>
    </rPh>
    <phoneticPr fontId="15"/>
  </si>
  <si>
    <t>事業所名を入力35</t>
    <rPh sb="0" eb="4">
      <t>ジギョウショメイ</t>
    </rPh>
    <rPh sb="5" eb="7">
      <t>ニュウリョク</t>
    </rPh>
    <phoneticPr fontId="15"/>
  </si>
  <si>
    <t>事業所名を入力36</t>
    <rPh sb="0" eb="4">
      <t>ジギョウショメイ</t>
    </rPh>
    <rPh sb="5" eb="7">
      <t>ニュウリョク</t>
    </rPh>
    <phoneticPr fontId="15"/>
  </si>
  <si>
    <t>事業所名を入力37</t>
    <rPh sb="0" eb="4">
      <t>ジギョウショメイ</t>
    </rPh>
    <rPh sb="5" eb="7">
      <t>ニュウリョク</t>
    </rPh>
    <phoneticPr fontId="15"/>
  </si>
  <si>
    <t>事業所名を入力38</t>
    <rPh sb="0" eb="4">
      <t>ジギョウショメイ</t>
    </rPh>
    <rPh sb="5" eb="7">
      <t>ニュウリョク</t>
    </rPh>
    <phoneticPr fontId="15"/>
  </si>
  <si>
    <t>事業所名を入力39</t>
    <rPh sb="0" eb="4">
      <t>ジギョウショメイ</t>
    </rPh>
    <rPh sb="5" eb="7">
      <t>ニュウリョク</t>
    </rPh>
    <phoneticPr fontId="15"/>
  </si>
  <si>
    <t>事業所名を入力40</t>
    <rPh sb="0" eb="4">
      <t>ジギョウショメイ</t>
    </rPh>
    <rPh sb="5" eb="7">
      <t>ニュウリョク</t>
    </rPh>
    <phoneticPr fontId="15"/>
  </si>
  <si>
    <t>非表示列</t>
    <rPh sb="0" eb="4">
      <t>ヒヒョウジレツ</t>
    </rPh>
    <phoneticPr fontId="15"/>
  </si>
  <si>
    <t>非表示行</t>
    <rPh sb="0" eb="4">
      <t>ヒヒョウジギョウ</t>
    </rPh>
    <phoneticPr fontId="15"/>
  </si>
  <si>
    <t>分母単位</t>
    <rPh sb="0" eb="2">
      <t>ブンボ</t>
    </rPh>
    <rPh sb="2" eb="4">
      <t>タンイ</t>
    </rPh>
    <phoneticPr fontId="15"/>
  </si>
  <si>
    <t>（グレー）</t>
    <phoneticPr fontId="15"/>
  </si>
  <si>
    <t>記入対象外</t>
    <rPh sb="0" eb="5">
      <t>キニュウタイショウガイ</t>
    </rPh>
    <phoneticPr fontId="15"/>
  </si>
  <si>
    <t>　設定無し</t>
    <rPh sb="1" eb="3">
      <t>セッテイ</t>
    </rPh>
    <rPh sb="3" eb="4">
      <t>ナ</t>
    </rPh>
    <phoneticPr fontId="15"/>
  </si>
  <si>
    <t>　設定あり（事業者全体で統一の原単位を使用する）</t>
    <rPh sb="1" eb="3">
      <t>セッテイ</t>
    </rPh>
    <rPh sb="6" eb="9">
      <t>ジギョウシャ</t>
    </rPh>
    <rPh sb="9" eb="11">
      <t>ゼンタイ</t>
    </rPh>
    <rPh sb="12" eb="14">
      <t>トウイツ</t>
    </rPh>
    <rPh sb="15" eb="18">
      <t>ゲンタンイ</t>
    </rPh>
    <rPh sb="19" eb="21">
      <t>シヨウ</t>
    </rPh>
    <phoneticPr fontId="15"/>
  </si>
  <si>
    <t>　設定あり（原単位の寄与度の合計から求める）</t>
    <rPh sb="1" eb="3">
      <t>セッテイ</t>
    </rPh>
    <rPh sb="6" eb="9">
      <t>ゲンタンイ</t>
    </rPh>
    <rPh sb="10" eb="13">
      <t>キヨド</t>
    </rPh>
    <rPh sb="14" eb="16">
      <t>ゴウケイ</t>
    </rPh>
    <rPh sb="18" eb="19">
      <t>モト</t>
    </rPh>
    <phoneticPr fontId="15"/>
  </si>
  <si>
    <t>総括票での原単位設定</t>
    <rPh sb="0" eb="3">
      <t>ソウカツヒョウ</t>
    </rPh>
    <rPh sb="5" eb="8">
      <t>ゲンタンイ</t>
    </rPh>
    <rPh sb="8" eb="10">
      <t>セッテイ</t>
    </rPh>
    <phoneticPr fontId="15"/>
  </si>
  <si>
    <t>　設定あり</t>
    <rPh sb="1" eb="3">
      <t>セッテイ</t>
    </rPh>
    <phoneticPr fontId="15"/>
  </si>
  <si>
    <t>　設定無し</t>
    <phoneticPr fontId="15"/>
  </si>
  <si>
    <t>事業者ID（３桁）を入れ、過年度提出データ（一部）を様式に表示させます。</t>
    <rPh sb="0" eb="3">
      <t>ジギョウシャ</t>
    </rPh>
    <rPh sb="7" eb="8">
      <t>ケタ</t>
    </rPh>
    <rPh sb="10" eb="11">
      <t>イ</t>
    </rPh>
    <rPh sb="13" eb="16">
      <t>カネンド</t>
    </rPh>
    <rPh sb="16" eb="18">
      <t>テイシュツ</t>
    </rPh>
    <rPh sb="22" eb="24">
      <t>イチブ</t>
    </rPh>
    <rPh sb="26" eb="28">
      <t>ヨウシキ</t>
    </rPh>
    <rPh sb="29" eb="31">
      <t>ヒョウジ</t>
    </rPh>
    <phoneticPr fontId="15"/>
  </si>
  <si>
    <t>【１号２号事業者用】エネルギー使用量を入力して、CO2排出量を算定します</t>
    <rPh sb="2" eb="3">
      <t>ゴウ</t>
    </rPh>
    <rPh sb="4" eb="5">
      <t>ゴウ</t>
    </rPh>
    <rPh sb="5" eb="8">
      <t>ジギョウシャ</t>
    </rPh>
    <rPh sb="8" eb="9">
      <t>ヨウ</t>
    </rPh>
    <rPh sb="15" eb="18">
      <t>シヨウリョウ</t>
    </rPh>
    <rPh sb="19" eb="21">
      <t>ニュウリョク</t>
    </rPh>
    <rPh sb="27" eb="30">
      <t>ハイシュツリョウ</t>
    </rPh>
    <rPh sb="31" eb="33">
      <t>サンテイ</t>
    </rPh>
    <phoneticPr fontId="15"/>
  </si>
  <si>
    <t>【３号事業者用】車両台数の燃料使用量を入力して、CO2排出量を算定します。</t>
    <rPh sb="2" eb="3">
      <t>ゴウ</t>
    </rPh>
    <rPh sb="3" eb="7">
      <t>ジギョウシャヨウ</t>
    </rPh>
    <rPh sb="8" eb="12">
      <t>シャリョウダイスウ</t>
    </rPh>
    <rPh sb="13" eb="15">
      <t>ネンリョウ</t>
    </rPh>
    <rPh sb="15" eb="18">
      <t>シヨウリョウ</t>
    </rPh>
    <rPh sb="19" eb="21">
      <t>ニュウリョク</t>
    </rPh>
    <rPh sb="27" eb="30">
      <t>ハイシュツリョウ</t>
    </rPh>
    <rPh sb="31" eb="33">
      <t>サンテイ</t>
    </rPh>
    <phoneticPr fontId="15"/>
  </si>
  <si>
    <t>【１号２号事業者用】横浜市内における他者へのエネルギー供給が有る場合</t>
    <phoneticPr fontId="15"/>
  </si>
  <si>
    <t>報告書様式（新規事業者以外が作成します）</t>
    <rPh sb="0" eb="3">
      <t>ホウコクショ</t>
    </rPh>
    <rPh sb="3" eb="5">
      <t>ヨウシキ</t>
    </rPh>
    <rPh sb="6" eb="8">
      <t>シンキ</t>
    </rPh>
    <rPh sb="8" eb="13">
      <t>ジギョウシャイガイ</t>
    </rPh>
    <rPh sb="14" eb="16">
      <t>サクセイ</t>
    </rPh>
    <phoneticPr fontId="15"/>
  </si>
  <si>
    <t>提</t>
    <rPh sb="0" eb="1">
      <t>テイ</t>
    </rPh>
    <phoneticPr fontId="15"/>
  </si>
  <si>
    <t>自動作成されます。記入は不要です。</t>
    <phoneticPr fontId="15"/>
  </si>
  <si>
    <t>１　基礎情報</t>
    <rPh sb="2" eb="4">
      <t>キソ</t>
    </rPh>
    <rPh sb="4" eb="6">
      <t>ジョウホウ</t>
    </rPh>
    <phoneticPr fontId="15"/>
  </si>
  <si>
    <r>
      <rPr>
        <b/>
        <sz val="14"/>
        <color theme="0"/>
        <rFont val="ＭＳ Ｐゴシック"/>
        <family val="3"/>
        <charset val="128"/>
      </rPr>
      <t>２　エネルギー使用量</t>
    </r>
    <r>
      <rPr>
        <b/>
        <sz val="12"/>
        <color theme="0"/>
        <rFont val="ＭＳ Ｐゴシック"/>
        <family val="3"/>
        <charset val="128"/>
      </rPr>
      <t xml:space="preserve"> </t>
    </r>
    <rPh sb="7" eb="10">
      <t>シヨウリョウ</t>
    </rPh>
    <phoneticPr fontId="15"/>
  </si>
  <si>
    <t>総括票の原単位設定</t>
    <rPh sb="0" eb="3">
      <t>ソウカツヒョウ</t>
    </rPh>
    <rPh sb="4" eb="7">
      <t>ゲンタンイ</t>
    </rPh>
    <rPh sb="7" eb="9">
      <t>セッテイ</t>
    </rPh>
    <phoneticPr fontId="15"/>
  </si>
  <si>
    <r>
      <rPr>
        <b/>
        <sz val="12"/>
        <rFont val="ＭＳ Ｐゴシック"/>
        <family val="3"/>
        <charset val="128"/>
      </rPr>
      <t>二酸化炭素排出量</t>
    </r>
    <r>
      <rPr>
        <b/>
        <sz val="9"/>
        <rFont val="ＭＳ Ｐゴシック"/>
        <family val="3"/>
        <charset val="128"/>
      </rPr>
      <t>(tCO2)</t>
    </r>
    <rPh sb="0" eb="3">
      <t>ニサンカ</t>
    </rPh>
    <rPh sb="3" eb="5">
      <t>タンソ</t>
    </rPh>
    <rPh sb="5" eb="7">
      <t>ハイシュツ</t>
    </rPh>
    <rPh sb="7" eb="8">
      <t>リョウ</t>
    </rPh>
    <phoneticPr fontId="15"/>
  </si>
  <si>
    <t>二酸化炭素排出の
合計量（tCO2）</t>
    <rPh sb="0" eb="3">
      <t>ニサンカ</t>
    </rPh>
    <rPh sb="3" eb="5">
      <t>タンソ</t>
    </rPh>
    <rPh sb="5" eb="7">
      <t>ハイシュツ</t>
    </rPh>
    <rPh sb="9" eb="11">
      <t>ゴウケイ</t>
    </rPh>
    <rPh sb="11" eb="12">
      <t>リョウ</t>
    </rPh>
    <phoneticPr fontId="137"/>
  </si>
  <si>
    <t>排出量原単位
（tCO2／★）</t>
    <rPh sb="0" eb="2">
      <t>ハイシュツ</t>
    </rPh>
    <rPh sb="2" eb="3">
      <t>リョウ</t>
    </rPh>
    <rPh sb="3" eb="6">
      <t>ゲンタンイ</t>
    </rPh>
    <phoneticPr fontId="137"/>
  </si>
  <si>
    <t>登録番号+メニュー</t>
    <phoneticPr fontId="15"/>
  </si>
  <si>
    <r>
      <rPr>
        <b/>
        <sz val="14"/>
        <color theme="0"/>
        <rFont val="ＭＳ Ｐゴシック"/>
        <family val="3"/>
        <charset val="128"/>
      </rPr>
      <t>１　エネルギー外部供給量</t>
    </r>
    <r>
      <rPr>
        <b/>
        <sz val="12"/>
        <color theme="0"/>
        <rFont val="ＭＳ Ｐゴシック"/>
        <family val="3"/>
        <charset val="128"/>
      </rPr>
      <t xml:space="preserve"> </t>
    </r>
    <rPh sb="7" eb="9">
      <t>ガイブ</t>
    </rPh>
    <rPh sb="9" eb="11">
      <t>キョウキュウ</t>
    </rPh>
    <rPh sb="11" eb="12">
      <t>リョウ</t>
    </rPh>
    <phoneticPr fontId="15"/>
  </si>
  <si>
    <t>使用量_３</t>
    <phoneticPr fontId="15"/>
  </si>
  <si>
    <t>「使用量_３」シートで入力したエネルギー使用量からCO2を計算する</t>
    <phoneticPr fontId="15"/>
  </si>
  <si>
    <t>Ver_No.</t>
    <phoneticPr fontId="15"/>
  </si>
  <si>
    <t>細則第37号様式の２（第２条第48号の２）</t>
    <rPh sb="0" eb="2">
      <t>サイソク</t>
    </rPh>
    <rPh sb="2" eb="3">
      <t>ダイ</t>
    </rPh>
    <rPh sb="5" eb="6">
      <t>ゴウ</t>
    </rPh>
    <rPh sb="6" eb="8">
      <t>ヨウシキ</t>
    </rPh>
    <rPh sb="11" eb="12">
      <t>ダイ</t>
    </rPh>
    <rPh sb="13" eb="14">
      <t>ジョウ</t>
    </rPh>
    <rPh sb="14" eb="15">
      <t>ダイ</t>
    </rPh>
    <rPh sb="17" eb="18">
      <t>ゴウ</t>
    </rPh>
    <phoneticPr fontId="15"/>
  </si>
  <si>
    <t>地球温暖化対策実施状況報告書提出書</t>
    <phoneticPr fontId="15"/>
  </si>
  <si>
    <t>発生日</t>
    <rPh sb="0" eb="3">
      <t>ハッセイビ</t>
    </rPh>
    <phoneticPr fontId="15"/>
  </si>
  <si>
    <t>変更者</t>
    <rPh sb="0" eb="3">
      <t>ヘンコウシャ</t>
    </rPh>
    <phoneticPr fontId="15"/>
  </si>
  <si>
    <t>変更内容</t>
    <rPh sb="0" eb="2">
      <t>ヘンコウ</t>
    </rPh>
    <rPh sb="2" eb="4">
      <t>ナイヨウ</t>
    </rPh>
    <phoneticPr fontId="15"/>
  </si>
  <si>
    <t>NS環境</t>
    <rPh sb="2" eb="4">
      <t>カンキョウ</t>
    </rPh>
    <phoneticPr fontId="15"/>
  </si>
  <si>
    <t>野呂</t>
    <rPh sb="0" eb="2">
      <t>ノロ</t>
    </rPh>
    <phoneticPr fontId="15"/>
  </si>
  <si>
    <t>納入品。　しかし、3/10の指摘事項への対応が未完</t>
    <rPh sb="0" eb="2">
      <t>ノウニュウ</t>
    </rPh>
    <rPh sb="2" eb="3">
      <t>ヒン</t>
    </rPh>
    <rPh sb="14" eb="16">
      <t>シテキ</t>
    </rPh>
    <rPh sb="16" eb="18">
      <t>ジコウ</t>
    </rPh>
    <rPh sb="20" eb="22">
      <t>タイオウ</t>
    </rPh>
    <rPh sb="23" eb="25">
      <t>ミカン</t>
    </rPh>
    <phoneticPr fontId="15"/>
  </si>
  <si>
    <t>3/20の工藤係長指摘と合わせて、修正作業実施</t>
    <rPh sb="5" eb="9">
      <t>クドウカカリチョウ</t>
    </rPh>
    <rPh sb="9" eb="11">
      <t>シテキ</t>
    </rPh>
    <rPh sb="12" eb="13">
      <t>ア</t>
    </rPh>
    <rPh sb="17" eb="19">
      <t>シュウセイ</t>
    </rPh>
    <rPh sb="19" eb="23">
      <t>サギョウジッシ</t>
    </rPh>
    <phoneticPr fontId="15"/>
  </si>
  <si>
    <t>１．シート名「自動車_3」を「使用量_3」に変え、関係する参照式を修正。</t>
    <rPh sb="5" eb="6">
      <t>メイ</t>
    </rPh>
    <rPh sb="22" eb="23">
      <t>カ</t>
    </rPh>
    <rPh sb="25" eb="27">
      <t>カンケイ</t>
    </rPh>
    <rPh sb="29" eb="32">
      <t>サンショウシキ</t>
    </rPh>
    <rPh sb="33" eb="35">
      <t>シュウセイ</t>
    </rPh>
    <phoneticPr fontId="15"/>
  </si>
  <si>
    <t>２．「はじめに」で、表題を修正。このファイル１つで、以下の注記を追加</t>
    <rPh sb="10" eb="12">
      <t>ヒョウダイ</t>
    </rPh>
    <rPh sb="13" eb="15">
      <t>シュウセイ</t>
    </rPh>
    <rPh sb="26" eb="28">
      <t>イカ</t>
    </rPh>
    <rPh sb="29" eb="31">
      <t>チュウキ</t>
    </rPh>
    <rPh sb="32" eb="34">
      <t>ツイカ</t>
    </rPh>
    <phoneticPr fontId="15"/>
  </si>
  <si>
    <t>　　&lt;昨年度情報の呼び出し&gt;と&lt;シート構成&gt;の記載内容を修正。</t>
    <rPh sb="23" eb="27">
      <t>キサイナイヨウ</t>
    </rPh>
    <rPh sb="28" eb="30">
      <t>シュウセイ</t>
    </rPh>
    <phoneticPr fontId="15"/>
  </si>
  <si>
    <t>　　&lt;セルの色分け&gt;でグレーを追加。</t>
    <rPh sb="6" eb="8">
      <t>イロワ</t>
    </rPh>
    <rPh sb="15" eb="17">
      <t>ツイカ</t>
    </rPh>
    <phoneticPr fontId="15"/>
  </si>
  <si>
    <t>　　（１）外部供給は「無し」をデフォルトに設定。</t>
    <rPh sb="5" eb="9">
      <t>ガイブキョウキュウ</t>
    </rPh>
    <rPh sb="21" eb="23">
      <t>セッテイ</t>
    </rPh>
    <phoneticPr fontId="15"/>
  </si>
  <si>
    <t>　　（３）原単位の設定を（３）総括票の原単位設定へ修正。</t>
    <rPh sb="15" eb="18">
      <t>ソウカツヒョウ</t>
    </rPh>
    <rPh sb="25" eb="27">
      <t>シュウセイ</t>
    </rPh>
    <phoneticPr fontId="15"/>
  </si>
  <si>
    <t>　　　さらに、「設定あり（事業者全体で統一の原単位を使用する）」と</t>
    <phoneticPr fontId="15"/>
  </si>
  <si>
    <t>　　　「設定あり（原単位の寄与度の合計から求める）」と従来表記を復活。</t>
    <rPh sb="27" eb="29">
      <t>ジュウライ</t>
    </rPh>
    <rPh sb="29" eb="31">
      <t>ヒョウキ</t>
    </rPh>
    <rPh sb="32" eb="34">
      <t>フッカツ</t>
    </rPh>
    <phoneticPr fontId="15"/>
  </si>
  <si>
    <t>　　タイトル「２エネルギー使用量」の後の　（　）内を削除。</t>
    <rPh sb="24" eb="25">
      <t>ナイ</t>
    </rPh>
    <phoneticPr fontId="15"/>
  </si>
  <si>
    <t>４．シート「使用量_１,２」でタイトルの「１基礎情報」の後の　（　）内を削除。</t>
    <rPh sb="6" eb="9">
      <t>シヨウリョウ</t>
    </rPh>
    <phoneticPr fontId="15"/>
  </si>
  <si>
    <t>５．「２エネルギー使用量」の入力表のセルの色と数値の表示を①事業所数</t>
    <rPh sb="14" eb="16">
      <t>ニュウリョク</t>
    </rPh>
    <rPh sb="16" eb="17">
      <t>ヒョウ</t>
    </rPh>
    <rPh sb="21" eb="22">
      <t>イロ</t>
    </rPh>
    <rPh sb="23" eb="25">
      <t>スウチ</t>
    </rPh>
    <rPh sb="26" eb="28">
      <t>ヒョウジ</t>
    </rPh>
    <phoneticPr fontId="15"/>
  </si>
  <si>
    <t>　　②原単位の設定の有無　③報告書or計画書の条件に応じ連動する様にした</t>
    <rPh sb="3" eb="6">
      <t>ゲンタンイ</t>
    </rPh>
    <rPh sb="7" eb="9">
      <t>セッテイ</t>
    </rPh>
    <rPh sb="10" eb="12">
      <t>ウム</t>
    </rPh>
    <rPh sb="14" eb="17">
      <t>ホウコクショ</t>
    </rPh>
    <rPh sb="19" eb="22">
      <t>ケイカクショ</t>
    </rPh>
    <rPh sb="23" eb="25">
      <t>ジョウケン</t>
    </rPh>
    <rPh sb="26" eb="27">
      <t>オウ</t>
    </rPh>
    <rPh sb="28" eb="30">
      <t>レンドウ</t>
    </rPh>
    <rPh sb="32" eb="33">
      <t>ヨウ</t>
    </rPh>
    <phoneticPr fontId="15"/>
  </si>
  <si>
    <t>６．シート「使用量_3」でタイトル「１基礎情報」の後の　（　）内を削除。</t>
    <phoneticPr fontId="15"/>
  </si>
  <si>
    <t>　　「報告対象年度」→明示的に「2022年度」へ修正。（全て修正）</t>
    <rPh sb="11" eb="14">
      <t>メイジテキ</t>
    </rPh>
    <rPh sb="24" eb="26">
      <t>シュウセイ</t>
    </rPh>
    <rPh sb="28" eb="29">
      <t>スベ</t>
    </rPh>
    <rPh sb="30" eb="32">
      <t>シュウセイ</t>
    </rPh>
    <phoneticPr fontId="15"/>
  </si>
  <si>
    <t>　　タイトル「２報告対象年度の車両台数」→「横浜市内における2022年度の</t>
    <phoneticPr fontId="15"/>
  </si>
  <si>
    <t>　　車両台数」へ修正。表内の「区域」は不要なので削除した。</t>
    <rPh sb="8" eb="10">
      <t>シュウセイ</t>
    </rPh>
    <rPh sb="11" eb="13">
      <t>ヒョウナイ</t>
    </rPh>
    <rPh sb="15" eb="17">
      <t>クイキ</t>
    </rPh>
    <rPh sb="19" eb="21">
      <t>フヨウ</t>
    </rPh>
    <rPh sb="24" eb="26">
      <t>サクジョ</t>
    </rPh>
    <phoneticPr fontId="15"/>
  </si>
  <si>
    <t>　　タイトルの報告対象年度の前年度→2021年度、報告対象年度→2022年度。</t>
    <phoneticPr fontId="15"/>
  </si>
  <si>
    <t>　　タイトル「３　二酸化炭素排出量等」は「４　二酸化炭素排出量等」へ修正。</t>
    <rPh sb="34" eb="36">
      <t>シュウセイ</t>
    </rPh>
    <phoneticPr fontId="15"/>
  </si>
  <si>
    <t>　　F94、U94　有効数字３桁処理なしに変更。シート自動車計算の参照式修正。</t>
    <rPh sb="21" eb="23">
      <t>ヘンコウ</t>
    </rPh>
    <rPh sb="33" eb="36">
      <t>サンショウシキ</t>
    </rPh>
    <rPh sb="36" eb="38">
      <t>シュウセイ</t>
    </rPh>
    <phoneticPr fontId="15"/>
  </si>
  <si>
    <t>７．シート「外部供給」のタイトル」「１エネルギー外部供給量」の（　）内を削除。</t>
    <rPh sb="6" eb="10">
      <t>ガイブキョウキュウ</t>
    </rPh>
    <rPh sb="34" eb="35">
      <t>ナイ</t>
    </rPh>
    <rPh sb="36" eb="38">
      <t>サクジョ</t>
    </rPh>
    <phoneticPr fontId="15"/>
  </si>
  <si>
    <t>８．シート「報１」でD19～D22　保護かかっており編集不可。</t>
    <rPh sb="6" eb="7">
      <t>ホウ</t>
    </rPh>
    <phoneticPr fontId="15"/>
  </si>
  <si>
    <t>　　→　D19～D22、J22、L22を緑に変え、保護解除。</t>
    <rPh sb="20" eb="21">
      <t>ミドリ</t>
    </rPh>
    <rPh sb="22" eb="23">
      <t>カ</t>
    </rPh>
    <rPh sb="25" eb="27">
      <t>ホゴ</t>
    </rPh>
    <rPh sb="27" eb="29">
      <t>カイジョ</t>
    </rPh>
    <phoneticPr fontId="15"/>
  </si>
  <si>
    <t>　　市内全事業所数、500kl以上の事業所数、自動車台数が編集可になっている</t>
    <phoneticPr fontId="15"/>
  </si>
  <si>
    <t>　　→　セルの保護設定。</t>
    <rPh sb="9" eb="11">
      <t>セッテイ</t>
    </rPh>
    <phoneticPr fontId="15"/>
  </si>
  <si>
    <t>９．シート「報2」でE7（基準年度調整後），E9（目標年度調整後）が緑色のセルに</t>
    <rPh sb="6" eb="7">
      <t>ホウ</t>
    </rPh>
    <phoneticPr fontId="15"/>
  </si>
  <si>
    <t>　　になり編集も可能。　→　セルは白にし、保護を設定。</t>
    <rPh sb="5" eb="7">
      <t>ヘンシュウ</t>
    </rPh>
    <rPh sb="8" eb="10">
      <t>カノウ</t>
    </rPh>
    <rPh sb="17" eb="18">
      <t>シロ</t>
    </rPh>
    <rPh sb="21" eb="23">
      <t>ホゴ</t>
    </rPh>
    <rPh sb="24" eb="26">
      <t>セッテイ</t>
    </rPh>
    <phoneticPr fontId="15"/>
  </si>
  <si>
    <t>10.シート「報3」でクレジットの名称選択リストから「ブルーカーボン」を削除。</t>
    <rPh sb="7" eb="8">
      <t>ホウ</t>
    </rPh>
    <phoneticPr fontId="15"/>
  </si>
  <si>
    <t>11.シート「報7」で原単位の入力セルは緑色のセルにし、編集可能とする。</t>
    <rPh sb="7" eb="8">
      <t>ホウ</t>
    </rPh>
    <rPh sb="11" eb="14">
      <t>ゲンタンイ</t>
    </rPh>
    <rPh sb="15" eb="17">
      <t>ニュウリョク</t>
    </rPh>
    <rPh sb="20" eb="22">
      <t>ミドリイロ</t>
    </rPh>
    <rPh sb="28" eb="32">
      <t>ヘンシュウカノウ</t>
    </rPh>
    <phoneticPr fontId="15"/>
  </si>
  <si>
    <t>12.シート「計1」でL24のコメントを削除した。また、原油換算、事業所数、500klの</t>
    <rPh sb="7" eb="8">
      <t>ケイ</t>
    </rPh>
    <rPh sb="20" eb="22">
      <t>サクジョ</t>
    </rPh>
    <phoneticPr fontId="15"/>
  </si>
  <si>
    <t>　　500klの事業所数、自動車台数、全て保護なし　→　保護を設定。</t>
    <rPh sb="28" eb="30">
      <t>ホゴ</t>
    </rPh>
    <rPh sb="31" eb="33">
      <t>セッテイ</t>
    </rPh>
    <phoneticPr fontId="15"/>
  </si>
  <si>
    <t>13.シート「計3」で6　クレジットの名称選択リストから「ブルーカーボン」を削除。</t>
    <rPh sb="7" eb="8">
      <t>ケイ</t>
    </rPh>
    <phoneticPr fontId="15"/>
  </si>
  <si>
    <t>　　7　設備更新計画で『無』を選択したら記載欄をグレーアウトするように設定。</t>
    <rPh sb="4" eb="10">
      <t>セツビコウシンケイカク</t>
    </rPh>
    <rPh sb="20" eb="23">
      <t>キサイラン</t>
    </rPh>
    <rPh sb="35" eb="37">
      <t>セッテイ</t>
    </rPh>
    <phoneticPr fontId="15"/>
  </si>
  <si>
    <t>　　6　クレジット欄は報告書を参照しているのでセル色を緑に変更。</t>
    <rPh sb="9" eb="10">
      <t>ラン</t>
    </rPh>
    <rPh sb="11" eb="14">
      <t>ホウコクショ</t>
    </rPh>
    <rPh sb="15" eb="17">
      <t>サンショウ</t>
    </rPh>
    <rPh sb="25" eb="26">
      <t>イロ</t>
    </rPh>
    <rPh sb="27" eb="28">
      <t>ミドリ</t>
    </rPh>
    <rPh sb="29" eb="31">
      <t>ヘンコウ</t>
    </rPh>
    <phoneticPr fontId="15"/>
  </si>
  <si>
    <t>14.シート「計5」で　計画書の個別票入力を報告個別票を参照する事で良いか？</t>
    <rPh sb="7" eb="8">
      <t>ケイ</t>
    </rPh>
    <rPh sb="26" eb="27">
      <t>ヒョウ</t>
    </rPh>
    <rPh sb="28" eb="30">
      <t>サンショウ</t>
    </rPh>
    <rPh sb="32" eb="33">
      <t>コト</t>
    </rPh>
    <rPh sb="34" eb="35">
      <t>イ</t>
    </rPh>
    <phoneticPr fontId="15"/>
  </si>
  <si>
    <t>　　→報告書個別票を参照できるところは参照し、且つ編集可（緑色）とする。</t>
    <rPh sb="3" eb="5">
      <t>ホウコク</t>
    </rPh>
    <rPh sb="5" eb="6">
      <t>ショ</t>
    </rPh>
    <rPh sb="6" eb="9">
      <t>コベツヒョウ</t>
    </rPh>
    <rPh sb="10" eb="12">
      <t>サンショウ</t>
    </rPh>
    <rPh sb="19" eb="21">
      <t>サンショウ</t>
    </rPh>
    <rPh sb="23" eb="24">
      <t>カ</t>
    </rPh>
    <rPh sb="25" eb="27">
      <t>ヘンシュウ</t>
    </rPh>
    <rPh sb="27" eb="28">
      <t>カ</t>
    </rPh>
    <rPh sb="29" eb="31">
      <t>ミドリイロ</t>
    </rPh>
    <phoneticPr fontId="15"/>
  </si>
  <si>
    <t>　　　　2.目標状況では「基準年度排出量」に保護。原単位は緑。残りは黄色。</t>
    <rPh sb="6" eb="8">
      <t>モクヒョウ</t>
    </rPh>
    <rPh sb="8" eb="10">
      <t>ジョウキョウ</t>
    </rPh>
    <rPh sb="13" eb="17">
      <t>キジュンネンド</t>
    </rPh>
    <rPh sb="17" eb="20">
      <t>ハイシュツリョウ</t>
    </rPh>
    <rPh sb="22" eb="24">
      <t>ホゴ</t>
    </rPh>
    <rPh sb="25" eb="28">
      <t>ゲンタンイ</t>
    </rPh>
    <rPh sb="29" eb="30">
      <t>ミドリ</t>
    </rPh>
    <rPh sb="31" eb="32">
      <t>ノコ</t>
    </rPh>
    <rPh sb="34" eb="36">
      <t>キイロ</t>
    </rPh>
    <phoneticPr fontId="15"/>
  </si>
  <si>
    <t>　　　　1.事業所等の概要は原油換算だけが保護を設定。残りは緑とする。</t>
    <rPh sb="6" eb="10">
      <t>ジギョウショトウ</t>
    </rPh>
    <rPh sb="11" eb="13">
      <t>ガイヨウ</t>
    </rPh>
    <rPh sb="14" eb="18">
      <t>ゲンユカンザン</t>
    </rPh>
    <rPh sb="21" eb="23">
      <t>ホゴ</t>
    </rPh>
    <rPh sb="24" eb="26">
      <t>セッテイ</t>
    </rPh>
    <rPh sb="27" eb="28">
      <t>ノコ</t>
    </rPh>
    <rPh sb="30" eb="31">
      <t>ミドリ</t>
    </rPh>
    <phoneticPr fontId="15"/>
  </si>
  <si>
    <t>【変更記録】</t>
    <rPh sb="1" eb="5">
      <t>ヘンコウキロク</t>
    </rPh>
    <phoneticPr fontId="15"/>
  </si>
  <si>
    <t>R5管理用：</t>
    <rPh sb="2" eb="4">
      <t>カンリ</t>
    </rPh>
    <rPh sb="4" eb="5">
      <t>ヨウ</t>
    </rPh>
    <phoneticPr fontId="15"/>
  </si>
  <si>
    <t>（法人の場合は、名称及び代表者の氏名）</t>
  </si>
  <si>
    <t>横浜市生活環境の保全等に関する条例第144条第１項及び第２項の規定により、</t>
    <rPh sb="0" eb="3">
      <t>ヨコハマシ</t>
    </rPh>
    <rPh sb="3" eb="5">
      <t>セイカツ</t>
    </rPh>
    <rPh sb="5" eb="7">
      <t>カンキョウ</t>
    </rPh>
    <rPh sb="8" eb="10">
      <t>ホゼン</t>
    </rPh>
    <rPh sb="10" eb="11">
      <t>トウ</t>
    </rPh>
    <rPh sb="12" eb="13">
      <t>カン</t>
    </rPh>
    <rPh sb="15" eb="17">
      <t>ジョウレイ</t>
    </rPh>
    <rPh sb="25" eb="26">
      <t>オヨ</t>
    </rPh>
    <rPh sb="27" eb="28">
      <t>ダイ</t>
    </rPh>
    <rPh sb="29" eb="30">
      <t>コウ</t>
    </rPh>
    <rPh sb="31" eb="33">
      <t>キテイ</t>
    </rPh>
    <phoneticPr fontId="15"/>
  </si>
  <si>
    <t>３．シート「提」を追加。自動作成され、手入力が不要。　</t>
    <rPh sb="6" eb="7">
      <t>テイ</t>
    </rPh>
    <rPh sb="9" eb="11">
      <t>ツイカ</t>
    </rPh>
    <rPh sb="12" eb="16">
      <t>ジドウサクセイ</t>
    </rPh>
    <rPh sb="19" eb="22">
      <t>テニュウリョク</t>
    </rPh>
    <rPh sb="23" eb="25">
      <t>フヨウ</t>
    </rPh>
    <phoneticPr fontId="15"/>
  </si>
  <si>
    <t>外部供給</t>
    <rPh sb="0" eb="4">
      <t>ガイブキョウキュウ</t>
    </rPh>
    <phoneticPr fontId="15"/>
  </si>
  <si>
    <r>
      <t>１　基礎情報</t>
    </r>
    <r>
      <rPr>
        <b/>
        <sz val="12"/>
        <color theme="0"/>
        <rFont val="ＭＳ Ｐゴシック"/>
        <family val="3"/>
        <charset val="128"/>
      </rPr>
      <t>　                                                                   　</t>
    </r>
    <r>
      <rPr>
        <b/>
        <sz val="11"/>
        <color theme="0"/>
        <rFont val="ＭＳ Ｐゴシック"/>
        <family val="3"/>
        <charset val="128"/>
      </rPr>
      <t>※標準の設定から変更する場合</t>
    </r>
    <rPh sb="2" eb="4">
      <t>キソ</t>
    </rPh>
    <rPh sb="4" eb="6">
      <t>ジョウホウ</t>
    </rPh>
    <rPh sb="76" eb="78">
      <t>ヒョウジュン</t>
    </rPh>
    <rPh sb="79" eb="81">
      <t>セッテイ</t>
    </rPh>
    <rPh sb="83" eb="85">
      <t>ヘンコウ</t>
    </rPh>
    <rPh sb="87" eb="89">
      <t>バアイ</t>
    </rPh>
    <phoneticPr fontId="15"/>
  </si>
  <si>
    <t>野呂</t>
    <rPh sb="0" eb="2">
      <t>ノロ</t>
    </rPh>
    <phoneticPr fontId="15"/>
  </si>
  <si>
    <t>　　バージョンは変更せず、v02 のままとする。</t>
    <rPh sb="8" eb="10">
      <t>ヘンコウ</t>
    </rPh>
    <phoneticPr fontId="15"/>
  </si>
  <si>
    <t>大規模事業所のエネルギー外部供給量</t>
    <rPh sb="0" eb="3">
      <t>ダイキボ</t>
    </rPh>
    <rPh sb="3" eb="6">
      <t>ジギョウショ</t>
    </rPh>
    <rPh sb="12" eb="14">
      <t>ガイブ</t>
    </rPh>
    <rPh sb="14" eb="16">
      <t>キョウキュウ</t>
    </rPh>
    <rPh sb="16" eb="17">
      <t>リョウ</t>
    </rPh>
    <phoneticPr fontId="89"/>
  </si>
  <si>
    <t>野呂</t>
    <rPh sb="0" eb="2">
      <t>ノロ</t>
    </rPh>
    <phoneticPr fontId="15"/>
  </si>
  <si>
    <t>　　７桁を取得すように参照式=参照元!$F$14に修正した。v02 のままとする。</t>
    <rPh sb="3" eb="4">
      <t>ケタ</t>
    </rPh>
    <rPh sb="5" eb="7">
      <t>シュトク</t>
    </rPh>
    <rPh sb="11" eb="14">
      <t>サンショウシキ</t>
    </rPh>
    <rPh sb="25" eb="27">
      <t>シュウセイ</t>
    </rPh>
    <phoneticPr fontId="15"/>
  </si>
  <si>
    <t>野呂</t>
    <rPh sb="0" eb="2">
      <t>ノロ</t>
    </rPh>
    <phoneticPr fontId="15"/>
  </si>
  <si>
    <t>１．シート「外部供給_1,2」を「外部供給」に変え、関係する参照式を修正。</t>
    <rPh sb="6" eb="8">
      <t>ガイブ</t>
    </rPh>
    <rPh sb="8" eb="10">
      <t>キョウキュウ</t>
    </rPh>
    <rPh sb="17" eb="21">
      <t>ガイブキョウキュウ</t>
    </rPh>
    <rPh sb="23" eb="24">
      <t>カ</t>
    </rPh>
    <rPh sb="26" eb="28">
      <t>カンケイ</t>
    </rPh>
    <rPh sb="30" eb="33">
      <t>サンショウシキ</t>
    </rPh>
    <rPh sb="34" eb="36">
      <t>シュウセイ</t>
    </rPh>
    <phoneticPr fontId="15"/>
  </si>
  <si>
    <t>１．シート「報１」のM2の参照式=TEXT(はじめに!$B$6,"000")となっていた。</t>
    <rPh sb="6" eb="7">
      <t>ホウ</t>
    </rPh>
    <rPh sb="13" eb="16">
      <t>サンショウシキ</t>
    </rPh>
    <phoneticPr fontId="15"/>
  </si>
  <si>
    <t>２．シート「参照元個別」のS列の参照式が、参照エラーとなっている。→修正。</t>
    <rPh sb="21" eb="23">
      <t>サンショウ</t>
    </rPh>
    <rPh sb="34" eb="36">
      <t>シュウセイ</t>
    </rPh>
    <phoneticPr fontId="15"/>
  </si>
  <si>
    <t>３．配布用としてパスワード付保護を掛け、バージョンをV03にアップした。</t>
    <rPh sb="2" eb="4">
      <t>ハイフ</t>
    </rPh>
    <rPh sb="4" eb="5">
      <t>ヨウ</t>
    </rPh>
    <rPh sb="13" eb="14">
      <t>ツキ</t>
    </rPh>
    <rPh sb="14" eb="16">
      <t>ホゴ</t>
    </rPh>
    <rPh sb="17" eb="18">
      <t>カ</t>
    </rPh>
    <phoneticPr fontId="15"/>
  </si>
  <si>
    <t>事業所名を入力1</t>
    <rPh sb="0" eb="4">
      <t>ジギョウショメイ</t>
    </rPh>
    <rPh sb="5" eb="7">
      <t>ニュウリョク</t>
    </rPh>
    <phoneticPr fontId="15"/>
  </si>
  <si>
    <t>事業所名を入力2</t>
    <rPh sb="0" eb="4">
      <t>ジギョウショメイ</t>
    </rPh>
    <rPh sb="5" eb="7">
      <t>ニュウリョク</t>
    </rPh>
    <phoneticPr fontId="15"/>
  </si>
  <si>
    <t>１．シート「参照元個別」の『原単位分母』（G列）の全セルが事業所No.1の参照</t>
    <rPh sb="6" eb="9">
      <t>サンショウモト</t>
    </rPh>
    <rPh sb="9" eb="11">
      <t>コベツ</t>
    </rPh>
    <rPh sb="14" eb="17">
      <t>ゲンタンイ</t>
    </rPh>
    <rPh sb="17" eb="19">
      <t>ブンボ</t>
    </rPh>
    <rPh sb="22" eb="23">
      <t>レツ</t>
    </rPh>
    <rPh sb="25" eb="26">
      <t>ゼン</t>
    </rPh>
    <rPh sb="29" eb="32">
      <t>ジギョウショ</t>
    </rPh>
    <rPh sb="37" eb="39">
      <t>サンショウ</t>
    </rPh>
    <phoneticPr fontId="15"/>
  </si>
  <si>
    <t>　　式='使用量_1,2'!$N$117&amp;""になっている(酒井さん情報）。　修正しました。</t>
    <rPh sb="2" eb="3">
      <t>シキ</t>
    </rPh>
    <rPh sb="30" eb="32">
      <t>サカイ</t>
    </rPh>
    <rPh sb="34" eb="36">
      <t>ジョウホウ</t>
    </rPh>
    <rPh sb="39" eb="41">
      <t>シュウセイ</t>
    </rPh>
    <phoneticPr fontId="15"/>
  </si>
  <si>
    <t>昨年度情報、各「使用量」シートからの参照式設定セルですが、書き換え可能です。</t>
    <rPh sb="3" eb="5">
      <t>ジョウホウ</t>
    </rPh>
    <rPh sb="6" eb="7">
      <t>カク</t>
    </rPh>
    <rPh sb="8" eb="10">
      <t>シヨウ</t>
    </rPh>
    <rPh sb="10" eb="11">
      <t>リョウ</t>
    </rPh>
    <rPh sb="18" eb="20">
      <t>サンショウ</t>
    </rPh>
    <rPh sb="20" eb="21">
      <t>シキ</t>
    </rPh>
    <rPh sb="21" eb="23">
      <t>セッテイ</t>
    </rPh>
    <rPh sb="29" eb="30">
      <t>カ</t>
    </rPh>
    <rPh sb="31" eb="32">
      <t>カ</t>
    </rPh>
    <rPh sb="33" eb="35">
      <t>カノウ</t>
    </rPh>
    <phoneticPr fontId="15"/>
  </si>
  <si>
    <t>原油換算500ｋl 未満の事業所
エネルギー使用量合計
（※寄与度の合計から求める場合は、原単位の種類別に列を変えてエネルギー使用量合計を入力してください）</t>
    <rPh sb="10" eb="12">
      <t>ミマン</t>
    </rPh>
    <rPh sb="51" eb="52">
      <t>ベツ</t>
    </rPh>
    <rPh sb="66" eb="68">
      <t>ゴウケイ</t>
    </rPh>
    <rPh sb="69" eb="71">
      <t>ニュウリョク</t>
    </rPh>
    <phoneticPr fontId="89"/>
  </si>
  <si>
    <r>
      <t>寄与度の合計から求めた原単位を使用して</t>
    </r>
    <r>
      <rPr>
        <b/>
        <sz val="12"/>
        <color rgb="FFFF0000"/>
        <rFont val="ＭＳ Ｐゴシック"/>
        <family val="3"/>
        <charset val="128"/>
      </rPr>
      <t>報告書</t>
    </r>
    <r>
      <rPr>
        <b/>
        <sz val="12"/>
        <rFont val="ＭＳ Ｐゴシック"/>
        <family val="3"/>
        <charset val="128"/>
      </rPr>
      <t>を作成する場合</t>
    </r>
    <rPh sb="0" eb="3">
      <t>キヨド</t>
    </rPh>
    <rPh sb="4" eb="6">
      <t>ゴウケイ</t>
    </rPh>
    <rPh sb="8" eb="9">
      <t>モト</t>
    </rPh>
    <rPh sb="11" eb="14">
      <t>ゲンタンイ</t>
    </rPh>
    <rPh sb="15" eb="17">
      <t>シヨウ</t>
    </rPh>
    <rPh sb="19" eb="22">
      <t>ホウコクショ</t>
    </rPh>
    <rPh sb="23" eb="25">
      <t>サクセイ</t>
    </rPh>
    <rPh sb="27" eb="29">
      <t>バアイ</t>
    </rPh>
    <phoneticPr fontId="15"/>
  </si>
  <si>
    <r>
      <t>寄与度の合計から求めた原単位を使用して</t>
    </r>
    <r>
      <rPr>
        <b/>
        <sz val="12"/>
        <color rgb="FFFF0000"/>
        <rFont val="ＭＳ Ｐゴシック"/>
        <family val="3"/>
        <charset val="128"/>
      </rPr>
      <t>計画書</t>
    </r>
    <r>
      <rPr>
        <b/>
        <sz val="12"/>
        <rFont val="ＭＳ Ｐゴシック"/>
        <family val="3"/>
        <charset val="128"/>
      </rPr>
      <t>を作成する場合</t>
    </r>
    <rPh sb="0" eb="3">
      <t>キヨド</t>
    </rPh>
    <rPh sb="4" eb="6">
      <t>ゴウケイ</t>
    </rPh>
    <rPh sb="8" eb="9">
      <t>モト</t>
    </rPh>
    <rPh sb="11" eb="14">
      <t>ゲンタンイ</t>
    </rPh>
    <rPh sb="15" eb="17">
      <t>シヨウ</t>
    </rPh>
    <rPh sb="19" eb="22">
      <t>ケイカクショ</t>
    </rPh>
    <rPh sb="23" eb="25">
      <t>サクセイ</t>
    </rPh>
    <rPh sb="27" eb="29">
      <t>バアイ</t>
    </rPh>
    <phoneticPr fontId="15"/>
  </si>
  <si>
    <t>寄与度の合計の場合</t>
    <rPh sb="0" eb="3">
      <t>キヨド</t>
    </rPh>
    <rPh sb="4" eb="6">
      <t>ゴウケイ</t>
    </rPh>
    <rPh sb="7" eb="9">
      <t>バアイ</t>
    </rPh>
    <phoneticPr fontId="15"/>
  </si>
  <si>
    <t>原油換算500ｋl 未満の事業所
（※寄与度の合計から求める場合は、原単位の種類別に列を変えて外部供給量合計を入力してください）</t>
    <rPh sb="10" eb="12">
      <t>ミマン</t>
    </rPh>
    <rPh sb="47" eb="49">
      <t>ガイブ</t>
    </rPh>
    <rPh sb="49" eb="51">
      <t>キョウキュウ</t>
    </rPh>
    <phoneticPr fontId="89"/>
  </si>
  <si>
    <t>500ｋl 未満の事業所数</t>
    <rPh sb="6" eb="8">
      <t>ミマン</t>
    </rPh>
    <rPh sb="12" eb="13">
      <t>スウ</t>
    </rPh>
    <phoneticPr fontId="89"/>
  </si>
  <si>
    <t>野呂</t>
    <rPh sb="0" eb="2">
      <t>ノロ</t>
    </rPh>
    <phoneticPr fontId="15"/>
  </si>
  <si>
    <t>１．工藤係長からの指摘への対応実施。「気が付いたこと.xlsx」参照。</t>
    <rPh sb="2" eb="6">
      <t>クドウカカリチョウ</t>
    </rPh>
    <rPh sb="9" eb="11">
      <t>シテキ</t>
    </rPh>
    <rPh sb="13" eb="17">
      <t>タイオウジッシ</t>
    </rPh>
    <rPh sb="32" eb="34">
      <t>サンショウ</t>
    </rPh>
    <phoneticPr fontId="15"/>
  </si>
  <si>
    <t>2022年度クレジットによる削減相当量合計を下記白枠に入力</t>
    <rPh sb="4" eb="6">
      <t>ネンド</t>
    </rPh>
    <rPh sb="14" eb="19">
      <t>サクゲンソウトウリョウ</t>
    </rPh>
    <rPh sb="19" eb="21">
      <t>ゴウケイ</t>
    </rPh>
    <rPh sb="22" eb="24">
      <t>カキ</t>
    </rPh>
    <rPh sb="24" eb="26">
      <t>シロワク</t>
    </rPh>
    <rPh sb="27" eb="29">
      <t>ニュウリョク</t>
    </rPh>
    <phoneticPr fontId="15"/>
  </si>
  <si>
    <r>
      <t>t-CO</t>
    </r>
    <r>
      <rPr>
        <b/>
        <vertAlign val="subscript"/>
        <sz val="10"/>
        <color theme="0" tint="-0.14996795556505021"/>
        <rFont val="ＭＳ 明朝"/>
        <family val="1"/>
        <charset val="128"/>
      </rPr>
      <t>2</t>
    </r>
    <phoneticPr fontId="15"/>
  </si>
  <si>
    <t>野呂</t>
    <rPh sb="0" eb="2">
      <t>ノロ</t>
    </rPh>
    <phoneticPr fontId="15"/>
  </si>
  <si>
    <t>１．計画書のクレジットについて、基準年度の実績値の記入ではなく計画期間
　　中にどうするのか（まさに計画）を記載してもいいようにする。
　　そのため、基準年度の調整後排出量の算定用のクレジット削減量を報告書
　　から収集する。新規の計画書のみの事業者の為に計画書の5項の枠外に
　　クレジット合計量記入欄を設定した。</t>
    <rPh sb="2" eb="5">
      <t>ケイカクショ</t>
    </rPh>
    <rPh sb="16" eb="20">
      <t>キジュンネンド</t>
    </rPh>
    <rPh sb="21" eb="24">
      <t>ジッセキチ</t>
    </rPh>
    <rPh sb="25" eb="27">
      <t>キニュウ</t>
    </rPh>
    <rPh sb="31" eb="35">
      <t>ケイカクキカン</t>
    </rPh>
    <rPh sb="38" eb="39">
      <t>チュウ</t>
    </rPh>
    <rPh sb="50" eb="52">
      <t>ケイカク</t>
    </rPh>
    <rPh sb="54" eb="56">
      <t>キサイ</t>
    </rPh>
    <rPh sb="75" eb="79">
      <t>キジュンネンド</t>
    </rPh>
    <rPh sb="80" eb="86">
      <t>チョウセイゴハイシュツリョウ</t>
    </rPh>
    <rPh sb="87" eb="89">
      <t>サンテイ</t>
    </rPh>
    <rPh sb="89" eb="90">
      <t>ヨウ</t>
    </rPh>
    <rPh sb="96" eb="99">
      <t>サクゲンリョウ</t>
    </rPh>
    <rPh sb="100" eb="103">
      <t>ホウコクショ</t>
    </rPh>
    <rPh sb="108" eb="110">
      <t>シュウシュウ</t>
    </rPh>
    <rPh sb="113" eb="115">
      <t>シンキ</t>
    </rPh>
    <rPh sb="116" eb="118">
      <t>ケイカク</t>
    </rPh>
    <rPh sb="118" eb="119">
      <t>ショ</t>
    </rPh>
    <rPh sb="122" eb="125">
      <t>ジギョウシャ</t>
    </rPh>
    <rPh sb="126" eb="127">
      <t>タメ</t>
    </rPh>
    <rPh sb="128" eb="131">
      <t>ケイカクショ</t>
    </rPh>
    <rPh sb="133" eb="134">
      <t>コウ</t>
    </rPh>
    <rPh sb="135" eb="137">
      <t>ワクガイ</t>
    </rPh>
    <rPh sb="146" eb="149">
      <t>ゴウケイリョウ</t>
    </rPh>
    <rPh sb="149" eb="152">
      <t>キニュウラン</t>
    </rPh>
    <rPh sb="153" eb="155">
      <t>セッテイ</t>
    </rPh>
    <phoneticPr fontId="15"/>
  </si>
  <si>
    <t>２．計画書のみの事業者用に入力セルを全て黄色に変更した。</t>
    <rPh sb="2" eb="5">
      <t>ケイカクショ</t>
    </rPh>
    <rPh sb="8" eb="11">
      <t>ジギョウシャ</t>
    </rPh>
    <rPh sb="11" eb="12">
      <t>ヨウ</t>
    </rPh>
    <rPh sb="13" eb="15">
      <t>ニュウリョク</t>
    </rPh>
    <rPh sb="18" eb="19">
      <t>スベ</t>
    </rPh>
    <rPh sb="20" eb="22">
      <t>キイロ</t>
    </rPh>
    <rPh sb="23" eb="25">
      <t>ヘンコウ</t>
    </rPh>
    <phoneticPr fontId="15"/>
  </si>
  <si>
    <t>参考：報告書の提出日</t>
    <rPh sb="0" eb="2">
      <t>サンコウ</t>
    </rPh>
    <rPh sb="3" eb="6">
      <t>ホウコクショ</t>
    </rPh>
    <rPh sb="7" eb="10">
      <t>テイシュツビ</t>
    </rPh>
    <phoneticPr fontId="15"/>
  </si>
  <si>
    <t>年</t>
    <rPh sb="0" eb="1">
      <t>ネン</t>
    </rPh>
    <phoneticPr fontId="15"/>
  </si>
  <si>
    <t>月</t>
    <rPh sb="0" eb="1">
      <t>ツキ</t>
    </rPh>
    <phoneticPr fontId="15"/>
  </si>
  <si>
    <t>日</t>
    <rPh sb="0" eb="1">
      <t>ヒ</t>
    </rPh>
    <phoneticPr fontId="15"/>
  </si>
  <si>
    <t>野呂</t>
    <rPh sb="0" eb="2">
      <t>ノロ</t>
    </rPh>
    <phoneticPr fontId="15"/>
  </si>
  <si>
    <t>１．個別票のグレー化を500kl超事業所数と連動させた。（条件式に誤りあり）</t>
    <rPh sb="2" eb="5">
      <t>コベツヒョウ</t>
    </rPh>
    <rPh sb="9" eb="10">
      <t>カ</t>
    </rPh>
    <rPh sb="16" eb="17">
      <t>チョウ</t>
    </rPh>
    <rPh sb="17" eb="21">
      <t>ジギョウショスウ</t>
    </rPh>
    <rPh sb="22" eb="24">
      <t>レンドウ</t>
    </rPh>
    <rPh sb="29" eb="32">
      <t>ジョウケンシキ</t>
    </rPh>
    <rPh sb="33" eb="34">
      <t>アヤマ</t>
    </rPh>
    <phoneticPr fontId="15"/>
  </si>
  <si>
    <t>２．グレーアウトしても参照式により値が見えてしまうので文字色を同じグレー</t>
    <rPh sb="11" eb="14">
      <t>サンショウシキ</t>
    </rPh>
    <rPh sb="17" eb="18">
      <t>アタイ</t>
    </rPh>
    <rPh sb="19" eb="20">
      <t>ミ</t>
    </rPh>
    <rPh sb="27" eb="30">
      <t>モジイロ</t>
    </rPh>
    <rPh sb="31" eb="32">
      <t>オナ</t>
    </rPh>
    <phoneticPr fontId="15"/>
  </si>
  <si>
    <t>　　にして、何も表示されていないようにした。</t>
    <rPh sb="6" eb="7">
      <t>ナニ</t>
    </rPh>
    <rPh sb="8" eb="10">
      <t>ヒョウジ</t>
    </rPh>
    <phoneticPr fontId="15"/>
  </si>
  <si>
    <t>野呂</t>
    <rPh sb="0" eb="2">
      <t>ノロ</t>
    </rPh>
    <phoneticPr fontId="15"/>
  </si>
  <si>
    <t>１．任意事業者とその「1・2号」「3号」のチェックボックスと連動させた。</t>
    <rPh sb="2" eb="4">
      <t>ニンイ</t>
    </rPh>
    <rPh sb="4" eb="6">
      <t>ジギョウ</t>
    </rPh>
    <rPh sb="6" eb="7">
      <t>シャ</t>
    </rPh>
    <rPh sb="14" eb="15">
      <t>ゴウ</t>
    </rPh>
    <rPh sb="18" eb="19">
      <t>ゴウ</t>
    </rPh>
    <rPh sb="30" eb="32">
      <t>レンドウ</t>
    </rPh>
    <phoneticPr fontId="15"/>
  </si>
  <si>
    <t>　　参照式が正しくなかった。ただ205（神奈中）だけは3号＋任意（1号）のため</t>
    <rPh sb="2" eb="5">
      <t>サンショウシキ</t>
    </rPh>
    <rPh sb="6" eb="7">
      <t>タダ</t>
    </rPh>
    <rPh sb="20" eb="23">
      <t>カナチュウ</t>
    </rPh>
    <rPh sb="28" eb="29">
      <t>ゴウ</t>
    </rPh>
    <rPh sb="30" eb="32">
      <t>ニンイ</t>
    </rPh>
    <rPh sb="34" eb="35">
      <t>ゴウ</t>
    </rPh>
    <phoneticPr fontId="15"/>
  </si>
  <si>
    <t>　　</t>
    <phoneticPr fontId="15"/>
  </si>
  <si>
    <t xml:space="preserve">    現状の参照式では対応できないのでIF文で力づくの処理を実施。</t>
    <phoneticPr fontId="15"/>
  </si>
  <si>
    <t>野呂</t>
    <rPh sb="0" eb="2">
      <t>ノロ</t>
    </rPh>
    <phoneticPr fontId="15"/>
  </si>
  <si>
    <t>デバッグ対応</t>
    <rPh sb="4" eb="6">
      <t>タイオウ</t>
    </rPh>
    <phoneticPr fontId="15"/>
  </si>
  <si>
    <t>１．使用量_1,2のセルJ121の参照式修正。寄与度未選択時の数値表示を消す</t>
    <rPh sb="2" eb="5">
      <t>シヨウリョウ</t>
    </rPh>
    <rPh sb="17" eb="20">
      <t>サンショウシキ</t>
    </rPh>
    <rPh sb="20" eb="22">
      <t>シュウセイ</t>
    </rPh>
    <rPh sb="23" eb="26">
      <t>キヨド</t>
    </rPh>
    <rPh sb="26" eb="30">
      <t>ミセンタクジ</t>
    </rPh>
    <rPh sb="31" eb="35">
      <t>スウチヒョウジ</t>
    </rPh>
    <rPh sb="36" eb="37">
      <t>ケ</t>
    </rPh>
    <phoneticPr fontId="15"/>
  </si>
  <si>
    <t>２．個別票C15、I15、N15の数値は全事業所＝1で非表示＆グレーにした。</t>
    <rPh sb="2" eb="5">
      <t>コベツヒョウ</t>
    </rPh>
    <rPh sb="23" eb="24">
      <t>ショ</t>
    </rPh>
    <phoneticPr fontId="15"/>
  </si>
  <si>
    <t>３．個別票の目標記述欄を左揃えにした。（報告書40個）</t>
    <rPh sb="2" eb="5">
      <t>コベツヒョウ</t>
    </rPh>
    <rPh sb="6" eb="8">
      <t>モクヒョウ</t>
    </rPh>
    <rPh sb="8" eb="11">
      <t>キジュツラン</t>
    </rPh>
    <rPh sb="12" eb="14">
      <t>ヒダリゾロ</t>
    </rPh>
    <rPh sb="20" eb="23">
      <t>ホウコクショ</t>
    </rPh>
    <rPh sb="25" eb="26">
      <t>コ</t>
    </rPh>
    <phoneticPr fontId="15"/>
  </si>
  <si>
    <t>４．計画の個別票の原単位欄が緑。グレーになっていないのを修正（40回）</t>
    <rPh sb="2" eb="4">
      <t>ケイカク</t>
    </rPh>
    <rPh sb="5" eb="8">
      <t>コベツヒョウ</t>
    </rPh>
    <rPh sb="9" eb="12">
      <t>ゲンタンイ</t>
    </rPh>
    <rPh sb="12" eb="13">
      <t>ラン</t>
    </rPh>
    <rPh sb="14" eb="15">
      <t>ミドリ</t>
    </rPh>
    <rPh sb="28" eb="30">
      <t>シュウセイ</t>
    </rPh>
    <rPh sb="33" eb="34">
      <t>カイ</t>
    </rPh>
    <phoneticPr fontId="15"/>
  </si>
  <si>
    <t>５．任意事業者の号数が、CBと4の1のグレー化にうまく反映しない。</t>
    <rPh sb="2" eb="4">
      <t>ニンイ</t>
    </rPh>
    <rPh sb="4" eb="7">
      <t>ジギョウシャ</t>
    </rPh>
    <rPh sb="8" eb="10">
      <t>ゴウスウ</t>
    </rPh>
    <rPh sb="22" eb="23">
      <t>カ</t>
    </rPh>
    <rPh sb="27" eb="29">
      <t>ハンエイ</t>
    </rPh>
    <phoneticPr fontId="15"/>
  </si>
  <si>
    <t>６．計１シート　事業者IDが表示されない。→参照式を復活</t>
    <rPh sb="2" eb="3">
      <t>ケイ</t>
    </rPh>
    <rPh sb="8" eb="11">
      <t>ジギョウシャ</t>
    </rPh>
    <rPh sb="14" eb="16">
      <t>ヒョウジ</t>
    </rPh>
    <rPh sb="22" eb="25">
      <t>サンショウシキ</t>
    </rPh>
    <rPh sb="26" eb="28">
      <t>フッカツ</t>
    </rPh>
    <phoneticPr fontId="15"/>
  </si>
  <si>
    <t>７．計３シート　８次世代自動車の導入　保有台数の行が緑になっている</t>
    <phoneticPr fontId="15"/>
  </si>
  <si>
    <t>　　➡　参照式や条件式を修正</t>
    <rPh sb="4" eb="7">
      <t>サンショウシキ</t>
    </rPh>
    <rPh sb="8" eb="11">
      <t>ジョウケンシキ</t>
    </rPh>
    <rPh sb="12" eb="14">
      <t>シュウセイ</t>
    </rPh>
    <phoneticPr fontId="15"/>
  </si>
  <si>
    <t>　　➡　報告書からの参照とはせず黄色セルにする</t>
    <phoneticPr fontId="15"/>
  </si>
  <si>
    <t>８．使用量12シートのセルH117に参照式を入れ、原単位分母を表示。</t>
    <rPh sb="18" eb="21">
      <t>サンショウシキ</t>
    </rPh>
    <rPh sb="22" eb="23">
      <t>イ</t>
    </rPh>
    <rPh sb="31" eb="33">
      <t>ヒョウジ</t>
    </rPh>
    <phoneticPr fontId="15"/>
  </si>
  <si>
    <t>野呂</t>
    <rPh sb="0" eb="2">
      <t>ノロ</t>
    </rPh>
    <phoneticPr fontId="15"/>
  </si>
  <si>
    <t>デバッグ対応2</t>
    <rPh sb="4" eb="6">
      <t>タイオウ</t>
    </rPh>
    <phoneticPr fontId="15"/>
  </si>
  <si>
    <t>１．O1～O43シートのその他燃料3行（55～57行）がSUMされていない。</t>
    <rPh sb="14" eb="15">
      <t>タ</t>
    </rPh>
    <rPh sb="15" eb="17">
      <t>ネンリョウ</t>
    </rPh>
    <rPh sb="18" eb="19">
      <t>ギョウ</t>
    </rPh>
    <rPh sb="25" eb="26">
      <t>ギョウ</t>
    </rPh>
    <phoneticPr fontId="15"/>
  </si>
  <si>
    <t>　　255_ENEOSで昨年度との不一致より判明。43シートの58行目の5セル修正。</t>
    <rPh sb="12" eb="15">
      <t>サクネンド</t>
    </rPh>
    <rPh sb="17" eb="20">
      <t>フイッチ</t>
    </rPh>
    <rPh sb="22" eb="24">
      <t>ハンメイ</t>
    </rPh>
    <rPh sb="33" eb="35">
      <t>ギョウメ</t>
    </rPh>
    <rPh sb="39" eb="41">
      <t>シュウセイ</t>
    </rPh>
    <phoneticPr fontId="15"/>
  </si>
  <si>
    <t>　　バージョンをｖ7.0へ改正。</t>
    <rPh sb="13" eb="15">
      <t>カイセイ</t>
    </rPh>
    <phoneticPr fontId="15"/>
  </si>
  <si>
    <t>１．使用量12シート及び外部供給シートのグレーアウトの条件式が不正だった。</t>
    <rPh sb="10" eb="11">
      <t>オヨ</t>
    </rPh>
    <rPh sb="12" eb="16">
      <t>ガイブキョウキュウ</t>
    </rPh>
    <rPh sb="27" eb="30">
      <t>ジョウケンシキ</t>
    </rPh>
    <rPh sb="31" eb="33">
      <t>フセイ</t>
    </rPh>
    <phoneticPr fontId="15"/>
  </si>
  <si>
    <t>　　寄与度の場合で500kl未満が一律に黄色ではなくゼロ、１、２、３に応じて</t>
    <rPh sb="2" eb="5">
      <t>キヨド</t>
    </rPh>
    <rPh sb="6" eb="8">
      <t>バアイ</t>
    </rPh>
    <rPh sb="14" eb="16">
      <t>ミマン</t>
    </rPh>
    <rPh sb="17" eb="19">
      <t>イチリツ</t>
    </rPh>
    <rPh sb="20" eb="22">
      <t>キイロ</t>
    </rPh>
    <rPh sb="35" eb="36">
      <t>オウ</t>
    </rPh>
    <phoneticPr fontId="15"/>
  </si>
  <si>
    <t>　　「グレー」→「黄色」の変化を付けた。</t>
    <rPh sb="9" eb="11">
      <t>キイロ</t>
    </rPh>
    <phoneticPr fontId="15"/>
  </si>
  <si>
    <t>野呂</t>
    <rPh sb="0" eb="2">
      <t>ノロ</t>
    </rPh>
    <phoneticPr fontId="15"/>
  </si>
  <si>
    <t>無し</t>
  </si>
  <si>
    <t>【１～３】</t>
    <phoneticPr fontId="15"/>
  </si>
  <si>
    <t>【４】</t>
    <phoneticPr fontId="88"/>
  </si>
  <si>
    <t>【5】</t>
    <phoneticPr fontId="87"/>
  </si>
  <si>
    <t>【6】</t>
    <phoneticPr fontId="87"/>
  </si>
  <si>
    <t>【５～７】</t>
  </si>
  <si>
    <t>【８】</t>
  </si>
  <si>
    <t>【９】</t>
  </si>
  <si>
    <t>【１０～１１】</t>
    <phoneticPr fontId="88"/>
  </si>
  <si>
    <t>提出情報</t>
    <rPh sb="0" eb="2">
      <t>テイシュツ</t>
    </rPh>
    <rPh sb="2" eb="4">
      <t>ジョウホウ</t>
    </rPh>
    <phoneticPr fontId="15"/>
  </si>
  <si>
    <t>１　地球温暖化対策事業者等の概要</t>
    <phoneticPr fontId="15"/>
  </si>
  <si>
    <t>２　計画期間及び実施年度</t>
    <phoneticPr fontId="15"/>
  </si>
  <si>
    <t>３　公表の方法</t>
    <rPh sb="2" eb="4">
      <t>コウヒョウ</t>
    </rPh>
    <rPh sb="5" eb="7">
      <t>ホウホウ</t>
    </rPh>
    <phoneticPr fontId="88"/>
  </si>
  <si>
    <t>４の２　温室効果ガスの排出の抑制に係る目標等の状況（第３号該当事業者）</t>
    <phoneticPr fontId="15"/>
  </si>
  <si>
    <t>５　クレジットに関する取組状況</t>
    <phoneticPr fontId="15"/>
  </si>
  <si>
    <t>６　再生可能エネルギー利用設備の稼働状況</t>
    <rPh sb="2" eb="4">
      <t>サイセイ</t>
    </rPh>
    <rPh sb="4" eb="6">
      <t>カノウ</t>
    </rPh>
    <rPh sb="11" eb="13">
      <t>リヨウ</t>
    </rPh>
    <rPh sb="13" eb="15">
      <t>セツビ</t>
    </rPh>
    <rPh sb="16" eb="18">
      <t>カドウ</t>
    </rPh>
    <rPh sb="18" eb="20">
      <t>ジョウキョウ</t>
    </rPh>
    <phoneticPr fontId="220"/>
  </si>
  <si>
    <t>７　次世代自動車の導入状況</t>
    <phoneticPr fontId="15"/>
  </si>
  <si>
    <t>８の１　重点対策の実施状況（第１号及び第２号該当事業者）</t>
    <phoneticPr fontId="15"/>
  </si>
  <si>
    <t>８の２　重点対策の実施状況（第３号該当事業者）</t>
    <phoneticPr fontId="15"/>
  </si>
  <si>
    <t>９　自主的な温室効果ガス排出削減対策の実施状況</t>
    <phoneticPr fontId="15"/>
  </si>
  <si>
    <t>10　その他の地球温暖化を防止する対策の実施状況（エネルギーを利用した対策を除く）</t>
    <phoneticPr fontId="88"/>
  </si>
  <si>
    <t>11　特記事項</t>
    <rPh sb="3" eb="5">
      <t>トッキ</t>
    </rPh>
    <rPh sb="5" eb="7">
      <t>ジコウ</t>
    </rPh>
    <phoneticPr fontId="220"/>
  </si>
  <si>
    <t>事業者基本情報</t>
    <rPh sb="0" eb="3">
      <t>ジギョウシャ</t>
    </rPh>
    <rPh sb="3" eb="5">
      <t>キホン</t>
    </rPh>
    <rPh sb="5" eb="7">
      <t>ジョウホウ</t>
    </rPh>
    <phoneticPr fontId="87"/>
  </si>
  <si>
    <t>基本情報</t>
    <rPh sb="0" eb="2">
      <t>キホン</t>
    </rPh>
    <rPh sb="2" eb="4">
      <t>ジョウホウ</t>
    </rPh>
    <phoneticPr fontId="15"/>
  </si>
  <si>
    <t>提出者</t>
    <rPh sb="0" eb="2">
      <t>テイシュツ</t>
    </rPh>
    <rPh sb="2" eb="3">
      <t>シャ</t>
    </rPh>
    <phoneticPr fontId="15"/>
  </si>
  <si>
    <t>事業者概要</t>
    <rPh sb="0" eb="3">
      <t>ジギョウシャ</t>
    </rPh>
    <rPh sb="3" eb="5">
      <t>ガイヨウ</t>
    </rPh>
    <phoneticPr fontId="15"/>
  </si>
  <si>
    <t>主たる
事業の業種</t>
    <rPh sb="0" eb="1">
      <t>シュ</t>
    </rPh>
    <rPh sb="4" eb="6">
      <t>ジギョウ</t>
    </rPh>
    <rPh sb="7" eb="9">
      <t>ギョウシュ</t>
    </rPh>
    <phoneticPr fontId="15"/>
  </si>
  <si>
    <t>該当区分</t>
    <rPh sb="0" eb="2">
      <t>ガイトウ</t>
    </rPh>
    <rPh sb="2" eb="4">
      <t>クブン</t>
    </rPh>
    <phoneticPr fontId="15"/>
  </si>
  <si>
    <t>該当基準値</t>
    <rPh sb="0" eb="2">
      <t>ガイトウ</t>
    </rPh>
    <rPh sb="2" eb="5">
      <t>キジュンチ</t>
    </rPh>
    <phoneticPr fontId="15"/>
  </si>
  <si>
    <t>計画期間</t>
    <rPh sb="0" eb="2">
      <t>ケイカク</t>
    </rPh>
    <rPh sb="2" eb="4">
      <t>キカン</t>
    </rPh>
    <phoneticPr fontId="87"/>
  </si>
  <si>
    <t>実施年度</t>
    <rPh sb="0" eb="2">
      <t>ジッシ</t>
    </rPh>
    <rPh sb="2" eb="4">
      <t>ネンド</t>
    </rPh>
    <phoneticPr fontId="87"/>
  </si>
  <si>
    <t>ホームページ</t>
  </si>
  <si>
    <t>窓口で閲覧</t>
    <rPh sb="0" eb="2">
      <t>マドグチ</t>
    </rPh>
    <rPh sb="3" eb="5">
      <t>エツラン</t>
    </rPh>
    <phoneticPr fontId="87"/>
  </si>
  <si>
    <t>その他</t>
    <rPh sb="2" eb="3">
      <t>タ</t>
    </rPh>
    <phoneticPr fontId="87"/>
  </si>
  <si>
    <t>基準年度</t>
    <rPh sb="0" eb="2">
      <t>キジュン</t>
    </rPh>
    <rPh sb="2" eb="4">
      <t>ネンド</t>
    </rPh>
    <phoneticPr fontId="87"/>
  </si>
  <si>
    <t>目標年度</t>
    <rPh sb="0" eb="2">
      <t>モクヒョウ</t>
    </rPh>
    <rPh sb="2" eb="4">
      <t>ネンド</t>
    </rPh>
    <phoneticPr fontId="87"/>
  </si>
  <si>
    <t>第一年度</t>
    <rPh sb="0" eb="2">
      <t>ダイイチ</t>
    </rPh>
    <rPh sb="2" eb="4">
      <t>ネンド</t>
    </rPh>
    <phoneticPr fontId="87"/>
  </si>
  <si>
    <t>第二年度</t>
    <rPh sb="0" eb="2">
      <t>ダイニ</t>
    </rPh>
    <rPh sb="2" eb="4">
      <t>ネンド</t>
    </rPh>
    <phoneticPr fontId="87"/>
  </si>
  <si>
    <t>第三年度</t>
    <rPh sb="0" eb="2">
      <t>ダイ３</t>
    </rPh>
    <rPh sb="2" eb="4">
      <t>ネンド</t>
    </rPh>
    <phoneticPr fontId="87"/>
  </si>
  <si>
    <t>達成状況(R4変更）</t>
    <rPh sb="7" eb="9">
      <t>ヘンコウ</t>
    </rPh>
    <phoneticPr fontId="88"/>
  </si>
  <si>
    <t>省エネ取組
(R4変更）</t>
    <phoneticPr fontId="88"/>
  </si>
  <si>
    <t>事業活動量
(R4変更）</t>
    <rPh sb="0" eb="2">
      <t>ジギョウ</t>
    </rPh>
    <rPh sb="2" eb="4">
      <t>カツドウ</t>
    </rPh>
    <rPh sb="4" eb="5">
      <t>リョウ</t>
    </rPh>
    <phoneticPr fontId="88"/>
  </si>
  <si>
    <t>自由記述欄
(R4変更）</t>
    <rPh sb="0" eb="5">
      <t>ジユウキジュツラン</t>
    </rPh>
    <phoneticPr fontId="88"/>
  </si>
  <si>
    <t>合計</t>
    <rPh sb="0" eb="2">
      <t>ゴウケイ</t>
    </rPh>
    <phoneticPr fontId="87"/>
  </si>
  <si>
    <t>電気自動車</t>
  </si>
  <si>
    <t>プラグインハイブリッド車</t>
  </si>
  <si>
    <t>燃料電池自動車</t>
  </si>
  <si>
    <t>1 推進体制の整備</t>
    <rPh sb="2" eb="4">
      <t>スイシン</t>
    </rPh>
    <rPh sb="4" eb="6">
      <t>タイセイ</t>
    </rPh>
    <rPh sb="7" eb="9">
      <t>セイビ</t>
    </rPh>
    <phoneticPr fontId="87"/>
  </si>
  <si>
    <t>2 エネルギー使用量の把握</t>
    <phoneticPr fontId="87"/>
  </si>
  <si>
    <t>3 事務用機器の管理</t>
    <rPh sb="2" eb="5">
      <t>ジムヨウ</t>
    </rPh>
    <rPh sb="5" eb="7">
      <t>キキ</t>
    </rPh>
    <rPh sb="8" eb="10">
      <t>カンリ</t>
    </rPh>
    <phoneticPr fontId="87"/>
  </si>
  <si>
    <t>4 受変電設備の力率の管理</t>
    <phoneticPr fontId="87"/>
  </si>
  <si>
    <t>5 照明設備の管理</t>
    <phoneticPr fontId="87"/>
  </si>
  <si>
    <t>6 空調設備の管理</t>
    <phoneticPr fontId="87"/>
  </si>
  <si>
    <t>7 空調用冷凍機の管理</t>
    <phoneticPr fontId="87"/>
  </si>
  <si>
    <t>8 換気設備の管理</t>
    <phoneticPr fontId="87"/>
  </si>
  <si>
    <t>9 フィルターの清掃</t>
    <phoneticPr fontId="87"/>
  </si>
  <si>
    <t>10 ボイラーの管理</t>
    <rPh sb="8" eb="10">
      <t>カンリ</t>
    </rPh>
    <phoneticPr fontId="87"/>
  </si>
  <si>
    <t>11 蒸気配管等の管理</t>
    <phoneticPr fontId="87"/>
  </si>
  <si>
    <t>12 燃焼設備の空気比管理</t>
    <phoneticPr fontId="87"/>
  </si>
  <si>
    <t>13 ポンプ、ファン、ブロワー及びコンプレッサの負荷に応じた運転管理</t>
    <phoneticPr fontId="87"/>
  </si>
  <si>
    <t>14 推進体制の整備</t>
    <phoneticPr fontId="87"/>
  </si>
  <si>
    <t>15 自動車の適正な使用管理</t>
    <phoneticPr fontId="87"/>
  </si>
  <si>
    <t>16 エネルギー使用量等に関するデータの管理</t>
    <phoneticPr fontId="87"/>
  </si>
  <si>
    <t>17 エコドライブ推進体制の整備</t>
    <phoneticPr fontId="87"/>
  </si>
  <si>
    <t>18 自動車の適正な維持管理</t>
    <phoneticPr fontId="87"/>
  </si>
  <si>
    <t>合算</t>
    <rPh sb="0" eb="2">
      <t>ガッサン</t>
    </rPh>
    <phoneticPr fontId="87"/>
  </si>
  <si>
    <r>
      <t xml:space="preserve">対策１
</t>
    </r>
    <r>
      <rPr>
        <b/>
        <sz val="9"/>
        <color theme="1"/>
        <rFont val="HGPｺﾞｼｯｸM"/>
        <family val="3"/>
        <charset val="128"/>
      </rPr>
      <t>（任意数記載可能分は別途）</t>
    </r>
    <rPh sb="0" eb="2">
      <t>タイサク</t>
    </rPh>
    <rPh sb="5" eb="7">
      <t>ニンイ</t>
    </rPh>
    <rPh sb="7" eb="8">
      <t>スウ</t>
    </rPh>
    <rPh sb="8" eb="10">
      <t>キサイ</t>
    </rPh>
    <rPh sb="10" eb="12">
      <t>カノウ</t>
    </rPh>
    <rPh sb="12" eb="13">
      <t>ブン</t>
    </rPh>
    <rPh sb="14" eb="16">
      <t>ベット</t>
    </rPh>
    <phoneticPr fontId="220"/>
  </si>
  <si>
    <t>廃棄物の排出量の把握及び削減に係る対策</t>
  </si>
  <si>
    <t>その他地球温暖化の防止に係る対策（エネルギーを使用しないもの）</t>
  </si>
  <si>
    <t>備考</t>
    <rPh sb="0" eb="2">
      <t>ビコウ</t>
    </rPh>
    <phoneticPr fontId="88"/>
  </si>
  <si>
    <t>提出代表者</t>
    <phoneticPr fontId="88"/>
  </si>
  <si>
    <t>エネルギー500kl以上事業所数</t>
    <phoneticPr fontId="15"/>
  </si>
  <si>
    <t>有無</t>
    <rPh sb="0" eb="2">
      <t>ウム</t>
    </rPh>
    <phoneticPr fontId="15"/>
  </si>
  <si>
    <t>アドレス</t>
  </si>
  <si>
    <t>閲覧場所</t>
    <rPh sb="0" eb="2">
      <t>エツラン</t>
    </rPh>
    <rPh sb="2" eb="4">
      <t>バショ</t>
    </rPh>
    <phoneticPr fontId="87"/>
  </si>
  <si>
    <t>所在地</t>
    <rPh sb="0" eb="3">
      <t>ショザイチ</t>
    </rPh>
    <phoneticPr fontId="87"/>
  </si>
  <si>
    <t>閲覧可能時間</t>
    <rPh sb="0" eb="2">
      <t>エツラン</t>
    </rPh>
    <rPh sb="2" eb="4">
      <t>カノウ</t>
    </rPh>
    <rPh sb="4" eb="6">
      <t>ジカン</t>
    </rPh>
    <phoneticPr fontId="87"/>
  </si>
  <si>
    <t>内容</t>
    <rPh sb="0" eb="2">
      <t>ナイヨウ</t>
    </rPh>
    <phoneticPr fontId="15"/>
  </si>
  <si>
    <t>年度</t>
    <rPh sb="0" eb="2">
      <t>ネンド</t>
    </rPh>
    <phoneticPr fontId="88"/>
  </si>
  <si>
    <t>基礎排出量
（tCO2）</t>
    <phoneticPr fontId="87"/>
  </si>
  <si>
    <t>調整後排出量
（tCO2）</t>
    <phoneticPr fontId="87"/>
  </si>
  <si>
    <t>原単位</t>
    <rPh sb="0" eb="1">
      <t>ゲン</t>
    </rPh>
    <rPh sb="1" eb="3">
      <t>タンイ</t>
    </rPh>
    <phoneticPr fontId="87"/>
  </si>
  <si>
    <t>基礎
排出量
（tCO2）</t>
    <phoneticPr fontId="87"/>
  </si>
  <si>
    <t>基礎削減率</t>
    <rPh sb="0" eb="2">
      <t>キソ</t>
    </rPh>
    <rPh sb="2" eb="4">
      <t>サクゲン</t>
    </rPh>
    <rPh sb="4" eb="5">
      <t>リツ</t>
    </rPh>
    <phoneticPr fontId="87"/>
  </si>
  <si>
    <t>調整後
排出量
（tCO2）</t>
    <phoneticPr fontId="87"/>
  </si>
  <si>
    <t>調整後削減率</t>
    <rPh sb="0" eb="3">
      <t>チョウセイゴ</t>
    </rPh>
    <rPh sb="3" eb="5">
      <t>サクゲン</t>
    </rPh>
    <rPh sb="5" eb="6">
      <t>リツ</t>
    </rPh>
    <phoneticPr fontId="87"/>
  </si>
  <si>
    <t>削減率</t>
    <rPh sb="0" eb="2">
      <t>サクゲン</t>
    </rPh>
    <rPh sb="2" eb="3">
      <t>リツ</t>
    </rPh>
    <phoneticPr fontId="87"/>
  </si>
  <si>
    <t>クレジットの名称</t>
    <rPh sb="6" eb="8">
      <t>メイショウ</t>
    </rPh>
    <phoneticPr fontId="87"/>
  </si>
  <si>
    <t>特定温室効果ガス削減相当量</t>
    <rPh sb="0" eb="2">
      <t>トクテイ</t>
    </rPh>
    <rPh sb="2" eb="4">
      <t>オンシツ</t>
    </rPh>
    <rPh sb="4" eb="6">
      <t>コウカ</t>
    </rPh>
    <phoneticPr fontId="87"/>
  </si>
  <si>
    <t>オフセット対象範囲</t>
    <phoneticPr fontId="87"/>
  </si>
  <si>
    <t>設備機器の種類</t>
    <rPh sb="0" eb="2">
      <t>セツビ</t>
    </rPh>
    <rPh sb="2" eb="4">
      <t>キキ</t>
    </rPh>
    <rPh sb="5" eb="7">
      <t>シュルイ</t>
    </rPh>
    <phoneticPr fontId="87"/>
  </si>
  <si>
    <t>導入年度</t>
    <rPh sb="0" eb="2">
      <t>ドウニュウ</t>
    </rPh>
    <rPh sb="2" eb="4">
      <t>ネンド</t>
    </rPh>
    <phoneticPr fontId="87"/>
  </si>
  <si>
    <t>設備機器の性能</t>
  </si>
  <si>
    <t>発電等の実績</t>
  </si>
  <si>
    <t>単位</t>
  </si>
  <si>
    <t>導入台数</t>
  </si>
  <si>
    <t>保有台数</t>
  </si>
  <si>
    <t>①管理基準等の設定状況</t>
  </si>
  <si>
    <t>②実施状況</t>
  </si>
  <si>
    <t>備考</t>
    <rPh sb="0" eb="2">
      <t>ビコウ</t>
    </rPh>
    <phoneticPr fontId="87"/>
  </si>
  <si>
    <t>事業者総排出量[t-CO2]</t>
  </si>
  <si>
    <t>削減量合計
[t-CO2]</t>
    <phoneticPr fontId="88"/>
  </si>
  <si>
    <t>削減量合計／事業者総排出量</t>
    <phoneticPr fontId="89"/>
  </si>
  <si>
    <t>導入/稼働年度</t>
    <rPh sb="0" eb="2">
      <t>ドウニュウ</t>
    </rPh>
    <rPh sb="3" eb="5">
      <t>カドウ</t>
    </rPh>
    <rPh sb="5" eb="7">
      <t>ネンド</t>
    </rPh>
    <phoneticPr fontId="87"/>
  </si>
  <si>
    <t>対策分類</t>
    <rPh sb="0" eb="2">
      <t>タイサク</t>
    </rPh>
    <rPh sb="2" eb="4">
      <t>ブンルイ</t>
    </rPh>
    <phoneticPr fontId="87"/>
  </si>
  <si>
    <t>設備分類</t>
    <rPh sb="0" eb="2">
      <t>セツビ</t>
    </rPh>
    <rPh sb="2" eb="4">
      <t>ブンルイ</t>
    </rPh>
    <phoneticPr fontId="87"/>
  </si>
  <si>
    <t>具体的な対策</t>
    <rPh sb="0" eb="3">
      <t>グタイテキ</t>
    </rPh>
    <rPh sb="4" eb="6">
      <t>タイサク</t>
    </rPh>
    <phoneticPr fontId="87"/>
  </si>
  <si>
    <r>
      <t xml:space="preserve">削減量
</t>
    </r>
    <r>
      <rPr>
        <sz val="9"/>
        <color theme="1"/>
        <rFont val="HGPｺﾞｼｯｸM"/>
        <family val="3"/>
        <charset val="128"/>
      </rPr>
      <t>[t-CO</t>
    </r>
    <r>
      <rPr>
        <vertAlign val="subscript"/>
        <sz val="9"/>
        <color theme="1"/>
        <rFont val="HGPｺﾞｼｯｸM"/>
        <family val="3"/>
        <charset val="128"/>
      </rPr>
      <t>2</t>
    </r>
    <r>
      <rPr>
        <sz val="9"/>
        <color theme="1"/>
        <rFont val="HGPｺﾞｼｯｸM"/>
        <family val="3"/>
        <charset val="128"/>
      </rPr>
      <t>]</t>
    </r>
    <rPh sb="0" eb="2">
      <t>サクゲン</t>
    </rPh>
    <rPh sb="2" eb="3">
      <t>リョウ</t>
    </rPh>
    <phoneticPr fontId="87"/>
  </si>
  <si>
    <t>９　自主的な温室効果ガス排出削減対策</t>
    <phoneticPr fontId="220"/>
  </si>
  <si>
    <t>事業者ID</t>
    <rPh sb="0" eb="3">
      <t>ジギョウシャ</t>
    </rPh>
    <phoneticPr fontId="89"/>
  </si>
  <si>
    <t>番号</t>
    <rPh sb="0" eb="2">
      <t>バンゴウ</t>
    </rPh>
    <phoneticPr fontId="87"/>
  </si>
  <si>
    <t>１　事業所等の概要</t>
  </si>
  <si>
    <t>２　温室効果ガスの排出の抑制に係る目標等の状況</t>
    <phoneticPr fontId="89"/>
  </si>
  <si>
    <t>目標達成状況及び説明</t>
    <rPh sb="0" eb="2">
      <t>モクヒョウ</t>
    </rPh>
    <rPh sb="2" eb="4">
      <t>タッセイ</t>
    </rPh>
    <rPh sb="4" eb="6">
      <t>ジョウキョウ</t>
    </rPh>
    <rPh sb="6" eb="7">
      <t>オヨ</t>
    </rPh>
    <rPh sb="8" eb="10">
      <t>セツメイ</t>
    </rPh>
    <phoneticPr fontId="87"/>
  </si>
  <si>
    <t>事業所コード</t>
    <rPh sb="0" eb="3">
      <t>ジギョウショ</t>
    </rPh>
    <phoneticPr fontId="88"/>
  </si>
  <si>
    <t>事業所等の名称</t>
    <rPh sb="2" eb="3">
      <t>ショ</t>
    </rPh>
    <rPh sb="3" eb="4">
      <t>ナド</t>
    </rPh>
    <phoneticPr fontId="100"/>
  </si>
  <si>
    <t>事業所等の所在地</t>
    <rPh sb="2" eb="3">
      <t>ショ</t>
    </rPh>
    <rPh sb="3" eb="4">
      <t>ナド</t>
    </rPh>
    <phoneticPr fontId="100"/>
  </si>
  <si>
    <t>延床面積
(㎡)</t>
    <phoneticPr fontId="89"/>
  </si>
  <si>
    <t>原油換算ｴﾈﾙｷﾞｰ使用量
(kｌ)</t>
    <phoneticPr fontId="89"/>
  </si>
  <si>
    <t>事業所等の区分</t>
  </si>
  <si>
    <t>ｴﾈﾙｷﾞｰ管理権原</t>
  </si>
  <si>
    <t>所有形態</t>
  </si>
  <si>
    <t>計画書　総括票記載一覧</t>
    <rPh sb="0" eb="3">
      <t>ケイカクショ</t>
    </rPh>
    <rPh sb="4" eb="6">
      <t>ソウカツ</t>
    </rPh>
    <rPh sb="6" eb="7">
      <t>ヒョウ</t>
    </rPh>
    <rPh sb="7" eb="9">
      <t>キサイ</t>
    </rPh>
    <rPh sb="9" eb="11">
      <t>イチラン</t>
    </rPh>
    <phoneticPr fontId="87"/>
  </si>
  <si>
    <t>※旧ツールでは、保有台数・導入予定の順</t>
    <rPh sb="1" eb="2">
      <t>キュウ</t>
    </rPh>
    <rPh sb="8" eb="10">
      <t>ホユウ</t>
    </rPh>
    <rPh sb="10" eb="12">
      <t>ダイスウ</t>
    </rPh>
    <rPh sb="13" eb="15">
      <t>ドウニュウ</t>
    </rPh>
    <rPh sb="15" eb="17">
      <t>ヨテイ</t>
    </rPh>
    <rPh sb="18" eb="19">
      <t>ジュン</t>
    </rPh>
    <phoneticPr fontId="87"/>
  </si>
  <si>
    <t>【重点対策凡例】1：整備済 or 実施済 or 設定済、2：一部整備済 or 一部実施済 or 一部設定済、3：未整備 or 未実施 or 未設定</t>
    <rPh sb="1" eb="3">
      <t>ジュウテン</t>
    </rPh>
    <rPh sb="3" eb="5">
      <t>タイサク</t>
    </rPh>
    <rPh sb="5" eb="7">
      <t>ハンレイ</t>
    </rPh>
    <rPh sb="10" eb="12">
      <t>セイビ</t>
    </rPh>
    <rPh sb="12" eb="13">
      <t>ズ</t>
    </rPh>
    <rPh sb="17" eb="19">
      <t>ジッシ</t>
    </rPh>
    <rPh sb="19" eb="20">
      <t>ズ</t>
    </rPh>
    <rPh sb="24" eb="26">
      <t>セッテイ</t>
    </rPh>
    <rPh sb="26" eb="27">
      <t>ズ</t>
    </rPh>
    <rPh sb="30" eb="32">
      <t>イチブ</t>
    </rPh>
    <rPh sb="56" eb="57">
      <t>ミ</t>
    </rPh>
    <phoneticPr fontId="89"/>
  </si>
  <si>
    <t>【４～５】</t>
    <phoneticPr fontId="89"/>
  </si>
  <si>
    <t>【６～８】</t>
    <phoneticPr fontId="87"/>
  </si>
  <si>
    <t>２　計画
期間</t>
    <phoneticPr fontId="15"/>
  </si>
  <si>
    <t>３　
温室効果ガスの排出の抑制等を図るための基本方針</t>
    <rPh sb="3" eb="5">
      <t>オンシツ</t>
    </rPh>
    <rPh sb="5" eb="7">
      <t>コウカ</t>
    </rPh>
    <rPh sb="10" eb="12">
      <t>ハイシュツ</t>
    </rPh>
    <rPh sb="13" eb="15">
      <t>ヨクセイ</t>
    </rPh>
    <rPh sb="15" eb="16">
      <t>トウ</t>
    </rPh>
    <rPh sb="17" eb="18">
      <t>ハカ</t>
    </rPh>
    <rPh sb="22" eb="24">
      <t>キホン</t>
    </rPh>
    <rPh sb="24" eb="26">
      <t>ホウシン</t>
    </rPh>
    <phoneticPr fontId="88"/>
  </si>
  <si>
    <t>４　公表の方法</t>
    <phoneticPr fontId="88"/>
  </si>
  <si>
    <t>５の１　温室効果ガスの排出の抑制に係る目標等の状況（第１号及び第２号該当事業者）</t>
    <phoneticPr fontId="15"/>
  </si>
  <si>
    <t>５の２　温室効果ガスの排出の抑制に係る目標等の状況（第３号該当事業者）</t>
    <phoneticPr fontId="15"/>
  </si>
  <si>
    <t>６　クレジットに関する取組状況</t>
    <phoneticPr fontId="15"/>
  </si>
  <si>
    <t>７　設備の新設、更新等の計画</t>
    <rPh sb="2" eb="4">
      <t>セツビ</t>
    </rPh>
    <rPh sb="5" eb="7">
      <t>シンセツ</t>
    </rPh>
    <rPh sb="8" eb="11">
      <t>コウシンナド</t>
    </rPh>
    <rPh sb="12" eb="14">
      <t>ケイカク</t>
    </rPh>
    <phoneticPr fontId="220"/>
  </si>
  <si>
    <t>８　次世代自動車の導入状況及び計画</t>
    <phoneticPr fontId="15"/>
  </si>
  <si>
    <t>９の１　重点対策の実施状況及び計画（第１号及び第２号該当事業者）</t>
    <phoneticPr fontId="15"/>
  </si>
  <si>
    <t>９の２　重点対策の実施状況及び計画
　　　　（第３号該当事業者）</t>
    <phoneticPr fontId="15"/>
  </si>
  <si>
    <t>排出の抑制に係る目標の設定の考え方</t>
  </si>
  <si>
    <t>照明設備</t>
    <phoneticPr fontId="87"/>
  </si>
  <si>
    <t>再エネ設備</t>
    <phoneticPr fontId="87"/>
  </si>
  <si>
    <t>計画期間での導入予定有無</t>
    <rPh sb="10" eb="12">
      <t>ウム</t>
    </rPh>
    <phoneticPr fontId="87"/>
  </si>
  <si>
    <t>計画期間での実施予定</t>
  </si>
  <si>
    <t>詳細</t>
    <rPh sb="0" eb="2">
      <t>ショウサイ</t>
    </rPh>
    <phoneticPr fontId="87"/>
  </si>
  <si>
    <t>再エネ設備1</t>
    <rPh sb="0" eb="1">
      <t>サイ</t>
    </rPh>
    <rPh sb="3" eb="5">
      <t>セツビ</t>
    </rPh>
    <phoneticPr fontId="88"/>
  </si>
  <si>
    <t>再エネ設備1詳細</t>
    <rPh sb="6" eb="8">
      <t>ショウサイ</t>
    </rPh>
    <phoneticPr fontId="88"/>
  </si>
  <si>
    <t>再エネ設備2</t>
    <phoneticPr fontId="88"/>
  </si>
  <si>
    <t>再エネ設備2詳細</t>
    <rPh sb="6" eb="8">
      <t>ショウサイ</t>
    </rPh>
    <phoneticPr fontId="88"/>
  </si>
  <si>
    <t>再エネ設備3</t>
  </si>
  <si>
    <t>再エネ設備3詳細</t>
    <rPh sb="6" eb="8">
      <t>ショウサイ</t>
    </rPh>
    <phoneticPr fontId="88"/>
  </si>
  <si>
    <t>計画期間導入予定台数</t>
  </si>
  <si>
    <t>計画書　個別票記載一覧</t>
    <rPh sb="0" eb="3">
      <t>ケイカクショ</t>
    </rPh>
    <rPh sb="4" eb="6">
      <t>コベツ</t>
    </rPh>
    <rPh sb="6" eb="7">
      <t>ヒョウ</t>
    </rPh>
    <rPh sb="7" eb="9">
      <t>キサイ</t>
    </rPh>
    <rPh sb="9" eb="11">
      <t>イチラン</t>
    </rPh>
    <phoneticPr fontId="87"/>
  </si>
  <si>
    <t>排出の抑制に係る目標の設定の考え方</t>
    <rPh sb="0" eb="2">
      <t>ハイシュツ</t>
    </rPh>
    <rPh sb="3" eb="5">
      <t>ヨクセイ</t>
    </rPh>
    <rPh sb="6" eb="7">
      <t>カカワ</t>
    </rPh>
    <rPh sb="8" eb="10">
      <t>モクヒョウ</t>
    </rPh>
    <rPh sb="11" eb="13">
      <t>セッテイ</t>
    </rPh>
    <rPh sb="14" eb="15">
      <t>カンガ</t>
    </rPh>
    <rPh sb="16" eb="17">
      <t>カタ</t>
    </rPh>
    <phoneticPr fontId="87"/>
  </si>
  <si>
    <t>1.目標設定する／2.目標設定しない</t>
    <rPh sb="2" eb="4">
      <t>モクヒョウ</t>
    </rPh>
    <rPh sb="4" eb="6">
      <t>セッテイ</t>
    </rPh>
    <rPh sb="11" eb="13">
      <t>モクヒョウ</t>
    </rPh>
    <rPh sb="13" eb="15">
      <t>セッテイ</t>
    </rPh>
    <phoneticPr fontId="87"/>
  </si>
  <si>
    <t>報告書総括基本記載一覧</t>
    <rPh sb="0" eb="3">
      <t>ホウコクショ</t>
    </rPh>
    <rPh sb="3" eb="5">
      <t>ソウカツ</t>
    </rPh>
    <rPh sb="5" eb="7">
      <t>キホン</t>
    </rPh>
    <rPh sb="7" eb="9">
      <t>キサイ</t>
    </rPh>
    <rPh sb="9" eb="11">
      <t>イチラン</t>
    </rPh>
    <phoneticPr fontId="87"/>
  </si>
  <si>
    <t>記入する/しない</t>
    <rPh sb="0" eb="2">
      <t>キニュウ</t>
    </rPh>
    <phoneticPr fontId="87"/>
  </si>
  <si>
    <t>任意12</t>
    <phoneticPr fontId="15"/>
  </si>
  <si>
    <t>任意3</t>
    <rPh sb="0" eb="2">
      <t>ニンイ</t>
    </rPh>
    <phoneticPr fontId="15"/>
  </si>
  <si>
    <t>提出者</t>
    <phoneticPr fontId="88"/>
  </si>
  <si>
    <t>オフセット対象範囲</t>
    <rPh sb="5" eb="9">
      <t>タイショウハンイ</t>
    </rPh>
    <phoneticPr fontId="87"/>
  </si>
  <si>
    <r>
      <rPr>
        <b/>
        <u/>
        <sz val="12"/>
        <color theme="3"/>
        <rFont val="ＭＳ Ｐゴシック"/>
        <family val="3"/>
        <charset val="128"/>
      </rPr>
      <t>他者へのエネルギー供給（販売）</t>
    </r>
    <r>
      <rPr>
        <b/>
        <u/>
        <sz val="12"/>
        <rFont val="ＭＳ Ｐゴシック"/>
        <family val="3"/>
        <charset val="128"/>
      </rPr>
      <t>が有る場合</t>
    </r>
    <r>
      <rPr>
        <b/>
        <sz val="12"/>
        <rFont val="ＭＳ Ｐゴシック"/>
        <family val="3"/>
        <charset val="128"/>
      </rPr>
      <t>は、「「無し」⇒「有り」に変更してください。</t>
    </r>
    <rPh sb="16" eb="17">
      <t>ア</t>
    </rPh>
    <rPh sb="18" eb="20">
      <t>バアイ</t>
    </rPh>
    <rPh sb="24" eb="25">
      <t>ナシ</t>
    </rPh>
    <rPh sb="29" eb="30">
      <t>ア</t>
    </rPh>
    <rPh sb="33" eb="35">
      <t>ヘンコウ</t>
    </rPh>
    <phoneticPr fontId="15"/>
  </si>
  <si>
    <t>野呂</t>
    <rPh sb="0" eb="2">
      <t>ノロ</t>
    </rPh>
    <phoneticPr fontId="15"/>
  </si>
  <si>
    <t>１．公開バージョン確定に向け、以下の不具合を修正</t>
    <rPh sb="2" eb="4">
      <t>コウカイ</t>
    </rPh>
    <rPh sb="9" eb="11">
      <t>カクテイ</t>
    </rPh>
    <rPh sb="12" eb="13">
      <t>ム</t>
    </rPh>
    <rPh sb="15" eb="17">
      <t>イカ</t>
    </rPh>
    <rPh sb="18" eb="21">
      <t>フグアイ</t>
    </rPh>
    <rPh sb="22" eb="24">
      <t>シュウセイ</t>
    </rPh>
    <phoneticPr fontId="15"/>
  </si>
  <si>
    <t>　　　①　計画個別のグレー化の未完成部分を修正し直した</t>
    <rPh sb="5" eb="7">
      <t>ケイカク</t>
    </rPh>
    <rPh sb="7" eb="9">
      <t>コベツ</t>
    </rPh>
    <rPh sb="13" eb="14">
      <t>カ</t>
    </rPh>
    <rPh sb="15" eb="18">
      <t>ミカンセイ</t>
    </rPh>
    <rPh sb="18" eb="20">
      <t>ブブン</t>
    </rPh>
    <rPh sb="21" eb="23">
      <t>シュウセイ</t>
    </rPh>
    <rPh sb="24" eb="25">
      <t>ナオ</t>
    </rPh>
    <phoneticPr fontId="15"/>
  </si>
  <si>
    <t>　　　②　3号事業者の原単位で「11.8」の数値の出現を直した（使用量_3）</t>
    <rPh sb="6" eb="10">
      <t>ゴウジギョウシャ</t>
    </rPh>
    <rPh sb="11" eb="14">
      <t>ゲンタンイ</t>
    </rPh>
    <rPh sb="22" eb="24">
      <t>スウチ</t>
    </rPh>
    <rPh sb="25" eb="27">
      <t>シュツゲン</t>
    </rPh>
    <rPh sb="32" eb="35">
      <t>シヨウリョウ</t>
    </rPh>
    <phoneticPr fontId="15"/>
  </si>
  <si>
    <t>　　　③　使用量_1，2で1（1）の記載文から「横浜市内における」を削除</t>
    <rPh sb="5" eb="8">
      <t>シヨウリョウ</t>
    </rPh>
    <rPh sb="18" eb="21">
      <t>キサイブン</t>
    </rPh>
    <rPh sb="24" eb="28">
      <t>ヨコハマシナイ</t>
    </rPh>
    <rPh sb="34" eb="36">
      <t>サクジョ</t>
    </rPh>
    <phoneticPr fontId="15"/>
  </si>
  <si>
    <t>２．一行で集計するための隠しシートを作成。</t>
    <rPh sb="2" eb="4">
      <t>イッコウ</t>
    </rPh>
    <rPh sb="5" eb="7">
      <t>シュウケイ</t>
    </rPh>
    <rPh sb="12" eb="13">
      <t>カク</t>
    </rPh>
    <rPh sb="18" eb="20">
      <t>サクセイ</t>
    </rPh>
    <phoneticPr fontId="15"/>
  </si>
  <si>
    <t>　　　「集計_報告」「集計_報告個別」「集計_計画」「集計_計画個別」</t>
    <rPh sb="16" eb="18">
      <t>コベツ</t>
    </rPh>
    <rPh sb="23" eb="25">
      <t>ケイカク</t>
    </rPh>
    <rPh sb="30" eb="32">
      <t>ケイカク</t>
    </rPh>
    <rPh sb="32" eb="34">
      <t>コベツ</t>
    </rPh>
    <phoneticPr fontId="15"/>
  </si>
  <si>
    <t>３．公開用ファイル名を『提出様式_R5_Ver01.xlsx」とし、Ver番号をリセットし,た。</t>
    <rPh sb="2" eb="5">
      <t>コウカイヨウ</t>
    </rPh>
    <rPh sb="9" eb="10">
      <t>メイ</t>
    </rPh>
    <rPh sb="12" eb="16">
      <t>テイシュツヨウシキ</t>
    </rPh>
    <rPh sb="37" eb="39">
      <t>バンゴウ</t>
    </rPh>
    <phoneticPr fontId="15"/>
  </si>
  <si>
    <r>
      <t>　・このファイル１つで、地球温暖化対策計画書</t>
    </r>
    <r>
      <rPr>
        <sz val="11"/>
        <rFont val="ＭＳ Ｐゴシック"/>
        <family val="3"/>
        <charset val="128"/>
      </rPr>
      <t>、実施状況報告書</t>
    </r>
    <r>
      <rPr>
        <sz val="11"/>
        <rFont val="ＭＳ Ｐゴシック"/>
        <family val="3"/>
        <charset val="128"/>
      </rPr>
      <t>、排出量の算定根拠、提出書が作成できます。</t>
    </r>
    <phoneticPr fontId="15"/>
  </si>
  <si>
    <t>（黄色）</t>
    <rPh sb="1" eb="3">
      <t>キイロ</t>
    </rPh>
    <phoneticPr fontId="15"/>
  </si>
  <si>
    <t>（白色）</t>
    <rPh sb="1" eb="2">
      <t>シロ</t>
    </rPh>
    <rPh sb="2" eb="3">
      <t>イロ</t>
    </rPh>
    <phoneticPr fontId="15"/>
  </si>
  <si>
    <t>（緑色）</t>
    <rPh sb="1" eb="3">
      <t>ミドリイロ</t>
    </rPh>
    <phoneticPr fontId="15"/>
  </si>
  <si>
    <t>横浜市地球温暖化対策計画書制度　提出様式</t>
    <rPh sb="0" eb="2">
      <t>ヨコハマ</t>
    </rPh>
    <rPh sb="2" eb="3">
      <t>シ</t>
    </rPh>
    <rPh sb="3" eb="5">
      <t>チキュウ</t>
    </rPh>
    <rPh sb="5" eb="7">
      <t>オンダン</t>
    </rPh>
    <rPh sb="7" eb="8">
      <t>カ</t>
    </rPh>
    <rPh sb="8" eb="10">
      <t>タイサク</t>
    </rPh>
    <rPh sb="10" eb="13">
      <t>ケイカクショ</t>
    </rPh>
    <rPh sb="13" eb="15">
      <t>セイド</t>
    </rPh>
    <phoneticPr fontId="15"/>
  </si>
  <si>
    <t>報告書　自主的対策記載一覧</t>
    <rPh sb="0" eb="3">
      <t>ホウコクショ</t>
    </rPh>
    <rPh sb="4" eb="6">
      <t>ジシュ</t>
    </rPh>
    <rPh sb="6" eb="7">
      <t>テキ</t>
    </rPh>
    <rPh sb="7" eb="9">
      <t>タイサク</t>
    </rPh>
    <rPh sb="9" eb="11">
      <t>キサイ</t>
    </rPh>
    <rPh sb="11" eb="13">
      <t>イチラン</t>
    </rPh>
    <phoneticPr fontId="87"/>
  </si>
  <si>
    <t>報告書個別票　記載一覧</t>
    <rPh sb="0" eb="3">
      <t>ホウコクショ</t>
    </rPh>
    <rPh sb="3" eb="5">
      <t>コベツ</t>
    </rPh>
    <rPh sb="5" eb="6">
      <t>ヒョウ</t>
    </rPh>
    <rPh sb="7" eb="9">
      <t>キサイ</t>
    </rPh>
    <rPh sb="9" eb="11">
      <t>イチラン</t>
    </rPh>
    <phoneticPr fontId="87"/>
  </si>
  <si>
    <t>地球温暖化対策計画書提出書兼</t>
    <rPh sb="0" eb="2">
      <t>チキュウ</t>
    </rPh>
    <rPh sb="2" eb="5">
      <t>オンダンカ</t>
    </rPh>
    <rPh sb="5" eb="7">
      <t>タイサク</t>
    </rPh>
    <rPh sb="7" eb="9">
      <t>ケイカク</t>
    </rPh>
    <rPh sb="9" eb="10">
      <t>ショ</t>
    </rPh>
    <rPh sb="10" eb="12">
      <t>テイシュツ</t>
    </rPh>
    <rPh sb="12" eb="13">
      <t>ショ</t>
    </rPh>
    <rPh sb="13" eb="14">
      <t>ケン</t>
    </rPh>
    <phoneticPr fontId="15"/>
  </si>
  <si>
    <t>別添の通り地球温暖化対策計画書兼地球温暖化対策実施状況報告書を提出します。</t>
    <rPh sb="15" eb="16">
      <t>ケン</t>
    </rPh>
    <phoneticPr fontId="15"/>
  </si>
  <si>
    <t>工藤</t>
    <rPh sb="0" eb="2">
      <t>クドウ</t>
    </rPh>
    <phoneticPr fontId="15"/>
  </si>
  <si>
    <t>１　ファイル名修正</t>
    <rPh sb="6" eb="7">
      <t>メイ</t>
    </rPh>
    <rPh sb="7" eb="9">
      <t>シュウセイ</t>
    </rPh>
    <phoneticPr fontId="15"/>
  </si>
  <si>
    <t>　年度を和暦（R5）から西暦（2023）表示に変更し、提出様式の前に出した</t>
    <phoneticPr fontId="15"/>
  </si>
  <si>
    <t>２　集計表の追加修正</t>
    <rPh sb="2" eb="4">
      <t>シュウケイ</t>
    </rPh>
    <rPh sb="4" eb="5">
      <t>ヒョウ</t>
    </rPh>
    <rPh sb="6" eb="8">
      <t>ツイカ</t>
    </rPh>
    <rPh sb="8" eb="10">
      <t>シュウセイ</t>
    </rPh>
    <phoneticPr fontId="15"/>
  </si>
  <si>
    <t>　・自主的対策の集計シートを追加（各対策をタテに集約できる方式のもの）</t>
    <rPh sb="2" eb="5">
      <t>ジシュテキ</t>
    </rPh>
    <rPh sb="5" eb="7">
      <t>タイサク</t>
    </rPh>
    <rPh sb="8" eb="10">
      <t>シュウケイ</t>
    </rPh>
    <rPh sb="14" eb="16">
      <t>ツイカ</t>
    </rPh>
    <rPh sb="17" eb="18">
      <t>カク</t>
    </rPh>
    <rPh sb="18" eb="20">
      <t>タイサク</t>
    </rPh>
    <rPh sb="24" eb="26">
      <t>シュウヤク</t>
    </rPh>
    <rPh sb="29" eb="31">
      <t>ホウシキ</t>
    </rPh>
    <phoneticPr fontId="15"/>
  </si>
  <si>
    <t>　・個別票（計画、報告）は各事業所の記載をタテに集約できる方式に修正</t>
    <rPh sb="2" eb="5">
      <t>コベツヒョウ</t>
    </rPh>
    <rPh sb="6" eb="8">
      <t>ケイカク</t>
    </rPh>
    <rPh sb="9" eb="11">
      <t>ホウコク</t>
    </rPh>
    <rPh sb="13" eb="14">
      <t>カク</t>
    </rPh>
    <rPh sb="14" eb="17">
      <t>ジギョウショ</t>
    </rPh>
    <rPh sb="18" eb="20">
      <t>キサイ</t>
    </rPh>
    <rPh sb="24" eb="26">
      <t>シュウヤク</t>
    </rPh>
    <rPh sb="29" eb="31">
      <t>ホウシキ</t>
    </rPh>
    <rPh sb="32" eb="34">
      <t>シュウセイ</t>
    </rPh>
    <phoneticPr fontId="15"/>
  </si>
  <si>
    <t>３　提出書の修正</t>
    <rPh sb="2" eb="5">
      <t>テイシュツショ</t>
    </rPh>
    <rPh sb="6" eb="8">
      <t>シュウセイ</t>
    </rPh>
    <phoneticPr fontId="15"/>
  </si>
  <si>
    <t>　最新版に修正</t>
    <rPh sb="1" eb="3">
      <t>サイシン</t>
    </rPh>
    <rPh sb="3" eb="4">
      <t>バン</t>
    </rPh>
    <rPh sb="5" eb="7">
      <t>シュウセイ</t>
    </rPh>
    <phoneticPr fontId="15"/>
  </si>
  <si>
    <t>２．「集計_報告個別」及び「集計_計画個別」の目標記載部の条件付き書式追加</t>
    <rPh sb="3" eb="5">
      <t>シュウケイ</t>
    </rPh>
    <rPh sb="6" eb="8">
      <t>ホウコク</t>
    </rPh>
    <rPh sb="8" eb="10">
      <t>コベツ</t>
    </rPh>
    <rPh sb="11" eb="12">
      <t>オヨ</t>
    </rPh>
    <rPh sb="14" eb="16">
      <t>シュウケイ</t>
    </rPh>
    <rPh sb="17" eb="19">
      <t>ケイカク</t>
    </rPh>
    <rPh sb="19" eb="21">
      <t>コベツ</t>
    </rPh>
    <rPh sb="23" eb="25">
      <t>モクヒョウ</t>
    </rPh>
    <rPh sb="25" eb="27">
      <t>キサイ</t>
    </rPh>
    <rPh sb="27" eb="28">
      <t>ブ</t>
    </rPh>
    <rPh sb="29" eb="32">
      <t>ジョウケンツ</t>
    </rPh>
    <rPh sb="33" eb="35">
      <t>ショシキ</t>
    </rPh>
    <rPh sb="35" eb="37">
      <t>ツイカ</t>
    </rPh>
    <phoneticPr fontId="15"/>
  </si>
  <si>
    <t>１．エネ庁の「令和３年度排出係数のご算定について（2023.05.25）」への対応</t>
    <rPh sb="4" eb="5">
      <t>チョウ</t>
    </rPh>
    <rPh sb="39" eb="41">
      <t>タイオウ</t>
    </rPh>
    <phoneticPr fontId="15"/>
  </si>
  <si>
    <t>　　８電力会社の排出係数の変更を『電力会社』シートにて修正実施</t>
    <rPh sb="3" eb="7">
      <t>デンリョクカイシャ</t>
    </rPh>
    <rPh sb="8" eb="12">
      <t>ハイシュツケイスウ</t>
    </rPh>
    <rPh sb="13" eb="15">
      <t>ヘンコウ</t>
    </rPh>
    <rPh sb="17" eb="21">
      <t>デンリョクカイシャ</t>
    </rPh>
    <rPh sb="27" eb="29">
      <t>シュウセイ</t>
    </rPh>
    <rPh sb="29" eb="31">
      <t>ジッシ</t>
    </rPh>
    <phoneticPr fontId="15"/>
  </si>
  <si>
    <t>３．Verを02へアップ。5/30に瞬間的に公開したものと区別するため</t>
    <rPh sb="18" eb="21">
      <t>シュンカンテキ</t>
    </rPh>
    <rPh sb="22" eb="24">
      <t>コウカイ</t>
    </rPh>
    <rPh sb="29" eb="31">
      <t>クベツ</t>
    </rPh>
    <phoneticPr fontId="15"/>
  </si>
  <si>
    <t>４．3号で2／3年度の報告事業者の昨年度保有自動車台数が表示されない。</t>
    <rPh sb="3" eb="4">
      <t>ゴウ</t>
    </rPh>
    <rPh sb="8" eb="10">
      <t>ネンド</t>
    </rPh>
    <rPh sb="11" eb="13">
      <t>ホウコク</t>
    </rPh>
    <rPh sb="13" eb="15">
      <t>ジギョウ</t>
    </rPh>
    <rPh sb="15" eb="16">
      <t>シャ</t>
    </rPh>
    <rPh sb="17" eb="22">
      <t>サクネンドホユウ</t>
    </rPh>
    <rPh sb="22" eb="25">
      <t>ジドウシャ</t>
    </rPh>
    <rPh sb="25" eb="27">
      <t>ダイスウ</t>
    </rPh>
    <rPh sb="28" eb="30">
      <t>ヒョウジ</t>
    </rPh>
    <phoneticPr fontId="15"/>
  </si>
  <si>
    <t>　　参照元シートのセル（Z4）の参照式に誤りがあった。3号事業者に修正。</t>
    <rPh sb="2" eb="5">
      <t>サンショウモト</t>
    </rPh>
    <rPh sb="16" eb="19">
      <t>サンショウシキ</t>
    </rPh>
    <rPh sb="20" eb="21">
      <t>アヤマ</t>
    </rPh>
    <rPh sb="28" eb="32">
      <t>ゴウジギョウシャ</t>
    </rPh>
    <rPh sb="33" eb="35">
      <t>シュウセイ</t>
    </rPh>
    <phoneticPr fontId="15"/>
  </si>
  <si>
    <t>　　原油換算が1500kl超で目標記述セルを黄色に着色。シートの保護を実施。</t>
    <rPh sb="2" eb="6">
      <t>ゲンユカンザン</t>
    </rPh>
    <rPh sb="13" eb="14">
      <t>チョウ</t>
    </rPh>
    <rPh sb="15" eb="17">
      <t>モクヒョウ</t>
    </rPh>
    <rPh sb="17" eb="19">
      <t>キジュツ</t>
    </rPh>
    <rPh sb="22" eb="24">
      <t>キイロ</t>
    </rPh>
    <rPh sb="25" eb="27">
      <t>チャクショク</t>
    </rPh>
    <rPh sb="32" eb="34">
      <t>ホゴ</t>
    </rPh>
    <rPh sb="35" eb="37">
      <t>ジッシ</t>
    </rPh>
    <phoneticPr fontId="15"/>
  </si>
  <si>
    <t>５．計2シートの5の2の原単位の値が小数点以下12桁表示になる。</t>
    <rPh sb="2" eb="3">
      <t>ケイ</t>
    </rPh>
    <rPh sb="12" eb="15">
      <t>ゲンタンイ</t>
    </rPh>
    <rPh sb="16" eb="17">
      <t>アタイ</t>
    </rPh>
    <rPh sb="18" eb="23">
      <t>ショウスウテンイカ</t>
    </rPh>
    <rPh sb="25" eb="26">
      <t>ケタ</t>
    </rPh>
    <rPh sb="26" eb="28">
      <t>ヒョウジ</t>
    </rPh>
    <phoneticPr fontId="15"/>
  </si>
  <si>
    <t>　　参照元シートの値が文字列の為。また「使用量_3」での原単位設定の有無が</t>
    <rPh sb="2" eb="5">
      <t>サンショウモト</t>
    </rPh>
    <rPh sb="9" eb="10">
      <t>アタイ</t>
    </rPh>
    <rPh sb="11" eb="14">
      <t>モジレツ</t>
    </rPh>
    <rPh sb="15" eb="16">
      <t>タメ</t>
    </rPh>
    <rPh sb="20" eb="23">
      <t>シヨウリョウ</t>
    </rPh>
    <rPh sb="28" eb="31">
      <t>ゲンタンイ</t>
    </rPh>
    <rPh sb="31" eb="33">
      <t>セッテイ</t>
    </rPh>
    <rPh sb="34" eb="36">
      <t>ウム</t>
    </rPh>
    <phoneticPr fontId="15"/>
  </si>
  <si>
    <t>　　原単位の値表示セル（U98）の参照式に反映されていない。　⇒　全て処理。</t>
    <rPh sb="2" eb="5">
      <t>ゲンタンイ</t>
    </rPh>
    <rPh sb="6" eb="7">
      <t>アタイ</t>
    </rPh>
    <rPh sb="7" eb="9">
      <t>ヒョウジ</t>
    </rPh>
    <rPh sb="17" eb="20">
      <t>サンショウシキ</t>
    </rPh>
    <rPh sb="21" eb="23">
      <t>ハンエイ</t>
    </rPh>
    <rPh sb="33" eb="34">
      <t>スベ</t>
    </rPh>
    <rPh sb="35" eb="37">
      <t>ショリ</t>
    </rPh>
    <phoneticPr fontId="15"/>
  </si>
  <si>
    <t>１．提出書の住所　事業者　代表者の参照先が結合セルをZoneで表示してい
　　たが、ExcelがZoneではなく左上セルアドレスでないと値を返さなくなった。</t>
    <rPh sb="2" eb="5">
      <t>テイシュツショ</t>
    </rPh>
    <rPh sb="6" eb="8">
      <t>ジュウショ</t>
    </rPh>
    <rPh sb="9" eb="12">
      <t>ジギョウシャ</t>
    </rPh>
    <rPh sb="13" eb="16">
      <t>ダイヒョウシャ</t>
    </rPh>
    <rPh sb="17" eb="19">
      <t>サンショウ</t>
    </rPh>
    <rPh sb="19" eb="20">
      <t>サキ</t>
    </rPh>
    <rPh sb="21" eb="23">
      <t>ケツゴウ</t>
    </rPh>
    <rPh sb="31" eb="33">
      <t>ヒョウジ</t>
    </rPh>
    <rPh sb="56" eb="58">
      <t>ヒダリウエ</t>
    </rPh>
    <rPh sb="68" eb="69">
      <t>アタイ</t>
    </rPh>
    <rPh sb="70" eb="71">
      <t>カエ</t>
    </rPh>
    <phoneticPr fontId="15"/>
  </si>
  <si>
    <t>修正者：酒井
記入者：野呂</t>
    <rPh sb="0" eb="3">
      <t>シュウセイシャ</t>
    </rPh>
    <rPh sb="4" eb="6">
      <t>サカイ</t>
    </rPh>
    <rPh sb="7" eb="9">
      <t>キニュウ</t>
    </rPh>
    <rPh sb="9" eb="10">
      <t>シャ</t>
    </rPh>
    <rPh sb="11" eb="13">
      <t>ノロ</t>
    </rPh>
    <phoneticPr fontId="15"/>
  </si>
  <si>
    <t>野呂</t>
    <rPh sb="0" eb="2">
      <t>ノロ</t>
    </rPh>
    <phoneticPr fontId="15"/>
  </si>
  <si>
    <t>１．参照元!CU4の参照式を=IF($S4="3号",IF(CT4&lt;&gt;"",VLOOKUP($B$24,昨年度報告書!$A:$DL,COLUMN(昨年度報告書!CJ1)-COLUMN(昨年度計画書!$A$1)+1,FALSE),""),"")</t>
    <rPh sb="2" eb="5">
      <t>サンショウモト</t>
    </rPh>
    <rPh sb="10" eb="13">
      <t>サンショウシキ</t>
    </rPh>
    <phoneticPr fontId="15"/>
  </si>
  <si>
    <t>　　に修正した。　⇒報2のJ26の「0.0」の値が表示されることへの対策。</t>
    <rPh sb="3" eb="5">
      <t>シュウセイ</t>
    </rPh>
    <rPh sb="10" eb="11">
      <t>ホウ</t>
    </rPh>
    <rPh sb="23" eb="24">
      <t>アタイ</t>
    </rPh>
    <rPh sb="25" eb="27">
      <t>ヒョウジ</t>
    </rPh>
    <rPh sb="34" eb="36">
      <t>タイサク</t>
    </rPh>
    <phoneticPr fontId="15"/>
  </si>
  <si>
    <t>野呂</t>
    <rPh sb="0" eb="2">
      <t>ノロ</t>
    </rPh>
    <phoneticPr fontId="15"/>
  </si>
  <si>
    <t>１．「計5」シートで全事業所数/500ｋｌ以上＝1/1の場合、「2」はグレーアウト</t>
    <rPh sb="3" eb="4">
      <t>ケイ</t>
    </rPh>
    <rPh sb="10" eb="11">
      <t>ゼン</t>
    </rPh>
    <rPh sb="11" eb="15">
      <t>ジギョウショスウ</t>
    </rPh>
    <rPh sb="21" eb="23">
      <t>イジョウ</t>
    </rPh>
    <rPh sb="28" eb="29">
      <t>バ</t>
    </rPh>
    <rPh sb="29" eb="30">
      <t>ア</t>
    </rPh>
    <phoneticPr fontId="15"/>
  </si>
  <si>
    <t>　　されるべきが、されていなかった。条件書式の設定を追加した。</t>
    <rPh sb="18" eb="22">
      <t>ジョウケンショシキ</t>
    </rPh>
    <rPh sb="23" eb="25">
      <t>セッテイ</t>
    </rPh>
    <rPh sb="26" eb="28">
      <t>ツイカ</t>
    </rPh>
    <phoneticPr fontId="15"/>
  </si>
  <si>
    <t>酒井</t>
    <rPh sb="0" eb="2">
      <t>サカイ</t>
    </rPh>
    <phoneticPr fontId="15"/>
  </si>
  <si>
    <t>変更記録15の電力会社の排出係数の変更の際に送配電会社の排出係数の修正を未実施だったため、送配電会社の排出係数の変更を『電力会社』シートにて修正。</t>
    <rPh sb="0" eb="4">
      <t>ヘンコウキロク</t>
    </rPh>
    <rPh sb="7" eb="11">
      <t>デンリョクガイシャ</t>
    </rPh>
    <rPh sb="12" eb="14">
      <t>ハイシュツ</t>
    </rPh>
    <rPh sb="14" eb="16">
      <t>ケイスウ</t>
    </rPh>
    <rPh sb="17" eb="19">
      <t>ヘンコウ</t>
    </rPh>
    <rPh sb="20" eb="21">
      <t>サイ</t>
    </rPh>
    <rPh sb="22" eb="27">
      <t>ソウハイデンガイシャ</t>
    </rPh>
    <rPh sb="28" eb="32">
      <t>ハイシュツケイスウ</t>
    </rPh>
    <rPh sb="33" eb="35">
      <t>シュウセイ</t>
    </rPh>
    <rPh sb="36" eb="39">
      <t>ミジッシ</t>
    </rPh>
    <rPh sb="45" eb="50">
      <t>ソウハイデンガイシャ</t>
    </rPh>
    <phoneticPr fontId="15"/>
  </si>
  <si>
    <t>Ver４にバージョンアップ。</t>
    <phoneticPr fontId="15"/>
  </si>
  <si>
    <t xml:space="preserve">  ※R6年版様式のためのバグフィックスをこのファイルに織り込んでいく。　2023.08.18</t>
    <rPh sb="5" eb="7">
      <t>ネンバン</t>
    </rPh>
    <rPh sb="7" eb="9">
      <t>ヨウシキ</t>
    </rPh>
    <rPh sb="28" eb="29">
      <t>オ</t>
    </rPh>
    <rPh sb="30" eb="31">
      <t>コ</t>
    </rPh>
    <phoneticPr fontId="15"/>
  </si>
  <si>
    <t>No.</t>
    <phoneticPr fontId="15"/>
  </si>
  <si>
    <t>シート</t>
    <phoneticPr fontId="15"/>
  </si>
  <si>
    <t>セル範囲</t>
    <rPh sb="2" eb="4">
      <t>ハンイ</t>
    </rPh>
    <phoneticPr fontId="15"/>
  </si>
  <si>
    <t>修正内容</t>
    <rPh sb="0" eb="4">
      <t>シュウセイナイヨウ</t>
    </rPh>
    <phoneticPr fontId="15"/>
  </si>
  <si>
    <t>計２</t>
    <rPh sb="0" eb="1">
      <t>ケイ</t>
    </rPh>
    <phoneticPr fontId="15"/>
  </si>
  <si>
    <t>J13</t>
    <phoneticPr fontId="15"/>
  </si>
  <si>
    <t>元式：=VALUE(参照元!BC14)　　後式：=IFERROR(VALUE(参照元!BC14),"")
文字列の数値が入る分には問題ないが、Null（””）が入るとエラーが出る。</t>
    <rPh sb="0" eb="1">
      <t>モト</t>
    </rPh>
    <rPh sb="1" eb="2">
      <t>シキ</t>
    </rPh>
    <rPh sb="21" eb="22">
      <t>アト</t>
    </rPh>
    <rPh sb="22" eb="23">
      <t>シキ</t>
    </rPh>
    <rPh sb="53" eb="56">
      <t>モジレツ</t>
    </rPh>
    <rPh sb="57" eb="59">
      <t>スウチ</t>
    </rPh>
    <rPh sb="60" eb="61">
      <t>ハイ</t>
    </rPh>
    <rPh sb="62" eb="63">
      <t>ブン</t>
    </rPh>
    <rPh sb="65" eb="67">
      <t>モンダイ</t>
    </rPh>
    <rPh sb="80" eb="81">
      <t>ハイ</t>
    </rPh>
    <rPh sb="87" eb="88">
      <t>デ</t>
    </rPh>
    <phoneticPr fontId="15"/>
  </si>
  <si>
    <t>計２</t>
    <phoneticPr fontId="15"/>
  </si>
  <si>
    <t>J23とM23</t>
    <phoneticPr fontId="15"/>
  </si>
  <si>
    <t>セルのロックを解除。セルを　　　　　　　　　　　　　緑色にし、変更可とした。</t>
    <rPh sb="7" eb="9">
      <t>カイジョ</t>
    </rPh>
    <rPh sb="26" eb="27">
      <t>ミドリ</t>
    </rPh>
    <rPh sb="27" eb="28">
      <t>イロ</t>
    </rPh>
    <rPh sb="31" eb="33">
      <t>ヘンコウ</t>
    </rPh>
    <rPh sb="33" eb="34">
      <t>カ</t>
    </rPh>
    <phoneticPr fontId="15"/>
  </si>
  <si>
    <t>基礎
排出係数
(t-CO2/kWh)</t>
    <phoneticPr fontId="15"/>
  </si>
  <si>
    <t>調整後
排出係数
(t-CO2/kWh)</t>
    <phoneticPr fontId="15"/>
  </si>
  <si>
    <t>電力会社</t>
    <rPh sb="0" eb="2">
      <t>デンリョク</t>
    </rPh>
    <rPh sb="2" eb="4">
      <t>ガイシャ</t>
    </rPh>
    <phoneticPr fontId="15"/>
  </si>
  <si>
    <t>K3とL3</t>
    <phoneticPr fontId="15"/>
  </si>
  <si>
    <r>
      <t>t-CO2/</t>
    </r>
    <r>
      <rPr>
        <b/>
        <sz val="11"/>
        <rFont val="ＭＳ Ｐゴシック"/>
        <family val="3"/>
        <charset val="128"/>
      </rPr>
      <t>千</t>
    </r>
    <r>
      <rPr>
        <sz val="11"/>
        <rFont val="ＭＳ Ｐゴシック"/>
        <family val="3"/>
        <charset val="128"/>
      </rPr>
      <t>kWh　→　t-CO2/kWh　へ修正。右側の図も更新。</t>
    </r>
    <rPh sb="24" eb="26">
      <t>シュウセイ</t>
    </rPh>
    <rPh sb="27" eb="29">
      <t>ミギガワ</t>
    </rPh>
    <rPh sb="30" eb="31">
      <t>ズ</t>
    </rPh>
    <rPh sb="32" eb="34">
      <t>コウシン</t>
    </rPh>
    <phoneticPr fontId="15"/>
  </si>
  <si>
    <t>使用量_1,2</t>
    <rPh sb="0" eb="3">
      <t>シヨウリョウ</t>
    </rPh>
    <phoneticPr fontId="15"/>
  </si>
  <si>
    <t>総括票の原単位設定　→　デフォルトで設定しない。①個別票のみ設定　
　　　　　　　　　　　　　　　　②総括票で統一原単位　③総括票で寄与度原単位</t>
    <rPh sb="0" eb="3">
      <t>ソウカツヒョウ</t>
    </rPh>
    <rPh sb="4" eb="7">
      <t>ゲンタンイ</t>
    </rPh>
    <rPh sb="7" eb="9">
      <t>セッテイ</t>
    </rPh>
    <rPh sb="18" eb="20">
      <t>セッテイ</t>
    </rPh>
    <rPh sb="25" eb="28">
      <t>コベツヒョウ</t>
    </rPh>
    <rPh sb="30" eb="32">
      <t>セッテイ</t>
    </rPh>
    <rPh sb="51" eb="54">
      <t>ソウカツヒョウ</t>
    </rPh>
    <rPh sb="55" eb="57">
      <t>トウイツ</t>
    </rPh>
    <rPh sb="57" eb="60">
      <t>ゲンタンイ</t>
    </rPh>
    <rPh sb="62" eb="65">
      <t>ソウカツヒョウ</t>
    </rPh>
    <rPh sb="66" eb="72">
      <t>キヨドゲンタンイ</t>
    </rPh>
    <phoneticPr fontId="15"/>
  </si>
  <si>
    <t>計5</t>
    <rPh sb="0" eb="1">
      <t>ケイ</t>
    </rPh>
    <phoneticPr fontId="15"/>
  </si>
  <si>
    <t>500kl以上の事業所数を超える個別票はグレーアウトするはずがしない。
原因は、条件付き書式の条件式の中の　計1!$L$24&lt;$Q$26　のQ26が個別票
番号が増すごとに、Q51、Q76…へと変わっていくべきが　全ての個別票で
Q26のままであった。</t>
    <rPh sb="5" eb="7">
      <t>イジョウ</t>
    </rPh>
    <rPh sb="8" eb="12">
      <t>ジギョウショスウ</t>
    </rPh>
    <rPh sb="13" eb="14">
      <t>コ</t>
    </rPh>
    <rPh sb="16" eb="19">
      <t>コベツヒョウ</t>
    </rPh>
    <rPh sb="36" eb="38">
      <t>ゲンイン</t>
    </rPh>
    <rPh sb="40" eb="43">
      <t>ジョウケンツ</t>
    </rPh>
    <rPh sb="44" eb="46">
      <t>ショシキ</t>
    </rPh>
    <rPh sb="47" eb="49">
      <t>ジョウケン</t>
    </rPh>
    <rPh sb="49" eb="50">
      <t>シキ</t>
    </rPh>
    <rPh sb="51" eb="52">
      <t>ナカ</t>
    </rPh>
    <rPh sb="81" eb="82">
      <t>マ</t>
    </rPh>
    <rPh sb="97" eb="98">
      <t>カ</t>
    </rPh>
    <rPh sb="107" eb="108">
      <t>スベ</t>
    </rPh>
    <rPh sb="110" eb="113">
      <t>コベツヒョウ</t>
    </rPh>
    <phoneticPr fontId="15"/>
  </si>
  <si>
    <t>個別票2～個別票40</t>
    <rPh sb="0" eb="3">
      <t>コベツヒョウ</t>
    </rPh>
    <rPh sb="5" eb="8">
      <t>コベツヒョウ</t>
    </rPh>
    <phoneticPr fontId="15"/>
  </si>
  <si>
    <t>報５</t>
    <rPh sb="0" eb="1">
      <t>ホウ</t>
    </rPh>
    <phoneticPr fontId="15"/>
  </si>
  <si>
    <t>Z7</t>
    <phoneticPr fontId="15"/>
  </si>
  <si>
    <t>使用量_3</t>
    <rPh sb="0" eb="3">
      <t>シヨウリョウ</t>
    </rPh>
    <phoneticPr fontId="15"/>
  </si>
  <si>
    <t>K89とK90
O89</t>
    <phoneticPr fontId="15"/>
  </si>
  <si>
    <t>K89とK90は不要セル。神奈川県様式では必要だが。削除しI89とI90へ結合。
O89は不要セル。神奈川県様式では必要だが。削除しM89へ結合。</t>
    <rPh sb="8" eb="10">
      <t>フヨウ</t>
    </rPh>
    <rPh sb="13" eb="17">
      <t>カナガワケン</t>
    </rPh>
    <rPh sb="17" eb="19">
      <t>ヨウシキ</t>
    </rPh>
    <rPh sb="21" eb="23">
      <t>ヒツヨウ</t>
    </rPh>
    <rPh sb="26" eb="28">
      <t>サクジョ</t>
    </rPh>
    <rPh sb="37" eb="39">
      <t>ケツゴウ</t>
    </rPh>
    <phoneticPr fontId="15"/>
  </si>
  <si>
    <t>報2</t>
    <rPh sb="0" eb="1">
      <t>ホウ</t>
    </rPh>
    <phoneticPr fontId="15"/>
  </si>
  <si>
    <t>I8</t>
    <phoneticPr fontId="15"/>
  </si>
  <si>
    <t>原単位を採用しない場合、寄与度の合計の場合当該セルに数値：0が入力され
「0.00」が表示される。「参照元」シートのセルAX7の参照式の最後に「&amp;""」を
付加することで文字れる判定となりNullの表示になる。</t>
    <rPh sb="0" eb="3">
      <t>ゲンタンイ</t>
    </rPh>
    <rPh sb="4" eb="6">
      <t>サイヨウ</t>
    </rPh>
    <rPh sb="9" eb="11">
      <t>バアイ</t>
    </rPh>
    <rPh sb="12" eb="15">
      <t>キヨド</t>
    </rPh>
    <rPh sb="16" eb="18">
      <t>ゴウケイ</t>
    </rPh>
    <rPh sb="19" eb="21">
      <t>バアイ</t>
    </rPh>
    <rPh sb="21" eb="23">
      <t>トウガイ</t>
    </rPh>
    <rPh sb="26" eb="28">
      <t>スウチ</t>
    </rPh>
    <rPh sb="31" eb="33">
      <t>ニュウリョク</t>
    </rPh>
    <rPh sb="43" eb="45">
      <t>ヒョウジ</t>
    </rPh>
    <rPh sb="50" eb="53">
      <t>サンショウモト</t>
    </rPh>
    <rPh sb="64" eb="67">
      <t>サンショウシキ</t>
    </rPh>
    <rPh sb="68" eb="70">
      <t>サイゴ</t>
    </rPh>
    <rPh sb="78" eb="80">
      <t>フカ</t>
    </rPh>
    <rPh sb="85" eb="87">
      <t>モジ</t>
    </rPh>
    <rPh sb="89" eb="91">
      <t>ハンテイ</t>
    </rPh>
    <rPh sb="99" eb="101">
      <t>ヒョウジ</t>
    </rPh>
    <phoneticPr fontId="15"/>
  </si>
  <si>
    <t>削減率</t>
    <phoneticPr fontId="15"/>
  </si>
  <si>
    <t>排出の抑制に係る
目標の設定の考え方</t>
    <rPh sb="0" eb="2">
      <t>ハイシュツ</t>
    </rPh>
    <rPh sb="3" eb="5">
      <t>ヨクセイ</t>
    </rPh>
    <rPh sb="6" eb="7">
      <t>カカ</t>
    </rPh>
    <rPh sb="9" eb="11">
      <t>モクヒョウ</t>
    </rPh>
    <rPh sb="12" eb="14">
      <t>セッテイ</t>
    </rPh>
    <rPh sb="15" eb="16">
      <t>カンガ</t>
    </rPh>
    <rPh sb="17" eb="18">
      <t>カタ</t>
    </rPh>
    <phoneticPr fontId="15"/>
  </si>
  <si>
    <t>５の２　温室効果ガスの排出の抑制に係る目標等の状況（第３号該当事業者）</t>
    <rPh sb="4" eb="6">
      <t>オンシツ</t>
    </rPh>
    <rPh sb="6" eb="8">
      <t>コウカ</t>
    </rPh>
    <rPh sb="11" eb="13">
      <t>ハイシュツ</t>
    </rPh>
    <rPh sb="14" eb="16">
      <t>ヨクセイ</t>
    </rPh>
    <rPh sb="17" eb="18">
      <t>カカワ</t>
    </rPh>
    <rPh sb="19" eb="21">
      <t>モクヒョウ</t>
    </rPh>
    <rPh sb="21" eb="22">
      <t>トウ</t>
    </rPh>
    <rPh sb="23" eb="25">
      <t>ジョウキョウ</t>
    </rPh>
    <phoneticPr fontId="15"/>
  </si>
  <si>
    <r>
      <t xml:space="preserve">燃費 </t>
    </r>
    <r>
      <rPr>
        <sz val="10"/>
        <color theme="1"/>
        <rFont val="ＭＳ Ｐゴシック"/>
        <family val="3"/>
        <charset val="128"/>
        <scheme val="minor"/>
      </rPr>
      <t>（km/ )</t>
    </r>
    <r>
      <rPr>
        <b/>
        <sz val="8"/>
        <color theme="1"/>
        <rFont val="ＭＳ Ｐゴシック"/>
        <family val="3"/>
        <charset val="128"/>
        <scheme val="minor"/>
      </rPr>
      <t xml:space="preserve">
</t>
    </r>
    <r>
      <rPr>
        <sz val="10"/>
        <color theme="1"/>
        <rFont val="ＭＳ Ｐゴシック"/>
        <family val="3"/>
        <charset val="128"/>
        <scheme val="minor"/>
      </rPr>
      <t>(a÷b)</t>
    </r>
    <rPh sb="0" eb="2">
      <t>ネンピ</t>
    </rPh>
    <phoneticPr fontId="137"/>
  </si>
  <si>
    <t>　設定あり（個別表のみ原単位を使用する）</t>
    <rPh sb="1" eb="3">
      <t>セッテイ</t>
    </rPh>
    <rPh sb="6" eb="9">
      <t>コベツヒョウ</t>
    </rPh>
    <rPh sb="11" eb="14">
      <t>ゲンタンイ</t>
    </rPh>
    <rPh sb="15" eb="17">
      <t>シヨウ</t>
    </rPh>
    <phoneticPr fontId="15"/>
  </si>
  <si>
    <t>電気導入台数</t>
    <rPh sb="0" eb="2">
      <t>デンキ</t>
    </rPh>
    <rPh sb="2" eb="4">
      <t>ドウニュウ</t>
    </rPh>
    <rPh sb="4" eb="6">
      <t>ダイスウ</t>
    </rPh>
    <phoneticPr fontId="88"/>
  </si>
  <si>
    <t>電気保有台数</t>
    <rPh sb="0" eb="2">
      <t>デンキ</t>
    </rPh>
    <rPh sb="2" eb="4">
      <t>ホユウ</t>
    </rPh>
    <rPh sb="4" eb="6">
      <t>ダイスウ</t>
    </rPh>
    <phoneticPr fontId="88"/>
  </si>
  <si>
    <t>プラグインハイブリッド導入台数</t>
    <rPh sb="11" eb="13">
      <t>ドウニュウ</t>
    </rPh>
    <rPh sb="13" eb="15">
      <t>ダイスウ</t>
    </rPh>
    <phoneticPr fontId="88"/>
  </si>
  <si>
    <t>プラグインハイブリッド保有台数</t>
    <rPh sb="11" eb="13">
      <t>ホユウ</t>
    </rPh>
    <rPh sb="13" eb="15">
      <t>ダイスウ</t>
    </rPh>
    <phoneticPr fontId="88"/>
  </si>
  <si>
    <t>燃料電池導入台数</t>
    <rPh sb="4" eb="6">
      <t>ドウニュウ</t>
    </rPh>
    <rPh sb="6" eb="8">
      <t>ダイスウ</t>
    </rPh>
    <phoneticPr fontId="88"/>
  </si>
  <si>
    <t>燃料電池保有台数</t>
    <rPh sb="4" eb="6">
      <t>ホユウ</t>
    </rPh>
    <rPh sb="6" eb="8">
      <t>ダイスウ</t>
    </rPh>
    <phoneticPr fontId="88"/>
  </si>
  <si>
    <t>電気による二酸化炭素調整後排出量(t-CO2)</t>
    <rPh sb="0" eb="2">
      <t>デンキ</t>
    </rPh>
    <rPh sb="5" eb="10">
      <t>ニサンカタンソ</t>
    </rPh>
    <rPh sb="10" eb="13">
      <t>チョウセイゴ</t>
    </rPh>
    <rPh sb="13" eb="16">
      <t>ハイシュツリョウ</t>
    </rPh>
    <phoneticPr fontId="15"/>
  </si>
  <si>
    <t>電気の非化石証書</t>
    <rPh sb="0" eb="2">
      <t>デンキ</t>
    </rPh>
    <rPh sb="3" eb="8">
      <t>ヒカセキショウショ</t>
    </rPh>
    <phoneticPr fontId="15"/>
  </si>
  <si>
    <t>↓ 1:記入する、2:記入しない、空白：未選択</t>
    <rPh sb="4" eb="6">
      <t>キニュウ</t>
    </rPh>
    <rPh sb="11" eb="13">
      <t>キニュウ</t>
    </rPh>
    <rPh sb="17" eb="19">
      <t>クウハク</t>
    </rPh>
    <rPh sb="20" eb="23">
      <t>ミセンタク</t>
    </rPh>
    <phoneticPr fontId="15"/>
  </si>
  <si>
    <t>↑事業所等の区分</t>
    <rPh sb="1" eb="5">
      <t>ジギョウショトウ</t>
    </rPh>
    <rPh sb="6" eb="8">
      <t>クブン</t>
    </rPh>
    <phoneticPr fontId="15"/>
  </si>
  <si>
    <t>所有形態</t>
    <rPh sb="0" eb="4">
      <t>ショユウケイタイ</t>
    </rPh>
    <phoneticPr fontId="15"/>
  </si>
  <si>
    <t>管理権原</t>
    <rPh sb="0" eb="2">
      <t>カンリ</t>
    </rPh>
    <rPh sb="2" eb="4">
      <t>ケンバラ</t>
    </rPh>
    <phoneticPr fontId="15"/>
  </si>
  <si>
    <t>↓ 1:目標設定する、2:しない、空白：未選択</t>
    <rPh sb="4" eb="6">
      <t>モクヒョウ</t>
    </rPh>
    <rPh sb="6" eb="8">
      <t>セッテイ</t>
    </rPh>
    <rPh sb="17" eb="19">
      <t>クウハク</t>
    </rPh>
    <rPh sb="20" eb="23">
      <t>ミセンタク</t>
    </rPh>
    <phoneticPr fontId="15"/>
  </si>
  <si>
    <t>報1シートの提出者情報を過年度（=参照元!J14,K14）のリンクではなく、地球温暖化対策事業者等（=報1!D14,D15）のリンクとした。また、11/24提出分から追加修正を行い、報1シートの提出者情報を過年度（=参照元!I14）のリンクではなく、地球温暖化対策事業者等（=報1!D16）のリンクとした。</t>
    <rPh sb="0" eb="1">
      <t>ホウ</t>
    </rPh>
    <rPh sb="6" eb="9">
      <t>テイシュツシャ</t>
    </rPh>
    <rPh sb="9" eb="11">
      <t>ジョウホウ</t>
    </rPh>
    <rPh sb="12" eb="15">
      <t>カネンド</t>
    </rPh>
    <rPh sb="38" eb="43">
      <t>チキュウオンダンカ</t>
    </rPh>
    <rPh sb="43" eb="45">
      <t>タイサク</t>
    </rPh>
    <rPh sb="45" eb="48">
      <t>ジギョウシャ</t>
    </rPh>
    <rPh sb="48" eb="49">
      <t>トウ</t>
    </rPh>
    <rPh sb="51" eb="52">
      <t>ホウ</t>
    </rPh>
    <phoneticPr fontId="15"/>
  </si>
  <si>
    <t>報3シートの導入台数欄に黄色セルで「0」を入力した。また、欄外に説明を記載した。</t>
    <rPh sb="0" eb="1">
      <t>ホウ</t>
    </rPh>
    <rPh sb="6" eb="10">
      <t>ドウニュウダイスウ</t>
    </rPh>
    <rPh sb="10" eb="11">
      <t>ラン</t>
    </rPh>
    <rPh sb="12" eb="14">
      <t>キイロ</t>
    </rPh>
    <rPh sb="21" eb="23">
      <t>ニュウリョク</t>
    </rPh>
    <phoneticPr fontId="15"/>
  </si>
  <si>
    <t>使用量_1,2シートに事業所ごとの電気の調整後排出量が分かる欄を112行目に追加した。</t>
    <rPh sb="11" eb="14">
      <t>ジギョウショ</t>
    </rPh>
    <rPh sb="17" eb="19">
      <t>デンキ</t>
    </rPh>
    <rPh sb="20" eb="23">
      <t>チョウセイゴ</t>
    </rPh>
    <rPh sb="23" eb="25">
      <t>ハイシュツ</t>
    </rPh>
    <rPh sb="25" eb="26">
      <t>リョウ</t>
    </rPh>
    <rPh sb="27" eb="28">
      <t>ワ</t>
    </rPh>
    <rPh sb="30" eb="31">
      <t>ラン</t>
    </rPh>
    <rPh sb="35" eb="37">
      <t>ギョウメ</t>
    </rPh>
    <rPh sb="38" eb="40">
      <t>ツイカ</t>
    </rPh>
    <phoneticPr fontId="15"/>
  </si>
  <si>
    <t>報3・計3シートのクレジット名称プルダウンに「電気の非化石証書」を追加。なお、10/26の打合せで「ブルーカーボン抜く」と追加指示があったがもともとなかった。また、11/24提出分から追加修正を行い、修正前の様式と同様に「空欄」のプルダウンを追加した。</t>
    <rPh sb="0" eb="1">
      <t>ホウ</t>
    </rPh>
    <rPh sb="3" eb="4">
      <t>ケイ</t>
    </rPh>
    <rPh sb="14" eb="16">
      <t>メイショウ</t>
    </rPh>
    <rPh sb="23" eb="25">
      <t>デンキ</t>
    </rPh>
    <rPh sb="26" eb="31">
      <t>ヒカセキショウショ</t>
    </rPh>
    <rPh sb="33" eb="35">
      <t>ツイカ</t>
    </rPh>
    <rPh sb="57" eb="58">
      <t>ヌ</t>
    </rPh>
    <rPh sb="61" eb="63">
      <t>ツイカ</t>
    </rPh>
    <rPh sb="63" eb="65">
      <t>シジ</t>
    </rPh>
    <rPh sb="107" eb="109">
      <t>ドウヨウ</t>
    </rPh>
    <rPh sb="121" eb="123">
      <t>ツイカ</t>
    </rPh>
    <phoneticPr fontId="15"/>
  </si>
  <si>
    <t>全体のシートにおいてセルの書式ロックをかけることとしたが、現時点では様式の修正作業中であるため未対応。</t>
    <rPh sb="0" eb="2">
      <t>ゼンタイ</t>
    </rPh>
    <rPh sb="13" eb="15">
      <t>ショシキ</t>
    </rPh>
    <rPh sb="34" eb="36">
      <t>ヨウシキ</t>
    </rPh>
    <phoneticPr fontId="15"/>
  </si>
  <si>
    <t>報7・計5シートの原単位セルについて、目標設定しない場合はグレーになるように修正した。</t>
    <rPh sb="0" eb="1">
      <t>ホウ</t>
    </rPh>
    <rPh sb="3" eb="4">
      <t>ケイ</t>
    </rPh>
    <rPh sb="9" eb="12">
      <t>ゲンタンイ</t>
    </rPh>
    <rPh sb="19" eb="21">
      <t>モクヒョウ</t>
    </rPh>
    <rPh sb="21" eb="23">
      <t>セッテイ</t>
    </rPh>
    <rPh sb="26" eb="28">
      <t>バアイ</t>
    </rPh>
    <rPh sb="38" eb="40">
      <t>シュウセイ</t>
    </rPh>
    <phoneticPr fontId="15"/>
  </si>
  <si>
    <t>使用量_1,2シートのB24:H24に原単位設定「個別表のみ原単位を使用する」のラジオボタンを追加した。</t>
    <phoneticPr fontId="15"/>
  </si>
  <si>
    <t>使用量3シートの燃費計算方法について、走行距離あたり燃料使用量となっていたが、燃料使用量あたり走行距離に修正した。また、11/24提出分から追加修正を行い、数式（W列）についても燃料使用量あたり走行距離となるよう修正した。</t>
    <rPh sb="0" eb="3">
      <t>シヨウリョウ</t>
    </rPh>
    <rPh sb="8" eb="10">
      <t>ネンピ</t>
    </rPh>
    <rPh sb="10" eb="12">
      <t>ケイサン</t>
    </rPh>
    <rPh sb="12" eb="14">
      <t>ホウホウ</t>
    </rPh>
    <rPh sb="19" eb="23">
      <t>ソウコウキョリ</t>
    </rPh>
    <rPh sb="26" eb="28">
      <t>ネンリョウ</t>
    </rPh>
    <rPh sb="28" eb="31">
      <t>シヨウリョウ</t>
    </rPh>
    <rPh sb="52" eb="54">
      <t>シュウセイ</t>
    </rPh>
    <phoneticPr fontId="15"/>
  </si>
  <si>
    <t>報1・計1シートの提出日について、「電子申請する日付を記入」することを促す注意書きを追加した。</t>
    <rPh sb="0" eb="1">
      <t>ホウ</t>
    </rPh>
    <rPh sb="3" eb="4">
      <t>ケイ</t>
    </rPh>
    <rPh sb="9" eb="12">
      <t>テイシュツビ</t>
    </rPh>
    <rPh sb="35" eb="36">
      <t>ウナガ</t>
    </rPh>
    <rPh sb="37" eb="39">
      <t>チュウイ</t>
    </rPh>
    <rPh sb="39" eb="40">
      <t>カ</t>
    </rPh>
    <rPh sb="42" eb="44">
      <t>ツイカ</t>
    </rPh>
    <phoneticPr fontId="15"/>
  </si>
  <si>
    <r>
      <t>報5シートのZ:AAの算定に係る箇所が正しく計算されないため、AG列の数式「=IF(AE10="○",P10*IF(D10="低炭素電気へ切替",Z10,VLOOKUP(O10,$BH$10:$BI$42,2,))*IFERROR(VLOOKUP(Q10,$BN$10:$BO$18,2,),1),0)」「=IF(AE10="○",P10*IF(D10="低炭素電気へ切替",Z10</t>
    </r>
    <r>
      <rPr>
        <sz val="11"/>
        <rFont val="ＭＳ Ｐゴシック"/>
        <family val="3"/>
        <charset val="128"/>
      </rPr>
      <t>*1000,VLOOKUP(O10,$BH$10:$BI$42,2,))*IFERROR(VLOOKUP(Q10,$BN$10:$BO$18,2,),1),0)」とした。また、11/24提出分から追加修正を行い、AG列およびAH列の数式において、「D10="低炭素電気へ切替」とあり、以下の行の参照先が「D11=,D12=,D13=」であるが「D10=,D10,D10=」が正しいため、修正した。</t>
    </r>
    <rPh sb="0" eb="1">
      <t>ホウ</t>
    </rPh>
    <rPh sb="11" eb="13">
      <t>サンテイ</t>
    </rPh>
    <rPh sb="14" eb="15">
      <t>カカ</t>
    </rPh>
    <rPh sb="16" eb="18">
      <t>カショ</t>
    </rPh>
    <rPh sb="19" eb="20">
      <t>タダ</t>
    </rPh>
    <rPh sb="22" eb="24">
      <t>ケイサン</t>
    </rPh>
    <rPh sb="33" eb="34">
      <t>レツ</t>
    </rPh>
    <rPh sb="35" eb="37">
      <t>スウシキ</t>
    </rPh>
    <rPh sb="338" eb="341">
      <t>サンショウサキ</t>
    </rPh>
    <rPh sb="378" eb="379">
      <t>タダ</t>
    </rPh>
    <phoneticPr fontId="15"/>
  </si>
  <si>
    <t>使用量_1,2シートにおいて、H18とH19にそれぞれ「=参照元!$U$14」「=参照元!$V$14」とあったが、様式のテストのため「40」,「41」を手入力して数式を削除した。また、使用量_1,2シートのN65:BA65とC65へのテストデータ入力、報1・計1シートのチェックボックスにチェック、シートo1/o4などを表示している。（10/26の打合せでは指摘されていなかった箇所）</t>
    <rPh sb="57" eb="59">
      <t>ヨウシキ</t>
    </rPh>
    <rPh sb="76" eb="79">
      <t>テニュウリョク</t>
    </rPh>
    <rPh sb="81" eb="83">
      <t>スウシキ</t>
    </rPh>
    <rPh sb="84" eb="86">
      <t>サクジョ</t>
    </rPh>
    <rPh sb="123" eb="125">
      <t>ニュウリョク</t>
    </rPh>
    <rPh sb="174" eb="176">
      <t>ウチアワ</t>
    </rPh>
    <rPh sb="179" eb="181">
      <t>シテキ</t>
    </rPh>
    <rPh sb="189" eb="191">
      <t>カショ</t>
    </rPh>
    <phoneticPr fontId="15"/>
  </si>
  <si>
    <t>計1シートのG23,G25,L23,L24の数式について、報1シートから参照されていたが、新規事業者では適切に動作していないため、参照元シートを参照するよう修正した。また、参照元シートの関連箇所W14:Z14もあわせて修正した。（10/26の打合せでは指摘されていなかった箇所）</t>
    <rPh sb="29" eb="30">
      <t>ホウ</t>
    </rPh>
    <rPh sb="36" eb="38">
      <t>サンショウ</t>
    </rPh>
    <rPh sb="45" eb="47">
      <t>シンキ</t>
    </rPh>
    <rPh sb="47" eb="50">
      <t>ジギョウシャ</t>
    </rPh>
    <rPh sb="52" eb="54">
      <t>テキセツ</t>
    </rPh>
    <rPh sb="55" eb="57">
      <t>ドウサ</t>
    </rPh>
    <rPh sb="65" eb="68">
      <t>サンショウモト</t>
    </rPh>
    <rPh sb="72" eb="74">
      <t>サンショウ</t>
    </rPh>
    <rPh sb="78" eb="80">
      <t>シュウセイ</t>
    </rPh>
    <rPh sb="86" eb="89">
      <t>サンショウモト</t>
    </rPh>
    <rPh sb="93" eb="95">
      <t>カンレン</t>
    </rPh>
    <rPh sb="95" eb="97">
      <t>カショ</t>
    </rPh>
    <rPh sb="109" eb="111">
      <t>シュウセイ</t>
    </rPh>
    <phoneticPr fontId="15"/>
  </si>
  <si>
    <t>計2シートの日本飛行機のリンクを解除した。（条件書式にリンクがあったため、計2シートを再構築した）</t>
    <rPh sb="6" eb="8">
      <t>ニホン</t>
    </rPh>
    <rPh sb="8" eb="11">
      <t>ヒコウキ</t>
    </rPh>
    <rPh sb="16" eb="18">
      <t>カイジョ</t>
    </rPh>
    <rPh sb="22" eb="26">
      <t>ジョウケンショシキ</t>
    </rPh>
    <rPh sb="37" eb="38">
      <t>ケイ</t>
    </rPh>
    <rPh sb="43" eb="46">
      <t>サイコウチク</t>
    </rPh>
    <phoneticPr fontId="15"/>
  </si>
  <si>
    <t>使用量_1,2シートにおいて、11/24提出分から追加修正を行い、K111セルの数式（以降の右列も同様）に「=SUM(K65:K106)」とあるが「=SUM(K65:K110)」と修正した。（10/26の打合せでは指摘されていなかった箇所）</t>
    <rPh sb="43" eb="45">
      <t>イコウ</t>
    </rPh>
    <rPh sb="46" eb="48">
      <t>ミギレツ</t>
    </rPh>
    <rPh sb="49" eb="51">
      <t>ドウヨウ</t>
    </rPh>
    <rPh sb="90" eb="92">
      <t>シュウセイ</t>
    </rPh>
    <phoneticPr fontId="15"/>
  </si>
  <si>
    <t>05b</t>
    <phoneticPr fontId="15"/>
  </si>
  <si>
    <t>計2</t>
    <phoneticPr fontId="15"/>
  </si>
  <si>
    <t>報1</t>
    <phoneticPr fontId="15"/>
  </si>
  <si>
    <t>I7,I8,I9</t>
    <phoneticPr fontId="15"/>
  </si>
  <si>
    <t>報3</t>
    <phoneticPr fontId="15"/>
  </si>
  <si>
    <t>D23,G23,J23</t>
    <phoneticPr fontId="15"/>
  </si>
  <si>
    <t>はじめに</t>
    <phoneticPr fontId="15"/>
  </si>
  <si>
    <t>B10</t>
    <phoneticPr fontId="15"/>
  </si>
  <si>
    <t>使用量_1,2</t>
    <phoneticPr fontId="15"/>
  </si>
  <si>
    <t>112行目追加</t>
    <rPh sb="3" eb="5">
      <t>ギョウメ</t>
    </rPh>
    <rPh sb="5" eb="7">
      <t>ツイカ</t>
    </rPh>
    <phoneticPr fontId="15"/>
  </si>
  <si>
    <t>報3・計3</t>
    <phoneticPr fontId="15"/>
  </si>
  <si>
    <t>B6:B10</t>
    <phoneticPr fontId="15"/>
  </si>
  <si>
    <t>I15,N15</t>
    <phoneticPr fontId="15"/>
  </si>
  <si>
    <t>I15,N15,I17</t>
    <phoneticPr fontId="15"/>
  </si>
  <si>
    <t>報7</t>
    <phoneticPr fontId="15"/>
  </si>
  <si>
    <t>計5</t>
    <phoneticPr fontId="15"/>
  </si>
  <si>
    <t>25行ごとに１事業所、行番号15+25i, i=0～39</t>
    <rPh sb="2" eb="3">
      <t>ギョウ</t>
    </rPh>
    <rPh sb="7" eb="10">
      <t>ジギョウショ</t>
    </rPh>
    <rPh sb="11" eb="14">
      <t>ギョウバンゴウ</t>
    </rPh>
    <phoneticPr fontId="15"/>
  </si>
  <si>
    <t>B24:H24</t>
    <phoneticPr fontId="15"/>
  </si>
  <si>
    <t>使用量3</t>
    <phoneticPr fontId="15"/>
  </si>
  <si>
    <t>W74:W87
Z74:Z87</t>
    <phoneticPr fontId="15"/>
  </si>
  <si>
    <t>報1・計1</t>
    <phoneticPr fontId="15"/>
  </si>
  <si>
    <t>5行目印刷範囲外</t>
    <rPh sb="1" eb="3">
      <t>ギョウメ</t>
    </rPh>
    <rPh sb="3" eb="8">
      <t>インサツハンイガイ</t>
    </rPh>
    <phoneticPr fontId="15"/>
  </si>
  <si>
    <t>報5</t>
    <phoneticPr fontId="15"/>
  </si>
  <si>
    <t>AG10:AH99</t>
    <phoneticPr fontId="15"/>
  </si>
  <si>
    <t>H18:H19</t>
    <phoneticPr fontId="15"/>
  </si>
  <si>
    <t>計1</t>
    <phoneticPr fontId="15"/>
  </si>
  <si>
    <t>G23,G25,L23,L24</t>
    <phoneticPr fontId="15"/>
  </si>
  <si>
    <t>参照元</t>
    <phoneticPr fontId="15"/>
  </si>
  <si>
    <t>W14:Z14</t>
    <phoneticPr fontId="15"/>
  </si>
  <si>
    <t>K111</t>
    <phoneticPr fontId="15"/>
  </si>
  <si>
    <t>05b_1206</t>
    <phoneticPr fontId="15"/>
  </si>
  <si>
    <t>G8:G15, G25:G32</t>
    <phoneticPr fontId="15"/>
  </si>
  <si>
    <t>基準年度が空欄のときに、0除算が発生し、#VALUE!となるのを回避</t>
    <rPh sb="0" eb="4">
      <t>キジュンネンド</t>
    </rPh>
    <rPh sb="5" eb="7">
      <t>クウラン</t>
    </rPh>
    <rPh sb="13" eb="15">
      <t>ジョサン</t>
    </rPh>
    <rPh sb="16" eb="18">
      <t>ハッセイ</t>
    </rPh>
    <rPh sb="32" eb="34">
      <t>カイヒ</t>
    </rPh>
    <phoneticPr fontId="15"/>
  </si>
  <si>
    <t>G8セル
=IF(OR($E$6=0,E8=""),"",INT(($E$6-E8)/$E$6*10000)/100)
↓
=IF(OR($E$6="",$E$6=0,E8=""),"",INT(($E$6-E8)/$E$6*10000)/100)
G9セル
=IF(OR($E$7=0,E9=""),"",INT(($E$7-E9)/$E$7*10000)/100)
↓
=IF(OR($E$7="",$E$7=0,E9=""),"",INT(($E$7-E9)/$E$7*10000)/100)</t>
    <phoneticPr fontId="15"/>
  </si>
  <si>
    <t>P7:P12</t>
    <phoneticPr fontId="15"/>
  </si>
  <si>
    <t>←計画書作成する年度の場合は、「計画書」と表示する</t>
    <rPh sb="1" eb="4">
      <t>ケイカクショ</t>
    </rPh>
    <rPh sb="4" eb="6">
      <t>サクセイ</t>
    </rPh>
    <rPh sb="8" eb="10">
      <t>ネンド</t>
    </rPh>
    <rPh sb="11" eb="13">
      <t>バアイ</t>
    </rPh>
    <rPh sb="16" eb="19">
      <t>ケイカクショ</t>
    </rPh>
    <rPh sb="21" eb="23">
      <t>ヒョウジ</t>
    </rPh>
    <phoneticPr fontId="15"/>
  </si>
  <si>
    <t>自動車計算</t>
    <rPh sb="0" eb="3">
      <t>ジドウシャ</t>
    </rPh>
    <rPh sb="3" eb="5">
      <t>ケイサン</t>
    </rPh>
    <phoneticPr fontId="15"/>
  </si>
  <si>
    <t>報1シートのP7:P12を参照する数式(05bよりも前のバージョン）に戻した。セルを黄緑に変更</t>
    <rPh sb="0" eb="1">
      <t>ホウ</t>
    </rPh>
    <rPh sb="13" eb="15">
      <t>サンショウ</t>
    </rPh>
    <rPh sb="17" eb="19">
      <t>スウシキ</t>
    </rPh>
    <rPh sb="26" eb="27">
      <t>マエ</t>
    </rPh>
    <rPh sb="35" eb="36">
      <t>モド</t>
    </rPh>
    <rPh sb="42" eb="44">
      <t>キミドリ</t>
    </rPh>
    <rPh sb="45" eb="47">
      <t>ヘンコウ</t>
    </rPh>
    <phoneticPr fontId="15"/>
  </si>
  <si>
    <t>D19:D22,J22,L22</t>
    <phoneticPr fontId="15"/>
  </si>
  <si>
    <t>非表示列</t>
    <rPh sb="0" eb="4">
      <t>ヒヒョウジレツ</t>
    </rPh>
    <phoneticPr fontId="15"/>
  </si>
  <si>
    <t>I7:N9,D14:N16,F17:N18</t>
    <phoneticPr fontId="15"/>
  </si>
  <si>
    <t>E28</t>
    <phoneticPr fontId="15"/>
  </si>
  <si>
    <t>報2</t>
    <rPh sb="0" eb="1">
      <t>ホウ</t>
    </rPh>
    <phoneticPr fontId="15"/>
  </si>
  <si>
    <t>代表取締役　田中　純一</t>
  </si>
  <si>
    <t>新型コロナウィルスに対する制限が緩和され、旅行支援策が実施
された事で利用客数が増え、エネルギー消費量も増加。</t>
  </si>
  <si>
    <t>アイドリングストップの積極的活用、ジャパンタクシー導入</t>
  </si>
  <si>
    <t>電気会社の変更があり調整後排出量が増加</t>
  </si>
  <si>
    <t>稼働状況は悪化したものの効率的な営業活動が要因で原単位目標を上回った。</t>
  </si>
  <si>
    <t>生産数量が減</t>
  </si>
  <si>
    <t>コロナの影響が減少し配送車両の運行も活発になりつつある中、運送会社への委託化及び燃費向上車への入替が削減の要因</t>
  </si>
  <si>
    <t>ハイブリッド車５台の代替導入を行い効率改善を行ったが、コロナ禍により減少していた輸送量は前年比５％ほど増加したこともあり、排出量は増加した。</t>
  </si>
  <si>
    <t>コロナ禍にあってもエネルギー使用量の削減を検討し対策しました。
省エネ対策としては、照明をLED機器に更新、空調機の更新等を行った。</t>
  </si>
  <si>
    <t>取締役社長　　藤井　　譲</t>
  </si>
  <si>
    <t>取締役社長　藤井　　譲</t>
  </si>
  <si>
    <t>2022年7月に熱源機器更新工事（第Ⅱ期）が竣工し、新たに高効率冷凍機（INVターボ冷凍機:800RT、固定速ターボ冷凍機:2200RT、吸収式冷凍機:1900RTが運用開始となり、第Ⅱ期工事で運用開始となった機器をメインにして熱製造を行った結果、排出量を削減することができた。</t>
  </si>
  <si>
    <t>引き続きエコドライブの取り組みや適切な点検・整備を行い温室効果ガスの排出量削減に努めます。</t>
  </si>
  <si>
    <t>省エネ活動や生産量の減少により、目標を達成した。</t>
  </si>
  <si>
    <t>田辺三菱製薬株式会社 横浜事業所</t>
  </si>
  <si>
    <t>創薬本部 神経科学創薬ユニット長
奥山 昌弘</t>
  </si>
  <si>
    <t>代表取締役　辻村 明広</t>
  </si>
  <si>
    <t>https://www.mt-pharma.co.jp/sustainability/data.html</t>
  </si>
  <si>
    <t>電気事業者の排出係数が増加</t>
  </si>
  <si>
    <t>代表取締役　藤本 佳則</t>
  </si>
  <si>
    <t>特定温室効果ガス排出量は、削減率３．４％を達成。
しかし、調整後では電力会社変更により、▲３４．８％
となった。</t>
  </si>
  <si>
    <t>代表執行役 執行役社長　    中島 篤</t>
  </si>
  <si>
    <t>代表執行役 執行役社長 中島 篤</t>
  </si>
  <si>
    <t>世界基準であるGHGプロトコルではエネルギー量をテナント分と共用部分に分けることになっている。
省エネ法には報告からテナント機器による使用分は除いてもいいが、テナント内のビル基本機器(例えば電灯分)は除かないという規定があり、作業が煩雑になるのを避けるため、ビル全量報告に切り替えたため原単位が膨らんだ。</t>
  </si>
  <si>
    <t>企画管理本部長　取締役専務執行役員 
上村 和久</t>
  </si>
  <si>
    <t>2022年度は売上高が前年比で13.2%増加したため、各温暖化対策施策によるCO2削減効果が、売上による増加分を相殺しきれずにCO2排出量が前年比増加となった。</t>
  </si>
  <si>
    <t>省エネ活動によるムダの削減と空調機やLED照明、省エネポンプへの更新が目標達成に寄与した。</t>
  </si>
  <si>
    <t>・蒸気配管保温ジャケット取付
・高効率エアーコンプレッサー導入
・省エネ仕様制御盤クーラー導入</t>
  </si>
  <si>
    <t>令和４年度中の横浜市内の有人店舗廃止は１か店のみであり、
基礎排出量ベースではほぼ横ばいとなったが、調整後ベースでは再エネ電気導入により目標（年１％減）を上回る削減となった</t>
  </si>
  <si>
    <t>目標を年１％の削減としているが、達しなかった。
設備更新にあたっては高効率の機器を選定している。空調機の内部洗浄を行い効率維持に努めている。来期は照明設備のエリア更新を控えており、一層の省エネが見込まれる。</t>
  </si>
  <si>
    <t>株式会社レゾナック（旧　昭和電工株式会社）</t>
  </si>
  <si>
    <t>東京都港区東新橋一丁目９番１号 東京汐留ビルディング</t>
  </si>
  <si>
    <t>株式会社レゾナック横浜事業所（旧　昭和電工株式会社横浜事業所）</t>
  </si>
  <si>
    <t>主要焼成炉の稼働率は、2021年度の56%に比べ2022年度はほぼ100%であった。これに伴い燃料である灯油使用量が増加したことが排出ガス増加の原因である。</t>
  </si>
  <si>
    <t>執行役員　酒井恵一</t>
  </si>
  <si>
    <t>生産部門の生産増によるエネルギー使用量増加及び新規生産部門の新棟の本格稼働によるエネルギー増加の為</t>
  </si>
  <si>
    <t>クリーンルーム施設によりエネルギー量が増加
再生可能エネルギーの導入を検討中
エネルギー負荷の高い設備の入替
こまめな省エネ施策の実施</t>
  </si>
  <si>
    <t>当工場で生産していた製品が他工場で生産することになり、生産数量が大きく減少したため。</t>
  </si>
  <si>
    <t>前年度に比べ、基礎排出係数(t-CO₂)が高く約6％程度増加。
中部電力ミライズ0.406(2021年度)→0.449(2022年度)
東京電力エナジーパートナー0.447(2021年度)→0.457(2022年度)</t>
  </si>
  <si>
    <t>代表取締役　増井　啓司</t>
  </si>
  <si>
    <t>EDA館内の照明をLEDに変更し、不要プリンターの撤去等を実施。
しかし、人員増加に伴い執務室が増え、その分の空調使用が増えたことや、2022年8～9月の猛暑によるエアコンの使用等で、目標を捉えることができませんでした。</t>
  </si>
  <si>
    <t>取締役社長　小泉　雅彦</t>
  </si>
  <si>
    <t>当社の目標は、2019年度値（調整後9,748t-CO2）をベースラインとして、毎年前年対比2％削減として計画した。2022年度9,175t-CO2である。この目標に対して9,095t-CO2であった。</t>
  </si>
  <si>
    <t>取締役社長　泉澤　清次</t>
  </si>
  <si>
    <t>2022年度、停泊中の修繕船への給電量が増加。(生産数量と相関がないエネルギーの増加)
2021年度：1,011,030ｋWh　⇒ 2022年度：3,875,830ｋWh</t>
  </si>
  <si>
    <t>代表取締役社長　藥師寺　えり子</t>
  </si>
  <si>
    <t>・高効率機器の優先運転を実施。
・需要家増加により、冷温熱製造量増加(2021年度比105%)</t>
  </si>
  <si>
    <t>代表理事　堀内　尚</t>
  </si>
  <si>
    <t>一般財団法人　神奈川県警友会　けいゆう病院　財産管理課</t>
  </si>
  <si>
    <t>照明設備等の改善
軽負荷変圧器の損失排除</t>
  </si>
  <si>
    <t>エネルギーの削減が難しかった理由として、コロナウイルスへの感染を防止する観点で学生や教職員への配慮は必要であり、教室や事務室等のドアや窓を開状態のまま運用していることが、一因である。</t>
  </si>
  <si>
    <t>光熱費高騰による省エネ活動推進</t>
  </si>
  <si>
    <t>・横浜市内4拠点の店舗統廃合を実施。
・非化石電力メニューへの切替を推進。</t>
  </si>
  <si>
    <t>部品供給、在庫調整要因による受注変動の影響を受け、改善が出来なかった。</t>
  </si>
  <si>
    <t>https://www.nissin-tw.com/news/2023/post_452.html</t>
  </si>
  <si>
    <t>・昼休みの消灯やエアコンの適正温度設定を実施
・ENEOS㈱の電気事業者別排出係数について、2022年度
　は2021年度と比較し減少</t>
  </si>
  <si>
    <t>コロナ対策にて外調機の運転時間延長やインバータ停止した。
2021年度電力設備工事による休館日が22年度は無くした。
コージェネシステム廃止による買電量の増加。</t>
  </si>
  <si>
    <t>神奈川大学横浜キャンパス18号館地下1階　総務部総務課　分室1</t>
  </si>
  <si>
    <t>9：00～16:00（月～金曜日）（但し12:00～13:00は昼休み）</t>
  </si>
  <si>
    <t>2022年度は新型コロナウィルス感染拡大に伴う学内入構制限を緩和されたことで対面授業や移設貸出が再開されたため事業活動量が増加。</t>
  </si>
  <si>
    <t>設備運用変更に伴う省エネ取組み及び執務室等におけるこまめな省エネ活動を実施</t>
  </si>
  <si>
    <t>横浜製作所　　　所長　春日　昌仁</t>
  </si>
  <si>
    <t>省エネ・節電取り組み促進</t>
  </si>
  <si>
    <t>2021年度が1フロア分のテナントが撤去の為、大幅な削減になったが、2022年度はテナントが入った為、削減には至らなかった。</t>
  </si>
  <si>
    <t>執行役員工場長　加藤　純一</t>
  </si>
  <si>
    <t>生産量減により目標を達成。</t>
  </si>
  <si>
    <t>代表取締役社長　灘 信之</t>
  </si>
  <si>
    <t>第一年度は基準年度と比較し、操業増となりエネルギー使用量が増加した。</t>
  </si>
  <si>
    <t>　株式会社ブリヂストン　横浜安全・防災・環境保全課</t>
  </si>
  <si>
    <t>一部商材が別事業者となった。そのエネルギーは削除した。</t>
  </si>
  <si>
    <t>昨年10月に1事業所が増加、排出量の増加要因となりました。</t>
  </si>
  <si>
    <t>代表取締役社長　棚本　実</t>
  </si>
  <si>
    <t>代表取締役社長 左藤　誠</t>
  </si>
  <si>
    <t>左藤　誠</t>
  </si>
  <si>
    <t>数物件のテナント分を昨年まで誤って計上しており、今年度より除外した使用量を使用した。</t>
  </si>
  <si>
    <t>基準となる2021年度がコロナ禍によって稼働率が低く、
それに対し2022年度はコロナ禍が落ち着き、
来客数が増加したことにより、
併せて水光熱の使用量が増加した。</t>
  </si>
  <si>
    <t>省エネ機器への更新・節電の徹底</t>
  </si>
  <si>
    <t>特定温室効果ガス排出量はおおむね目標通り減少した。内部活動費が増加したため、原単位でも削減率は目標を上回った。</t>
  </si>
  <si>
    <t>野村総合研究所　本社ビル　サステナビリティ推進部</t>
  </si>
  <si>
    <t>再エネメニューの導入を進めたことで調整後の排出量を削減できた。</t>
  </si>
  <si>
    <t>代表取締役社長　問田　和宏</t>
  </si>
  <si>
    <t>主要需要家の退去(2021.3末)による冷熱販売減少と厳冬であった基準年度に対して温熱販売が減少したことで排出量は減少しました。需要の変化もあり夜間の販売量が大幅に減少する時期では製造設備容量のミスマッチによる原単位悪化要因はありましたが保有設備で最適となる運転機を選択することで原単位も目標達成することができました。また2022年2月より使用電力の一部をはまっこ電気に切り替え今後も再エネ電力(低炭素電気)の割合を増やす予定です。</t>
  </si>
  <si>
    <t>原油換算エネルギー使用量は2,753klと昨年度2,732klからほぼ横這いだったが、電気事業者のCo2排出係数の変更が大きく影響し目標を下回った。</t>
  </si>
  <si>
    <t>代表取締役社長　亀津　克己</t>
  </si>
  <si>
    <t>省エネ活動を実施しているが、半導体市況の需要が旺盛で大幅増産したため、電力を多く使用した。その為目標を下回った。</t>
  </si>
  <si>
    <t>・精製設備の更新後、製造条件を再確認し
　条件を省エネ設定に2022年10月より実施した</t>
  </si>
  <si>
    <t>代表取締役社長 池田 尚</t>
  </si>
  <si>
    <t>山下DC閉鎖により電力量の減</t>
  </si>
  <si>
    <t>基準年度である2021年度はコロナ対応のため施設稼働率が低く、また横浜市域校舎建て替え準備のため町田市域校舎に振替を行った。2022年度は施設稼働率が高まったことから、排出量、原単位とも増加した。</t>
  </si>
  <si>
    <t>2021年度は新型コロナウィルス感染拡大の影響による入場人数制限等の規制があり稼働率が低かったが、2022年度は年度途中から規制が緩和されたために電力、都市ガスの使用量が増加した。</t>
  </si>
  <si>
    <t>コロナ後の来客回復によりエネルギー使用量増となった。</t>
  </si>
  <si>
    <t>計画では電気使用量増により排出量増を想定していますが第一年度排出量は基準年度より▲259t-CO2、電気使用量は▲1,779千kwh減。原因はIT電気使用量が想定より▲1,487千kwh少なかったため。原単位は空調稼働調整等で1.7%削減、概ね計画どおり。</t>
  </si>
  <si>
    <t>照明器具のＬＥＤ化</t>
  </si>
  <si>
    <t>執行役員　加藤　譲</t>
  </si>
  <si>
    <t>再生可能エネルギーのRE100メニューへ切り替え実施および省エネ機器の採用したことで目標より大幅な排出量削減となった。</t>
  </si>
  <si>
    <t>・2023年2月星川駅前店オープンの為使用量増加
・2023年3月ひかりが丘店閉鎖の為減少</t>
  </si>
  <si>
    <t>冷凍機の更新（2事業所）
照明設備の改善等（3事業所）</t>
  </si>
  <si>
    <t>横浜事業所 事業所長 石毛 秀明</t>
  </si>
  <si>
    <t>各所照明のLED化，休日中の設備シャットダウンによる待機電力削減，空調省エネ対策工事および運用改善によるエネルギー使用合理化等による施策を実施し，おおむね目標通り。</t>
  </si>
  <si>
    <t>横浜中央工場：事業活動量は若干減
ミスタードーナツ店舗：売上増加に伴うエネルギー使用量の増加</t>
  </si>
  <si>
    <t>設備更新のスケジュールが遅れており、想定どおりの削減率は達成できなかった。</t>
  </si>
  <si>
    <t>CGSの稼働時間減により都市ガス使用量が減少したことで、買電量の増加に伴う温室効果ガスの増加を上回り削減効果が生じた病院があった。また照明をLEDに切替え、エアコン管理でタイマー設定や、温度設定を現場リモコンでできないように変更するといった常用発電機や空調用熱源の運用見直し等に取り組んだ病院もあった。但し、多くの病院では、COVID-19対策として空調機稼働時間が長くなるなどの増加要因もあった。</t>
  </si>
  <si>
    <t>夏期の外気温度が高かった影響により、冷水使用量が増加した。</t>
  </si>
  <si>
    <t>事業の一部変革に伴う生産設備の再構築、活動量の増加あり。ただし、照明LED化、空調改善などにより原単位は良化し、目標に到達できた。</t>
  </si>
  <si>
    <t>代表取締役社長　菅野 等</t>
  </si>
  <si>
    <t>代表取締役社長 　菅野　等</t>
  </si>
  <si>
    <t>2022年度は2号機送電用変圧器の内部故障により活動量が減少したためCO2排出量は基準年よりも減少しているが、熱効率の低下に伴ってCO2排出原単位は増加した。</t>
  </si>
  <si>
    <t>https://www.sisetu.titech.ac.jp/sisetu/05syouene/Ja/J04info/ondanka4.html</t>
  </si>
  <si>
    <t>熱供給においては、季節的変動需要に起因しプラントの非効率運転が生じた。商業施設においては、コロナ禍対策としての外気取り込み量増加等、動力系設備の増強運転があった。</t>
  </si>
  <si>
    <t>2021年度と比べてコロナ禍からの活動再開が顕著となり、教室や運動施設の使用実績が増えたため。また換気併用で空調を使用したため。</t>
  </si>
  <si>
    <t>コロナ禍で出社率・操業量の低かった基準年度に比べ、出社率も操業量もコロナ前に戻りつつある。</t>
  </si>
  <si>
    <t>全走行距離が大幅に減ったため</t>
  </si>
  <si>
    <t>基準年度である2021年度と比較して年間の宿泊客数は66%増加，飲食・宴会利用客数は32%増加したため施設の稼働率が上がった。</t>
  </si>
  <si>
    <t>運休していた高速バスの再開により、運休車両のエンジン等の性能劣化を防止するために実施していたアイドリング運転は取り止めたが走行距離は増加し、目標年度を上回わる結果となった。</t>
  </si>
  <si>
    <t>2022年度から徐々にコロナに関する対応が解除になり、執務人員が増加傾向となり、また夏季の気温上昇によるエネルギー使用量も上昇傾向になることから、2023年度以降のエネルギー使用推移に不安あり。</t>
  </si>
  <si>
    <t>代表執行役社長　笹山　晋一</t>
  </si>
  <si>
    <t>導管部門の法的分離のため、導管部門分のエネルギー使用量や車両使用が減少した。</t>
  </si>
  <si>
    <t>導管分離に伴い導管部門が別会社となり、導管部所有だった車両分の使用エネルギーが減となったため。</t>
  </si>
  <si>
    <t>代表取締役社長　金井　美惠</t>
  </si>
  <si>
    <t>コロナ渦が収束になり、地下街ポルタ・横浜新都市ビルへの来客数が増えたことで、飲食店の厨房機器・売場電気機器・空調設備・昇降機・トイレなどの電気使用量も増えた。</t>
  </si>
  <si>
    <t>冷凍コンテナの取り扱い増加に加えて冷凍コンテナの蔵置日数も増加したため、排出量が増加した。</t>
  </si>
  <si>
    <t>本学では目標達成のため毎年随時高効率化の空調機器やLED照明器具へ更新及び新設を進めており、2022年度も実施しております。また、室内温度の適正化（政府推奨温度）を推進し、設備の運転時間も短縮化、照明時間（不要箇所の消灯）などを実施しております。しかし、対面授業の増加によりキャンパス内全体のエネルギー消費量が大きく増加したことにより昨年度よりCO2を3.2％増大した。</t>
  </si>
  <si>
    <t>東京都千代田区丸の内3丁目３番１号</t>
  </si>
  <si>
    <t>取締役社長　近藤雄一郎</t>
  </si>
  <si>
    <t>電灯設備の照明をＬＥＤ化</t>
  </si>
  <si>
    <t>電灯設備について照明器具のLED化工事を実施。</t>
  </si>
  <si>
    <t>ブランド・サステナビリティ推進部　サステナビリティ・社会貢献推進課</t>
  </si>
  <si>
    <t>排出量の削減は目標を達成出来たが、原単位では微減という結果だった。東電エナジーパートナーの二酸化炭素排出係数が2～3%上昇したことも要因の一つと考えられる。</t>
  </si>
  <si>
    <t>コロナ禍による供給高増が落ち着いた（供給高前年比98.1％）ことや、配送効率向上を目指した配送コースの見直しを定期的に行ったこと、エコドライブの推進などにより、CO2排出量を削減できた</t>
  </si>
  <si>
    <t>電力購入メニューが東急パワーサプライ メニューB（残差）からメニューAに変更しました。（基礎排出係数：0.000494 調整後排出係数：0.000000）</t>
  </si>
  <si>
    <t>省エネマニュアルを配布して省エネ活動を積極的に行いましたが、結果として目標を下回ってしまいました。</t>
  </si>
  <si>
    <t>2022年度オープンクラブの影響もあり、フィットネス来館者数が2021年度1,276,199名から2022年度1,474,794名へと増加したことがCO2排出量増加に繋がったと思われる。（省エネの取り組みにより利用人数原単位は2.05→1.85t-CO2/人で改善している）</t>
  </si>
  <si>
    <t>サステナビリティ推進部</t>
  </si>
  <si>
    <t>・人員増加や猛暑による空調等の電力使用量増加
・2021年度に比べて出社率が増加したことにより、空調等の電力使用量が増加した</t>
  </si>
  <si>
    <t>代表取締役兼社長執行役員　佐伯友道</t>
  </si>
  <si>
    <t>生産量の増加により使用量が増加</t>
  </si>
  <si>
    <t>埼玉県所沢市くすのき台一丁目１１番地の１</t>
  </si>
  <si>
    <t>・東京電力エナジーパートナー株式会社の実質CO2排出量「0」の「はまっこ電気」2022年1月から導入（継続）</t>
  </si>
  <si>
    <t>代表取締役　清水　博</t>
  </si>
  <si>
    <t>新型コロナウィルス感染防止対策による在宅勤務の実施等で使用量減少傾向にあったが、通常営業となり増加傾向となった。
横浜西口ビルにて再生可能エネルギー由来の電力を導入した。今後もより一層の取組みにより目標達成を目指す。</t>
  </si>
  <si>
    <t>取締役社長　大久保　忠昌</t>
  </si>
  <si>
    <t>新規路線の開業や路線の譲受、運行ダイヤの見直しを実施した結果、わずかに燃費の増加が見られ、排出量も増加した。今後もお客様サービスの向上や需要に応え、運行ダイヤの見直しや系統新設、路線延伸・再編による走行キロの増減で、ＣＯ２排出量の増減が予測されますが、省エネ車両への代替や、エコドライブ推進体制の整備を引き続き進め、温室効果ガスの排出量を逓減させたい。</t>
  </si>
  <si>
    <t>代表取締役　江口　幸治　</t>
  </si>
  <si>
    <t>代表取締役　江口　幸治　　　　　　　　　　　　　　　　</t>
  </si>
  <si>
    <t>【Science &amp; Innovation Center】
2022年度より新設研究棟稼働によって排出量大幅増</t>
  </si>
  <si>
    <t>太陽光発電システム導入のため</t>
  </si>
  <si>
    <t>代表取締役社長　表 輝 幸</t>
  </si>
  <si>
    <t>横浜工場　工場長　春日優人</t>
  </si>
  <si>
    <t>設備更新による改善</t>
  </si>
  <si>
    <t>変圧器の更新、照明器具のLED化、空調圧縮機の更新等により、温室効果ガス排出原単位は基準年度より5.6％改善された。</t>
  </si>
  <si>
    <t>新運行管理システムの導入による配送コースの見直しにより、温室効果ガス排出原単位は基準年度より6.1％改善された。</t>
  </si>
  <si>
    <t>代表取締役 社長 兼 CEO　藤原憲太郎</t>
  </si>
  <si>
    <t>代表取締役 社長 兼 CEO　藤原 憲太郎</t>
  </si>
  <si>
    <t>昨年度までに引き続き、換気を行いながらエアコン使用（新型コロナウイルス感染症対策）するなど通常よりもエネルギー使用量が増加している。</t>
  </si>
  <si>
    <t>鈴木　宏昌</t>
  </si>
  <si>
    <t>目標を上回ったものの、照明のLED化等により前年度に比しては削減することができた。</t>
  </si>
  <si>
    <t>代表取締役社長　植田　俊</t>
  </si>
  <si>
    <t>事業所追加により排出総量は増加したが原単位では基準年度比で4.4％削減した。削減要因は空室率の変動や照明LED化等の省エネ活動の推進が影響した。</t>
  </si>
  <si>
    <t>神奈川県横浜市西区南幸1-6-31 髙島屋横浜店 7階</t>
  </si>
  <si>
    <t>新型コロナウイルス感染症対策による巣ごもり需要によりエネルギー量も増加している。一方、電力会社の再エネ電力を導入を増やすことで、調整後排出量は減少させている。</t>
  </si>
  <si>
    <t>新型コロナウイルス感染症蔓延の影響で、依然として巣ごもり需要が高く、宅配希望が増加傾向にあった。</t>
  </si>
  <si>
    <t>代表取締役　藤谷　昭</t>
  </si>
  <si>
    <t>原単位は基準年度と比較して19%増となったが、これは低原単位の大型ビルを売却したことが要因となる。調整後については一部物件において再エネプランへの切替えを実施したため低下した。</t>
  </si>
  <si>
    <t>東京都中央区京橋三丁目1番1号</t>
  </si>
  <si>
    <t>　東京都中央区京橋三丁目1番1号</t>
  </si>
  <si>
    <t>取締役社長　今井　雅之</t>
  </si>
  <si>
    <t>省エネの取り組みや設備代替時における省エネ機器の導入、不動産賃貸事業においてビル全体の電気使用量が減少したことなどにより、CO2排出量の削減目標を上回ることができた。</t>
  </si>
  <si>
    <t>引き続きエコドライブの取り組みを推進したものの、燃費が悪化する結果となりCO2排出量の削減目標を下回った。</t>
  </si>
  <si>
    <t>・事業所単位での電気使用量抑制
・改装に合わせ、既存店舗の照明を蛍光管からLED照明へ変更
・営業時間外、および未使用エリアの消灯及び空調オフの徹底</t>
  </si>
  <si>
    <t>前回まで未計上であった厨房機器の都市ガス使用分を
今回から計上</t>
  </si>
  <si>
    <t xml:space="preserve">新規作業の立ち上がりにより、事業活動は増加し空調並びに機械のエネルギーの使用量が大幅に増大したが、操業数の計上につながる作業が少なかったため原単位の悪化を招いた。
</t>
  </si>
  <si>
    <t>https://www.ftb.co.jp/environment/</t>
  </si>
  <si>
    <t>電気使用量の構成割合等の棚卸を実施及び分析を行い、削減可能な個所を洗い出し、冷凍機の稼働を最適化したことで目標を上回る削減を達成できた。</t>
  </si>
  <si>
    <t>2022年度はほぼ通常営業となった。日吉店が2022年4月より営業開始した。</t>
  </si>
  <si>
    <t xml:space="preserve">東京電力エナジーパートナー基礎排出係数の影響あり
令和４年度　0.000447　　令和５年度　0.000457
店舗数増加により温室効果ガス排出量は増加したが、原単位は目標年度の数値を上回った。
</t>
  </si>
  <si>
    <t>原油換算量では基準年度を下回ったが、電力会社の排出係数増加により基礎排出量は増加した。</t>
  </si>
  <si>
    <t>基準年度は、コロナ禍による事業活動の制限を受けていた年度に当たる。通常の業務へと戻りつつある2022年度は、省エネ対策等を実施しても施設利用者の増加による稼働率の上昇に伴い、温室効果ガス排出量は基準年度よりも3～10％増加するものと想定した。今回の結果は、想定内だが目標を下回った。</t>
  </si>
  <si>
    <t>・施設における通信設備、空調ともに稼働率と電力量が減少したため。</t>
  </si>
  <si>
    <t>空気調和設備の効率的な運転管理、照明設備の効率的な運用などの省エネや節電に関する取り組みを促進したものの、水需要（処理量）や二酸化炭素排出係数（調整後）が前年と比較し増加したため、温室効果ガス排出量が増加してしまった。</t>
  </si>
  <si>
    <t>横浜工場　常務執行役員工場長　藤原　義寿</t>
  </si>
  <si>
    <t>昨年と比較して生産数量が10%程度減少したことが原単位の増加に繋がっていると考えられる。
一方で省エネ取り組みとしては照明のLED化などに着手した。</t>
  </si>
  <si>
    <t>コロナ禍も終わり入館者数も44.1％増えたことにより使用量が増加した。</t>
  </si>
  <si>
    <t>電算機の増設およびそれに伴う空調負荷増加より、排出量が増加した。</t>
  </si>
  <si>
    <t>横浜事業所構内、1ビルの解体・新築工事が施工中となっており電力供給が減少した。その他、横浜事業所では照明機器のLED化を推進し白山事業所では空調機の高効率型への更新を実施しています。</t>
  </si>
  <si>
    <t>都市ガス・電気ともに実使用量は減っているものの、昨年度まで計上していなかった非常用発電機用A重油と芝刈り機ようガソリン及び賃貸事業所の使用量について追加したため。</t>
  </si>
  <si>
    <t>専務執行役員 南関東・東海営業本部長
　兼神奈川支店長　　髙橋　信治</t>
  </si>
  <si>
    <t>神奈川県総務局財産経営部財産経営課（神奈川県本庁舎５階）</t>
  </si>
  <si>
    <t>代表取締役　安田信行</t>
  </si>
  <si>
    <t>埼玉県朝霞市西原１－１－１　武蔵野ビル１階</t>
  </si>
  <si>
    <t>コンプレッサーの更新を始め、基本的な省エネ対策の強化を行ったものの、製造アイテムの長鮮度化によりエネルギー使用量が大幅に増えてしまい、目標を大幅に下回ってしまった。</t>
  </si>
  <si>
    <t>・空調設備更新
・照明設備更新
・エレベーター設備更新</t>
  </si>
  <si>
    <t>・戸塚モディ：再生エネルギーへ変更
・空調機、給排気ファンなどの間欠運転や熱源機器の運転時間削減等で
　前年に対してエネルギー使用量・Co2排出量ともに減少となった。</t>
  </si>
  <si>
    <t>・新店1店舗開店(’22年11月)
・コロナ禍でデマンドメーター運用を厳密に適用できなかった
・空調上限温度設定一部中止</t>
  </si>
  <si>
    <t>生産能力向上を目的としたライン設備の入れ替えにより、エネルギー原単位が悪化したことに伴い、温室効果ガス原単位も悪化した。</t>
  </si>
  <si>
    <t>電力会社の排出係数が上がったため</t>
  </si>
  <si>
    <t>エコドライブの推進をしているが、コロナ禍による営業活動等の自粛の緩和により、事業活動量が基準年度よりも活発になったために削減率がマイナスになったものと思われる。</t>
  </si>
  <si>
    <t>省エネ施策（旧通信設備撤去および現用通信設備のスリム化・高密度化、高効率空調への更改、不要となった箇所の空調を稼働休止）を継続して実施したが、通信負荷増に伴う空調使用増によりエネルギー使用量が増加</t>
  </si>
  <si>
    <t>石油需要の減少により稼働減、および省エネ対策を予定通り実施することにより目標を達成。</t>
  </si>
  <si>
    <t>生産量増による稼働時間が増加した為と考えられる</t>
  </si>
  <si>
    <t>エネルギー価格高騰につき各節電対策強化</t>
  </si>
  <si>
    <t>神奈川県警察本部長　直江　利克</t>
  </si>
  <si>
    <t>二酸化炭素の削減については各施設管理者へ周知しているが、昨年夏の猛暑による異常気象を受け目標を下回ってしまった。</t>
  </si>
  <si>
    <t>二酸化炭素の削減については低燃費車両などを積極的に導入しているが、前年度より総走行距離が増加したため目標を下回ってしまった。</t>
  </si>
  <si>
    <t>2022年3月1日付で東急ストアが東急ステーションリテールサービスを吸収合併し、横浜市ではLAWSON+toks、マツモトキヨシ等23店舗が加わったが、各店において節電・省エネに取り組んだ結果、基準年度に比べ目標値を上回ることができた。</t>
  </si>
  <si>
    <t>車両買替時、ガソリン車よりハイブリッド車に移行</t>
  </si>
  <si>
    <t xml:space="preserve"> 横須賀本部　施設課</t>
  </si>
  <si>
    <t xml:space="preserve"> 神奈川県横須賀市夏島町２番地１５</t>
  </si>
  <si>
    <t>運用対策やLED照明器具の高効率型への更新に加え、夏期の電力危機対策で臨時に照度設定変更や空調の温度設定変更を行ったことが排出量の大きな削減要因となった。</t>
  </si>
  <si>
    <t>大阪府大阪市中央区城見1－4－35</t>
  </si>
  <si>
    <t>東京都中央区八重洲2-2-1</t>
  </si>
  <si>
    <t>コロナ禍の落ち着きもあり、活動量が前年度比増加したことなどにより、排出量は前年度を上回ったと考える。</t>
  </si>
  <si>
    <t>代表取締役　小椋　真哉</t>
  </si>
  <si>
    <t>車両代替による燃費改善、定期的なメンテナンスを実施</t>
  </si>
  <si>
    <t>〒108-8435東京都港区芝浦3-1-1
msb Tamachi田町ステーションタワーN 29階</t>
  </si>
  <si>
    <t>事業の拡大に伴いエネルギー使用は増加しているが、電力会社の変更に伴い排出係数が低減し、結果としてCO2排出量は削減された</t>
  </si>
  <si>
    <t>代表取締役社長　隅野　俊亮</t>
  </si>
  <si>
    <t>東戸塚（新館）ビルを完全閉鎖（2022年8月末）した。
一部物件において、電気事業者と再エネメニューの契約を締結した。また、非化石証書およびJクレジットを活用しオフセットした。</t>
  </si>
  <si>
    <t>・年間走行距離が2,377千kmから2,284千kmに減少
・年間給油量が226,864Lから216,589Lに減少
・前年比車両23台増車、25台（走行有9台、走行無16台）減車
・2022年、ハイブリッド（ガソリン）車6台増車</t>
  </si>
  <si>
    <t>代表取締役　本間　正治</t>
  </si>
  <si>
    <t>マルエツ本社　総務部</t>
  </si>
  <si>
    <t>冷ケース温度設定の見直し、商品棚や店頭照明の消灯などにより使用電気量は削減できたが、買電の排出係数が増加したため、目標達成できなかった</t>
  </si>
  <si>
    <t>東京都武蔵野市吉祥寺本町一丁目12番10号</t>
  </si>
  <si>
    <t>10：00～17：00　　事前連絡要0422-68-7104</t>
  </si>
  <si>
    <t>5月8日付けで住所を変更しています</t>
  </si>
  <si>
    <t>・適正照度の維持管理
・空調温度、湿度の適正 効率改善
・空調機、冷凍冷蔵設備のメンテナンス強化
・冷蔵ケースの設定温度適正化</t>
  </si>
  <si>
    <t>東京電力による電力需給ひっ迫に伴う節電による効果あり　　　　　１．冷蔵ケースの温度を最適化（基準値で設定）にした　　　　　　　　　　　　　　　　　　　　２．売場冷蔵ケース・天井灯などの消灯・間引き実施</t>
  </si>
  <si>
    <t>生産効率を向上させる事により、原燃料を削減することができた。</t>
  </si>
  <si>
    <t>2022年度は原油換算使用量で前年比約12%減・CO2排出量で2021年度比約14％程度の減となった。2022年度は施設稼働が回復基調であったが、夏に実施した国立大ホール改修工事でエネルギー使用量を抑えられたこともあり、原油換算使用量・CO2排出量共に減少した要因と考えられる。</t>
  </si>
  <si>
    <t>基準年度に比べ、温室効果ガスの排出量は減少したが、主に電気事業者の排出係数が低下したことによるもの。</t>
  </si>
  <si>
    <t>コロナ禍の影響を受けた第一年度となりました。徐々に社会経済が回復していくなかで、エネルギー使用は設備稼働と共に増加傾向で、保守整備を中心とした設備の安定稼働に努めました。一方で重要部品の納期日程に課題があり、さらに食品衛生面の観点から年間を通じた24時間の空調連続運転など特定温室効果ガス排出量の増加に影響したとみております。</t>
  </si>
  <si>
    <t>ビエラ蒔田店を開店し活動量が増加したものの、原単位で見ると23.1％の削減となった。</t>
  </si>
  <si>
    <t>首都圏エリアサポート部</t>
  </si>
  <si>
    <t>東京都中央区日本橋一丁目4番1号</t>
  </si>
  <si>
    <t>・2021年度はコロナ禍の影響で営業時間を短縮していたが、2022年度(土日祝)は通常の営業時間で稼働したため事業活動量が増加した。
・共用部の一部照明を100％から35％回路に減灯したため排出量が減少した。
・厨房排気ファンの運転時間を店舗毎に見直し、運転時間を短縮した。</t>
  </si>
  <si>
    <t>神奈川県横浜市西区みなとみらい三丁目3番3号 横浜コネクトスクエア10F</t>
  </si>
  <si>
    <t>削減目標年間1%に対し1.7%と目標を上回りました｡冷蔵倉庫の貨物取扱量は0.5%微増､主たるエネルギーの電気使用量は2%増加となっていますが一部電力会社変更による排出係数の減少が影響しており特に調整後の削減率は8.4%となっています｡</t>
  </si>
  <si>
    <t>代表取締役社長　村岡　彰敏</t>
  </si>
  <si>
    <t>排出量の大半を占める横浜工場では電力、都市ガスとも使用量が前年度を下回ったが、電気事業者の排出係数上昇と、経済活動回復による横浜ビルの電力量上昇基調などのため、全体の換算排出量は微増した。</t>
  </si>
  <si>
    <t>千葉県木更津市瓜倉361番地</t>
  </si>
  <si>
    <t>8:30～16:30</t>
  </si>
  <si>
    <t>電力会社からの節電要請により一部照明の消灯や空調運転の見直しを行った</t>
  </si>
  <si>
    <t>代表取締役　髙木 恵一</t>
  </si>
  <si>
    <t>横浜工場　工場長　澤埜 明修</t>
  </si>
  <si>
    <t>https://www.toyo-seikan.co.jp/</t>
  </si>
  <si>
    <t>照明設備LED化
電力調達先の変更</t>
  </si>
  <si>
    <t>前年に比べ、売上が108％に伸張し、使用エネルギーが増加した</t>
  </si>
  <si>
    <t>南関東支社長　山田　亮太郎</t>
  </si>
  <si>
    <t>代表取締役社長　千田　哲也</t>
  </si>
  <si>
    <t>記録的な猛暑等により空調使用時間が増加したため。</t>
  </si>
  <si>
    <t>執行役員神奈川事業部長　相原 朋子</t>
  </si>
  <si>
    <t>https://www.ntt-east.co.jp/sustainability/activities/environment/own-carbon-neutral/management/system/index.html</t>
  </si>
  <si>
    <t>・負荷設備の需要増に伴い主要エネルギーである電力使用量が昨年度比約4.2％増加した
・CO2排出係数の小さい電気事業者のエネットから、同係数の大きい東京電力エナジーパートナーへの切替ため
・電気事業者のCO2排出係数が基準年度と比較して大きくなっている
・調整後については、再生可能エネルギーメニューを選択しているビルについて報告に反映させたため大きく減少</t>
  </si>
  <si>
    <t>①真夏日及び真冬日の増加。②教室の出入口や窓を開けて換気している影響で室温が外気に左右され、空調熱源機の稼働日数、可動時間が増えている。</t>
  </si>
  <si>
    <t>職務執行者 尾野正明</t>
  </si>
  <si>
    <t>1号ボイラが'22/4～5、5号ボイラが'22/7～'23/1まで故障で停止していた。</t>
  </si>
  <si>
    <t>https://www.mof.go.jp/</t>
  </si>
  <si>
    <t>令和４年度は排出係数が少ない電力会社に変更したため、算定される特定温室効果ガス排出量が減少した。</t>
  </si>
  <si>
    <t>法務大臣　齋藤　健</t>
  </si>
  <si>
    <t>・昼休みなどは照明を消すなどし、節電対策を実施した。
・空調機器の使用について、使用条件、使用時間及び設定温度等を所内全体に周知し、実施させる等、節電の徹底を図った。
・照明設備のLED化を実施した。</t>
  </si>
  <si>
    <t>店舗数の増加に伴い、排出量は増加し、原単位も悪化となった。</t>
  </si>
  <si>
    <t>2022年度は2021年度と比べ、発電量の増加に伴い排出CO2排出量は増加したが、発電量に対する原単位は減少した。</t>
  </si>
  <si>
    <t>本社(西日本)安全推進課</t>
  </si>
  <si>
    <t>大阪市此花区島屋4-4-51</t>
  </si>
  <si>
    <t>物量増加に伴い走行距離及び燃料使用量が増加したため、基準年度と比較して温室効果ガスの排出量が増加した。</t>
  </si>
  <si>
    <t>店舗数は57→58店と増加したが、全店の延べ営業日数は、20,712→19,862日と4.1％減少した。（対2021年度）</t>
  </si>
  <si>
    <t>代表取締役社長　　堀切　智</t>
  </si>
  <si>
    <t>2023年1月1日付にて、168台を保有していた部門が分社化した。</t>
  </si>
  <si>
    <t>運用面での省エネ活動が削減に繋がった。</t>
  </si>
  <si>
    <t>店舗数増加、業績の増加もあり排出量は若干目標未達となった。原単位も若干目標に未達だが業績が更に増加すれば達成の見込み</t>
  </si>
  <si>
    <t>・洋光台、男女ロッカールーム空調機更新
・館内照明の間引き点灯、不要箇所の照明消灯を徹底
・閑散時間帯のトレーニングマシン間引き運転
・カラン、シャワーの吐水時間調節
・季節によるボイラー設定温度の調整
・ボイラー点火時間の変更（ONを遅める、OFFを早める）</t>
  </si>
  <si>
    <t xml:space="preserve">東京都千代田区四番町５番地６
日テレ四番町ビル１号館３階	</t>
  </si>
  <si>
    <t>代表取締役社長　岡部　智洋</t>
  </si>
  <si>
    <t>東京都千代田区四番町５番地６
日テレ四番町ビル１号館３階</t>
  </si>
  <si>
    <t>基準年度に比べ営業時間が減った影響で、前年比ではCO2排出量が増となったが、基準年度よりも年1％の削減を設備の更新等を行っている関係で目標通りに進められた。</t>
  </si>
  <si>
    <t>支店統合による車両増加によるもの</t>
  </si>
  <si>
    <t>第二年度の特定温室効果ガス排出量(基礎)の増加及び原単位悪化の最も大きな要因は、本計画制度対象の4事業所の電力購入先である丸紅新電力の基礎排出係数の悪化（0.000308→0.000464）による。</t>
  </si>
  <si>
    <t>COVID-19の制限緩和傾向により、建物や機器の稼働が上昇。また、厳冬の影響による熱源機器稼働増。</t>
  </si>
  <si>
    <t>東京都港区芝公園2丁目9番3号</t>
  </si>
  <si>
    <t>横浜市内の2工場における製造数量の合計が対前年20.8％増となり、調整後削減率は16.5%となった。
原単位削減率は、排ガス処理の無い新材製品の出荷量が増えたことで原単位が増加し削減率▲0.7%となった。</t>
  </si>
  <si>
    <t>設備工事多数につき、エネルギー使用量増加</t>
  </si>
  <si>
    <t>横浜医療センター　院長　宇治原　誠</t>
  </si>
  <si>
    <t>事業拡大により、出店店舗数増。１店舗１店舗で対策を実施</t>
  </si>
  <si>
    <t>　鉄道車両の生産両数減少に伴い、回収時間は対前年度比で約27％減。一方工場を稼働させるエネルギーについて、設備投資により削減を進めているが、総合的に見ると一定のエネルギー使用量を計上し、対前年度比約14％減。この結果回収時間原単位は対前年度比約19％増となった。</t>
  </si>
  <si>
    <t>処理品質の向上が求められ、処理量に対する加工負荷が増加したため排出量が増加してしまいました。</t>
  </si>
  <si>
    <t>電力会社変更に伴いCO2排出係数が約８％増加した</t>
  </si>
  <si>
    <t>代表取締役社長　濱埜　直人</t>
  </si>
  <si>
    <t>横浜工場　事業支援部</t>
  </si>
  <si>
    <t>2022年7月の事業譲渡の為、エネルギー使用量と原単位分母(製品体積値)に大きな変動が発生したため。</t>
  </si>
  <si>
    <t>代表取締役社長　奥田　久栄</t>
  </si>
  <si>
    <t>執行役員神奈川総支社長　坂上　晴勇</t>
  </si>
  <si>
    <t>2021年12月に戸塚事務所（本館・別館）移転による無人化、大船事務所（鎌倉市）への拠点統合により、2022年度の電気使用量削減。</t>
  </si>
  <si>
    <t>車両移動する際は、電気自動車の利用を心掛け、エコドライブを実践。</t>
  </si>
  <si>
    <t>代表執行役社長　小早川　智明</t>
  </si>
  <si>
    <t>https://www.tepco.co.jp/about/esg/environment/relation/laws-j.html</t>
  </si>
  <si>
    <t>執行役員　大室　勝秀</t>
  </si>
  <si>
    <t>特定温室効果ガス排出量（基礎及び調整後）の削減要因は、管理標準を遵守した省エネ活動及び設備更新によりエネルギー使用量が昨年度比で1.3%削減したためである。また、2022年12月からCO2フリーメニューへ契約したことで調整後の目標値を第一年度時点で達成した。</t>
  </si>
  <si>
    <t>倉庫における貨物入庫量増</t>
  </si>
  <si>
    <t>新型コロナ対策の緩和により営業時間の延長や出社率の増加などにより、施設のエネルギー使用量も増加傾向にある。</t>
  </si>
  <si>
    <t>コロナの影響が収束しつつあり、時短営業要請も無く、主に深夜帯の営業時間を延長する等の対応をした結果、排出量は増加。しかし売上高も増加したため、原単位当たりの排出量は削減に繋がった。</t>
  </si>
  <si>
    <t>製造設備の不具合により歩留まりが悪化したため、
生産で発生する温室効果ガスに対しての生産量が低下した。</t>
  </si>
  <si>
    <t>執行役員　桃井 洋聡</t>
  </si>
  <si>
    <t>2物件（KDX横浜ビル・KDX横浜西口ビル）の電力プランを非化石比率の高い電力メニューに変更したことにより、調整後の排出量が減少した。</t>
  </si>
  <si>
    <t>2022年度より環境配慮型電力を採用している。
2021年度に1拠点閉鎖した（神奈川エリアオフィス：営業事務所）ため、対象拠点数が1つ減少した。</t>
  </si>
  <si>
    <t>基準年度翌年から工場稼働を大幅に減じている為、当面は排出量の大幅な増加は見込んでおりません</t>
  </si>
  <si>
    <t>アジア５合同会社
代表社員　ｱｼﾞｱ・ﾌｧｲﾌﾞ・ｼﾝｶﾞﾎﾟｰﾙ・</t>
  </si>
  <si>
    <t>東京都港区虎ノ門3丁目22番10-201号</t>
  </si>
  <si>
    <t>ﾌﾟﾗｲﾍﾞｰﾄ・ﾘﾐﾃｯﾄﾞ　職務執行者
粟国　正樹</t>
  </si>
  <si>
    <t>アジア５合同会社</t>
  </si>
  <si>
    <t>代表社員　ｱｼﾞｱ・ﾌｧｲﾌﾞ・ｼﾝｶﾞﾎﾟｰﾙ・ﾌﾟﾗｲﾍﾞｰﾄ・ﾘﾐﾃｯﾄﾞ　職務執行者　粟国 正樹</t>
  </si>
  <si>
    <t>コロナ状況の変化により店舗売上回復傾向に伴う電力使用量及び原単位増となるが、３ヵ年では3.3％の削減達成</t>
  </si>
  <si>
    <t>コロナ禍での活動であるため換気を行う必要があり、電気を無駄に使用しなければならない事情もあった。２０２２年度は電力を東京電力に切り替えた為、Co2の排出量は大きく減った。</t>
  </si>
  <si>
    <t>ターミナル取り扱いコンテナ量が大幅に増加したため、その分、荷役機器の稼働時間が大きく伸びた</t>
  </si>
  <si>
    <t>代表取締役社長　生駒 浩一</t>
  </si>
  <si>
    <t>代表取締役社長 生駒浩一</t>
  </si>
  <si>
    <t>全社の売上高が、2022年度は工場創設以来過去最低となり、基準年度より22％減少しました。設備稼働減等で排出量は減少しましたが、売上高減の幅が大きく、原単位は大きく悪化となりました。</t>
  </si>
  <si>
    <t>エネルギー算入は2か月間の実績。</t>
  </si>
  <si>
    <t>横浜テクノロジーキャンパス　環境施設技術担当</t>
  </si>
  <si>
    <t>蛍光灯をLEDへ43台更新。夏季の冷凍機故障及び空調設備インバーター故障により負荷増加に加え、新規導入設備及び新規CR稼働により電力量が増加したが生産実績には寄与せず原単位も低下し目標未達となった。</t>
  </si>
  <si>
    <t>東京都港区六本木一丁目9番10号　アークヒルズ仙石山森タワー40階</t>
  </si>
  <si>
    <t>代表社員　ｴｲﾁｴｰﾋﾟｰﾋﾟｰ・ｼﾞｬﾊﾟﾝ・ﾜﾝ・ﾋﾟｰﾃｨｰｲｰ・ｴﾙﾃｨｰﾃﾞｨｰ　職務執行者　長尾誠</t>
  </si>
  <si>
    <t>・コンビニ入居による電気使用量増加
・コロナ規制緩和によるテナントの出社人数増加
　(出社率30%→70%)
・夏季の気温上昇(前年度比＋1℃)による空調用電気の増加</t>
  </si>
  <si>
    <t>稼動の減少</t>
  </si>
  <si>
    <t>・空調機運用改善
・長期休暇等での電源OFF推進
・デジタルサイネージによる電力の見える化</t>
  </si>
  <si>
    <t>照明設備等の改善、省エネ意識の浸透</t>
  </si>
  <si>
    <t>コロナによる来館客数が前年より増加</t>
  </si>
  <si>
    <t>キリンホールディングス株式会社
湘南リサーチパーク</t>
  </si>
  <si>
    <t>神奈川県藤沢市村岡東2-26-1</t>
  </si>
  <si>
    <t>ｷﾘﾝﾎｰﾙﾃﾞｨﾝｸﾞｽ株式会社福浦ﾘｻｰﾁﾊﾟｰｸは2023年3月31日を以て閉鎖いたしました｡2022年度は閉鎖に向けて研究機能の移転のためｴﾈﾙｷﾞｰ使用量が減りました。</t>
  </si>
  <si>
    <t>事業活動も増加しエネルギー量も人員数も伸びたが、その割にエネルギー量の伸びを抑える事ができた為、原単位を改善することが出来た</t>
  </si>
  <si>
    <t>2022年大規模改修工事で熱源空調機器入替、2019年に比べ事業活動量減(2019年稼働330日、2022年207日)</t>
  </si>
  <si>
    <t>東京都港区赤坂3-2-6　アパ赤坂中央ビル8階</t>
  </si>
  <si>
    <t>コロナ対応により、1年間の内、通常営業期間より行政への建物貸出し期間が長いため、エネルギー使用量は正常値ではない。</t>
  </si>
  <si>
    <t>基準年度（2019年）より第三年度（2022年）も生産規模は伸びているが、消費電力抑制施策や生産性向上施策などにより温室ガス排出は抑えられている。</t>
  </si>
  <si>
    <t>20年度、21年度は目標を上回る削減を実施。22年度も目標達成見込みだったが、(株)東芝 横浜事業所のコージェネレーションシステムの更新トラブルにより、自社ではコントロールできない部分でエネルギーが増える結果となり、目標を下回った。</t>
  </si>
  <si>
    <t>2022年度は新型コロナウイルスによる影響も少なくなりつつあり、前年度比では排出量は増加した。一方で、商業施設を新規取得（キテラプラザ青葉台）したことで原単位分母である面積が増加したことで基準年度比の原単位は減少した。</t>
  </si>
  <si>
    <t>工場リニューアル準備のため他事業所に生産移転をすすめた為電気使用量が大幅に減少しCO2排出量も減少した。</t>
  </si>
  <si>
    <t>2019年度以降、4店舗が閉店となったためCo2排出量は減となりましたが、ここ数年はコロナ対策で「店内換気を積極的に行う」等を行ったため実質の排出量（原単位）は増になったと考えています。</t>
  </si>
  <si>
    <t>運営支援本部総務部</t>
  </si>
  <si>
    <t>新規施設の開設、施設の移転によりエネルギー使用量が増加している。また、コロナ対策により換気等実施により使用効率の低下、また、リース車両の納車時期不安定により、現行車両の継続使用による使用量の増加。</t>
  </si>
  <si>
    <t>東京都千代田区大手町一丁目2番1号　Otemachi Oneタワー6階</t>
  </si>
  <si>
    <t>月曜から金曜まで14:00～17:00
（国民の祝日・年末年始・ｺﾞｰﾙﾃﾞﾝｳｨｰｸ・夏季休暇は除く）</t>
  </si>
  <si>
    <t>試験機の稼働増加により、調整後が目標を上回った。</t>
  </si>
  <si>
    <t>再エネ電力の購入により調整後排出量30%削減目標を上回ることが出来た。</t>
  </si>
  <si>
    <t>2022年度から2023年度にかけて他事業所から転入を予定しており、基準年度の排出量に対して増加する見込み。但し、原単位2%以上改善目標について計画を上回っている。</t>
  </si>
  <si>
    <t>地道な省エネ活動により、エネルギー使用量は前年比99.7%と僅かに減少したが、電力会社のCO2換算係数の悪化に伴い、温室効果ガス排出量は増加となった。</t>
  </si>
  <si>
    <t>新型コロナ感染症による巣ごもり需要に伴い取り扱い荷物量は増えており、施設のエネルギー使用量も増加傾向にある。</t>
  </si>
  <si>
    <t>事業所所属人数の増加</t>
  </si>
  <si>
    <t>東京都渋谷区千駄ヶ谷５－３３－８　サウスゲート新宿ビル６階</t>
  </si>
  <si>
    <t>コロナ収束による営業収益の増加により、原単位が大幅に改善した。また、リニューアルによる店舗休業（１店舗、約半年）と、ガス使用店舗減により、エネルギー使用量が減少した結果、CO₂排出量も減少した。</t>
  </si>
  <si>
    <t>省エネ活動推進による改善</t>
  </si>
  <si>
    <t>423</t>
  </si>
  <si>
    <t>株式会社レンタルのニッケン</t>
  </si>
  <si>
    <t>東京都千代田区永田町２丁目１４番２号</t>
  </si>
  <si>
    <t>代表取締役　齊藤　良幸</t>
  </si>
  <si>
    <t>事務所に備え置き一般の閲覧に供する</t>
  </si>
  <si>
    <t>年間走行距離は減少したものの、燃費の良くないディーゼル車のレンタルが増加したと思われます。</t>
  </si>
  <si>
    <t xml:space="preserve">[基本方針]
〇東横インは、地球温暖化防止対策を積極的に行い、企業の社会的責任を果たす。
〇ビジネスホテルのエネルギー消費量は、宿泊されるお客様の人数や、お客様のご使用方法に左右される事が
　多いが運用のソフト面とハード面を駆使し、お客様の理解のもとエネルギー消費量の削減を図る。
〇エネルギー消費量を2022年度を基準として、原単位で年１％以上の削減を目標を設定し、全体的な
　取り組みを行う。
〇設備機器の更新時に高効率機器を積極的に採用し、省エネを図りCO2排出量の削減を図る。
[主要なエネルギー使用設備の更新等の検討]
①更新の対象となる主要なエネルギー使用設備
　蛍光灯をLEDに順次変更して行く、能力の低下したエアコンを順次省エネ型に取り換える。
②上記①を選択下理由　
　省エネ機器を採用する為、電力の使用量の削減、ビークカットの抑制。
③グリーン電力等の電力供給を行い順次CO2の削減を進める。
</t>
  </si>
  <si>
    <t>客室稼働がエネルギー消費量に影響する為、稼働と連動して総排出量も実質は増加
する。その為、稼働室数1000室単位（数字的に小さくなる為）とした、
原単位でを採用した。
2022年度を基準に排出量は期間内に原単位で年１％以上削減出来るよう努力する。
１．特に運営面での削減対策案の継続的な取込みを行う。
２．設備機器の更新時に省エネ型機器の順次取替えを行う。
３．照明のLED化を図っていますが、100％に近づける順次行う。
４．給湯用灯油ボイラーを高効率ガス給湯器に順次取替えを行う。
５．グリーン電力の供給によりco2の削減を図る。</t>
  </si>
  <si>
    <t>［基本方針］　　　　　　　　　　　　　　　　　　　　　　　　　　　　　　　　　　　　　　　　　　　　　　　　　環境保全活動の継続的改善医努め、「環境保全と経済活動の両立」する持続可能な社会の実現に貢献するため、本計画を推進する。　　　　　　　　　　　　　　　　　　　　　　　　　　　　　　　　　　　　　　　　　　　　　　　　　　　1.環境法令、条例等を遵守して、適正な事業活動を推進する。　　　　　　　　　　　　　　　　　　　　　　　　　　　2.環境と資源を大切にし、「地球温暖化対策」及び「循環型社会の構築」を基軸とした環境保全活動を推進する。　　　　　3.事業活動を通じて汚染の防止に努めるとともに、環境負荷の低減を推進する。　　　　　　　　　　　　　　　　　　　4.本計画重点対策の実施。</t>
  </si>
  <si>
    <t>当事業所は製造数量が変動することによりCO2排出量が増減するため、排出量としての目標は不確定要素が多く設定が難しい。したがって原材料及び製造温度の管理、デマンド制御による使用電力の抑制を行うとともに、照明・空調・事務機器などの製造に直接関係しないところでの管理を行いCO2排出量の削減をはかる。</t>
  </si>
  <si>
    <t xml:space="preserve">当社は天然ガスを燃料とする、クラス最高レベルの高効率ガスタービンコンバインドサイクルによる発電を行っています。
電力安定供給の観点から、発電電力量の調整による温室効果ガス排出削減は困難ですので、技術的かつ経済的に可能な範囲で、エネルギー使用の合理化に関する取り組みを推進します。
これにより、発電設備運転時間から想定される効率劣化と、運転計画に見合うエネルギー消費原単位の維持を図り、LNG火力発電所ベンチマークを上回ることを目標とします。
【具体的な取組み方針】
①エネルギー管理組織を定め、PDCAサイクルによる継続的運用を実施します。
②発電設備の定期検査及び劣化部品交換等を計画的に行い、高効率発電を維持します。
③更なる省エネを目指し、新技術の模索、改善提案活動、社員教育等を行い、継続的改善を推進します。
</t>
  </si>
  <si>
    <t>1，排出目標値
当社は、天然ｶﾞｽを燃料とするｸﾗｽ最高ﾚﾍﾞﾙの高効率ｶﾞｽﾀｰﾋﾞﾝｺﾝﾊﾞｲﾝﾄﾞｻｲｸﾙによる発電を行っており、設備改造による温室効果ｶﾞｽ排出削減は困難ですので、技術的かつ経済的に可能な範囲で、ｴﾈﾙｷﾞｰ使用の合理化に関する取り組みを推進します。
目標値については、ｶﾞｽﾀｰﾋﾞﾝ運転時間に伴う設備劣化から想定される効率低下と、電力需要の変化に伴う運転計画によるエネルギー消費原単位から設定し、状況を定期的に把握しつつ適切に管理していきます。
2，その他達成目標値設定
温室効果ガス排出量及び排出原単位の目標達成に加え、省エネ法に規定する電力供給業者ベンチマークを上回ることを目標とします。
　　火力発電効率Ａ指標1.00以上（LNG火力発電所効率48%以上）
　　火力発電効率Ｂ指標44.3%以上</t>
  </si>
  <si>
    <t>[基本方針]
　弊社では、富士フイルムホールディングスで掲げられた「Sustainable Value Plan 2030」に基づき、温室効果
　ガス排出量削減に取り組んでいます。これらにより 「温室効果ガス排出量を2030年度までに2019年度比で50％
　削減する」という目標を掲げています。
[主要なエネルギー使用設備の更新等の検討]
　照明設備の蛍光灯器具からLED器具への交換を行い温室効果ガスの削減を計画しています。
　また、きめ細かな設備の運用改善、従業員の省エネルギーの啓発を行い意識を高めることで、計画を達成できるよう
　進めていきます。</t>
  </si>
  <si>
    <t>照明設備を蛍光灯器具からLED器具への交換を行い温室効果ガスの削減を計画しています。
また、空調設備の運用改善を行い計画を達成できるよう進めていきます。</t>
  </si>
  <si>
    <t xml:space="preserve">
1.排出ガスによる地球温暖化、大気汚染を防止するため、輸送の効率化、低公害車の導入、エコドライブの実践を推進し、環境保全のための継続的な改善を図ります。 
2.省資源・省エネルギー・3R※を推進し、循環型社会構築のために、その取り組みに対する改善、企画、提案をします。※Reduce（リデュース）、Reuse（リユース）、Recycle（リサイクル） 
3.環境関連法規制、条例、協定及びその他の要求事項を順守し、環境負荷の低減、環境汚染の防止に努めます。 
4.環境教育、啓発活動を通じて全従業員に本方針を周知し、環境活動を推進します。 
さらに広く一般に本方針並びに当社の環境活動に関する情報を提供します。 
5.環境目的、環境目標を定め、定期的に見直すことにより、環境マネジメントシステムの継続的な改善に努めます。</t>
  </si>
  <si>
    <t>基準年度より1年1％、3年3％を目標設定とする。
目標達成に向け、下記取り組みを実施する。
・環境対応車の導入（ＥＶ車、ハイブリッド車など）
・サービスセンターの設置
・モーダルシフトの推進
・大型集約施設の運営
・エコ安全ドライブの実践</t>
  </si>
  <si>
    <t>[基本方針]
地球温暖化対策の重要性を踏まえ、事業所から排出される温室効果ガスの削減を図るため、社内の責任者と担当者を明確にし、計画的かつ持続的に取組みを実施する。
・機器・設備の効率改善に必要な計測、保守、点検を行う
・温室効果ガス削減に寄与する設備改修を積極的に行う
・取組方針や評価について、必要に応じ見直しを行う</t>
  </si>
  <si>
    <t>基準年度は、新型コロナの影響により、各事業所で営業時間短縮、来客数減少が発生していたため、排出量が異常に減少した数値となっている。
第1年度はその影響が大部分無くなるため、排出量増加を抑えるのは困難と判断。（1％の増加で抑えることを目標）
第2年度からは年1％削減を目指し、3年間で計1％の削減目標と設定した。
（事業所数が基準年度と同じ、且つ気候が平年並みであることを前提）</t>
  </si>
  <si>
    <t>[基本方針]
日本通運グループ環境憲章
＜基本理念＞
企業の社会的、公共的使命を自覚し、「良き企業市民」として環境経営を実勢することにより、地球環境保全に積極的に貢献する。[主要なエネルギー使用設備の更新等の検討]
①更新の対象となる主要なエネルギー使用設備
　・牽引・超大型・大型・中型・普通（GVW7.5t以上）…重量車燃費基準達成車
　・普通（車両総重量3.5ｔ以上5ｔ未満）…ハイブリッド　　※ルートバン…ディーゼル車
②上記①の設備を選択した理由
　地球温暖化防止、生物多様性の保全、循環型社会の構築等に取り組むため。
③設備更新スケジュール
　当社では、基準耐用年数に達した車両より順次代替していく。</t>
  </si>
  <si>
    <t>省エネ法におけるエネルギー使用の合理化に関する輸送事業者の判断基準に基づいた年平均1％以上削減としている。
新規導入車両については、環境配慮車両を積極的に導入するのと共にエコドライブやアイドリングストップなどをデジタルタコグラフによるデータ管理や教育の徹底等により実施する。</t>
  </si>
  <si>
    <t>[基本方針]
既存設備を高効率設備に更新し、エネルギー使用量の効率化を図る。
同時に老朽設備についても最新機器への更新を図っていく。</t>
  </si>
  <si>
    <t>省ｴﾈ法にて5年で5%以上の削減を目指す為、それに準じて今回3年で3%を設定。
店舗の増加に伴い排出量は増える見通しだが、原単位での削減を目指す考え。
具体的な対策としては、
①高効率空調設備の導入→毎年度1～4拠点で導入を行っていく予定。
②高効率照明設備の導入→2025年度を目標に導入を完了させる、初期に導入したLEDから高効率LEDへ更新を行う。</t>
  </si>
  <si>
    <t>省エネ機器の導入（冷凍・冷蔵機器）エアコン新規入替え（順次）</t>
  </si>
  <si>
    <t>基準年度から毎年1％削減を目標とする</t>
  </si>
  <si>
    <t>[基本方針]
・管理標準に基づき各施設の日々のエネルギ管理の実施
・老朽化機器の高効率機器への更新
・LEDへの全館更新
[主要なエネルギー使用設備の更新等の検討]
①更新の対象となる主要なエネルギー使用設備
 ・空調機器　・ボイラー
②上記①の設備を選択した理由
　電気・ガス消費量が大きいため
③設備更新スケジュール
　2025年度までに老朽化機器の更新を計画してゆく</t>
  </si>
  <si>
    <t>排出量基準値を年平均で1％以上削減し、目標年度において3％の削減率とする。</t>
  </si>
  <si>
    <t>[基本方針]
地球温暖化対策推進における基本方針として、省エネ法対応と連動して全社的にCO2削減のためのエネルギー削減計画を推進し、CO2の排出量および原単位について、対前年度比で年1％の削減目標を掲げる。　
[主要なエネルギー使用設備の更新等の検討]
①更新の対象となる主要なエネルギー使用設備
空調設備および給湯用真空式温水ヒーター、照明設備の更新。
②上記①の設備を選択した理由
エネルギー使用割合が多い為
③設備更新スケジュール
2023年度までに実施予定</t>
  </si>
  <si>
    <t>地球温暖化対策推進における基本方針として、省エネ法対応と連動して全社的にCO2削減のためのエネルギー削減計画を推進し、CO2の排出量および原単位について、対前年度比で年1％の削減目標を掲げる。　
【施策】
・照明の間引き・消灯徹底および熱源設備の適正な運転台数、運転時間および設定温度の管理における運用改善による省エネ・節電行動を実施する。
・「エネルギー管理委員会」により毎月の年度計画の達成状況を確認し、更新計画の策定および従業員への社員教育等を実施する。</t>
  </si>
  <si>
    <t>１．エネルギー使用量（燃費改善）に関する目標
　　エネルギー使用に係る原単位（営業所に関する）については、年平均1%以上の改善を目標とする。
２．エコ安全ドライブの徹底に関する方針
　・各支店ごとの燃費実績を毎月公表
　・エコ安全ドライブ優秀者を毎月社内壁新聞とホームページにて公開
　・アイドリング防止のために、カールコードキーを全乗務員が携行
３．車両に関する方針
　・ハイブリッド車の導入
　・大型トラック全車両にエコタイヤ、導風板を導入</t>
  </si>
  <si>
    <t>排出量削減のために、社内にて「エコ安全ドライブ」の推進を行い、燃費を改善し燃料使用量の削減に努める。
毎年、1%の削減を目標とし、3年間継続した場合の目標設定</t>
  </si>
  <si>
    <t xml:space="preserve">[基本方針]
｢ゼンショーグループ環境方針｣(平成18年6月策定)
Ⅰ."MOTTAINAI"の精神を尊重し、リデュース・リユース・リサイクルを推進し、廃棄物を削減します。
Ⅱ.新設・改良する店及び工場は、省エネルギー・省資源の設備・資材等を順次導入し、
　 環境保全型施設への転換を推進します。
Ⅲ.法規制およびゼンショーグループの合意したその他の要求事項を順守します。
Ⅳ.環境方針に対する意識向上を図るため、全従業員・お取引先様を含めたゼンショーグループに
　 携わる全ての人々に教育・啓蒙活動を推進します。
Ⅴ.この方針は広く公開し、全世界の人々との積極的なコミュニケーションを推進します。
　　横浜市温暖化対策計画は上記の｢Ⅱ｣に該当。
主要なエネルギー使用設備の更新の方向性
　①店内、外灯の電球、空調機器を省エネタイプに変更。
  ②上記①の設備を選択した理由：  電気使用占有率が高いため
  ③設備更新スケジュール　　：　新規開店時・店舗リニューアルは5店舗/年度内）
</t>
  </si>
  <si>
    <t xml:space="preserve">
1・機器の計画的更新を推進することで省エネ機器への交換促進を推進。
　　最低年1％以上の改善を推進する。
2・空調機の温度設定等店舗の状態を
    モニタリングするシステムを導入し適正化を図る。</t>
  </si>
  <si>
    <t>・新規出店時、インバーター冷凍機の導入
・既存店舗の改装時、インバーター冷凍機の導入
・既存店舗のLED化の推進</t>
  </si>
  <si>
    <t>・新店出店時、改装時にインバーター冷凍機の導入、照明器具のLED化を推進し目報の数値に削減できるように努める。</t>
  </si>
  <si>
    <t>基本方針]
オーケーの経営方針、「高品質・Every Low Price」に基づき、地球環境に対しても地球にやさしい店舗運営を
心がけ、CO2の排出削減に取り組んでおります。
(1)店舗運営における、ゴミ排出の削減レジ袋の有償化によりCO2の削減を行う
(2)使用電力の効率化を図り、無駄な電力消費を抑え、CO2の削減を行う
(3)設備更新に当っては、省エネ型への転換を図り、CO2の削減を行う</t>
  </si>
  <si>
    <t>BANDS(エネルギー自動制御システム）導入、パナソニック温度管理システムの導入、バックヤードの冷蔵庫のスウィングドアの設置、売場冷ケースのナイトカーテン設置等によるCO2排出量の削減効果はかなり大きく、横浜市内の対象店舗については上記全ての導入・設置が完了しております。導入・設置後はエネルギー使用量並びにCO2排出量の大幅な削減に成功しており、今後もこれらの運用を継続して行うことで省エネに努めます。1％削減を目標値として設定します。</t>
  </si>
  <si>
    <t>私たちは自然・社会・人間の多様性に価値を認め、お客様に信頼されるブランドを生み出し、育て、
高めていくことをミッションとして定める。
私たちは健全で豊かな環境が将来の世代に引き継がれるよう、生物多様性を保全し、より良い環境の
創造に向けた取り組みを行っていく。
私たちは行動指針に基づき、事業活動を行うすべての国や地域において良識ある企業市民として
行動し、企業活動と環境の調和を図っていく。</t>
  </si>
  <si>
    <t>横浜工場におけるエネルギー使用量抑制を中心としてCO₂排出量を年平均
５％削減する。
引き続き、冷暖房の設定温度の管理徹底、事務所および共用エリア（会議室、休憩室、更衣室等）の不使用箇所の消灯、非稼働設備の電源オフといった節電活動を継続する一方で、コロナ禍の影響で実施が遅れていた照明設備のLED化や一部設備の更新によってエネルギー効率改善を図りCO₂排出量抑制に資する対応を進める。            　　　　　　　</t>
  </si>
  <si>
    <t>私たちは、地球環境の保全が世界共通の重要課題であると同時に、企業市民としてのソフトバンクと、それを構成する私たち社員一人ひとりの責務でもあると考えています。
こうした認識のもと、2007年8月に「環境行動指針」を定め、環境保全への体系的な取り組みを推進しています。
ソフトバンク株式会社（以下「弊社」という）は、電気通信事業を通して地球環境の維持・保全に積極的に取り組み、持続可能な社会の継続的発展に貢献します。
弊社は、事業活動の推進において、環境保全に関する諸法規およびその他の要求事項を遵守します。
弊社は、環境マネジメントシステムにより、事業活動における環境負荷を低減して行くため、省エネルギー、省資源、廃棄物削減等について環境目標を設定し、継続的な改善に努めます。
弊社は、事業用機器や物品の調達に当たり、環境にやさしいグリーン調達を推進します。
弊社は、環境負荷低減に資するネットワーキング技術の開発やネットワーキングサービスの提供に努め、社会全体の省エネルギー化に貢献します。
弊社は、社員への環境教育に努めるとともに、弊社の環境に関する情報を社内外へ公表し、コミュニケーションを図ります。</t>
  </si>
  <si>
    <t>今後弊社の携帯電話ユーザが増加すると、トラフィック増加のため、1局あたりの排出量の増加が予想されます。また、3G基地局からLTE基地局・5G基地局への移行により、従来より1局あたりの消費が増えると推定しています。
原単位削減に取り組みますが、上記事由から使用量が増加傾向になると想定しております。
※弊社は通信事業者であり、通信設備が主な電力消費設備である。そのため通信設備の電力消費に関連性が深い原単位分母として、ネットワークセンター設備では固定トラヒック(Gbps)またはモバイルトラフィック(Gbps)またはその合算トラフィック(Gbps)を指標とし、基地局では基地局トラヒック(Gbps)を指標とする。
これらの設備種類別にCO2排出量を分子、指標を分母として、CO2排出量に基づく原単位を算出し、基準年度と比較する。</t>
  </si>
  <si>
    <t>[基本方針]
○環境問題は早急に取り組むべき人類共通の重大な課題であると認識し、省エネルギー・リサイクル等の活動に積極的に取り組みます。
○具体的な取り組み
　・省エネマニュアルの作成及び実行
　・省エネ勉強会の実施
　・事業所ごとにエネルギーの見える化システムの導入
　・空調制御装置等の省エネ機器の導入
　・店舗基本照明のLEDへの更新計画（Ｈｆ、ＦＬＲの蛍光灯をＬＥＤに更新）
　　更新設備の選定理由は消費電力が50％程度削減できる見込みであり、かつ費用・品質面で優れているものを選定した。
○計画期間
　設備の更新に関しては平成28年度より検討を開始し、平成29年度に実行計画の社内承認を
　取得した後に実施中。</t>
  </si>
  <si>
    <t>積極的に省エネ推進をしてきている。
3年間で1％以上の削減を目標とした。</t>
  </si>
  <si>
    <t>当社は、地球環境保全に積極的に取組み、次世代へ継承していくことが重要な責務であると認識し地域社会の発展に貢献し、エネルギーの使用の合理化および温室効果ガスの排出低減を図るため、省エネルギーの目標と実績の対比、問題点とその対策方法の確認およびその他省エネ推進に関する事項を議題とした省エネ対策検討委員会を定期的に開催しており、今後も継続的に行う。
また、各物件のプロパティマネジメント会社、ビルマネジメント会社と連携し、環境の保全（温室効果ガス排出抑制）に努める。</t>
  </si>
  <si>
    <t>省エネ法では、原油換算したエネルギー総使用量において総稼動床面積を母数に、エネルギーの使用に係る原単位を設定し、原単位が目標ラインを5年度間の平均で99％を下回る目標を掲げている。
地球温暖化対策計画においても年間1％の排出量削減を目標値と設置し、計画期間の3年間での削減率として3％を目標値として設定した。</t>
  </si>
  <si>
    <t>私ども三菱食品株式会社は、
「暮らしの確かさと社会の豊かさを守り、未来へ手渡すために、食流通の最適化に取り組み、環境の保全に努めるとともに、持続可能な社会の実現を目指します」と云う弊社環境基本方針の下、「入荷―保管－流通加工―出荷－配送」と云う一連の事業活動において、エネルギー使用の合理化等を行うことにより、また、設置設備の適切な運用等により地球温暖化対策の推進に努めて参ります。
【設備維持管理】
 設置設備の維持管理を行うに当たり、定期点検の実施はもとより、日次における設備チェックを行い、
 関連数値の計測、記録を行い、設置設備が良好に運転できる環境をつくるよう設備の維持に努めます。
【設備新設・更新の方針】
 設置設備の新設、更新を行う場合は、従前よりもエネルギー使用効率がよいものを選定するよう努めます。
【従業員教育の方針】
 拠点内で使用するエネルギー使用量を記録、分析し、適切に従業員に対して周知を行い、地球温暖化対応の推進に努めます。</t>
  </si>
  <si>
    <t>2022年度より弊社が受電契約主となっている拠点に環境配慮型電力を採用したため、基礎CO2排出量、調整後CO2排出量ともには過去実績に比して減少した。
2023年度以降は2022年度実績が基準値となるため、機器管理や節電活動を重ねることが主要措置となると判断。
省エネ法で定められた原単位の年平均1％改善を参考とし、本計画に於いてもCO2排出量の年平均1％削減を行い、目標年度でも基準年度比3％削減を目指す。</t>
  </si>
  <si>
    <t>[基本方針]
・県立病院の運営者として医療の質の担保及び患者の安全と療養環境の維持を最優先として地球温暖化対策に取り組み、年１％の温室効果ガスの排出量の削減を行う。
・地球温暖化対策に対する組織全体及び職員一人一人の意識を高める。
・地球温暖化への取り組みは日常的・継続的に実施する。
[具体的な取り組み]
・不要な照明のこまめな消灯
・空調設備のタイマーによる時間制限
・時間外のエレベーター使用制限
・蛍光灯のLED化
等</t>
  </si>
  <si>
    <t>当機構は県立がんセンター、こども医療センター、県立循環器呼吸器病センター、県立精神医療センターを運営している。ベッド数は４病院合わせ1,407床であり、県立がんセンターでは神奈川県で唯一の重粒子線治療を行っている。４病院ともに専門性が高く治療や療養環境の維持に多くのエネルギーを使用している。
医療の提供に支障のない範囲での取り組みとなるが、３年間の計画として「年１％の削減努力」を目標とし、それぞれの病院の状況に応じてエネルギーの使用の合理化を図る取り組みを実施し、個々の職員においても日常的、かつ継続的に温室効果ガス排出削減を意識した行動をとっていきたいと考える。</t>
  </si>
  <si>
    <t>照明器具のLED化によるエネルギー使用量の削減により温室効果ガスの排出抑制を図る。
具体的には
・共用部照明のLED化（1～3階）　期待される削減量：102t-CO2/年(基礎) 94t-CO2/年(調整後)
・共用部照明のLED化（4～21階） 期待される削減量：49t-CO2/年(基礎) 45t-CO2/年(調整後)
・オフィスフロア専用部 照明器具のLED化 期待される削減量：621t-CO2/年(基礎) 569t-CO2/年(調整後)
の計画がある。
また、送排風機のVベルト交換時に省エネファンベルトを採用することによりエネルギー使用量削減を図る。
期待される削減量：32t-CO2/年(基礎) 30t-CO2/年(調整後)
新型コロナウイルス感染拡大以降に多くで採用されたテレワークなどで「人」の動きに変化が見られる。
テナントサービスに関わる共用部の照明点灯時間の変更や空調運用の変更は難しいが、働き方の変化に合わせて運用変更を行い、エネル儀―使用量の削減を図る。</t>
  </si>
  <si>
    <t>みなとみらいセンタービルは単独で省エネ法における第一種エネルギー管理指定工場等に該当し、中長期計画を定め、毎年の定期報告が必要とされている。
中長期計画の中ではエネルギー使用の合理化が求められており、このエネルギー使用の合理化を図ることは温室効果ガスの抑制を同時に図る内容でもある。
エネルギー使用の合理化によるエネルギー使用量削減が温室効果ガス排出抑制にもつながると考えている。
エネルギー使用の合理化は照明器具のLED化を中心に行う計画である。</t>
  </si>
  <si>
    <t xml:space="preserve">【快活フロンティアの取り組み方針】
当社は、企業の社会的責任及び法令順守の側面から、そして、エネルギーコスト圧縮の側面から“省エネルギー推進”に取り組むことを宣言する。
■基本方針として
　①省エネルギーにつながる高効率機器の導入推進
　➁店舗におけるエネルギー使用低減の促進
　③営業時間（短縮等）の検討
</t>
  </si>
  <si>
    <t>■増減計画
1.　新店出店予定　2023年度2店舗　2024年度3店舗　2025年度3店舗
　　目標年度 +855ｔ-CO2（1店舗増あたり排出量123t-CO2アップ）
    ※(3,287+8店舗×123）×0.97＝4,143t-CO2
2.　売上増計画に伴い目標年度 原単位 +0.6％　
　　①基準年度：弊社2022年度実績と目標年度：弊社2025年度計画対比109.8％　
　　➁2022年度弊社売上実績より：1％アップ＝原単位0.04アップの影響
　　※(16.28×0.97)+(0.04×9.8）＝16.18t-CO2/百㎡</t>
  </si>
  <si>
    <t>横浜工場の環境方針を基本方針とする。（添付）</t>
  </si>
  <si>
    <t>環境ISO14001のマネジメントにおいて環境負荷低減活動を行う。（鶴見事業所は環境ISO14001に準じて活動）</t>
  </si>
  <si>
    <t>当社CMA CGM JAPAN 横浜D4ターミナルは2026年10月のD5ターミナル移転に向け、「グリーンターミナル」という名目を掲げ、2050年までにGHG排出量を50%削減を目標としている。そのために横浜川崎国際港湾および国土交通省と連携しながら、将来的には荷役車両の電動化やLNGバンカリングの整備、本船への陸上電源供給を推進する予定である。</t>
  </si>
  <si>
    <t>2025年にかけては取り扱いコンテナ数は大幅に変動しないと考え、かつ荷役機器の電動化は2026年、D5ターミナル移転後にオペレーション整備が完了次第、見据えている。ついてそれまでは、燃料削減は大きくは難しく、まずはターミナル各施設の電気使用量の削減を重点に行い、9.6%減を目標とする。また作業場のから空ぶかし等、無駄な作業を減らしていく。</t>
  </si>
  <si>
    <t>【基本方針】
光通信・電子部品，硝子加工，硝子セラミックス事業を通じ、省資源，省エネルギー，廃棄物の減量，
再資源化に取組みます。
【主要なエネルギー使用設備の更新等検討予定】
①空冷式（Ｒ22冷媒ガス）空調機
→トップランナー方式（R410A冷媒ガス）空調機への更新
②コンプレッサー効率化運転の見直し
【設備更新スケジュール】
・2024年度（下期）本社工場 硝子成型作業場 天吊ＳＰ式 6.5kW×6台 更新
→期待効果 2.0ｋＬ/年
・2023年度（上期）横浜工場 ブラスト用コンプレッサー（3機）事業改革における台数の見直し
→期待効果 31kL／年
・2024年度（上期）横浜工場 共用コンプレッサー制御盤更新における、（22kW×3機）夜間，休日使用量の見直し
→期待効果 14kL／年</t>
  </si>
  <si>
    <t>改正省エネ法による、過去5年間平均エネルギー原単位1％削減の努力目標に基づき、基準年度の数値に対して、目標年度の数値を１％削減目標に設定する。</t>
  </si>
  <si>
    <t>　積水ハウスグループの「サステナビリティビジョン2050」に基づき、温室効果ガス排出削減に取り組んでいる。
　計画では、2030年までに温室効果ガス排出量を2013年度比50％削減することを目標に掲げ、事業活動における
  省エネルギー・再生エネルギー活用など、全事業所を挙げて取り組みを推進している。</t>
  </si>
  <si>
    <t>車両の更新・新規導入の際は、ハイブリッド車などを積極的に導入するとともに社用車の効率的な運用、テレマティクスの活用による安全エコドライブ、点検・
整備を徹底し、温室効果ガスの排出量の抑制に努め、基準年度比1.2％削とする。</t>
  </si>
  <si>
    <t>当研究所は2016年12月に竣工したビルで随所に省エネルギー設計がなされており、照明は全てLED照明で人感センサー付きで、消し忘れもないシステムとなっていたり、空調設備は全てインバーター付きで省エネ制御されており、非常に効率よく運転できる設備となっている。従って今後の活動は、設備の省エネ運転だけでなく、現在、原単位として設定している一人当たりのCO2排出量を目標単位として捉え、研究者一人一人の効率的なエネルギー利用を推進することを基本方針とする。</t>
  </si>
  <si>
    <t xml:space="preserve">                                                                             当研究所はさまざまな省エネ設計がなされたビルであり、設備的な新たな省エネ策はなかなか難しい、従って今後の活動は、現在、原単位として設定している一人当たりのCO2排出量を、研究者一人一人の効率的なエネルギー利用を推進し、地道な個別の省エネルギー活動をすることにより毎年１％、3年で３％の原単位削減を目標とする。　　　　　　　　　　　　　　　　　　　　　　　　　　　　　　　　　　　　　　　　　　　　	　　　　　　　　　　　　　　　　　　　　　　　　　　　　　　									
													</t>
  </si>
  <si>
    <t>・管理標準に基づく機器の運用の徹底</t>
  </si>
  <si>
    <t>西武ホールディングス共通目標
CO2排出量
長期目標：2050年度にネットゼロ
中期目標：2030年度までに2018年度比46％削減
短期目標：毎年度 前年度比5％削減
再生可能エネルギー導入率
長期目標：2050年度100％
中期目標：2030年度50％</t>
  </si>
  <si>
    <t>【基本方針】
社名に掲げる「いつも気持ちの良い環境を（Always Pleasant Amenity）」を目指し、お客様への快適なホテルを提供することのみならず、環境活動にも繋がるよう努める。
1.社員一人ひとりが省エネ活動への意識を持ち、温暖化対策に努める。
2.エネルギー使用状況の把握により、設備不調などエネルギー使用の無駄のない運用を行う。
3.エネルギー削減となる改修の推進やソフト面の施策により、エネルギー使用の効率化に努める。</t>
  </si>
  <si>
    <t>基準年度の2022年度もコロナ対応により、1年間の内、通常営業期間より行政への建物貸出し期間が長いため、エネルギー使用量は正常値ではないこと、また、2事業所の内、規模の大きい事業所は、建物が竣工した2019年以降（2019年9月開業）、1年間を通じて通常営業をしておらず、基準となる排出量の予測がつかないことから、目標年度の排出量は、前回計画書で定めた数値に設定。</t>
  </si>
  <si>
    <t>消費電力削減</t>
  </si>
  <si>
    <t>電力は（株）東芝から供給を受けているが東芝が契約する電力のうち、非化石由来電力の割合を増やす。
また東芝マテリアル社内でも生産性向上や消費電力抑制施設導入など実施している。</t>
  </si>
  <si>
    <t>東芝デバイス＆ストレージ株式会社グループは、環境への取組みを企業経営の最重要課題の一つと位置づけ「世界を変える原動力となるのは、いつも半導体とストレージであり続けたい」との思いで、開発、製造、販売、サービス、廃棄などの全ての事業プロセスにおいて、ライフサイクルの視点に立って経営と環境を調和した企業活動を実践し、持続可能な社会の実現に向け、技術と想いを載せた製品とモノづくりで、社会課題の解決に貢献する取り組みを行います。
当社はグローバルに事業を展開しております。横浜市内に駐在する横浜事業所杉田地区・磯子地区は研究拠点のため、製造拠点に比べ温室効果ガスの排出抑制効果の寄与度は大きくはありませんが、個々の削減施策積み重ね、グループ全体の温室効果ガスの削減に貢献していきます。</t>
  </si>
  <si>
    <t>研究拠点のため、製造拠点と異なり大規模な削減施策を実施することが難しく、また、22年度に(株)東芝 横浜事業所のコージェネレーションシステムの更新トラブルが発生するなど、自社ではコントロールできない部分もあるが、まずは省エネ法に基づく毎年１％の削減を第一目標としたうえで、さらに毎年0.5%の上積み削減を図り、最終的に25年度は4.4%の削減を目指す。</t>
  </si>
  <si>
    <t>当社は、地球環境保全に積極的に取組み、次世代へ継承していくことが重要な責務であると認識し地域社会の発展に貢献し、エネルギーの使用の合理化および温室効果ガスの排出低減を図るため、省エネルギーの目標と実績の対比、問題点とその対策方法の確認およびその他省エネ推進に関する事項を議題としたサステナビリティ委員会を定期的に開催しており、今後も継続的に行う。
また、各物件のプロパティマネジメント会社、ビルマネジメント会社と連携し、環境の保全（温室効果ガス排出抑制）に努める。</t>
  </si>
  <si>
    <t>省エネ法では、原油換算したエネルギー総使用量において稼働床面積を母数に、エネルギーの使用に係る原単位を設定し、原単位が目標ラインを5年度間の平均で99％を下回る目標を掲げている。
地球温暖化対策計画においても年間1％の排出量削減を目標値と設置し、計画期間の3年間での削減率として3％を目標値として設定した。</t>
  </si>
  <si>
    <t>エネルギー管理統括者を委員長　エネルギー管理企画推進者を副委員長、店舗担当者各店1名による「省エネルギー推進委員会」が中心となり、「エネルギー使用の合理化策」を、全社で実践している。
今後は老朽化し交換時期を迎える空調機等を順次高効率機器に更新する。</t>
  </si>
  <si>
    <t>全店舗共通で２％削減/年を全社での削減目標としている。</t>
  </si>
  <si>
    <t>417</t>
  </si>
  <si>
    <t>アマゾンデータサービスジャパン合同会社</t>
  </si>
  <si>
    <t>東京都品川区上大崎3丁目1番1号</t>
  </si>
  <si>
    <t>代表執行役員　長崎忠雄</t>
  </si>
  <si>
    <t>地球温暖化対策事業者はテナント所有者が整備する協力推進体制へ参画する。
地球温暖化対策事業者はテナント所有者が優良地球温暖化対策事業所認定を目指す場合、必要な対策に協力する。
地球温暖化対策事業者はテナント所有者が行う省エネ対策を理解し、工事等の際に協力する。</t>
  </si>
  <si>
    <t>個別対応致します (連絡先: 03-6332-5000 )</t>
  </si>
  <si>
    <t>データセンター事業の特性上24時間弊社のComputer rackが稼働しているため、大きく温室効果ガスの排出量が減る見込みはありませんが、不必要なラックの停止によって、CO2排出削減を進める方針です。
建物全体としての排出抑制措置についてはビル所有者様と協業の上使用して以内部屋の電気を消すなどの対応は行っております。</t>
  </si>
  <si>
    <t>418</t>
  </si>
  <si>
    <t>ヒューリック株式会社</t>
  </si>
  <si>
    <t>東京都中央区日本橋大伝馬町7-3</t>
  </si>
  <si>
    <t>代表取締役社長　前田　隆也</t>
  </si>
  <si>
    <t>代表取締役社長　前田隆也</t>
  </si>
  <si>
    <t>当社では、TCFD提言に賛同し「GHG(温室効果ガス)排出量2030年実質ゼロ化」を目標としています（固定資産で保有し当社がエネルギー管理権限を持つ事務所商業施設宿泊施設）。当社グループの保有建物で使用する電気については、再生可能エネルギー由来の電力を開発・供給（調整後排出係数ゼロ化目標）し、温室効果ガス排出量を削減します。排出量削減では、設計事務所・施工会社等との協業サプライチェーンに対する取り組みの推進、環境技術導入や省エネ改修の推進などによる建物の省エネ化推進、テナントと協働したエネルギー使用量削減の推進、に取り組んでまいります。</t>
  </si>
  <si>
    <t>ヒューリック本社事務所</t>
  </si>
  <si>
    <t>9：00から17：15</t>
  </si>
  <si>
    <t>既存物件では年１％の削減（営繕工事、設備運転管理などによる）を見込み390ｔCO2削減しつつ、2023年度はコロナ禍以降の客数増加によりエネルギー使用量が105％拡大する計画で設定。2024年にホテル（面積6821㎡　排出量538ｔCO2想定（当社類似ﾋﾞﾙ換算)）が新築開業する計画であり、既存稼働中物件の排出量に加算した計画を作成。
さらに自社グループ（ヒューリックプロパティソリューション）からの供給電力を自然エネルギー由来のものに変更し、調整後排出係数がゼロとなるべく対応を推進中。</t>
  </si>
  <si>
    <t>420</t>
  </si>
  <si>
    <t>中外製薬株式会社</t>
  </si>
  <si>
    <t>東京都北区浮間5丁目5番1号</t>
  </si>
  <si>
    <t>代表取締役社長　奥田修</t>
  </si>
  <si>
    <t>【全社】
2021年に、中外製薬グループとして、より長期視点かつ包括的な中期環境計目標2030を策定。その中でエネルギー消費量については、延床面積当たりのエネルギー消費量を2019年比2025年5％削減、2030年15%削減と設定した。目標達成に向けて、全社でエネルギーの削減に取り組んでいる。
【中外ライフサイエンスパーク横浜】
中外製薬では、横浜市に新規研究施設を2022年10月に建設した。新研究所では、最先端の省エネ設備、省エネ制御設備を導入し、原単位（延べ床面積）あたりのエネルギー消費量を低減する施設設計とした。また合わせてエネルギー見える化システム（EMS）を導入し、10000点のデーター収集を実施し今後の省エネ対策検討に役立てる。</t>
  </si>
  <si>
    <t>https://www.chugai-pharm.co.jp/sustainability/data/index.html</t>
  </si>
  <si>
    <t>ｍ２</t>
  </si>
  <si>
    <t>2022年度は、竣工した2022年10月～2023年3月のデーターかつ、移転引っ越し期間であるため、本稼働状態ではない。2025年度目標については、設計値を元にした予測を行い算出した。また、調整後の数値が低いのは、2023年１月より、調達電力を100％サスティナブル電力とする為、電力使用に伴うCO2発生量がゼロによるもの。(㈱エネット　メニューA）
原単位の設定については、6か月データー及び移転期間を考慮し以下とした。
原単位（t⁻CO2/m2）＝延べ床面積（m2）×稼働月数（6か月/12か月）×稼働率（50％）次年度以降は、延べ床面積（m2）×（12/12）×（100％）で算出する予定。</t>
  </si>
  <si>
    <t>421</t>
  </si>
  <si>
    <t>東京ガスネットワーク株式会社</t>
  </si>
  <si>
    <t>東京都港区海岸1-5-20</t>
  </si>
  <si>
    <t xml:space="preserve">東京ガスネットワーク株式会社
</t>
  </si>
  <si>
    <t>代表取締役社長　沢田　聡</t>
  </si>
  <si>
    <t>＜温室効果ガスを効果的に削減していくための取組についての基本的な考え方＞
東京ガスグループの一員として、
　①社会全体のCO2排出削減に貢献すること
　　東京ガスグループの低･脱炭素な製品･サービスの拡大により、2030年CO2削減貢献
　　1,700万トン(2013年度比)を実現します。
　②東京ガスグループのCO2排出量を削減すること
　　2050年ネット･ゼロを実現します。
　　　また、2030年自社直接排出（事業所および車両からのGHG排出）のネット･ゼロを実現します。</t>
  </si>
  <si>
    <t>https://www.tokyo-gas.co.jp/network/index.html</t>
  </si>
  <si>
    <t>　省エネや高効率機器の導入、排出係数ゼロの電力に切り替えることで、年１％の削減を目指し、2025年度に基準年度比３％削減を目標とする。</t>
  </si>
  <si>
    <t>　車両の更新・新規導入の際は電気自動車や燃料電池自動車など次世代自動車やハイブリッド車およびより燃費の良い車両を積極的に導入するとともに、エコドライブや適切な点検・整備を徹底し、温室効果ガスの抑制に勤め、基準年度比3％削減を目標とする。</t>
  </si>
  <si>
    <t>422</t>
  </si>
  <si>
    <t>ウエインズトヨタ神奈川株式会社</t>
  </si>
  <si>
    <t>424</t>
  </si>
  <si>
    <t>ＮＸキャッシュ・ロジスティクス株式会社</t>
  </si>
  <si>
    <t>横浜市戸塚区上品濃12-22</t>
  </si>
  <si>
    <t>ＮＸキャッシュ・ロジスティクス株式会社
横浜支店</t>
  </si>
  <si>
    <t xml:space="preserve">
支店長　吉川　龍生</t>
  </si>
  <si>
    <t>代表取締役社長　藤代　正司</t>
  </si>
  <si>
    <t>NXCLにおける温室効果ガスの排出の抑制等を図るための基本方針は以下の通りです。
1.	エネルギー効率の向上: エネルギーの使用効率を高めることにより、温室効果ガスの排出量を削減します。具体的には、省エネルギー機器の導入やエネルギー管理システムの活用などを行います。
2.	再生可能エネルギーの活用: 再生可能エネルギーの導入を促進し、化石燃料に依存しないエネルギー源を利用します。太陽光や風力などの再生可能エネルギーの利用を増やすことで、温室効果ガスの排出を削減します。
3.	交通手段の見直し: 交通手段の見直しを行い、公共交通機関の利用や自転車の活用など、低炭素な移動手段を選択することを推進します。また、車両の燃費改善や電気自動車の導入なども行います。
4.	森林保護と植林活動: 森林の保護と植林活動を行い、二酸化炭素の吸収量を増やします。森林の破壊を防止し、新たな森林を作ることで、温室効果ガスの排出を抑制します。
5.	廃棄物のリサイクルと削減: 廃棄物のリサイクルや削減を推進し、温室効果ガスの排出を削減します。リサイクルにより資源の再利用を促進し、廃棄物の埋め立てや焼却による温室効果ガスの発生を抑えます。
6.	研究開発と技術革新: 温室効果ガスの排出削減に向けた研究開発や技術革新を積極的に行います。新たな技術や方法の開発により、より効果的な温室効果ガスの削減策を実現します。
これらの基本方針をもとに、NXCLは温室効果ガスの排出の抑制を図り、持続可能な社会の実現に貢献していきます。</t>
  </si>
  <si>
    <t>https://www.nxcl.co.jp/</t>
  </si>
  <si>
    <t>●排出量の削減
交通手段の見直しを行い、公共交通機関の利用や自転車の活用など、低炭素な移動手段を選択することを推進します。荷主の協力のもと共同配送やモーダルシフトへ転換により年間約保有台数の9％削減を目論んでおります。
●原単位
上記の対策により、総走行距離ならびに給油量を削減を目論んでおります。</t>
  </si>
  <si>
    <t>426</t>
  </si>
  <si>
    <t>株式会社白洋舍</t>
  </si>
  <si>
    <t>東京都大田区下丸子２丁目１１番８号</t>
  </si>
  <si>
    <t>代表取締役社長執行役員
松本　彰</t>
  </si>
  <si>
    <t>代表取締役社長執行役員　松本　彰</t>
  </si>
  <si>
    <t>弊社では、人々の清潔で快適な生活空間づくりのために、たゆまぬ技術革新と感動を与えるサービスを提供し、社会に貢献することを経営理念としています。事業の中核である繊維製品のクリーニングは、製品を繰り返し使用するための技術であり、本質的に事業活動が持続可能な社会づくりに貢献できるできるものと確信しています。
白洋舎グループでは、３つの経営ビジョン「お客様第一」「魅力ある職場」「自然との調和」と紐づけてサステナビリティ委員会を組織し、企業活動を通じて様々な社会課題の解決に取り組んでまいります。その中で、自然との調和を図るために、グループ各社が環境に直接的並びに間接的に影響を及ぼす活動について、環境マネジメントを構築し、継続的な改善を図りながら環境に考慮した活動を推進します。
〇環境保全のため、事業活動で使用する化学物質を適正管理し、環境への影響が小さい溶剤の利用を促進します。
〇環境保全のため、事業活動で発生する廃棄物・排水の適正管理及び排出量の削減に努めます。
　※包装資材、ハンガー、お持ち帰り袋
〇有限な資源を守るため、事業活動で利用するエネルギー天然資源使用量の削減に取り組みます。
〇弊社では白洋舎グループ環境方針に基づき、エネルギー管理標準を作成し、中期目標として（2022年度～2024年度）年１％削減する目標を達成するために、白洋舎エネルギー管理基準により省エネ対策を徹底します。</t>
  </si>
  <si>
    <t>http://www.hakuyosha.co.jp</t>
  </si>
  <si>
    <t>白洋舍グループ環境方針に基づき、各支店・事業所において環境目的・環境目標実施計画書を作成。具体的な行動計画を実行し、全支店・事業所が毎年電気使用量、燃料使用量、自動車燃料使用量１％削減に取り組んでいる。</t>
  </si>
  <si>
    <t>427</t>
  </si>
  <si>
    <t>大阪府大阪市北区大淀中1丁目1番88号</t>
  </si>
  <si>
    <t>大阪府大阪市北区大淀中1丁目1番88号
梅田スカイビル　タワーイースト</t>
  </si>
  <si>
    <t>2022年度より運用が開始した施設のため、2023年度は前年度の冷水や蒸気の使用状況と比較し、適切な使用量であるかを監視盤（セービック）にて確認し調整を行っていく。
既にLEDの使用を行っていますが、使用頻度が少ない箇所の照明使用数を削減する等、より細分化した抑制方法についても検討する。</t>
  </si>
  <si>
    <t>みなとみらい44街区ビル　1F 防災センター</t>
  </si>
  <si>
    <t>神奈川県横浜市西区みなとみらい4-2-8</t>
  </si>
  <si>
    <t>9:00から18:00まで</t>
  </si>
  <si>
    <t>経済産業省の省エネ法で目標値として設定されている、
CO2排出量（原単位換算）年間１％ずつの削減と同等の目標設定といたします。</t>
  </si>
  <si>
    <t>428</t>
  </si>
  <si>
    <t>横濱ゲートタワー管理組合　管理者</t>
  </si>
  <si>
    <t>神奈川県横浜市西区高島1丁目2番5号</t>
  </si>
  <si>
    <t>鹿島建物総合管理株式会社　横浜支社
執行役員支社長　羽喰　賢一</t>
  </si>
  <si>
    <t>鹿島建物総合管理株式会社　横浜支社　執行役員支社長　羽喰　賢一</t>
  </si>
  <si>
    <t>横濱ゲートタワーの事業主体である各構成企業の環境方針を基に、次の基本方針を策定する。
［基本方針］
（1）地球環境保護と生物多様性の保全を推進し、自然共生社会の実現に貢献する。
（2）省エネルギー・省資源の推進により環境負荷を低減し、脱炭素社会の実現を目指す。
（3）環境保全と経済活動が両立する持続可能な社会の実現を目指する。
（4）地域社会との連携による環境啓発を通じて、環境保護活動を推進する。</t>
  </si>
  <si>
    <t>https://yokohama-gatetower.com/</t>
  </si>
  <si>
    <t>横濱ゲートタワー防災センター（横濱ゲートタワー管理組合）</t>
  </si>
  <si>
    <t>神奈川県横浜市西区高島1-2-5横濱ゲートタワー1階防災センター</t>
  </si>
  <si>
    <t>月曜から金曜まで（国民の休日・年末年始は除く）
9：00～17：00（12：00から13：00は除く）</t>
  </si>
  <si>
    <t>横濱ゲートタワーは2021年10月に竣工したテナントビルであり、2022年5月より本格稼働しているが、2023年7月時点で未入居エリアもあり、満床稼働となった際には基準年度より排出量の増加が見込まれる。そのような状況の中で温室効果ガスの排出の抑制に向けた取り組みとして、館内の空調・照明の運用の最適化に努める。具体的には空調設備の運転時間の見直しや、きめ細やかな温度設定の他、照明設備の点灯スケジュールや点灯範囲の見直しに取り組む。</t>
  </si>
  <si>
    <t>429</t>
  </si>
  <si>
    <t>株式会社ロジスティクス・ネットワーク</t>
  </si>
  <si>
    <t>東京都千代田区神田三崎町三丁目3番23号</t>
  </si>
  <si>
    <t>代表取締役社長　盛合　洋行</t>
  </si>
  <si>
    <t>横浜市金沢区鳥浜町２－２</t>
  </si>
  <si>
    <t>ニチレイグループのサスティナビリティの関する方針の中で、気候変動の取り組みとして2050年のカーボンニュートラルの実現を目指し、グループ国内外におけるCO2排出量削減に取り組む。2030年度グループ目標はＣＯ２排出量50％削減（2015年度比、国内Scope1,2）としている。それを受け、当社も環境目標を定め温室効果ガスの排出の抑制に取り組む。
2023年度の環境目標は以下の通り
１）電力使用量削減　2022年度比　1.0％削減
２）フロン冷媒　算定漏えい量　1,000ﾄﾝｰCO2以下
３）物流サービスの環境負荷影響の把握
４）廃棄物再資源化推進　リサイクル率99％以上</t>
  </si>
  <si>
    <t>安全品質監査部</t>
  </si>
  <si>
    <t>東京都千代田区神田三崎町3-3-23</t>
  </si>
  <si>
    <t>月曜から金曜まで（国民の休日・年末年始は除く）
9:00から17:00まで（12:00から13:00は除く）</t>
  </si>
  <si>
    <t>2023年度の環境目標は、電力使用量削減（2022年度比　1.0％以上の削減）は省エネ法を意識した目標設定である。また、構内で使用するフォークリフト（2022年度実績：軽油7,590L）を内燃機関式からバッテリー式に買い替えることを検討する。</t>
  </si>
  <si>
    <t>430</t>
  </si>
  <si>
    <t>〒247-0007 
神奈川県横浜市栄区小菅ヶ谷2-4-1</t>
  </si>
  <si>
    <t>◇常に環境負荷の低減を意識して事業活動に取り組む。
◇生産活動において、歩留まり向上、原料の活用効率向上、生産ロット単位の生産設備稼働時間短縮
  のための改善活動に取り組み、製品１個あたりのエネルギー使用量削減に取り組む。
◇研磨剤処理設備を導入し、廃棄物量（体積）を大幅に削減させる。
◇老朽化した空調機器、冷却装置（チラー）を順次更新しエネルギー効率を向上させる。
◇社員の環境負荷低減意識を高めるための啓蒙活動を行い、照明・エアコンなどのこまめなオンオフ
  による節電、およびゴミの削減に取り組む。</t>
  </si>
  <si>
    <t>日信サファイア株式会社</t>
  </si>
  <si>
    <t>神奈川県横浜市栄区小菅ヶ谷2-4-1</t>
  </si>
  <si>
    <t>10：00　～　16：00</t>
  </si>
  <si>
    <t>千㎤</t>
  </si>
  <si>
    <t>◇電気炉の効率アップに伴い稼働1サイクルの時間短縮を実施する。
◇原材料品質向上による取得数アップを実施する。
◇加工工程全般直行率向上を実施する。（インゴット切断～最終洗浄）
◇研磨工程設備生産性向上を実施する。
  上記活動などを通じて、CO2排出量削減に務める。</t>
  </si>
  <si>
    <t>=IFERROR(IF(参照元!DN14="","",参照元!DN14-IF(報3!$V$11="",0,報3!$V$11)),"")
↓
=IFERROR(IF(参照元!DN14="","",参照元!DN14-IF(or(報1!p7,報1!p8,報1!p10,報3!$V$11=""),0,報3!$V$11)),"")</t>
    <phoneticPr fontId="15"/>
  </si>
  <si>
    <t>E30</t>
    <phoneticPr fontId="15"/>
  </si>
  <si>
    <t>E32</t>
    <phoneticPr fontId="15"/>
  </si>
  <si>
    <t>=IFERROR(IF(参照元!DV14="","",参照元!DV14-IF(報3!$V$11="",0,報3!$V$11)),"")
↓
=IFERROR(IF(参照元!DV14="","",参照元!DV14-IF(or(報1!p7,報1!p8,報1!p10,報3!$V$11=""),0,報3!$V$11)),"")</t>
    <phoneticPr fontId="15"/>
  </si>
  <si>
    <t>1号3号、2号3号の場合は、3号の調整後排出量からクレジット量を差し引かない
=IFERROR(IF(参照元!DF14="","",参照元!DF14-IF(報3!$V$11="",0,報3!$V$11)),"")
↓
=IFERROR(IF(参照元!DF14="","",参照元!DF14-IF(or(報1!p7,報1!p8,報1!p10,報3!$V$11=""),0,報3!$V$11)),"")</t>
    <rPh sb="0" eb="1">
      <t>ゴウ</t>
    </rPh>
    <rPh sb="2" eb="3">
      <t>ゴウ</t>
    </rPh>
    <rPh sb="5" eb="6">
      <t>ゴウ</t>
    </rPh>
    <rPh sb="7" eb="8">
      <t>ゴウ</t>
    </rPh>
    <rPh sb="9" eb="11">
      <t>バアイ</t>
    </rPh>
    <rPh sb="14" eb="15">
      <t>ゴウ</t>
    </rPh>
    <rPh sb="16" eb="19">
      <t>チョウセイゴ</t>
    </rPh>
    <rPh sb="19" eb="22">
      <t>ハイシュツリョウ</t>
    </rPh>
    <rPh sb="29" eb="30">
      <t>リョウ</t>
    </rPh>
    <rPh sb="31" eb="32">
      <t>サ</t>
    </rPh>
    <rPh sb="33" eb="34">
      <t>ヒ</t>
    </rPh>
    <phoneticPr fontId="15"/>
  </si>
  <si>
    <t>セルの条件付き書式を黄緑に変更</t>
    <phoneticPr fontId="15"/>
  </si>
  <si>
    <t>セルの条件付き書式を黄緑に変更</t>
    <rPh sb="2" eb="4">
      <t>ジョウケン</t>
    </rPh>
    <rPh sb="4" eb="5">
      <t>ツ</t>
    </rPh>
    <rPh sb="6" eb="8">
      <t>ショシキ</t>
    </rPh>
    <rPh sb="10" eb="12">
      <t>キミドリ</t>
    </rPh>
    <phoneticPr fontId="15"/>
  </si>
  <si>
    <t>=IF(参照元!G14="新規",0,参照元!$U$14)
=IF(参照元!G14="新規",0,参照元!$V$14)</t>
    <phoneticPr fontId="15"/>
  </si>
  <si>
    <t>昨年度報告</t>
    <rPh sb="0" eb="3">
      <t>サクネンド</t>
    </rPh>
    <rPh sb="3" eb="5">
      <t>ホウコク</t>
    </rPh>
    <phoneticPr fontId="15"/>
  </si>
  <si>
    <t>昨年度計画</t>
    <rPh sb="0" eb="5">
      <t>サクネンドケイカク</t>
    </rPh>
    <phoneticPr fontId="15"/>
  </si>
  <si>
    <t>F23</t>
    <phoneticPr fontId="15"/>
  </si>
  <si>
    <t>計2</t>
    <rPh sb="0" eb="1">
      <t>ケイ</t>
    </rPh>
    <phoneticPr fontId="15"/>
  </si>
  <si>
    <t>H18とH19にそれぞれ「=参照元!$U$14」「=参照元!$V$14」とあったが、新規計画書作成の場合には、新規入力する必要があるため、0とした。</t>
    <rPh sb="42" eb="44">
      <t>シンキ</t>
    </rPh>
    <rPh sb="44" eb="47">
      <t>ケイカクショ</t>
    </rPh>
    <rPh sb="47" eb="49">
      <t>サクセイ</t>
    </rPh>
    <rPh sb="50" eb="52">
      <t>バアイ</t>
    </rPh>
    <rPh sb="55" eb="57">
      <t>シンキ</t>
    </rPh>
    <rPh sb="57" eb="59">
      <t>ニュウリョク</t>
    </rPh>
    <rPh sb="61" eb="63">
      <t>ヒツヨウ</t>
    </rPh>
    <phoneticPr fontId="15"/>
  </si>
  <si>
    <t>報3</t>
    <rPh sb="0" eb="1">
      <t>ホウ</t>
    </rPh>
    <phoneticPr fontId="15"/>
  </si>
  <si>
    <t>計3</t>
    <rPh sb="0" eb="1">
      <t>ケイ</t>
    </rPh>
    <phoneticPr fontId="15"/>
  </si>
  <si>
    <t>B6:B10,W6:W13</t>
    <phoneticPr fontId="15"/>
  </si>
  <si>
    <t>B6:B10,S6:S13</t>
    <phoneticPr fontId="15"/>
  </si>
  <si>
    <t>2023/11/30時点データに更新</t>
    <rPh sb="10" eb="12">
      <t>ジテン</t>
    </rPh>
    <rPh sb="16" eb="18">
      <t>コウシン</t>
    </rPh>
    <phoneticPr fontId="15"/>
  </si>
  <si>
    <t>次世代自動車の列（DM:DR）を追加</t>
    <rPh sb="0" eb="3">
      <t>ジセダイ</t>
    </rPh>
    <rPh sb="3" eb="6">
      <t>ジドウシャ</t>
    </rPh>
    <rPh sb="7" eb="8">
      <t>レツ</t>
    </rPh>
    <rPh sb="16" eb="18">
      <t>ツイカ</t>
    </rPh>
    <phoneticPr fontId="15"/>
  </si>
  <si>
    <t>参照元</t>
    <rPh sb="0" eb="2">
      <t>サンショウ</t>
    </rPh>
    <rPh sb="2" eb="3">
      <t>モト</t>
    </rPh>
    <phoneticPr fontId="15"/>
  </si>
  <si>
    <t>次世代自動車の保有台数列（EN:EP）を追加</t>
    <rPh sb="7" eb="11">
      <t>ホユウダイスウ</t>
    </rPh>
    <phoneticPr fontId="15"/>
  </si>
  <si>
    <t>D24,G24,J24</t>
    <phoneticPr fontId="15"/>
  </si>
  <si>
    <t>保有台数は、導入台数＋前年度導入台数（昨年度報告）</t>
    <rPh sb="0" eb="4">
      <t>ホユウダイスウ</t>
    </rPh>
    <rPh sb="6" eb="10">
      <t>ドウニュウダイスウ</t>
    </rPh>
    <rPh sb="11" eb="14">
      <t>ゼンネンド</t>
    </rPh>
    <rPh sb="14" eb="18">
      <t>ドウニュウダイスウ</t>
    </rPh>
    <rPh sb="19" eb="22">
      <t>サクネンド</t>
    </rPh>
    <rPh sb="22" eb="24">
      <t>ホウコク</t>
    </rPh>
    <phoneticPr fontId="15"/>
  </si>
  <si>
    <t>昨年度計画</t>
    <rPh sb="0" eb="3">
      <t>サクネンド</t>
    </rPh>
    <rPh sb="3" eb="5">
      <t>ケイカク</t>
    </rPh>
    <phoneticPr fontId="15"/>
  </si>
  <si>
    <t>次世代自動車の列（BK:BP）を追加</t>
    <rPh sb="0" eb="3">
      <t>ジセダイ</t>
    </rPh>
    <rPh sb="3" eb="6">
      <t>ジドウシャ</t>
    </rPh>
    <rPh sb="7" eb="8">
      <t>レツ</t>
    </rPh>
    <rPh sb="16" eb="18">
      <t>ツイカ</t>
    </rPh>
    <phoneticPr fontId="15"/>
  </si>
  <si>
    <t>EN7:EP7</t>
    <phoneticPr fontId="15"/>
  </si>
  <si>
    <t>EN14:EP14</t>
    <phoneticPr fontId="15"/>
  </si>
  <si>
    <t>昨年度計画の値を参照</t>
    <rPh sb="0" eb="3">
      <t>サクネンド</t>
    </rPh>
    <rPh sb="3" eb="5">
      <t>ケイカク</t>
    </rPh>
    <rPh sb="6" eb="7">
      <t>アタイ</t>
    </rPh>
    <rPh sb="8" eb="10">
      <t>サンショウ</t>
    </rPh>
    <phoneticPr fontId="15"/>
  </si>
  <si>
    <t>D28,H28,L28</t>
    <phoneticPr fontId="15"/>
  </si>
  <si>
    <t>導入予定台数は、初期値「0」とした。</t>
    <rPh sb="0" eb="4">
      <t>ドウニュウヨテイ</t>
    </rPh>
    <rPh sb="4" eb="6">
      <t>ダイスウ</t>
    </rPh>
    <rPh sb="8" eb="11">
      <t>ショキチ</t>
    </rPh>
    <phoneticPr fontId="15"/>
  </si>
  <si>
    <t>D29,H29,L29</t>
    <phoneticPr fontId="15"/>
  </si>
  <si>
    <t>保有台数は、昨年度報告の値を参照、昨年度報告の値がなければ（昨年度新規ならば）、昨年度計画書の値を参照</t>
    <rPh sb="0" eb="3">
      <t>ホユウダイスウ</t>
    </rPh>
    <rPh sb="5" eb="9">
      <t>サクネンドホウコク</t>
    </rPh>
    <rPh sb="11" eb="12">
      <t>アタイ</t>
    </rPh>
    <rPh sb="12" eb="14">
      <t>サンショウ</t>
    </rPh>
    <rPh sb="15" eb="18">
      <t>サクネンド</t>
    </rPh>
    <rPh sb="18" eb="20">
      <t>ホウコク</t>
    </rPh>
    <rPh sb="21" eb="22">
      <t>アタイ</t>
    </rPh>
    <rPh sb="28" eb="31">
      <t>サクネンド</t>
    </rPh>
    <rPh sb="31" eb="33">
      <t>シンキ</t>
    </rPh>
    <rPh sb="38" eb="41">
      <t>サクネンド</t>
    </rPh>
    <rPh sb="41" eb="44">
      <t>ケイカクショ</t>
    </rPh>
    <rPh sb="45" eb="46">
      <t>アタイ</t>
    </rPh>
    <rPh sb="47" eb="49">
      <t>サンショウ</t>
    </rPh>
    <phoneticPr fontId="15"/>
  </si>
  <si>
    <t>保有台数は、今年度報告の値を参照。新規計画書作成者のために、セルは、黄緑色（書き換え可能）とした。</t>
    <rPh sb="0" eb="2">
      <t>ホユウ</t>
    </rPh>
    <rPh sb="2" eb="4">
      <t>ダイスウ</t>
    </rPh>
    <rPh sb="6" eb="9">
      <t>コンネンド</t>
    </rPh>
    <rPh sb="9" eb="11">
      <t>ホウコク</t>
    </rPh>
    <rPh sb="12" eb="13">
      <t>アタイ</t>
    </rPh>
    <rPh sb="14" eb="16">
      <t>サンショウ</t>
    </rPh>
    <rPh sb="17" eb="19">
      <t>シンキ</t>
    </rPh>
    <rPh sb="19" eb="22">
      <t>ケイカクショ</t>
    </rPh>
    <rPh sb="22" eb="24">
      <t>サクセイ</t>
    </rPh>
    <rPh sb="24" eb="25">
      <t>シャ</t>
    </rPh>
    <rPh sb="34" eb="36">
      <t>キミドリ</t>
    </rPh>
    <rPh sb="36" eb="37">
      <t>イロ</t>
    </rPh>
    <rPh sb="38" eb="39">
      <t>カ</t>
    </rPh>
    <rPh sb="40" eb="41">
      <t>カ</t>
    </rPh>
    <rPh sb="42" eb="44">
      <t>カノウ</t>
    </rPh>
    <phoneticPr fontId="15"/>
  </si>
  <si>
    <t>←導入予定（1:あり、2:なし）</t>
    <rPh sb="1" eb="5">
      <t>ドウニュウヨテイ</t>
    </rPh>
    <phoneticPr fontId="15"/>
  </si>
  <si>
    <t>実施日
ver</t>
    <rPh sb="0" eb="3">
      <t>ジッシビ</t>
    </rPh>
    <phoneticPr fontId="15"/>
  </si>
  <si>
    <r>
      <t>←原単位（1</t>
    </r>
    <r>
      <rPr>
        <sz val="11"/>
        <color theme="1"/>
        <rFont val="ＭＳ Ｐゴシック"/>
        <family val="2"/>
        <charset val="128"/>
        <scheme val="minor"/>
      </rPr>
      <t>:設定なし、2:事業者統一、3:寄与度、4:個別表のみ)</t>
    </r>
    <rPh sb="1" eb="4">
      <t>ゲンタンイ</t>
    </rPh>
    <rPh sb="7" eb="9">
      <t>セッテイ</t>
    </rPh>
    <rPh sb="14" eb="19">
      <t>ジギョウシャトウイツ</t>
    </rPh>
    <rPh sb="22" eb="25">
      <t>キヨド</t>
    </rPh>
    <rPh sb="28" eb="31">
      <t>コベツヒョウ</t>
    </rPh>
    <phoneticPr fontId="15"/>
  </si>
  <si>
    <t>クレジットの選択肢は、J-クレジット,グリーンエネルギー・クレジット,電気の非化石証書および空白の４択とした。</t>
    <rPh sb="6" eb="9">
      <t>センタクシ</t>
    </rPh>
    <rPh sb="46" eb="48">
      <t>クウハク</t>
    </rPh>
    <rPh sb="50" eb="51">
      <t>タク</t>
    </rPh>
    <phoneticPr fontId="15"/>
  </si>
  <si>
    <r>
      <t>はじめにシートの事業者名の下（セルA10：D10）で報告値の修正有無について聞く欄を設定した。また、「有」ならそれ以上進まず、市に連絡するようメッセージを出すよう設定した。また、11/24提出分から追加修正を行い、過去データ修正欄（セルB10）が空欄時でもエラーメッセージが出ているため、空欄時はエラーメッセージ出ないようにした。</t>
    </r>
    <r>
      <rPr>
        <sz val="11"/>
        <rFont val="ＭＳ Ｐゴシック"/>
        <family val="3"/>
        <charset val="128"/>
      </rPr>
      <t>シート保護時にプルダウン選択できないため、セル保護のロックを解除した。</t>
    </r>
    <rPh sb="8" eb="11">
      <t>ジギョウシャ</t>
    </rPh>
    <rPh sb="11" eb="12">
      <t>メイ</t>
    </rPh>
    <rPh sb="13" eb="14">
      <t>シタ</t>
    </rPh>
    <rPh sb="26" eb="29">
      <t>ホウコクチ</t>
    </rPh>
    <rPh sb="30" eb="32">
      <t>シュウセイ</t>
    </rPh>
    <rPh sb="32" eb="34">
      <t>ウム</t>
    </rPh>
    <rPh sb="38" eb="39">
      <t>キ</t>
    </rPh>
    <rPh sb="40" eb="41">
      <t>ラン</t>
    </rPh>
    <rPh sb="42" eb="44">
      <t>セッテイ</t>
    </rPh>
    <rPh sb="51" eb="52">
      <t>アリ</t>
    </rPh>
    <rPh sb="57" eb="59">
      <t>イジョウ</t>
    </rPh>
    <rPh sb="59" eb="60">
      <t>スス</t>
    </rPh>
    <rPh sb="63" eb="64">
      <t>シ</t>
    </rPh>
    <rPh sb="65" eb="67">
      <t>レンラク</t>
    </rPh>
    <rPh sb="77" eb="78">
      <t>ダ</t>
    </rPh>
    <rPh sb="81" eb="83">
      <t>セッテイ</t>
    </rPh>
    <rPh sb="168" eb="171">
      <t>ホゴジ</t>
    </rPh>
    <rPh sb="177" eb="179">
      <t>センタク</t>
    </rPh>
    <rPh sb="188" eb="190">
      <t>ホゴ</t>
    </rPh>
    <rPh sb="195" eb="197">
      <t>カイジョ</t>
    </rPh>
    <phoneticPr fontId="15"/>
  </si>
  <si>
    <r>
      <rPr>
        <sz val="11"/>
        <rFont val="ＭＳ Ｐゴシック"/>
        <family val="3"/>
        <charset val="128"/>
      </rPr>
      <t>=IF(F13="",IF(ISNUMBER(参照元!CY14),参照元!CY14-SUM(報3!G6:G10)-W24,""),参照元!CY14)
↓
=IF(F13="",IF(ISNUMBER(参照元!CY14),参照元!CY14-IF(OR(報1!P7,報1!P8,報1!P10,報3!$V$11=""),0,報3!$V$11),""),参照元!CY14)</t>
    </r>
    <phoneticPr fontId="15"/>
  </si>
  <si>
    <t>　電気事業者別排出係数(特定排出者の温室効果ガス排出量算定用)－R４年度実績－　R5.12.22 環境省・経済産業省公表</t>
    <phoneticPr fontId="15"/>
  </si>
  <si>
    <t>A0006_メニューB(残差)</t>
  </si>
  <si>
    <t>A0009_メニューH</t>
  </si>
  <si>
    <t>A0009_メニューI(残差)</t>
  </si>
  <si>
    <t>A0013_メニューA</t>
  </si>
  <si>
    <t>A0013_メニューB(残差)</t>
  </si>
  <si>
    <t>(株)エネワンでんき(旧：(株)いちたかガスワン)</t>
  </si>
  <si>
    <t>A0016_メニューJ</t>
  </si>
  <si>
    <t>A0016_メニューK(残差)</t>
  </si>
  <si>
    <t>(株)リエネ (旧：(株)Ｓｈａｒｅｄ　Ｅｎｅｒｇｙ)</t>
  </si>
  <si>
    <t>A0021_メニューE(残差)</t>
  </si>
  <si>
    <t>A0024_メニューC</t>
  </si>
  <si>
    <t>A0024_メニューD(残差)</t>
  </si>
  <si>
    <t>A0025_メニューN</t>
  </si>
  <si>
    <t>A0025_メニューO</t>
  </si>
  <si>
    <t>A0025_メニューP(残差)</t>
  </si>
  <si>
    <t>A0026_メニューB</t>
  </si>
  <si>
    <t>A0026_メニューC(残差)</t>
  </si>
  <si>
    <t>A0027_メニューC</t>
  </si>
  <si>
    <t>A0027_メニューD</t>
  </si>
  <si>
    <t>A0027_メニューE</t>
  </si>
  <si>
    <t>A0031_メニューI</t>
  </si>
  <si>
    <t>A0031_メニューJ</t>
  </si>
  <si>
    <t>A0031_メニューK(残差)</t>
  </si>
  <si>
    <t>A0035_メニューB</t>
  </si>
  <si>
    <t>A0035_メニューC(残差)</t>
  </si>
  <si>
    <t>A0040</t>
  </si>
  <si>
    <t>アルカナエナジー(株)</t>
  </si>
  <si>
    <t>A0042_メニューA</t>
  </si>
  <si>
    <t>A0042_メニューB</t>
  </si>
  <si>
    <t>A0050_メニューD</t>
  </si>
  <si>
    <t>A0050_メニューE(残差)</t>
  </si>
  <si>
    <t>A0055_メニューB(残差)</t>
  </si>
  <si>
    <t>A0056_メニューB(残差)</t>
  </si>
  <si>
    <t>A0064_メニューD(残差)</t>
  </si>
  <si>
    <t>A0066_メニューA</t>
  </si>
  <si>
    <t>A0066_メニューB(残差)</t>
  </si>
  <si>
    <t>A0067_メニューD(残差)</t>
  </si>
  <si>
    <t>A0069_メニューG</t>
  </si>
  <si>
    <t>A0069_メニューH</t>
  </si>
  <si>
    <t>A0069_メニューI(残差)</t>
  </si>
  <si>
    <t>A0074_メニューA</t>
  </si>
  <si>
    <t>A0074_メニューB(残差)</t>
  </si>
  <si>
    <t>A0076_メニューE</t>
  </si>
  <si>
    <t>A0076_メニューF(残差)</t>
  </si>
  <si>
    <t>A0086_メニューG</t>
  </si>
  <si>
    <t>A0086_メニューH(残差)</t>
  </si>
  <si>
    <t>A0087_メニューI</t>
  </si>
  <si>
    <t>A0087_メニューJ</t>
  </si>
  <si>
    <t>A0087_メニューK</t>
  </si>
  <si>
    <t>A0087_メニューL</t>
  </si>
  <si>
    <t>A0087_メニューM(残差)</t>
  </si>
  <si>
    <t>A0090_メニューB</t>
  </si>
  <si>
    <t>A0090_メニューC</t>
  </si>
  <si>
    <t>A0090_メニューD(残差)</t>
  </si>
  <si>
    <t>A0098_メニューA</t>
  </si>
  <si>
    <t>A0098_メニューB(残差)</t>
  </si>
  <si>
    <t>A0103_メニューA</t>
  </si>
  <si>
    <t>A0103_メニューB(残差)</t>
  </si>
  <si>
    <t>A0104_メニューA</t>
  </si>
  <si>
    <t>A0104_メニューB(残差)</t>
  </si>
  <si>
    <t>A0105_メニューA</t>
  </si>
  <si>
    <t>A0105_メニューB(残差)</t>
  </si>
  <si>
    <t>A0107_メニューA</t>
  </si>
  <si>
    <t>A0107_メニューB(残差)</t>
  </si>
  <si>
    <t>A0110_メニューA</t>
  </si>
  <si>
    <t>A0110_メニューB(残差)</t>
  </si>
  <si>
    <t>A0119_メニューA</t>
  </si>
  <si>
    <t>A0119_メニューB(残差)</t>
  </si>
  <si>
    <t>A0122_メニューI</t>
  </si>
  <si>
    <t>A0122_メニューJ</t>
  </si>
  <si>
    <t>A0122_メニューK</t>
  </si>
  <si>
    <t>A0122_メニューL</t>
  </si>
  <si>
    <t>A0122_メニューM(残差)</t>
  </si>
  <si>
    <t>A0126_メニューB</t>
  </si>
  <si>
    <t>A0126_メニューC</t>
  </si>
  <si>
    <t>A0126_メニューD</t>
  </si>
  <si>
    <t>A0126_メニューE</t>
  </si>
  <si>
    <t>A0126_メニューF(残差)</t>
  </si>
  <si>
    <t>A0130_メニューE</t>
  </si>
  <si>
    <t>A0130_メニューF</t>
  </si>
  <si>
    <t>A0130_メニューG</t>
  </si>
  <si>
    <t>A0130_メニューH</t>
  </si>
  <si>
    <t>A0130_メニューI(残差)</t>
  </si>
  <si>
    <t>A0136_メニューB</t>
  </si>
  <si>
    <t>A0136_メニューC(残差)</t>
  </si>
  <si>
    <t>A0140_メニューC(残差)</t>
  </si>
  <si>
    <t>A0146_メニューA</t>
  </si>
  <si>
    <t>A0146_メニューB(残差)</t>
  </si>
  <si>
    <t>A0147_メニューA</t>
  </si>
  <si>
    <t>A0147_メニューB(残差)</t>
  </si>
  <si>
    <t>A0151_メニューA</t>
  </si>
  <si>
    <t>A0151_メニューB(残差)</t>
  </si>
  <si>
    <t>A0153_メニューK(残差)</t>
  </si>
  <si>
    <t>A0157_メニューB</t>
  </si>
  <si>
    <t>A0157_メニューC(残差)</t>
  </si>
  <si>
    <t>A0158_メニューA</t>
  </si>
  <si>
    <t>A0158_メニューB(残差)</t>
  </si>
  <si>
    <t>A0179_メニューB(残差)</t>
  </si>
  <si>
    <t>A0186_メニューC</t>
  </si>
  <si>
    <t>A0186_メニューD(残差)</t>
  </si>
  <si>
    <t>A0191_メニューA</t>
  </si>
  <si>
    <t>A0191_メニューB(残差)</t>
  </si>
  <si>
    <t>A0193_メニューB(残差)</t>
  </si>
  <si>
    <t>A0197_メニューC(残差)</t>
  </si>
  <si>
    <t>A0213_メニューA</t>
  </si>
  <si>
    <t>A0213_メニューB</t>
  </si>
  <si>
    <t>A0213_メニューC</t>
  </si>
  <si>
    <t>A0213_メニューD(残差)</t>
  </si>
  <si>
    <t>A0220_メニューA</t>
  </si>
  <si>
    <t>A0220_メニューB(残差)</t>
  </si>
  <si>
    <t>(株)エネウィル</t>
  </si>
  <si>
    <t>A0228_メニューA</t>
  </si>
  <si>
    <t>A0228_メニューB(残差)</t>
  </si>
  <si>
    <t>A0229_メニューB(残差)</t>
  </si>
  <si>
    <t>A0232_メニューA</t>
  </si>
  <si>
    <t>A0232_メニューB(残差)</t>
  </si>
  <si>
    <t>(株)シーラパワー</t>
  </si>
  <si>
    <t>A0245_メニューA</t>
  </si>
  <si>
    <t>A0245_メニューB(残差)</t>
  </si>
  <si>
    <t>A0250_メニューA</t>
  </si>
  <si>
    <t>A0250_メニューB(残差)</t>
  </si>
  <si>
    <t>A0265_メニューA</t>
  </si>
  <si>
    <t>A0265_メニューB(残差)</t>
  </si>
  <si>
    <t>A0268_メニューC</t>
  </si>
  <si>
    <t>A0268_メニューD(残差)</t>
  </si>
  <si>
    <t>A0269_メニューJ</t>
  </si>
  <si>
    <t>A0269_メニューK</t>
  </si>
  <si>
    <t>A0269_メニューL(残差)</t>
  </si>
  <si>
    <t>A0271_メニューB(残差)</t>
  </si>
  <si>
    <t>関西電力(株) (旧：(株)Ｋｅｎｅｓエネルギーサービス)</t>
  </si>
  <si>
    <t>A0272_メニューF</t>
  </si>
  <si>
    <t>A0272_メニューG</t>
  </si>
  <si>
    <t>A0272_メニューH</t>
  </si>
  <si>
    <t>A0272_メニューI(残差)</t>
  </si>
  <si>
    <t>A0273_メニューE</t>
  </si>
  <si>
    <t>A0273_メニューF</t>
  </si>
  <si>
    <t>A0273_メニューG(残差)</t>
  </si>
  <si>
    <t>A0288_メニューA</t>
  </si>
  <si>
    <t>A0288_メニューB(残差)</t>
  </si>
  <si>
    <t>A0295_メニューA</t>
  </si>
  <si>
    <t>A0295_メニューB(残差)</t>
  </si>
  <si>
    <t>A0300_メニューC</t>
  </si>
  <si>
    <t>A0300_メニューD(残差)</t>
  </si>
  <si>
    <t>A0310_メニューD</t>
  </si>
  <si>
    <t>A0310_メニューE</t>
  </si>
  <si>
    <t>A0310_メニューF(残差)</t>
  </si>
  <si>
    <t>A0332_メニューA</t>
  </si>
  <si>
    <t>A0332_メニューB(残差)</t>
  </si>
  <si>
    <t>A0345_メニューA</t>
  </si>
  <si>
    <t>A0345_メニューB(残差)</t>
  </si>
  <si>
    <t>レジル(株)(旧：中央電力(株))</t>
  </si>
  <si>
    <t>A0365_メニューA</t>
  </si>
  <si>
    <t>A0365_メニューB(残差)</t>
  </si>
  <si>
    <t>A0371_メニューE</t>
  </si>
  <si>
    <t>A0371_メニューF</t>
  </si>
  <si>
    <t>A0371_メニューG(残差)</t>
  </si>
  <si>
    <t>A0381_メニューA</t>
  </si>
  <si>
    <t>A0381_メニューB(残差)</t>
  </si>
  <si>
    <t>A0386_メニューA</t>
  </si>
  <si>
    <t>A0386_メニューB(残差)</t>
  </si>
  <si>
    <t>A0403_メニューA</t>
  </si>
  <si>
    <t>A0403_メニューB(残差)</t>
  </si>
  <si>
    <t>A0405_メニューA</t>
  </si>
  <si>
    <t>A0405_メニューB</t>
  </si>
  <si>
    <t>A0405_メニューC(残差)</t>
  </si>
  <si>
    <t>(株)ＭＫエネルギー</t>
  </si>
  <si>
    <t>A0454_メニューA</t>
  </si>
  <si>
    <t>A0454_メニューB(残差)</t>
  </si>
  <si>
    <t>ワンワールドエナジー(株)</t>
  </si>
  <si>
    <t>A0461_メニューB(残差)</t>
  </si>
  <si>
    <t>(株)ムダカラ(旧：(株)ユビニティー)</t>
  </si>
  <si>
    <t>A0471_メニューA</t>
  </si>
  <si>
    <t>A0471_メニューB(残差)</t>
  </si>
  <si>
    <t>A0481_メニューA</t>
  </si>
  <si>
    <t>A0481_メニューB(残差)</t>
  </si>
  <si>
    <t>Ｑ．ＥＮＥＳＴでんき(株)</t>
  </si>
  <si>
    <t>A0506_メニューE</t>
  </si>
  <si>
    <t>A0506_メニューF(残差)</t>
  </si>
  <si>
    <t>A0507_メニューA</t>
  </si>
  <si>
    <t>A0507_メニューB(残差)</t>
  </si>
  <si>
    <t>A0533_メニューC(残差)</t>
  </si>
  <si>
    <t>A0536_メニューA</t>
  </si>
  <si>
    <t>A0536_メニューB(残差)</t>
  </si>
  <si>
    <t>A0548_メニューA</t>
  </si>
  <si>
    <t>A0548_メニューB(残差)</t>
  </si>
  <si>
    <t>A0551_メニューB</t>
  </si>
  <si>
    <t>A0551_メニューC(残差)</t>
  </si>
  <si>
    <t>A0553_メニューB(残差)</t>
  </si>
  <si>
    <t>エンジー・エナジー・マーケティング・ジャパン(株)(旧：加賀市総合サービス(株))</t>
  </si>
  <si>
    <t>ＷＳエナジー(株)</t>
  </si>
  <si>
    <t>ＴＥＲＡ　Ｅｎｅｒｇｙ(株)</t>
  </si>
  <si>
    <t>ＭＣＰＤ(株)(旧：ＭＣＰＤ合同会社)</t>
  </si>
  <si>
    <t>A0584_メニューB(残差)</t>
  </si>
  <si>
    <t>A0603_メニューA</t>
  </si>
  <si>
    <t>A0603_メニューB(残差)</t>
  </si>
  <si>
    <t>ＲＥ１００電力(株)</t>
  </si>
  <si>
    <t>A0611_メニューB</t>
  </si>
  <si>
    <t>A0611_メニューC(残差)</t>
  </si>
  <si>
    <t>A0612</t>
  </si>
  <si>
    <t>日本エネルギーファーム(株)</t>
  </si>
  <si>
    <t>A0624_メニューA</t>
  </si>
  <si>
    <t>A0624_メニューB(残差)</t>
  </si>
  <si>
    <t>A0630_メニューA</t>
  </si>
  <si>
    <t>(株)タケエイでんき(旧：(株)ふくしま未来パワー、(株)花巻銀河パワー、(株)大仙こまちパワー、(株)津軽あっぷるパワー)</t>
  </si>
  <si>
    <t>A0630_メニューB(残差)</t>
  </si>
  <si>
    <t>A0650_メニューA</t>
  </si>
  <si>
    <t>A0650_メニューB(残差)</t>
  </si>
  <si>
    <t>ＮＴＴアノードエナジー(株)</t>
  </si>
  <si>
    <t>A0656_メニューB</t>
  </si>
  <si>
    <t>A0656_メニューC(残差)</t>
  </si>
  <si>
    <t>(株)かづのパワー</t>
  </si>
  <si>
    <t>A0664_メニューD</t>
  </si>
  <si>
    <t>A0664_メニューE</t>
  </si>
  <si>
    <t>A0664_メニューF(残差)</t>
  </si>
  <si>
    <t>A0666_メニューA</t>
  </si>
  <si>
    <t>A0666_メニューB(残差)</t>
  </si>
  <si>
    <t>A0678_メニューF</t>
  </si>
  <si>
    <t>ＫＭパワー(株)</t>
  </si>
  <si>
    <t>A0733</t>
  </si>
  <si>
    <t>葛尾創生電力(株)</t>
  </si>
  <si>
    <t>A0737_メニューA</t>
  </si>
  <si>
    <t>(株)ライフエナジー</t>
  </si>
  <si>
    <t>A0737_メニューB</t>
  </si>
  <si>
    <t>A0737_メニューC(残差)</t>
  </si>
  <si>
    <t>Ｎａｔｕｒｅ(株)</t>
  </si>
  <si>
    <t>A0744_メニューB(残差)</t>
  </si>
  <si>
    <t>A0758</t>
  </si>
  <si>
    <t>(株)みやきエネルギー</t>
  </si>
  <si>
    <t>A0766</t>
  </si>
  <si>
    <t>A0772</t>
  </si>
  <si>
    <t>(株)エスコ</t>
  </si>
  <si>
    <t>A0792</t>
  </si>
  <si>
    <t>(株)ＭＴエナジー</t>
  </si>
  <si>
    <t>A0802</t>
  </si>
  <si>
    <t>大塚ビジネスサポート(株)</t>
  </si>
  <si>
    <t>A0806_メニューA</t>
  </si>
  <si>
    <t>A0807_メニューA</t>
  </si>
  <si>
    <t>恵那電力(株)</t>
  </si>
  <si>
    <t>A0807_メニューB(残差)</t>
  </si>
  <si>
    <t>A0809</t>
  </si>
  <si>
    <t>帯広電力(株)</t>
  </si>
  <si>
    <t>A0817</t>
  </si>
  <si>
    <t>(株)なんとエナジー</t>
  </si>
  <si>
    <t>A0819_メニューA</t>
  </si>
  <si>
    <t>(株)ボーダレス・ジャパン</t>
  </si>
  <si>
    <t>A0820_メニューA</t>
  </si>
  <si>
    <t>(株)ワット</t>
  </si>
  <si>
    <t>A0820_メニューB(残差)</t>
  </si>
  <si>
    <t>A0822_メニューA</t>
  </si>
  <si>
    <t>広島ガス(株)</t>
  </si>
  <si>
    <t>A0826_メニューA</t>
  </si>
  <si>
    <t>(株)ＦＰＳ</t>
  </si>
  <si>
    <t>A0826_メニューB(残差)</t>
  </si>
  <si>
    <t>A0827</t>
  </si>
  <si>
    <t>大熊るるるん電力(株)</t>
  </si>
  <si>
    <t>A0829</t>
  </si>
  <si>
    <t>特種東海製紙(株)</t>
  </si>
  <si>
    <t>A0831_メニューA</t>
  </si>
  <si>
    <t>おきたま新電力(株)</t>
  </si>
  <si>
    <t>A0831_メニューB(残差)</t>
  </si>
  <si>
    <t>A0835</t>
  </si>
  <si>
    <t>河原実業(株)</t>
  </si>
  <si>
    <t>A0840_メニューA</t>
  </si>
  <si>
    <t>アースシグナルソリューションズ(株)</t>
  </si>
  <si>
    <t>送配電-3</t>
  </si>
  <si>
    <t>05b_0115</t>
    <phoneticPr fontId="15"/>
  </si>
  <si>
    <t>集計_計画個別</t>
    <rPh sb="0" eb="2">
      <t>シュウケイ</t>
    </rPh>
    <rPh sb="3" eb="5">
      <t>ケイカク</t>
    </rPh>
    <rPh sb="5" eb="7">
      <t>コベツ</t>
    </rPh>
    <phoneticPr fontId="15"/>
  </si>
  <si>
    <t>O7,O9,O11,O13,O15,O17,O19,O21,O23,O25,O27,O29,O31,O33,O35,O37,O39,O41,O43,O45,</t>
    <phoneticPr fontId="15"/>
  </si>
  <si>
    <t>参照ズレを修正
=計5!$C$42
↓
=計5!$C$40
・
・
・
'=計5!$C$992
↓
=計5!$C$990</t>
    <rPh sb="0" eb="1">
      <t>サンショウ</t>
    </rPh>
    <rPh sb="4" eb="6">
      <t>シュウセイ</t>
    </rPh>
    <phoneticPr fontId="15"/>
  </si>
  <si>
    <t>使用量_1,2</t>
  </si>
  <si>
    <t>K122:M122</t>
    <phoneticPr fontId="15"/>
  </si>
  <si>
    <t>K127:M127</t>
    <phoneticPr fontId="15"/>
  </si>
  <si>
    <t>報7</t>
    <rPh sb="0" eb="1">
      <t>ホウ</t>
    </rPh>
    <phoneticPr fontId="15"/>
  </si>
  <si>
    <t>N115:BA117</t>
    <phoneticPr fontId="15"/>
  </si>
  <si>
    <t>条件付書式の優先順位が緑色→グレーだったため、グレー→緑色に設定</t>
    <rPh sb="27" eb="28">
      <t>ミドリ</t>
    </rPh>
    <phoneticPr fontId="15"/>
  </si>
  <si>
    <t>条件付書式の優先順位が黄色→グレーだったため、グレー→黄色に設定。また、黄色の条件付書式の数式をK122:M122と同様に設定</t>
    <rPh sb="36" eb="38">
      <t>キイロ</t>
    </rPh>
    <rPh sb="39" eb="44">
      <t>ジョウケンツキショシキ</t>
    </rPh>
    <rPh sb="45" eb="47">
      <t>スウシキ</t>
    </rPh>
    <rPh sb="58" eb="60">
      <t>ドウヨウ</t>
    </rPh>
    <rPh sb="61" eb="63">
      <t>セッテイ</t>
    </rPh>
    <phoneticPr fontId="15"/>
  </si>
  <si>
    <t>条件付書式の優先順位が黄色→グレーだったため、グレー→黄色に設定</t>
    <rPh sb="0" eb="1">
      <t>ジョウケン</t>
    </rPh>
    <rPh sb="1" eb="2">
      <t>ツキ</t>
    </rPh>
    <rPh sb="2" eb="4">
      <t>ショシキ</t>
    </rPh>
    <rPh sb="5" eb="7">
      <t>ユウセン</t>
    </rPh>
    <rPh sb="7" eb="9">
      <t>ジュンイ</t>
    </rPh>
    <rPh sb="26" eb="27">
      <t>キ</t>
    </rPh>
    <rPh sb="28" eb="29">
      <t>イロ</t>
    </rPh>
    <rPh sb="30" eb="32">
      <t>セッテイ</t>
    </rPh>
    <phoneticPr fontId="15"/>
  </si>
  <si>
    <t>グレーアウトセルの文字色が黒色だったため、グレーアウトするよう文字色をグレーに変更</t>
    <rPh sb="8" eb="11">
      <t>モジイロ</t>
    </rPh>
    <rPh sb="13" eb="15">
      <t>クロイロ</t>
    </rPh>
    <rPh sb="31" eb="34">
      <t>モジイロ</t>
    </rPh>
    <rPh sb="39" eb="41">
      <t>ヘンコウ</t>
    </rPh>
    <phoneticPr fontId="15"/>
  </si>
  <si>
    <t>05b_0116</t>
    <phoneticPr fontId="15"/>
  </si>
  <si>
    <t>C6：C45</t>
    <phoneticPr fontId="15"/>
  </si>
  <si>
    <t>参照元</t>
  </si>
  <si>
    <t>DB10</t>
    <phoneticPr fontId="15"/>
  </si>
  <si>
    <t>=IF(使用量_3!$I$35=3,使用量_3!$AC$115,"")
↓
'=IF(使用量_3!$I$35=2,使用量_3!$AC$115,"")</t>
    <phoneticPr fontId="15"/>
  </si>
  <si>
    <t>CW10:DA10</t>
    <phoneticPr fontId="15"/>
  </si>
  <si>
    <t>if文の条件を新規事業者も表示されるよう以下に変更
「$G$1=CW9（第3年度）」
↓
「OR($G$1=0,$G$1=3)」</t>
    <rPh sb="1" eb="2">
      <t>ブン</t>
    </rPh>
    <rPh sb="3" eb="5">
      <t>ジョウケン</t>
    </rPh>
    <rPh sb="9" eb="12">
      <t>ジギョウシャ</t>
    </rPh>
    <rPh sb="36" eb="37">
      <t>ダイ</t>
    </rPh>
    <rPh sb="38" eb="40">
      <t>ネンド</t>
    </rPh>
    <phoneticPr fontId="15"/>
  </si>
  <si>
    <t>=はじめに!B8
↓
=計1!$I$8</t>
    <phoneticPr fontId="15"/>
  </si>
  <si>
    <t>計5</t>
    <rPh sb="0" eb="1">
      <t>ケイ</t>
    </rPh>
    <phoneticPr fontId="15"/>
  </si>
  <si>
    <t>M8</t>
    <phoneticPr fontId="15"/>
  </si>
  <si>
    <t>テストデータが入っていたため、数式を設置。
事務所（電算施設）
↓
=報7!M8</t>
    <rPh sb="6" eb="7">
      <t>ハイ</t>
    </rPh>
    <rPh sb="14" eb="16">
      <t>スウシキ</t>
    </rPh>
    <rPh sb="17" eb="19">
      <t>セッチ</t>
    </rPh>
    <rPh sb="21" eb="24">
      <t>ジムショ</t>
    </rPh>
    <rPh sb="25" eb="27">
      <t>デンサン</t>
    </rPh>
    <rPh sb="27" eb="29">
      <t>シセツ</t>
    </rPh>
    <rPh sb="34" eb="35">
      <t>ホウ</t>
    </rPh>
    <phoneticPr fontId="15"/>
  </si>
  <si>
    <t>計2</t>
    <rPh sb="0" eb="1">
      <t>ケイ</t>
    </rPh>
    <phoneticPr fontId="15"/>
  </si>
  <si>
    <t>M25</t>
    <phoneticPr fontId="15"/>
  </si>
  <si>
    <t>No54と同様に対応（40か所あり）</t>
    <rPh sb="4" eb="6">
      <t>ドウヨウ</t>
    </rPh>
    <rPh sb="7" eb="9">
      <t>タイオウ</t>
    </rPh>
    <rPh sb="13" eb="14">
      <t>ショ</t>
    </rPh>
    <phoneticPr fontId="15"/>
  </si>
  <si>
    <t>05b_0117</t>
    <phoneticPr fontId="15"/>
  </si>
  <si>
    <t>ファイルサイズの軽量化</t>
    <rPh sb="7" eb="10">
      <t>ケイリョウカ</t>
    </rPh>
    <phoneticPr fontId="15"/>
  </si>
  <si>
    <t>Z列以降および49行以降を削除した。（5MB→2.5MBに低減）</t>
    <rPh sb="1" eb="2">
      <t>レツ</t>
    </rPh>
    <rPh sb="2" eb="4">
      <t>イコウ</t>
    </rPh>
    <rPh sb="9" eb="10">
      <t>ギョウ</t>
    </rPh>
    <rPh sb="10" eb="12">
      <t>イコウ</t>
    </rPh>
    <rPh sb="13" eb="15">
      <t>サクジョ</t>
    </rPh>
    <rPh sb="29" eb="31">
      <t>テイゲン</t>
    </rPh>
    <phoneticPr fontId="15"/>
  </si>
  <si>
    <t>協議してから対応を行う。原単位設定していても、目標値を記載しないと単位が表示されない。
=IF(OR(J25=0,J25="",M23=""),"",M23)
↓
=IF(M23="","",M23)</t>
    <rPh sb="0" eb="1">
      <t>キョウギ</t>
    </rPh>
    <rPh sb="5" eb="7">
      <t>タイオウ</t>
    </rPh>
    <rPh sb="8" eb="9">
      <t>オコナ</t>
    </rPh>
    <rPh sb="11" eb="14">
      <t>ゲンタンイ</t>
    </rPh>
    <rPh sb="14" eb="16">
      <t>セッテイ</t>
    </rPh>
    <rPh sb="22" eb="25">
      <t>モクヒョウチ</t>
    </rPh>
    <rPh sb="26" eb="28">
      <t>キサイ</t>
    </rPh>
    <rPh sb="32" eb="34">
      <t>タンイ</t>
    </rPh>
    <rPh sb="35" eb="37">
      <t>ヒョウジ</t>
    </rPh>
    <phoneticPr fontId="15"/>
  </si>
  <si>
    <t>エネ転</t>
    <rPh sb="2" eb="3">
      <t>テン</t>
    </rPh>
    <phoneticPr fontId="15"/>
  </si>
  <si>
    <t>産業</t>
    <rPh sb="0" eb="2">
      <t>サンギョウ</t>
    </rPh>
    <phoneticPr fontId="15"/>
  </si>
  <si>
    <t>業務</t>
    <rPh sb="0" eb="2">
      <t>ギョウム</t>
    </rPh>
    <phoneticPr fontId="15"/>
  </si>
  <si>
    <t>=IFERROR(VLOOKUP(区分のセル,$U$1:$V$16,2,0),"")</t>
    <rPh sb="17" eb="19">
      <t>クブン</t>
    </rPh>
    <phoneticPr fontId="15"/>
  </si>
  <si>
    <t>事業所等の区分に応じた温室効果ガス部門を表示する関数をP列に設置</t>
    <rPh sb="0" eb="4">
      <t>ジギョウショトウ</t>
    </rPh>
    <rPh sb="5" eb="7">
      <t>クブン</t>
    </rPh>
    <rPh sb="8" eb="9">
      <t>オウ</t>
    </rPh>
    <rPh sb="11" eb="15">
      <t>オンシツコウカ</t>
    </rPh>
    <rPh sb="17" eb="19">
      <t>ブモン</t>
    </rPh>
    <rPh sb="20" eb="22">
      <t>ヒョウジ</t>
    </rPh>
    <rPh sb="24" eb="26">
      <t>カンスウ</t>
    </rPh>
    <rPh sb="30" eb="32">
      <t>セッチ</t>
    </rPh>
    <phoneticPr fontId="15"/>
  </si>
  <si>
    <t>産業</t>
    <rPh sb="0" eb="2">
      <t>サンギョウ</t>
    </rPh>
    <phoneticPr fontId="15"/>
  </si>
  <si>
    <t>エネ転</t>
    <rPh sb="2" eb="3">
      <t>テン</t>
    </rPh>
    <phoneticPr fontId="15"/>
  </si>
  <si>
    <t>業務</t>
    <rPh sb="0" eb="2">
      <t>ギョウム</t>
    </rPh>
    <phoneticPr fontId="15"/>
  </si>
  <si>
    <t>任意3号</t>
  </si>
  <si>
    <t>任意12号</t>
  </si>
  <si>
    <t>147</t>
  </si>
  <si>
    <t>東京液化酸素株式会社</t>
  </si>
  <si>
    <t>神奈川県横浜市磯子区新磯子町３０番の１</t>
  </si>
  <si>
    <t>竹内　陽一</t>
  </si>
  <si>
    <t>代表取締役社長　竹内　陽一</t>
  </si>
  <si>
    <t>事務所窓口</t>
  </si>
  <si>
    <t>横浜市磯子区新磯子町３０番の１</t>
  </si>
  <si>
    <t>土日、祝日、当社指定休日を除いた平日の９時－１２時、１３時－１７時</t>
  </si>
  <si>
    <t>百万Nｍ3</t>
  </si>
  <si>
    <t>・生産量増加によるﾌﾟﾗﾝﾄ高稼働状態が継続したため、排出量は増加しました。</t>
  </si>
  <si>
    <t>183</t>
  </si>
  <si>
    <t>株式会社ヨーク　</t>
  </si>
  <si>
    <t xml:space="preserve"> 東京都千代田区二番町8番地8 </t>
  </si>
  <si>
    <t>代表取締役社長　河田　智洋</t>
  </si>
  <si>
    <t>株式会社ヨーク</t>
  </si>
  <si>
    <t>代表取締役社長　河田　靖彦</t>
  </si>
  <si>
    <t>ヨークマート立場店</t>
  </si>
  <si>
    <t>神奈川県横浜市泉区和泉町4042-2</t>
  </si>
  <si>
    <t>営業時間9：00－22：00</t>
  </si>
  <si>
    <t>m2×時間</t>
  </si>
  <si>
    <t>運用面での省エネ活動が排出量の削減に繋がった。</t>
  </si>
  <si>
    <t>3号任意12号</t>
  </si>
  <si>
    <t>https://www.nitorihd.co.jp/sustainability/materiality03/#materiality03-4</t>
  </si>
  <si>
    <t>220</t>
  </si>
  <si>
    <t>日産プリンス神奈川販売株式会社</t>
  </si>
  <si>
    <t>横浜市神奈川区東神奈川２－４７－７</t>
  </si>
  <si>
    <t>代表取締役社長　髙　木　　恵　一</t>
  </si>
  <si>
    <t>日産プリンス神奈川販売　本社</t>
  </si>
  <si>
    <t>横浜市神奈川区東神奈川2-47-7</t>
  </si>
  <si>
    <t>10：00～18：00（火曜日定休）</t>
  </si>
  <si>
    <t>233</t>
  </si>
  <si>
    <t>横浜市</t>
  </si>
  <si>
    <t>市長　山中 竹春</t>
  </si>
  <si>
    <t>https://www.city.yokohama.lg.jp/kurashi/machizukuri-kankyo/ondanka/etc/shiyakusho/keikakushokouhyou.html</t>
  </si>
  <si>
    <t>LED等高効率照明の導入やESCO事業の継続実施等、省エネの取組を行い、エネルギー使用量を削減することができた。使用する電力会社の排出係数が悪化したことにより、基礎排出量は増加したが、再エネ電力等への切り替え等により、調整後排出量を大幅に削減することができた。</t>
  </si>
  <si>
    <t>次世代自動車の導入やエコドライブの徹底等により、燃料使用量の抑制に努めた。一方で、救急出場件数が大幅に増加したことで、全体としては温室効果ガス排出量は増加した。</t>
  </si>
  <si>
    <t>239</t>
  </si>
  <si>
    <t>株式会社緑山スタジオ・シティ</t>
  </si>
  <si>
    <t>神奈川県横浜市青葉区緑山2100番地</t>
  </si>
  <si>
    <t>代表取締役社長　永田　周太郎</t>
  </si>
  <si>
    <t>神奈川県横浜市青葉区緑山２１００番地</t>
  </si>
  <si>
    <t>㈱緑山スタジオ・シティ</t>
  </si>
  <si>
    <t>横浜市青葉区緑山2100番地</t>
  </si>
  <si>
    <t>9：30～17：30（平日のみ）</t>
  </si>
  <si>
    <t>照明器具のLED化を行った。
2022年度の全電力量に付きまして、FIT付非化石証書を利用し
自然エネルギーを使用。</t>
  </si>
  <si>
    <t>三菱倉庫株式会社</t>
  </si>
  <si>
    <t>横浜市神奈川区金港町１番地７
横浜ダイヤビルディング１７階</t>
  </si>
  <si>
    <t>横浜支店　支店長　川村　操</t>
  </si>
  <si>
    <t>代表取締役 社長 斉藤　秀親</t>
  </si>
  <si>
    <t>東京都中央区日本橋一丁目１９番１号</t>
  </si>
  <si>
    <t>三菱倉庫㈱横浜支店</t>
  </si>
  <si>
    <t>横浜市神奈川区金港町１番地７　横浜ダイヤビルディング１７階</t>
  </si>
  <si>
    <t>午前９：００～午後４：００（土日祝祭日、年末年始期間を除く）</t>
  </si>
  <si>
    <t>コロナ対策が全面に緩和され、物流施設・不動産施設の稼働が好調、コンテナターミナルの取扱い増加し、全体的に排気量も増えたことから目標を下回った。</t>
  </si>
  <si>
    <t>326</t>
  </si>
  <si>
    <t>セントラルスポーツ株式会社</t>
  </si>
  <si>
    <t>東京都中央区新川1-21-2茅場町ﾀﾜｰ</t>
  </si>
  <si>
    <t>代表取締役　社長　　後藤　聖治</t>
  </si>
  <si>
    <t>セントラルスポーツ株式会社　店舗開発部　</t>
  </si>
  <si>
    <t>東京都中央区新川1-21-2茅場町タワー</t>
  </si>
  <si>
    <t>営業日　10:00～5：30</t>
  </si>
  <si>
    <t>[基本方針]①今後ｴﾈﾙｷﾞｰ管理については、本社店舗開発部内に担当者を置き、
　各事業所責任者(店長)を委員に任じ、
　取り組み方針、及び基準を定めて、実態の把握、及び分析と改善を定期的におこなう。
　上記結果を各事業所内のｽﾀｯﾌに周知させ、無駄の排除につとめる。
②教育、啓蒙、を実施し日常管理並びに施設の維持保全関連のﾚﾍﾞﾙｱｯﾌﾟを図る。
③各事業所情報（ﾌﾟｰﾙ、風呂、等の各種測定記録及びｴﾈﾙｷﾞｰ記録）の統一整理他、及び保管の改善に
　より、合理的かつ的確なエネルギー使用量削減を計る。</t>
  </si>
  <si>
    <t>国の目標値を目標に設定</t>
  </si>
  <si>
    <t>419</t>
  </si>
  <si>
    <t>レーザーテック株式会社</t>
  </si>
  <si>
    <t>横浜市港北区新横浜2－10－1</t>
  </si>
  <si>
    <t>代表取締役社長執行役員
岡林　理</t>
  </si>
  <si>
    <t>代表取締役社長執行役員　岡林　理</t>
  </si>
  <si>
    <t>横浜市港北区新横浜2-10-1</t>
  </si>
  <si>
    <t xml:space="preserve">
①電力使用量の抑制に努める。
②使用する電力を再生可能エネルギーへの変更を検討する。
④水を大切に使用する。
③使用設備の新規導入、メンテナンス、更新の際、省エネタイプのものに変更する。</t>
  </si>
  <si>
    <t>https://www.lasertec.co.jp/</t>
  </si>
  <si>
    <t xml:space="preserve">
計1記載の基本方針に沿って抑制することを目指しますが、
現実的には会社の成長、業績拡大に比例して排出量は増加することが
想定される為、まずは現状維持（微減）を目指す旨の設定としております。</t>
  </si>
  <si>
    <t>425</t>
  </si>
  <si>
    <t>スターバックス コーヒー ジャパン 株式会社</t>
  </si>
  <si>
    <t>東京都品川区上大崎二丁目25番2号</t>
  </si>
  <si>
    <t>代表取締役　水口 貴文</t>
  </si>
  <si>
    <t>１．改正省エネ法の施行に合わせて、「省エネルギー推進委員会」を平成21年3月に設けた。委員長はエネルギー管理統括者として役員を選任し、委員は統括マネージャー、エネルギー管理員及び各部署の省エネ推進責任者とした。
　主たるミッションは、省エネルギーの推進とCO2排出量の削減に関して全社での活動を推進するための中長期計画の作成と、そのアクションプランとしての年間計画の作成、及び前年の達成状況の把握と改善策の検討である。
２．全社のCSR方針に基づき、店舗・オフィス向けにレポートを発信、店舗エネルギー使用量報告フローの確立を行っている。その他、夏至に一部の店舗で一部照明を消灯するイベントの実施、地域の環境に配慮しているイベント（打ち水等）に参加するなどの社会貢献活動を行う。</t>
  </si>
  <si>
    <t>社内ポータルサイトへ計画書等を掲載し、横浜市の店舗で公開を求められた場合は、掲載した資料をその場で印刷し提供し対応する。</t>
  </si>
  <si>
    <t>店舗数の増加が見込まれるため、令和４年度の原単位を基準として、令和７年度までに３％削減する目標を掲げる。</t>
  </si>
  <si>
    <t>05b_0125</t>
    <phoneticPr fontId="15"/>
  </si>
  <si>
    <t>昨年度データの反映（2024年1月23日締めデータ）</t>
    <rPh sb="0" eb="3">
      <t>サクネンド</t>
    </rPh>
    <rPh sb="7" eb="9">
      <t>ハンエイ</t>
    </rPh>
    <rPh sb="14" eb="15">
      <t>ネン</t>
    </rPh>
    <rPh sb="16" eb="17">
      <t>ガツ</t>
    </rPh>
    <rPh sb="19" eb="20">
      <t>ニチ</t>
    </rPh>
    <rPh sb="20" eb="21">
      <t>ジ</t>
    </rPh>
    <phoneticPr fontId="15"/>
  </si>
  <si>
    <t>05b_0126</t>
    <phoneticPr fontId="15"/>
  </si>
  <si>
    <t>集計_報告</t>
    <rPh sb="0" eb="2">
      <t>シュウケイ</t>
    </rPh>
    <rPh sb="3" eb="5">
      <t>ホウコク</t>
    </rPh>
    <phoneticPr fontId="15"/>
  </si>
  <si>
    <t>3号なのに12号の使用量データを報告している場合は、集計_報告シートにおいてデータが表示されないよう修正。</t>
    <rPh sb="1" eb="2">
      <t>ゴウ</t>
    </rPh>
    <rPh sb="7" eb="8">
      <t>ゴウ</t>
    </rPh>
    <rPh sb="9" eb="12">
      <t>シヨウリョウ</t>
    </rPh>
    <rPh sb="16" eb="18">
      <t>ホウコク</t>
    </rPh>
    <rPh sb="22" eb="24">
      <t>バアイ</t>
    </rPh>
    <rPh sb="26" eb="28">
      <t>シュウケイ</t>
    </rPh>
    <rPh sb="29" eb="31">
      <t>ホウコク</t>
    </rPh>
    <rPh sb="42" eb="44">
      <t>ヒョウジ</t>
    </rPh>
    <rPh sb="50" eb="52">
      <t>シュウセイ</t>
    </rPh>
    <phoneticPr fontId="15"/>
  </si>
  <si>
    <t>AK5:BY5</t>
    <phoneticPr fontId="15"/>
  </si>
  <si>
    <t>BZ5:DN5</t>
    <phoneticPr fontId="15"/>
  </si>
  <si>
    <t>12号なのに3号の使用量データを報告している場合は、集計_報告シートにおいてデータが表示されないよう修正。</t>
    <rPh sb="2" eb="3">
      <t>ゴウ</t>
    </rPh>
    <rPh sb="7" eb="8">
      <t>ゴウ</t>
    </rPh>
    <rPh sb="9" eb="12">
      <t>シヨウリョウ</t>
    </rPh>
    <rPh sb="16" eb="18">
      <t>ホウコク</t>
    </rPh>
    <rPh sb="22" eb="24">
      <t>バアイ</t>
    </rPh>
    <rPh sb="26" eb="28">
      <t>シュウケイ</t>
    </rPh>
    <rPh sb="29" eb="31">
      <t>ホウコク</t>
    </rPh>
    <rPh sb="42" eb="44">
      <t>ヒョウジ</t>
    </rPh>
    <rPh sb="50" eb="52">
      <t>シュウセイ</t>
    </rPh>
    <phoneticPr fontId="15"/>
  </si>
  <si>
    <t>=元々設置されていた参照式
↓
=IF(Q5&amp;R5&amp;T5="","",IF(元々設置されていた参照式))</t>
    <rPh sb="1" eb="3">
      <t>モトモト</t>
    </rPh>
    <rPh sb="3" eb="5">
      <t>セッチ</t>
    </rPh>
    <rPh sb="10" eb="13">
      <t>サンショウシキ</t>
    </rPh>
    <phoneticPr fontId="15"/>
  </si>
  <si>
    <t>=元々設置されていた参照式
↓
=IF(S5&amp;U5="","",IF(元々設置されていた参照式))</t>
    <rPh sb="1" eb="3">
      <t>モトモト</t>
    </rPh>
    <rPh sb="3" eb="5">
      <t>セッチ</t>
    </rPh>
    <rPh sb="10" eb="13">
      <t>サンショウシキ</t>
    </rPh>
    <phoneticPr fontId="15"/>
  </si>
  <si>
    <t>集計_計画</t>
    <rPh sb="0" eb="2">
      <t>シュウケイ</t>
    </rPh>
    <rPh sb="3" eb="5">
      <t>ケイカク</t>
    </rPh>
    <phoneticPr fontId="15"/>
  </si>
  <si>
    <t>AK6:AX6</t>
    <phoneticPr fontId="15"/>
  </si>
  <si>
    <t>AY6:BL6</t>
    <phoneticPr fontId="15"/>
  </si>
  <si>
    <t>=元々設置されていた参照式
↓
=IF(S6&amp;U6="","",IF(元々設置されていた参照式))</t>
    <rPh sb="1" eb="3">
      <t>モトモト</t>
    </rPh>
    <rPh sb="3" eb="5">
      <t>セッチ</t>
    </rPh>
    <rPh sb="10" eb="13">
      <t>サンショウシキ</t>
    </rPh>
    <phoneticPr fontId="15"/>
  </si>
  <si>
    <t>=元々設置されていた参照式
↓
=IF(Q6&amp;R6&amp;T6="","",IF(元々設置されていた参照式))</t>
    <rPh sb="1" eb="3">
      <t>モトモト</t>
    </rPh>
    <rPh sb="3" eb="5">
      <t>セッチ</t>
    </rPh>
    <rPh sb="10" eb="13">
      <t>サンショウシキ</t>
    </rPh>
    <phoneticPr fontId="15"/>
  </si>
  <si>
    <t>Q5:U5</t>
    <phoneticPr fontId="15"/>
  </si>
  <si>
    <t>Q6:U6</t>
    <phoneticPr fontId="15"/>
  </si>
  <si>
    <t>全角文字を半角文字に変更</t>
    <rPh sb="0" eb="2">
      <t>ゼンカク</t>
    </rPh>
    <rPh sb="2" eb="4">
      <t>モジ</t>
    </rPh>
    <rPh sb="5" eb="7">
      <t>ハンカク</t>
    </rPh>
    <rPh sb="7" eb="9">
      <t>モジ</t>
    </rPh>
    <rPh sb="10" eb="12">
      <t>ヘンコウ</t>
    </rPh>
    <phoneticPr fontId="15"/>
  </si>
  <si>
    <t>=IF(報1!P7=TRUE,"１号","")
↓
=IF(報1!P7=TRUE,"1号","")他</t>
    <rPh sb="49" eb="50">
      <t>ホカ</t>
    </rPh>
    <phoneticPr fontId="15"/>
  </si>
  <si>
    <t>=IF(計1!P7=TRUE,"１号","")
↓
=IF(計1!P7=TRUE,"1号","")他</t>
    <rPh sb="49" eb="50">
      <t>ホカ</t>
    </rPh>
    <phoneticPr fontId="15"/>
  </si>
  <si>
    <t>J113</t>
    <phoneticPr fontId="15"/>
  </si>
  <si>
    <t>=IF(SUM(K113:BA113)=0,"",SUM(K113:BA113))
↓
=SUM(K113:BA113)</t>
    <phoneticPr fontId="15"/>
  </si>
  <si>
    <t>E5</t>
    <phoneticPr fontId="15"/>
  </si>
  <si>
    <t>該当号数を表示する欄に数式がないため設置。</t>
    <rPh sb="0" eb="4">
      <t>ガイトウゴウスウ</t>
    </rPh>
    <rPh sb="5" eb="7">
      <t>ヒョウジ</t>
    </rPh>
    <rPh sb="9" eb="10">
      <t>ラン</t>
    </rPh>
    <rPh sb="11" eb="13">
      <t>スウシキ</t>
    </rPh>
    <rPh sb="18" eb="20">
      <t>セッチ</t>
    </rPh>
    <phoneticPr fontId="15"/>
  </si>
  <si>
    <t>「」
↓
=Q5&amp;R5&amp;S5&amp;T5&amp;U5</t>
    <phoneticPr fontId="15"/>
  </si>
  <si>
    <t>集計_報告自主的対策</t>
    <rPh sb="0" eb="2">
      <t>シュウケイ</t>
    </rPh>
    <rPh sb="3" eb="5">
      <t>ホウコク</t>
    </rPh>
    <rPh sb="5" eb="7">
      <t>ジシュ</t>
    </rPh>
    <rPh sb="7" eb="8">
      <t>テキ</t>
    </rPh>
    <rPh sb="8" eb="10">
      <t>タイサク</t>
    </rPh>
    <phoneticPr fontId="15"/>
  </si>
  <si>
    <t>E列</t>
    <rPh sb="1" eb="2">
      <t>レツ</t>
    </rPh>
    <phoneticPr fontId="15"/>
  </si>
  <si>
    <t>「」
↓
=集計_報告!$E$5</t>
    <phoneticPr fontId="15"/>
  </si>
  <si>
    <t>E6</t>
    <phoneticPr fontId="15"/>
  </si>
  <si>
    <t>B5</t>
    <phoneticPr fontId="15"/>
  </si>
  <si>
    <t>連番が数値として表示されているため、文字列に変換。</t>
    <rPh sb="0" eb="2">
      <t>レンバン</t>
    </rPh>
    <rPh sb="3" eb="5">
      <t>スウチ</t>
    </rPh>
    <rPh sb="8" eb="10">
      <t>ヒョウジ</t>
    </rPh>
    <rPh sb="18" eb="21">
      <t>モジレツ</t>
    </rPh>
    <rPh sb="22" eb="24">
      <t>ヘンカン</t>
    </rPh>
    <phoneticPr fontId="15"/>
  </si>
  <si>
    <t>=はじめに!B6
↓
=はじめに!B6&amp;""</t>
    <phoneticPr fontId="15"/>
  </si>
  <si>
    <t>B列</t>
    <rPh sb="1" eb="2">
      <t>レツ</t>
    </rPh>
    <phoneticPr fontId="15"/>
  </si>
  <si>
    <t>=はじめに!B6
↓
=はじめに!$B$6&amp;""</t>
    <phoneticPr fontId="15"/>
  </si>
  <si>
    <t>「」
↓
=Q6&amp;R6&amp;S6&amp;T6&amp;U6</t>
    <phoneticPr fontId="15"/>
  </si>
  <si>
    <t>B6</t>
    <phoneticPr fontId="15"/>
  </si>
  <si>
    <t>集計_計画</t>
    <phoneticPr fontId="15"/>
  </si>
  <si>
    <t>D6</t>
    <phoneticPr fontId="15"/>
  </si>
  <si>
    <t>計画開始年度を表示する欄に数式がないため設置。</t>
    <rPh sb="0" eb="2">
      <t>ケイカク</t>
    </rPh>
    <rPh sb="2" eb="4">
      <t>カイシ</t>
    </rPh>
    <rPh sb="4" eb="6">
      <t>ネンド</t>
    </rPh>
    <rPh sb="7" eb="9">
      <t>ヒョウジ</t>
    </rPh>
    <rPh sb="11" eb="12">
      <t>ラン</t>
    </rPh>
    <rPh sb="13" eb="15">
      <t>スウシキ</t>
    </rPh>
    <rPh sb="20" eb="22">
      <t>セッチ</t>
    </rPh>
    <phoneticPr fontId="15"/>
  </si>
  <si>
    <t>「」
↓
=計1!D28</t>
    <phoneticPr fontId="15"/>
  </si>
  <si>
    <t>事業者IDを表示する欄に数式がないため設置。</t>
    <rPh sb="0" eb="3">
      <t>ジギョウシャ</t>
    </rPh>
    <rPh sb="6" eb="8">
      <t>ヒョウジ</t>
    </rPh>
    <rPh sb="10" eb="11">
      <t>ラン</t>
    </rPh>
    <rPh sb="12" eb="14">
      <t>スウシキ</t>
    </rPh>
    <rPh sb="19" eb="21">
      <t>セッチ</t>
    </rPh>
    <phoneticPr fontId="15"/>
  </si>
  <si>
    <t>集計_報告</t>
    <rPh sb="3" eb="5">
      <t>ホウコク</t>
    </rPh>
    <phoneticPr fontId="15"/>
  </si>
  <si>
    <t>F5</t>
    <phoneticPr fontId="15"/>
  </si>
  <si>
    <t>計1シートのG23において、空欄のround処理のため#VALUE表示されていたため修正。</t>
    <rPh sb="0" eb="1">
      <t>ケイ</t>
    </rPh>
    <rPh sb="14" eb="16">
      <t>クウラン</t>
    </rPh>
    <rPh sb="22" eb="24">
      <t>ショリ</t>
    </rPh>
    <rPh sb="33" eb="35">
      <t>ヒョウジ</t>
    </rPh>
    <rPh sb="42" eb="44">
      <t>シュウセイ</t>
    </rPh>
    <phoneticPr fontId="15"/>
  </si>
  <si>
    <t>「」
↓
=報1!M2</t>
    <phoneticPr fontId="15"/>
  </si>
  <si>
    <t>集計_計画</t>
    <rPh sb="3" eb="5">
      <t>ケイカク</t>
    </rPh>
    <phoneticPr fontId="15"/>
  </si>
  <si>
    <t>F6</t>
    <phoneticPr fontId="15"/>
  </si>
  <si>
    <t>「」
↓
=計1!M2</t>
    <phoneticPr fontId="15"/>
  </si>
  <si>
    <t>G4,G5</t>
    <phoneticPr fontId="15"/>
  </si>
  <si>
    <t>事業者名</t>
    <rPh sb="0" eb="4">
      <t>ジギョウシャメイ</t>
    </rPh>
    <phoneticPr fontId="15"/>
  </si>
  <si>
    <t>事業者名</t>
    <rPh sb="3" eb="4">
      <t>メイ</t>
    </rPh>
    <phoneticPr fontId="15"/>
  </si>
  <si>
    <t>「事業者ID」→「事業者名」
「=報1!M2」→「=報1!D14」</t>
    <rPh sb="1" eb="4">
      <t>ジギョウシャ</t>
    </rPh>
    <rPh sb="9" eb="12">
      <t>ジギョウシャ</t>
    </rPh>
    <rPh sb="12" eb="13">
      <t>メイ</t>
    </rPh>
    <phoneticPr fontId="15"/>
  </si>
  <si>
    <t>G5,G6</t>
    <phoneticPr fontId="15"/>
  </si>
  <si>
    <t>「事業者ID」→「事業者名」
「=計1!M2」→「=計1!D14」</t>
    <rPh sb="1" eb="4">
      <t>ジギョウシャ</t>
    </rPh>
    <rPh sb="9" eb="12">
      <t>ジギョウシャ</t>
    </rPh>
    <rPh sb="12" eb="13">
      <t>メイ</t>
    </rPh>
    <phoneticPr fontId="15"/>
  </si>
  <si>
    <t>事業者名を表示する列名に「事業者ID」とあり修正。数式もIDが表示されていたため修正。</t>
    <rPh sb="0" eb="3">
      <t>ジギョウシャ</t>
    </rPh>
    <rPh sb="3" eb="4">
      <t>メイ</t>
    </rPh>
    <rPh sb="5" eb="7">
      <t>ヒョウジ</t>
    </rPh>
    <rPh sb="9" eb="11">
      <t>レツメイ</t>
    </rPh>
    <rPh sb="13" eb="16">
      <t>ジギョウシャ</t>
    </rPh>
    <rPh sb="22" eb="24">
      <t>シュウセイ</t>
    </rPh>
    <rPh sb="25" eb="27">
      <t>スウシキ</t>
    </rPh>
    <rPh sb="31" eb="33">
      <t>ヒョウジ</t>
    </rPh>
    <rPh sb="40" eb="42">
      <t>シュウセイ</t>
    </rPh>
    <phoneticPr fontId="15"/>
  </si>
  <si>
    <t>事業者名を表示する列名に「事業者ID」とあり修正。数式もIDが表示されていたため修正。</t>
    <rPh sb="0" eb="3">
      <t>ジギョウシャ</t>
    </rPh>
    <rPh sb="3" eb="4">
      <t>メイ</t>
    </rPh>
    <rPh sb="5" eb="7">
      <t>ヒョウジ</t>
    </rPh>
    <rPh sb="13" eb="16">
      <t>ジギョウシャ</t>
    </rPh>
    <rPh sb="22" eb="24">
      <t>シュウセイ</t>
    </rPh>
    <rPh sb="25" eb="27">
      <t>スウシキ</t>
    </rPh>
    <rPh sb="31" eb="33">
      <t>ヒョウジ</t>
    </rPh>
    <rPh sb="40" eb="42">
      <t>シュウセイ</t>
    </rPh>
    <phoneticPr fontId="15"/>
  </si>
  <si>
    <t>C5</t>
    <phoneticPr fontId="15"/>
  </si>
  <si>
    <t>C6</t>
    <phoneticPr fontId="15"/>
  </si>
  <si>
    <t>事業者名を表示する数式の参照先が提出者名であったため、事業者名へと修正。</t>
    <rPh sb="0" eb="3">
      <t>ジギョウシャ</t>
    </rPh>
    <rPh sb="3" eb="4">
      <t>メイ</t>
    </rPh>
    <rPh sb="5" eb="7">
      <t>ヒョウジ</t>
    </rPh>
    <rPh sb="9" eb="11">
      <t>スウシキ</t>
    </rPh>
    <rPh sb="12" eb="15">
      <t>サンショウサキ</t>
    </rPh>
    <rPh sb="16" eb="19">
      <t>テイシュツシャ</t>
    </rPh>
    <rPh sb="27" eb="30">
      <t>ジギョウシャ</t>
    </rPh>
    <rPh sb="30" eb="31">
      <t>メイ</t>
    </rPh>
    <rPh sb="33" eb="35">
      <t>シュウセイ</t>
    </rPh>
    <phoneticPr fontId="15"/>
  </si>
  <si>
    <t>事業者名を表示する数式の参照先がはじめにシートだったため、事業者名へと修正。</t>
    <rPh sb="0" eb="3">
      <t>ジギョウシャ</t>
    </rPh>
    <rPh sb="3" eb="4">
      <t>メイ</t>
    </rPh>
    <rPh sb="5" eb="7">
      <t>ヒョウジ</t>
    </rPh>
    <rPh sb="9" eb="11">
      <t>スウシキ</t>
    </rPh>
    <rPh sb="12" eb="15">
      <t>サンショウサキ</t>
    </rPh>
    <rPh sb="29" eb="32">
      <t>ジギョウシャ</t>
    </rPh>
    <rPh sb="32" eb="33">
      <t>メイ</t>
    </rPh>
    <rPh sb="35" eb="37">
      <t>シュウセイ</t>
    </rPh>
    <phoneticPr fontId="15"/>
  </si>
  <si>
    <t>=報1!I8
↓
=報1!D14</t>
    <phoneticPr fontId="15"/>
  </si>
  <si>
    <t>=はじめに!B8
↓
=計1!D14</t>
    <phoneticPr fontId="15"/>
  </si>
  <si>
    <t>任意12</t>
  </si>
  <si>
    <t>任意3</t>
  </si>
  <si>
    <t>U列</t>
    <rPh sb="1" eb="2">
      <t>レツ</t>
    </rPh>
    <phoneticPr fontId="15"/>
  </si>
  <si>
    <t>任意の列を任意12号と任意3号に分割</t>
    <rPh sb="0" eb="2">
      <t>ニンイ</t>
    </rPh>
    <rPh sb="3" eb="4">
      <t>レツ</t>
    </rPh>
    <rPh sb="5" eb="7">
      <t>ニンイ</t>
    </rPh>
    <rPh sb="9" eb="10">
      <t>ゴウ</t>
    </rPh>
    <rPh sb="11" eb="13">
      <t>ニンイ</t>
    </rPh>
    <rPh sb="14" eb="15">
      <t>ゴウ</t>
    </rPh>
    <rPh sb="16" eb="18">
      <t>ブンカツ</t>
    </rPh>
    <phoneticPr fontId="15"/>
  </si>
  <si>
    <t>T列をコピーし、列ごと直前に挿入した。</t>
    <rPh sb="0" eb="1">
      <t>レツ</t>
    </rPh>
    <rPh sb="8" eb="9">
      <t>レツ</t>
    </rPh>
    <rPh sb="11" eb="13">
      <t>チョクゼン</t>
    </rPh>
    <rPh sb="13" eb="15">
      <t>ソウニュウ</t>
    </rPh>
    <phoneticPr fontId="15"/>
  </si>
  <si>
    <t>EE14</t>
    <phoneticPr fontId="15"/>
  </si>
  <si>
    <t>任意の列を任意12号と任意3号に分割したことに伴う修正</t>
    <rPh sb="0" eb="2">
      <t>ニンイ</t>
    </rPh>
    <rPh sb="3" eb="4">
      <t>レツ</t>
    </rPh>
    <rPh sb="5" eb="7">
      <t>ニンイ</t>
    </rPh>
    <rPh sb="9" eb="10">
      <t>ゴウ</t>
    </rPh>
    <rPh sb="11" eb="13">
      <t>ニンイ</t>
    </rPh>
    <rPh sb="14" eb="15">
      <t>ゴウ</t>
    </rPh>
    <rPh sb="16" eb="18">
      <t>ブンカツ</t>
    </rPh>
    <rPh sb="23" eb="24">
      <t>トモナ</t>
    </rPh>
    <rPh sb="25" eb="27">
      <t>シュウセイ</t>
    </rPh>
    <phoneticPr fontId="15"/>
  </si>
  <si>
    <t>EF14</t>
    <phoneticPr fontId="15"/>
  </si>
  <si>
    <t>EG14</t>
    <phoneticPr fontId="15"/>
  </si>
  <si>
    <t>EH14</t>
    <phoneticPr fontId="15"/>
  </si>
  <si>
    <t>EI14</t>
    <phoneticPr fontId="15"/>
  </si>
  <si>
    <t>EJ14</t>
    <phoneticPr fontId="15"/>
  </si>
  <si>
    <t>=AND(Q14="1号",NOT(T14="任意"))
↓
=Q14="1号"</t>
    <phoneticPr fontId="15"/>
  </si>
  <si>
    <t>=AND(R14="2号",NOT(T14="任意"))
↓
=R14="2号"</t>
    <phoneticPr fontId="15"/>
  </si>
  <si>
    <t>=IF($B$14="205",TRUE,AND(S14="3号",NOT(T14="任意")))
↓
=S14="3号"</t>
    <phoneticPr fontId="15"/>
  </si>
  <si>
    <t>=T14="任意"
↓
=OR(EJ14:EK14)</t>
    <phoneticPr fontId="15"/>
  </si>
  <si>
    <t>=AND(T14="任意",OR(Q14="1号",R14="2号"))
↓
=T14="任意12号"</t>
    <phoneticPr fontId="15"/>
  </si>
  <si>
    <t>=IF($B$14="205",FALSE,AND(T14="任意",S14="3号"))
↓
=U14="任意3号"</t>
    <phoneticPr fontId="15"/>
  </si>
  <si>
    <t>2号</t>
    <phoneticPr fontId="88"/>
  </si>
  <si>
    <t>有</t>
    <phoneticPr fontId="88"/>
  </si>
  <si>
    <t>任意3号</t>
    <phoneticPr fontId="88"/>
  </si>
  <si>
    <t>任意12号</t>
    <phoneticPr fontId="88"/>
  </si>
  <si>
    <t>修正ありません</t>
  </si>
  <si>
    <t>初期値に「修正ありません」を設定</t>
    <rPh sb="0" eb="3">
      <t>ショキチ</t>
    </rPh>
    <rPh sb="5" eb="7">
      <t>シュウセイ</t>
    </rPh>
    <rPh sb="14" eb="16">
      <t>セッテイ</t>
    </rPh>
    <phoneticPr fontId="15"/>
  </si>
  <si>
    <t>05b_0128</t>
    <phoneticPr fontId="15"/>
  </si>
  <si>
    <t>C105:G110</t>
    <phoneticPr fontId="15"/>
  </si>
  <si>
    <t>セルにコメント入力されていたが、行の折り畳みに伴い、見えなくなっている。</t>
    <rPh sb="7" eb="9">
      <t>ニュウリョク</t>
    </rPh>
    <rPh sb="16" eb="17">
      <t>ギョウ</t>
    </rPh>
    <rPh sb="18" eb="19">
      <t>オ</t>
    </rPh>
    <rPh sb="20" eb="21">
      <t>タタ</t>
    </rPh>
    <rPh sb="23" eb="24">
      <t>トモナ</t>
    </rPh>
    <rPh sb="26" eb="27">
      <t>ミ</t>
    </rPh>
    <phoneticPr fontId="15"/>
  </si>
  <si>
    <t>吹き出しを追加し、統合したコメントを掲載
「【注意】
※１の条件に該当する場合は、供給元の事業者名を入力してください。
⇒F101、G101のセルに排出係数を別途ご入力ください。」「【注意】
※１の条件に該当する場合は、基礎排出係数(tCO2/kWh)を入力してください。
⇒排出係数の算出根拠を別途ご提示ください。」「【注意】
※１の条件に該当する場合は、基礎排出係数(tCO2/kWh)を入力してください。
⇒排出係数の算出根拠を別途ご提示ください。」
↓
「その他の電気事業者に該当する場合は、C106:C110のセルに供給元の事業者名を入力してください。また、F106:G110のセルに基礎排出係数(tCO2/kWh)及び調整後排出係数(tCO2/kWh)を入力してください。
⇒排出係数の算出根拠を別途ご提示ください。」</t>
    <rPh sb="1" eb="2">
      <t>ダ</t>
    </rPh>
    <rPh sb="4" eb="6">
      <t>ツイカ</t>
    </rPh>
    <rPh sb="8" eb="10">
      <t>トウゴウ</t>
    </rPh>
    <rPh sb="17" eb="19">
      <t>ケイサイ</t>
    </rPh>
    <rPh sb="234" eb="235">
      <t>タ</t>
    </rPh>
    <rPh sb="236" eb="241">
      <t>デンキジギョウシャ</t>
    </rPh>
    <rPh sb="313" eb="314">
      <t>オヨ</t>
    </rPh>
    <rPh sb="315" eb="318">
      <t>チョウセイゴ</t>
    </rPh>
    <phoneticPr fontId="15"/>
  </si>
  <si>
    <t>電力会社</t>
    <rPh sb="0" eb="4">
      <t>デンリョクカイシャ</t>
    </rPh>
    <phoneticPr fontId="15"/>
  </si>
  <si>
    <t>H118</t>
    <phoneticPr fontId="15"/>
  </si>
  <si>
    <t>数式の入ったセルであるにも関わらず黄色セルとなっていたため緑セルとした。</t>
    <rPh sb="0" eb="2">
      <t>スウシキ</t>
    </rPh>
    <rPh sb="3" eb="4">
      <t>ハイ</t>
    </rPh>
    <rPh sb="13" eb="14">
      <t>カカ</t>
    </rPh>
    <rPh sb="17" eb="19">
      <t>キイロ</t>
    </rPh>
    <rPh sb="29" eb="30">
      <t>ミドリ</t>
    </rPh>
    <phoneticPr fontId="15"/>
  </si>
  <si>
    <t>報1</t>
    <rPh sb="0" eb="1">
      <t>ホウ</t>
    </rPh>
    <phoneticPr fontId="15"/>
  </si>
  <si>
    <t>K5</t>
    <phoneticPr fontId="15"/>
  </si>
  <si>
    <t>提出年度が2023年と2024年とあったが、2024年と2025年とした。</t>
    <rPh sb="0" eb="4">
      <t>テイシュツネンド</t>
    </rPh>
    <rPh sb="9" eb="10">
      <t>ネン</t>
    </rPh>
    <rPh sb="15" eb="16">
      <t>ネン</t>
    </rPh>
    <rPh sb="26" eb="27">
      <t>ネン</t>
    </rPh>
    <rPh sb="32" eb="33">
      <t>ネン</t>
    </rPh>
    <phoneticPr fontId="15"/>
  </si>
  <si>
    <t>計1</t>
    <rPh sb="0" eb="1">
      <t>ケイ</t>
    </rPh>
    <phoneticPr fontId="15"/>
  </si>
  <si>
    <t>W35:W37のプルダウンをそれぞれ「=はじめに!A2&amp;"年"」「=はじめに!A2+1&amp;"年"」とした。</t>
    <phoneticPr fontId="15"/>
  </si>
  <si>
    <t>S35:S37のプルダウンをそれぞれ「=はじめに!A2&amp;"年"」「=はじめに!A2+1&amp;"年"」とした。</t>
    <phoneticPr fontId="15"/>
  </si>
  <si>
    <t>AN14:AZ14,CJ14:CV14</t>
    <phoneticPr fontId="15"/>
  </si>
  <si>
    <t>F19,F36</t>
    <phoneticPr fontId="15"/>
  </si>
  <si>
    <t>文字を上寄せで配置</t>
    <rPh sb="0" eb="2">
      <t>モジ</t>
    </rPh>
    <rPh sb="3" eb="4">
      <t>ウエ</t>
    </rPh>
    <rPh sb="4" eb="5">
      <t>ヨ</t>
    </rPh>
    <rPh sb="7" eb="9">
      <t>ハイチ</t>
    </rPh>
    <phoneticPr fontId="15"/>
  </si>
  <si>
    <t>C18,C28</t>
    <phoneticPr fontId="15"/>
  </si>
  <si>
    <t>説明欄</t>
    <rPh sb="0" eb="3">
      <t>セツメイラン</t>
    </rPh>
    <phoneticPr fontId="15"/>
  </si>
  <si>
    <t>AS2</t>
    <phoneticPr fontId="15"/>
  </si>
  <si>
    <t>R5管理用とあるが年度変更に対応できるように設置</t>
    <rPh sb="2" eb="4">
      <t>カンリ</t>
    </rPh>
    <rPh sb="4" eb="5">
      <t>ヨウ</t>
    </rPh>
    <rPh sb="9" eb="11">
      <t>ネンド</t>
    </rPh>
    <rPh sb="11" eb="13">
      <t>ヘンコウ</t>
    </rPh>
    <rPh sb="14" eb="16">
      <t>タイオウ</t>
    </rPh>
    <rPh sb="22" eb="24">
      <t>セッチ</t>
    </rPh>
    <phoneticPr fontId="15"/>
  </si>
  <si>
    <t>「R5管理用：」
↓
=はじめに!A2&amp;"管理用："</t>
    <phoneticPr fontId="15"/>
  </si>
  <si>
    <t>A～G列</t>
    <rPh sb="3" eb="4">
      <t>レツ</t>
    </rPh>
    <phoneticPr fontId="15"/>
  </si>
  <si>
    <t>参照されていないデータがあるため削除</t>
    <rPh sb="0" eb="2">
      <t>サンショウ</t>
    </rPh>
    <rPh sb="16" eb="18">
      <t>サクジョ</t>
    </rPh>
    <phoneticPr fontId="15"/>
  </si>
  <si>
    <t>データのみ削除</t>
    <rPh sb="4" eb="6">
      <t>サクジョ</t>
    </rPh>
    <phoneticPr fontId="15"/>
  </si>
  <si>
    <t>計5</t>
    <rPh sb="0" eb="1">
      <t>ケイ</t>
    </rPh>
    <phoneticPr fontId="15"/>
  </si>
  <si>
    <t>基準年度排出量他</t>
    <rPh sb="0" eb="2">
      <t>キジュン</t>
    </rPh>
    <rPh sb="2" eb="4">
      <t>ネンド</t>
    </rPh>
    <rPh sb="4" eb="7">
      <t>ハイシュツリョウ</t>
    </rPh>
    <rPh sb="7" eb="8">
      <t>ホカ</t>
    </rPh>
    <phoneticPr fontId="15"/>
  </si>
  <si>
    <t>参照元</t>
    <rPh sb="0" eb="3">
      <t>サンショウモト</t>
    </rPh>
    <phoneticPr fontId="15"/>
  </si>
  <si>
    <t>4行目</t>
    <rPh sb="1" eb="3">
      <t>ギョウメ</t>
    </rPh>
    <phoneticPr fontId="15"/>
  </si>
  <si>
    <t>任意12号のデータが反映されないため、if文を修正</t>
    <rPh sb="0" eb="1">
      <t>ニンイ</t>
    </rPh>
    <rPh sb="3" eb="4">
      <t>ゴウ</t>
    </rPh>
    <rPh sb="10" eb="12">
      <t>ハンエイ</t>
    </rPh>
    <rPh sb="21" eb="22">
      <t>ブン</t>
    </rPh>
    <rPh sb="23" eb="25">
      <t>シュウセイ</t>
    </rPh>
    <phoneticPr fontId="15"/>
  </si>
  <si>
    <t>任意3号のデータが反映されないため、if文を修正</t>
    <rPh sb="0" eb="1">
      <t>ニンイ</t>
    </rPh>
    <rPh sb="9" eb="11">
      <t>ハンエイ</t>
    </rPh>
    <rPh sb="20" eb="21">
      <t>ブン</t>
    </rPh>
    <rPh sb="22" eb="24">
      <t>シュウセイ</t>
    </rPh>
    <phoneticPr fontId="15"/>
  </si>
  <si>
    <t>4行目について、以下のとおり全ての対象箇所を置換
OR($Q4="1号",$R4="2号")
↓
OR($Q4="1号",$R4="2号",$T4="任意12号")</t>
    <rPh sb="0" eb="2">
      <t>ギョウメ</t>
    </rPh>
    <rPh sb="7" eb="9">
      <t>イカ</t>
    </rPh>
    <rPh sb="13" eb="14">
      <t>スベ</t>
    </rPh>
    <rPh sb="16" eb="18">
      <t>タイショウ</t>
    </rPh>
    <rPh sb="18" eb="20">
      <t>カショ</t>
    </rPh>
    <rPh sb="21" eb="23">
      <t>チカン</t>
    </rPh>
    <rPh sb="74" eb="76">
      <t>ニンイ</t>
    </rPh>
    <phoneticPr fontId="15"/>
  </si>
  <si>
    <t>4行目について、以下のとおり全ての対象箇所を置換
$S4="3号"
↓
OR($S4="3号",$U4="任意3号")</t>
    <rPh sb="0" eb="2">
      <t>ギョウメ</t>
    </rPh>
    <rPh sb="7" eb="9">
      <t>イカ</t>
    </rPh>
    <rPh sb="13" eb="14">
      <t>スベ</t>
    </rPh>
    <rPh sb="16" eb="18">
      <t>タイショウ</t>
    </rPh>
    <rPh sb="18" eb="20">
      <t>カショ</t>
    </rPh>
    <rPh sb="21" eb="23">
      <t>チカン</t>
    </rPh>
    <phoneticPr fontId="15"/>
  </si>
  <si>
    <t>BG14:CD14</t>
    <phoneticPr fontId="15"/>
  </si>
  <si>
    <t>3号の事業者の場合、12号のデータが表示されないよう修正。</t>
    <rPh sb="1" eb="2">
      <t>ゴウ</t>
    </rPh>
    <rPh sb="3" eb="6">
      <t>ジギョウシャ</t>
    </rPh>
    <rPh sb="7" eb="9">
      <t>バアイ</t>
    </rPh>
    <rPh sb="12" eb="13">
      <t>ゴウ</t>
    </rPh>
    <rPh sb="18" eb="20">
      <t>ヒョウジ</t>
    </rPh>
    <rPh sb="26" eb="28">
      <t>シュウセイ</t>
    </rPh>
    <phoneticPr fontId="15"/>
  </si>
  <si>
    <t>=元々設置されていた参照式
↓
=IF(Q14&amp;R14&amp;T14="","",元々設置されていた参照式)</t>
    <rPh sb="1" eb="3">
      <t>モトモト</t>
    </rPh>
    <rPh sb="3" eb="5">
      <t>セッチ</t>
    </rPh>
    <rPh sb="10" eb="13">
      <t>サンショウシキ</t>
    </rPh>
    <phoneticPr fontId="15"/>
  </si>
  <si>
    <t>DD14:EA14</t>
    <phoneticPr fontId="15"/>
  </si>
  <si>
    <t>12号の事業者の場合、3号のデータが表示されないよう修正。</t>
    <rPh sb="2" eb="3">
      <t>ゴウ</t>
    </rPh>
    <rPh sb="4" eb="7">
      <t>ジギョウシャ</t>
    </rPh>
    <rPh sb="8" eb="10">
      <t>バアイ</t>
    </rPh>
    <rPh sb="12" eb="13">
      <t>ゴウ</t>
    </rPh>
    <rPh sb="18" eb="20">
      <t>ヒョウジ</t>
    </rPh>
    <rPh sb="26" eb="28">
      <t>シュウセイ</t>
    </rPh>
    <phoneticPr fontId="15"/>
  </si>
  <si>
    <t>=元々設置されていた参照式
↓
=IF(S14&amp;U14="","",元々設置されていた参照式)</t>
    <rPh sb="1" eb="3">
      <t>モトモト</t>
    </rPh>
    <rPh sb="3" eb="5">
      <t>セッチ</t>
    </rPh>
    <rPh sb="10" eb="13">
      <t>サンショウシキ</t>
    </rPh>
    <phoneticPr fontId="15"/>
  </si>
  <si>
    <t>AQ14,AX14,AZ14</t>
    <phoneticPr fontId="15"/>
  </si>
  <si>
    <t>エラー時の対応を設置</t>
    <rPh sb="3" eb="4">
      <t>ジ</t>
    </rPh>
    <rPh sb="5" eb="7">
      <t>タイオウ</t>
    </rPh>
    <rPh sb="8" eb="10">
      <t>セッチ</t>
    </rPh>
    <phoneticPr fontId="15"/>
  </si>
  <si>
    <t>=元々設置されていた参照式
↓
=iferror(元々設置されていた参照式,""）</t>
    <rPh sb="1" eb="3">
      <t>モトモト</t>
    </rPh>
    <rPh sb="3" eb="5">
      <t>セッチ</t>
    </rPh>
    <rPh sb="10" eb="13">
      <t>サンショウシキ</t>
    </rPh>
    <phoneticPr fontId="15"/>
  </si>
  <si>
    <t>数値として入力されるべき箇所が、文字列として記載されていたため、value関数を設置した。ただし、=IF(Q14&amp;R14&amp;T14="","",元々設置されていた参照式)または=IF(S14&amp;U14="","",元々設置されていた参照式)として、該当号数以外は、表示されないように設定した。また、原単位分母（文字列）を表示する箇所ではvalue関数を設置しない。</t>
    <rPh sb="0" eb="2">
      <t>スウチ</t>
    </rPh>
    <rPh sb="5" eb="7">
      <t>ニュウリョク</t>
    </rPh>
    <rPh sb="12" eb="14">
      <t>カショ</t>
    </rPh>
    <rPh sb="16" eb="19">
      <t>モジレツ</t>
    </rPh>
    <rPh sb="22" eb="24">
      <t>キサイ</t>
    </rPh>
    <rPh sb="37" eb="39">
      <t>カンスウ</t>
    </rPh>
    <rPh sb="40" eb="42">
      <t>セッチ</t>
    </rPh>
    <rPh sb="122" eb="124">
      <t>ガイトウ</t>
    </rPh>
    <rPh sb="124" eb="126">
      <t>ゴウスウ</t>
    </rPh>
    <rPh sb="126" eb="128">
      <t>イガイ</t>
    </rPh>
    <rPh sb="130" eb="132">
      <t>ヒョウジ</t>
    </rPh>
    <rPh sb="139" eb="141">
      <t>セッテイ</t>
    </rPh>
    <rPh sb="147" eb="150">
      <t>ゲンタンイ</t>
    </rPh>
    <rPh sb="150" eb="152">
      <t>ブンボ</t>
    </rPh>
    <rPh sb="153" eb="156">
      <t>モジレツ</t>
    </rPh>
    <rPh sb="158" eb="160">
      <t>ヒョウジ</t>
    </rPh>
    <rPh sb="162" eb="164">
      <t>カショ</t>
    </rPh>
    <rPh sb="171" eb="173">
      <t>カンスウ</t>
    </rPh>
    <rPh sb="174" eb="176">
      <t>セッチ</t>
    </rPh>
    <phoneticPr fontId="15"/>
  </si>
  <si>
    <t>過去データ参照する際に、原単位が空欄である場合、0値となってしまうため、修正。</t>
    <rPh sb="0" eb="2">
      <t>カコ</t>
    </rPh>
    <rPh sb="5" eb="7">
      <t>サンショウ</t>
    </rPh>
    <rPh sb="9" eb="10">
      <t>サイ</t>
    </rPh>
    <rPh sb="12" eb="15">
      <t>ゲンタンイ</t>
    </rPh>
    <rPh sb="16" eb="18">
      <t>クウラン</t>
    </rPh>
    <rPh sb="21" eb="23">
      <t>バアイ</t>
    </rPh>
    <rPh sb="25" eb="26">
      <t>チ</t>
    </rPh>
    <rPh sb="36" eb="38">
      <t>シュウセイ</t>
    </rPh>
    <phoneticPr fontId="15"/>
  </si>
  <si>
    <t>BN4,BV4、DK4,DS4</t>
    <phoneticPr fontId="15"/>
  </si>
  <si>
    <t xml:space="preserve">=IF(OR($S4="3号",$U4="任意3号"),VLOOKUP($B$24,昨年度報告書!$A:$DM,COLUMN(昨年度報告書!DA1)-COLUMN(昨年度計画書!$A$1)+1,FALSE),"")
↓
'=IF(OR($S4="3号",$U4="任意3号"),IFERROR(VALUE(VLOOKUP($B$24,昨年度報告書!$A:$DM,COLUMN(昨年度報告書!DA1)-COLUMN(昨年度計画書!$A$1)+1,FALSE)&amp;""),""),"")
</t>
    <phoneticPr fontId="15"/>
  </si>
  <si>
    <t>目標を達成できた</t>
    <rPh sb="3" eb="5">
      <t>タッセイ</t>
    </rPh>
    <phoneticPr fontId="15"/>
  </si>
  <si>
    <t>目標を達成できなかった</t>
    <rPh sb="3" eb="5">
      <t>タッセイ</t>
    </rPh>
    <phoneticPr fontId="15"/>
  </si>
  <si>
    <t>05b_0129</t>
    <phoneticPr fontId="15"/>
  </si>
  <si>
    <t>E16,E33</t>
    <phoneticPr fontId="15"/>
  </si>
  <si>
    <t>語句の修正</t>
    <rPh sb="0" eb="2">
      <t>ゴク</t>
    </rPh>
    <rPh sb="3" eb="5">
      <t>シュウセイ</t>
    </rPh>
    <phoneticPr fontId="15"/>
  </si>
  <si>
    <t>目標を上回った→目標を達成できた
目標を下回った→目標を達成できなかった</t>
    <rPh sb="0" eb="1">
      <t>モクヒョウ</t>
    </rPh>
    <rPh sb="2" eb="4">
      <t>ウワマワ</t>
    </rPh>
    <rPh sb="7" eb="9">
      <t>モクヒョウ</t>
    </rPh>
    <rPh sb="10" eb="12">
      <t>タッセイ</t>
    </rPh>
    <rPh sb="16" eb="18">
      <t>モクヒョウ</t>
    </rPh>
    <rPh sb="19" eb="21">
      <t>シタマワ</t>
    </rPh>
    <rPh sb="24" eb="26">
      <t>モクヒョウ</t>
    </rPh>
    <rPh sb="27" eb="29">
      <t>タッセイ</t>
    </rPh>
    <phoneticPr fontId="15"/>
  </si>
  <si>
    <t>05b_0130-3</t>
    <phoneticPr fontId="15"/>
  </si>
  <si>
    <t>クレジットを報告していた場合は、過去の報告値も差し引かれていたため修正</t>
    <rPh sb="6" eb="8">
      <t>ホウコク</t>
    </rPh>
    <rPh sb="12" eb="14">
      <t>バアイ</t>
    </rPh>
    <rPh sb="16" eb="18">
      <t>カコ</t>
    </rPh>
    <rPh sb="19" eb="22">
      <t>ホウコクチ</t>
    </rPh>
    <rPh sb="23" eb="24">
      <t>サ</t>
    </rPh>
    <rPh sb="25" eb="26">
      <t>ヒ</t>
    </rPh>
    <rPh sb="33" eb="35">
      <t>シュウセイ</t>
    </rPh>
    <phoneticPr fontId="15"/>
  </si>
  <si>
    <t>=IF(ISNUMBER(参照元!BJ14),参照元!BJ14-SUM(報3!G6:J10),"")
↓
=IF(ISNUMBER(参照元!BJ14),IF(A11=はじめに!A2-1,参照元!BJ14-SUM(報3!G6:J10),参照元!BJ14),"")他該当箇所についても同様</t>
    <phoneticPr fontId="15"/>
  </si>
  <si>
    <t>05b_0131</t>
    <phoneticPr fontId="15"/>
  </si>
  <si>
    <t>セルの表記を統一</t>
    <rPh sb="3" eb="5">
      <t>ヒョウキ</t>
    </rPh>
    <rPh sb="6" eb="8">
      <t>トウイツ</t>
    </rPh>
    <phoneticPr fontId="15"/>
  </si>
  <si>
    <t>C85：D88</t>
    <phoneticPr fontId="15"/>
  </si>
  <si>
    <t>フォントサイズ8→9pt
左揃え→中央ぞろえ
セル塗りつぶしなし→薄黄色</t>
    <rPh sb="13" eb="15">
      <t>ヒダリゾロ</t>
    </rPh>
    <rPh sb="17" eb="19">
      <t>チュウオウ</t>
    </rPh>
    <rPh sb="25" eb="26">
      <t>ヌ</t>
    </rPh>
    <rPh sb="33" eb="36">
      <t>ウスキイロ</t>
    </rPh>
    <phoneticPr fontId="15"/>
  </si>
  <si>
    <t>クレジット削減量が報2シート参照の為、新規事業者の場合、調整後排出量が削減されない。</t>
    <rPh sb="5" eb="8">
      <t>サクゲンリョウ</t>
    </rPh>
    <rPh sb="9" eb="10">
      <t>ホウ</t>
    </rPh>
    <rPh sb="14" eb="16">
      <t>サンショウ</t>
    </rPh>
    <rPh sb="17" eb="18">
      <t>タメ</t>
    </rPh>
    <rPh sb="25" eb="27">
      <t>バアイ</t>
    </rPh>
    <rPh sb="28" eb="31">
      <t>チョウセイゴ</t>
    </rPh>
    <rPh sb="31" eb="34">
      <t>ハイシュツリョウ</t>
    </rPh>
    <rPh sb="35" eb="37">
      <t>サクゲン</t>
    </rPh>
    <phoneticPr fontId="15"/>
  </si>
  <si>
    <t>F23</t>
    <phoneticPr fontId="15"/>
  </si>
  <si>
    <t>F13</t>
    <phoneticPr fontId="15"/>
  </si>
  <si>
    <r>
      <t>=IF(ISNUMBER(参照元!BC14),参照元!BC14-SUM(報3!G6:J10),"")
↓
=IF(ISNUMBER(参照元!BC14),参照元!BC14-SUM(</t>
    </r>
    <r>
      <rPr>
        <sz val="11"/>
        <color rgb="FFFF0000"/>
        <rFont val="ＭＳ Ｐゴシック"/>
        <family val="3"/>
        <charset val="128"/>
      </rPr>
      <t>計3!H6:H10</t>
    </r>
    <r>
      <rPr>
        <sz val="11"/>
        <rFont val="ＭＳ Ｐゴシック"/>
        <family val="3"/>
        <charset val="128"/>
      </rPr>
      <t>),"")</t>
    </r>
    <rPh sb="89" eb="90">
      <t>ケイ</t>
    </rPh>
    <phoneticPr fontId="15"/>
  </si>
  <si>
    <r>
      <t>=IF(F13="",IF(ISNUMBER(参照元!CZ14),参照元!CZ14-IF(OR(報1!P7,報1!P8,報1!P10,報3!$V$11=""),0,報3!$V$11),""),参照元!CZ14)
↓
=</t>
    </r>
    <r>
      <rPr>
        <strike/>
        <sz val="11"/>
        <color rgb="FFFF0000"/>
        <rFont val="ＭＳ Ｐゴシック"/>
        <family val="3"/>
        <charset val="128"/>
      </rPr>
      <t>IF(F13="",</t>
    </r>
    <r>
      <rPr>
        <sz val="11"/>
        <rFont val="ＭＳ Ｐゴシック"/>
        <family val="3"/>
        <charset val="128"/>
      </rPr>
      <t>IF(ISNUMBER(参照元!CZ14),参照元!CZ14-IF(OR(</t>
    </r>
    <r>
      <rPr>
        <sz val="11"/>
        <color rgb="FFFF0000"/>
        <rFont val="ＭＳ Ｐゴシック"/>
        <family val="3"/>
        <charset val="128"/>
      </rPr>
      <t>計</t>
    </r>
    <r>
      <rPr>
        <sz val="11"/>
        <rFont val="ＭＳ Ｐゴシック"/>
        <family val="3"/>
        <charset val="128"/>
      </rPr>
      <t>1!P7,</t>
    </r>
    <r>
      <rPr>
        <sz val="11"/>
        <color rgb="FFFF0000"/>
        <rFont val="ＭＳ Ｐゴシック"/>
        <family val="3"/>
        <charset val="128"/>
      </rPr>
      <t>計</t>
    </r>
    <r>
      <rPr>
        <sz val="11"/>
        <rFont val="ＭＳ Ｐゴシック"/>
        <family val="3"/>
        <charset val="128"/>
      </rPr>
      <t>1!P8,</t>
    </r>
    <r>
      <rPr>
        <sz val="11"/>
        <color rgb="FFFF0000"/>
        <rFont val="ＭＳ Ｐゴシック"/>
        <family val="3"/>
        <charset val="128"/>
      </rPr>
      <t>計</t>
    </r>
    <r>
      <rPr>
        <sz val="11"/>
        <rFont val="ＭＳ Ｐゴシック"/>
        <family val="3"/>
        <charset val="128"/>
      </rPr>
      <t>1!P10,</t>
    </r>
    <r>
      <rPr>
        <sz val="11"/>
        <color rgb="FFFF0000"/>
        <rFont val="ＭＳ Ｐゴシック"/>
        <family val="3"/>
        <charset val="128"/>
      </rPr>
      <t>sum(計3!H6:H10)=0</t>
    </r>
    <r>
      <rPr>
        <sz val="11"/>
        <rFont val="ＭＳ Ｐゴシック"/>
        <family val="3"/>
        <charset val="128"/>
      </rPr>
      <t>),0,</t>
    </r>
    <r>
      <rPr>
        <sz val="11"/>
        <color rgb="FFFF0000"/>
        <rFont val="ＭＳ Ｐゴシック"/>
        <family val="3"/>
        <charset val="128"/>
      </rPr>
      <t>sum(計3!H6:H10)</t>
    </r>
    <r>
      <rPr>
        <sz val="11"/>
        <rFont val="ＭＳ Ｐゴシック"/>
        <family val="3"/>
        <charset val="128"/>
      </rPr>
      <t>),"")</t>
    </r>
    <r>
      <rPr>
        <strike/>
        <sz val="11"/>
        <color rgb="FFFF0000"/>
        <rFont val="ＭＳ Ｐゴシック"/>
        <family val="3"/>
        <charset val="128"/>
      </rPr>
      <t>,参照元!CZ14)</t>
    </r>
    <rPh sb="156" eb="157">
      <t>ケイ</t>
    </rPh>
    <phoneticPr fontId="15"/>
  </si>
  <si>
    <t>AZ7</t>
    <phoneticPr fontId="15"/>
  </si>
  <si>
    <t>第一年度目報告事業者について、原単位目標設定していない場合、報2J9が空欄とならず「0.0％」と表示されるため、設定した。</t>
    <rPh sb="0" eb="1">
      <t>ダイ</t>
    </rPh>
    <rPh sb="1" eb="4">
      <t>イチネンド</t>
    </rPh>
    <rPh sb="4" eb="5">
      <t>メ</t>
    </rPh>
    <rPh sb="5" eb="7">
      <t>ホウコク</t>
    </rPh>
    <rPh sb="7" eb="10">
      <t>ジギョウシャ</t>
    </rPh>
    <rPh sb="15" eb="18">
      <t>ゲンタンイ</t>
    </rPh>
    <rPh sb="18" eb="20">
      <t>モクヒョウ</t>
    </rPh>
    <rPh sb="20" eb="22">
      <t>セッテイ</t>
    </rPh>
    <rPh sb="27" eb="29">
      <t>バアイ</t>
    </rPh>
    <rPh sb="30" eb="31">
      <t>ホウ</t>
    </rPh>
    <rPh sb="35" eb="37">
      <t>クウラン</t>
    </rPh>
    <rPh sb="48" eb="50">
      <t>ヒョウジ</t>
    </rPh>
    <rPh sb="56" eb="58">
      <t>セッテイ</t>
    </rPh>
    <phoneticPr fontId="15"/>
  </si>
  <si>
    <r>
      <t>=VLOOKUP($B$24,昨年度計画書!$A:$BK,COLUMN(昨年度計画書!AV223)-COLUMN(昨年度計画書!$A$1)+1,FALSE)
↓
=</t>
    </r>
    <r>
      <rPr>
        <sz val="11"/>
        <color rgb="FFFF0000"/>
        <rFont val="ＭＳ Ｐゴシック"/>
        <family val="3"/>
        <charset val="128"/>
      </rPr>
      <t>IF(AY7&lt;&gt;"",</t>
    </r>
    <r>
      <rPr>
        <sz val="11"/>
        <rFont val="ＭＳ Ｐゴシック"/>
        <family val="3"/>
        <charset val="128"/>
      </rPr>
      <t>VLOOKUP($B$24,昨年度計画書!$A:$BK,COLUMN(昨年度計画書!AV223)-COLUMN(昨年度計画書!$A$1)+1,FALSE)</t>
    </r>
    <r>
      <rPr>
        <sz val="11"/>
        <color rgb="FFFF0000"/>
        <rFont val="ＭＳ Ｐゴシック"/>
        <family val="3"/>
        <charset val="128"/>
      </rPr>
      <t>,"")</t>
    </r>
    <phoneticPr fontId="15"/>
  </si>
  <si>
    <t>B6:S10</t>
    <phoneticPr fontId="15"/>
  </si>
  <si>
    <t>報告書において、クレジットが報告されている場合は、反映されるよう緑セルに変更。</t>
    <rPh sb="0" eb="3">
      <t>ホウコクショ</t>
    </rPh>
    <rPh sb="14" eb="16">
      <t>ホウコク</t>
    </rPh>
    <rPh sb="21" eb="23">
      <t>バアイ</t>
    </rPh>
    <rPh sb="25" eb="27">
      <t>ハンエイ</t>
    </rPh>
    <rPh sb="32" eb="33">
      <t>ミドリ</t>
    </rPh>
    <rPh sb="36" eb="38">
      <t>ヘンコウ</t>
    </rPh>
    <phoneticPr fontId="15"/>
  </si>
  <si>
    <t>日信サファイア株式会社</t>
    <phoneticPr fontId="15"/>
  </si>
  <si>
    <t>以下はNS環境さんが修正実施</t>
    <rPh sb="0" eb="2">
      <t>イカ</t>
    </rPh>
    <rPh sb="5" eb="7">
      <t>カンキョウ</t>
    </rPh>
    <rPh sb="10" eb="14">
      <t>シュウセイジッシ</t>
    </rPh>
    <phoneticPr fontId="15"/>
  </si>
  <si>
    <t>以下は野呂が修正実施</t>
    <rPh sb="0" eb="2">
      <t>イカ</t>
    </rPh>
    <rPh sb="3" eb="5">
      <t>ノロ</t>
    </rPh>
    <rPh sb="6" eb="10">
      <t>シュウセイジッシ</t>
    </rPh>
    <phoneticPr fontId="15"/>
  </si>
  <si>
    <t>2024/3/19
r01</t>
    <phoneticPr fontId="15"/>
  </si>
  <si>
    <t>昨年度計画書
昨年度報告書</t>
    <rPh sb="0" eb="3">
      <t>サクネンド</t>
    </rPh>
    <rPh sb="3" eb="6">
      <t>ケイカクショ</t>
    </rPh>
    <rPh sb="7" eb="10">
      <t>サクネンド</t>
    </rPh>
    <rPh sb="10" eb="13">
      <t>ホウコクショ</t>
    </rPh>
    <phoneticPr fontId="15"/>
  </si>
  <si>
    <t>2行目以下の全セル</t>
    <rPh sb="1" eb="3">
      <t>ギョウメ</t>
    </rPh>
    <rPh sb="3" eb="5">
      <t>イカ</t>
    </rPh>
    <rPh sb="6" eb="7">
      <t>ゼン</t>
    </rPh>
    <phoneticPr fontId="15"/>
  </si>
  <si>
    <t>2024/3/26
ｒ01</t>
    <phoneticPr fontId="15"/>
  </si>
  <si>
    <t>M14:N329</t>
    <phoneticPr fontId="15"/>
  </si>
  <si>
    <t xml:space="preserve">   ※昨年度報告の事業者名称が
      表示されます。</t>
    <rPh sb="4" eb="7">
      <t>サクネンド</t>
    </rPh>
    <rPh sb="7" eb="9">
      <t>ホウコク</t>
    </rPh>
    <rPh sb="10" eb="15">
      <t>ジギョウシャメイショウ</t>
    </rPh>
    <rPh sb="23" eb="25">
      <t>ヒョウジ</t>
    </rPh>
    <phoneticPr fontId="15"/>
  </si>
  <si>
    <t>過去データ修正有無</t>
    <rPh sb="0" eb="2">
      <t>カコ</t>
    </rPh>
    <rPh sb="5" eb="7">
      <t>シュウセイ</t>
    </rPh>
    <rPh sb="7" eb="9">
      <t>ウム</t>
    </rPh>
    <phoneticPr fontId="15"/>
  </si>
  <si>
    <t>※昨年度報告に修正がある場合には、記　
　 入を進めず、まず、市にご連絡下さい。</t>
    <rPh sb="1" eb="6">
      <t>サクネンドホウコク</t>
    </rPh>
    <rPh sb="7" eb="9">
      <t>シュウセイ</t>
    </rPh>
    <rPh sb="12" eb="14">
      <t>バアイ</t>
    </rPh>
    <rPh sb="17" eb="18">
      <t>キ</t>
    </rPh>
    <rPh sb="22" eb="23">
      <t>ハイ</t>
    </rPh>
    <rPh sb="24" eb="25">
      <t>スス</t>
    </rPh>
    <rPh sb="31" eb="32">
      <t>シ</t>
    </rPh>
    <rPh sb="34" eb="36">
      <t>レンラク</t>
    </rPh>
    <rPh sb="36" eb="37">
      <t>クダ</t>
    </rPh>
    <phoneticPr fontId="15"/>
  </si>
  <si>
    <t>　・あらかじめ割り振られた事業者IDの下３桁を入力してください。
   （入力することで、昨年度に提出頂いたデータが記入様式に反映され、入力項目が削減します。）</t>
    <rPh sb="21" eb="22">
      <t>ケタ</t>
    </rPh>
    <rPh sb="37" eb="39">
      <t>ニュウリョク</t>
    </rPh>
    <rPh sb="45" eb="48">
      <t>サクネンド</t>
    </rPh>
    <rPh sb="49" eb="51">
      <t>テイシュツ</t>
    </rPh>
    <rPh sb="51" eb="52">
      <t>イタダ</t>
    </rPh>
    <rPh sb="58" eb="60">
      <t>キニュウ</t>
    </rPh>
    <rPh sb="60" eb="62">
      <t>ヨウシキ</t>
    </rPh>
    <rPh sb="63" eb="65">
      <t>ハンエイ</t>
    </rPh>
    <rPh sb="68" eb="70">
      <t>ニュウリョク</t>
    </rPh>
    <rPh sb="70" eb="72">
      <t>コウモク</t>
    </rPh>
    <rPh sb="73" eb="75">
      <t>サクゲン</t>
    </rPh>
    <phoneticPr fontId="15"/>
  </si>
  <si>
    <t>事業者ID下３桁がご不明の場合、下記リストでご確認願います。</t>
    <rPh sb="0" eb="3">
      <t>ジギョウシャ</t>
    </rPh>
    <rPh sb="5" eb="6">
      <t>シモ</t>
    </rPh>
    <rPh sb="7" eb="8">
      <t>ケタ</t>
    </rPh>
    <rPh sb="10" eb="12">
      <t>フメイ</t>
    </rPh>
    <rPh sb="13" eb="15">
      <t>バアイ</t>
    </rPh>
    <rPh sb="16" eb="18">
      <t>カキ</t>
    </rPh>
    <rPh sb="23" eb="25">
      <t>カクニン</t>
    </rPh>
    <rPh sb="25" eb="26">
      <t>ネガ</t>
    </rPh>
    <phoneticPr fontId="15"/>
  </si>
  <si>
    <t>IDの下３桁</t>
    <rPh sb="3" eb="4">
      <t>シモ</t>
    </rPh>
    <rPh sb="5" eb="6">
      <t>ケタ</t>
    </rPh>
    <phoneticPr fontId="15"/>
  </si>
  <si>
    <t>提出事業者</t>
    <rPh sb="0" eb="2">
      <t>テイシュツ</t>
    </rPh>
    <rPh sb="2" eb="5">
      <t>ジギョウシャ</t>
    </rPh>
    <phoneticPr fontId="15"/>
  </si>
  <si>
    <t>034</t>
    <phoneticPr fontId="15"/>
  </si>
  <si>
    <t>京浜ハイヤー株式会社</t>
    <phoneticPr fontId="15"/>
  </si>
  <si>
    <t>株式会社レゾナック</t>
    <phoneticPr fontId="15"/>
  </si>
  <si>
    <t>エヌ・ティ・ティ・コミュニケーションズ株式会社</t>
    <phoneticPr fontId="15"/>
  </si>
  <si>
    <t>株式会社関電</t>
    <phoneticPr fontId="15"/>
  </si>
  <si>
    <t>富士フイルムビジネスイノベーションジャパン株式会社</t>
    <phoneticPr fontId="15"/>
  </si>
  <si>
    <t>株式会社横浜グランドインターコンチネンタルホテル</t>
    <phoneticPr fontId="15"/>
  </si>
  <si>
    <t>295</t>
  </si>
  <si>
    <t>株式会社インターネットイニシアティブ</t>
    <phoneticPr fontId="15"/>
  </si>
  <si>
    <t>日本ケンタッキー・フライド・チキン株式会社</t>
    <phoneticPr fontId="15"/>
  </si>
  <si>
    <t>富士フイルムビジネスイノベーション株式会社</t>
    <phoneticPr fontId="15"/>
  </si>
  <si>
    <t>アジア５合同会社</t>
    <phoneticPr fontId="15"/>
  </si>
  <si>
    <t>シーエムエーシージーエムジャパン　株式会社</t>
    <phoneticPr fontId="15"/>
  </si>
  <si>
    <t>山村フォトニクス株式会社</t>
    <phoneticPr fontId="15"/>
  </si>
  <si>
    <t>住友電工デバイス・イノベーション株式会社</t>
    <phoneticPr fontId="15"/>
  </si>
  <si>
    <t>パナソニック オートモーティブシステムズ株式会社</t>
    <phoneticPr fontId="15"/>
  </si>
  <si>
    <t>ピーピーエフエー・ジャパン・シックス特定目的会社</t>
    <phoneticPr fontId="15"/>
  </si>
  <si>
    <t>431</t>
  </si>
  <si>
    <t>株式会社横浜ステーシヨンビル</t>
    <phoneticPr fontId="15"/>
  </si>
  <si>
    <t>事業者IDの下3桁のリストを表示した。
25行目～36行目の非表示セルを外してリストを作成。</t>
    <rPh sb="0" eb="3">
      <t>ジギョウシャ</t>
    </rPh>
    <rPh sb="6" eb="7">
      <t>シモ</t>
    </rPh>
    <rPh sb="8" eb="9">
      <t>ケタ</t>
    </rPh>
    <rPh sb="14" eb="16">
      <t>ヒョウジ</t>
    </rPh>
    <rPh sb="22" eb="24">
      <t>ギョウメ</t>
    </rPh>
    <rPh sb="27" eb="29">
      <t>ギョウメ</t>
    </rPh>
    <rPh sb="30" eb="33">
      <t>ヒヒョウジ</t>
    </rPh>
    <rPh sb="36" eb="37">
      <t>ハズ</t>
    </rPh>
    <rPh sb="43" eb="45">
      <t>サクセイ</t>
    </rPh>
    <phoneticPr fontId="15"/>
  </si>
  <si>
    <t>2023年度</t>
    <rPh sb="4" eb="6">
      <t>ネンド</t>
    </rPh>
    <phoneticPr fontId="15"/>
  </si>
  <si>
    <t>2022年度</t>
    <rPh sb="4" eb="6">
      <t>ネンド</t>
    </rPh>
    <phoneticPr fontId="15"/>
  </si>
  <si>
    <t>2021年度</t>
    <rPh sb="4" eb="6">
      <t>ネンド</t>
    </rPh>
    <phoneticPr fontId="15"/>
  </si>
  <si>
    <t>〃</t>
    <phoneticPr fontId="15"/>
  </si>
  <si>
    <t>C10：C97</t>
    <phoneticPr fontId="15"/>
  </si>
  <si>
    <t>報C列（導入/稼働年度）は年度をプルダウンで選択できるようにする。
3年目報告事業者の計画年度（2021、2022、2023年度を選択肢とする）</t>
    <rPh sb="0" eb="1">
      <t>ホウ</t>
    </rPh>
    <rPh sb="2" eb="3">
      <t>レツ</t>
    </rPh>
    <rPh sb="13" eb="15">
      <t>ネンド</t>
    </rPh>
    <rPh sb="22" eb="24">
      <t>センタク</t>
    </rPh>
    <rPh sb="35" eb="37">
      <t>ネンメ</t>
    </rPh>
    <rPh sb="37" eb="39">
      <t>ホウコク</t>
    </rPh>
    <rPh sb="39" eb="42">
      <t>ジギョウシャ</t>
    </rPh>
    <rPh sb="43" eb="47">
      <t>ケイカクネンド</t>
    </rPh>
    <rPh sb="62" eb="64">
      <t>ネンド</t>
    </rPh>
    <rPh sb="65" eb="68">
      <t>センタクシ</t>
    </rPh>
    <phoneticPr fontId="15"/>
  </si>
  <si>
    <t>集計_報告個別</t>
    <phoneticPr fontId="15"/>
  </si>
  <si>
    <t>O6</t>
    <phoneticPr fontId="15"/>
  </si>
  <si>
    <t>集計_計画個別</t>
    <rPh sb="3" eb="5">
      <t>ケイカク</t>
    </rPh>
    <phoneticPr fontId="15"/>
  </si>
  <si>
    <t>事業者の状況変更</t>
    <rPh sb="0" eb="3">
      <t>ジギョウシャ</t>
    </rPh>
    <rPh sb="4" eb="6">
      <t>ジョウキョウ</t>
    </rPh>
    <rPh sb="6" eb="8">
      <t>ヘンコウ</t>
    </rPh>
    <phoneticPr fontId="15"/>
  </si>
  <si>
    <t>変更ありません</t>
    <rPh sb="0" eb="2">
      <t>ヘンコウ</t>
    </rPh>
    <phoneticPr fontId="15"/>
  </si>
  <si>
    <t>横浜市内から撤退しました</t>
    <rPh sb="0" eb="4">
      <t>ヨコハマシナイ</t>
    </rPh>
    <rPh sb="6" eb="8">
      <t>テッタイ</t>
    </rPh>
    <phoneticPr fontId="15"/>
  </si>
  <si>
    <t>旧事業者は消滅しました</t>
    <rPh sb="0" eb="1">
      <t>キュウ</t>
    </rPh>
    <rPh sb="1" eb="4">
      <t>ジギョウシャ</t>
    </rPh>
    <rPh sb="5" eb="7">
      <t>ショウメツ</t>
    </rPh>
    <phoneticPr fontId="15"/>
  </si>
  <si>
    <t>作業を中断し、市に連絡願います。</t>
    <rPh sb="0" eb="2">
      <t>サギョウ</t>
    </rPh>
    <rPh sb="3" eb="5">
      <t>チュウダン</t>
    </rPh>
    <rPh sb="7" eb="8">
      <t>シ</t>
    </rPh>
    <rPh sb="9" eb="12">
      <t>レンラクネガ</t>
    </rPh>
    <phoneticPr fontId="15"/>
  </si>
  <si>
    <t>A12,B12</t>
    <phoneticPr fontId="15"/>
  </si>
  <si>
    <t>事業者の状況変更の選択セルを作成し、名称等に変更がある場合　入力欄に記入してもらいその結果が報告書に反映されるようにした。</t>
    <rPh sb="9" eb="11">
      <t>センタク</t>
    </rPh>
    <rPh sb="14" eb="16">
      <t>サクセイ</t>
    </rPh>
    <rPh sb="18" eb="21">
      <t>メイショウトウ</t>
    </rPh>
    <rPh sb="22" eb="24">
      <t>ヘンコウ</t>
    </rPh>
    <rPh sb="27" eb="29">
      <t>バアイ</t>
    </rPh>
    <rPh sb="30" eb="33">
      <t>ニュウリョクラン</t>
    </rPh>
    <rPh sb="34" eb="36">
      <t>キニュウ</t>
    </rPh>
    <rPh sb="43" eb="45">
      <t>ケッカ</t>
    </rPh>
    <rPh sb="46" eb="49">
      <t>ホウコクショ</t>
    </rPh>
    <rPh sb="50" eb="52">
      <t>ハンエイ</t>
    </rPh>
    <phoneticPr fontId="15"/>
  </si>
  <si>
    <t>事業者名</t>
    <phoneticPr fontId="15"/>
  </si>
  <si>
    <t>日信サファイア株式会社</t>
    <phoneticPr fontId="88"/>
  </si>
  <si>
    <t>法人名　日信サファイア株式会社</t>
  </si>
  <si>
    <t>代表取締役　宮崎　和人</t>
    <phoneticPr fontId="88"/>
  </si>
  <si>
    <t>株式会社横浜ステーシヨンビル　</t>
  </si>
  <si>
    <t>神奈川県横浜市西区南幸一丁目1番1号</t>
  </si>
  <si>
    <t>株式会社横浜ステーシヨンビル</t>
  </si>
  <si>
    <t>代表取締役社長　栗田　勝</t>
  </si>
  <si>
    <t>神奈川県横浜市中区本町二丁目22番地　京阪横浜ビル8F</t>
  </si>
  <si>
    <t>JR東日本グループでは、2050年度のCO2排出量「実質ゼロ」を長期的な環境目標とした「ゼロカーボンチャレンジ2050」を掲げており、2030年度までのグループ全体のCO2排出量削減目標を2013年度比▲50%に設定、脱炭素社会への貢献を目指している。弊社では、温室効果ガス排出抑制対策として、省エネルギーの推進、環境負荷に配慮した機器への更新を進めていく。</t>
  </si>
  <si>
    <t>株式会社横浜ステーシヨンビル本社</t>
  </si>
  <si>
    <t>設備機器の運用改善と照明器具のLED化による省エネの推進と、更新時期となる設備に対しては、計画的にエネルギー消費効率の高い機器に更新すること等により、基礎排出量ベースで、コロナ禍の影響があった基準年度（2022年度）に対し、1%削減するという目標を設定した。</t>
  </si>
  <si>
    <t>034</t>
  </si>
  <si>
    <t>京浜ハイヤー株式会社</t>
  </si>
  <si>
    <t>横浜市港南区最戸１丁目８番５号</t>
  </si>
  <si>
    <t>代表取締役　　岩浦　泰二</t>
  </si>
  <si>
    <t>代表取締役　岩浦　泰二</t>
  </si>
  <si>
    <t>京浜ハイヤー株式会社　上大岡本社営業所</t>
  </si>
  <si>
    <t>９：００　～　１５：００</t>
  </si>
  <si>
    <t>あり</t>
    <phoneticPr fontId="88"/>
  </si>
  <si>
    <t>ほぼ変動無し</t>
    <phoneticPr fontId="88"/>
  </si>
  <si>
    <t>金港交通株式会社</t>
    <phoneticPr fontId="88"/>
  </si>
  <si>
    <t>新型コロナ第5類移行に伴い活動量が増加したため</t>
  </si>
  <si>
    <t>株式会社インターネットイニシアティブ</t>
  </si>
  <si>
    <t>東京都千代田区富士見二丁目10番2号</t>
  </si>
  <si>
    <t>代表取締役社長　勝　栄二郎</t>
  </si>
  <si>
    <t>東京都千代田区富士見2－10－2</t>
  </si>
  <si>
    <t>本社　事業基盤システム部　オフィスファシリティ課窓口</t>
  </si>
  <si>
    <t>営業時間（平日9時　～　17時30分）</t>
  </si>
  <si>
    <t>最新である「01_提出ファイル・情報処理ツール_R05_2024.03.18.xlsm」の「計画書」と「報告書」のデータをコピーし過年度情報の最新化を実施。
情報処理ツールの「計画書」と「報告書」のG列は「事業者名称」であるが、これに対応する「昨年度計画書」のF列には「事業者ID」が収まっている。ここは事業者名称にかえても「参照元」に悪影響は出ないので、そのように修正する。
公開に向け、Ver番号をr01へリセットする。</t>
    <rPh sb="0" eb="2">
      <t>サイシン</t>
    </rPh>
    <rPh sb="46" eb="49">
      <t>ケイカクショ</t>
    </rPh>
    <rPh sb="52" eb="55">
      <t>ホウコクショ</t>
    </rPh>
    <rPh sb="65" eb="68">
      <t>カネンド</t>
    </rPh>
    <rPh sb="68" eb="70">
      <t>ジョウホウ</t>
    </rPh>
    <rPh sb="71" eb="74">
      <t>サイシンカ</t>
    </rPh>
    <rPh sb="75" eb="77">
      <t>ジッシ</t>
    </rPh>
    <rPh sb="100" eb="101">
      <t>レツ</t>
    </rPh>
    <rPh sb="103" eb="106">
      <t>ジギョウシャ</t>
    </rPh>
    <rPh sb="106" eb="108">
      <t>メイショウ</t>
    </rPh>
    <rPh sb="117" eb="119">
      <t>タイオウ</t>
    </rPh>
    <rPh sb="122" eb="125">
      <t>サクネンド</t>
    </rPh>
    <rPh sb="125" eb="128">
      <t>ケイカクショ</t>
    </rPh>
    <rPh sb="131" eb="132">
      <t>レツ</t>
    </rPh>
    <rPh sb="135" eb="138">
      <t>ジギョウシャ</t>
    </rPh>
    <rPh sb="142" eb="143">
      <t>オサ</t>
    </rPh>
    <rPh sb="152" eb="155">
      <t>ジギョウシャ</t>
    </rPh>
    <rPh sb="155" eb="157">
      <t>メイショウ</t>
    </rPh>
    <rPh sb="163" eb="166">
      <t>サンショウモト</t>
    </rPh>
    <rPh sb="168" eb="171">
      <t>アクエイキョウ</t>
    </rPh>
    <rPh sb="172" eb="173">
      <t>デ</t>
    </rPh>
    <rPh sb="183" eb="185">
      <t>シュウセイ</t>
    </rPh>
    <rPh sb="189" eb="191">
      <t>コウカイ</t>
    </rPh>
    <rPh sb="192" eb="193">
      <t>ム</t>
    </rPh>
    <rPh sb="198" eb="200">
      <t>バンゴウ</t>
    </rPh>
    <phoneticPr fontId="15"/>
  </si>
  <si>
    <t>個別票1で1/1事業者の場合、基礎排出量が非表示となり、集計表へ取り込まれない不具合
の解消を図る。事業所No.1のみ報告書個別票でなく参照元個別シートのE5の値を取得する。
    ↓
O6=報7!$C$15  →  O6=参照元個別!E5</t>
    <rPh sb="0" eb="3">
      <t>コベツヒョウ</t>
    </rPh>
    <rPh sb="8" eb="11">
      <t>ジギョウシャ</t>
    </rPh>
    <rPh sb="12" eb="14">
      <t>バアイ</t>
    </rPh>
    <rPh sb="15" eb="17">
      <t>キソ</t>
    </rPh>
    <rPh sb="17" eb="20">
      <t>ハイシュツリョウ</t>
    </rPh>
    <rPh sb="21" eb="22">
      <t>ヒ</t>
    </rPh>
    <rPh sb="22" eb="24">
      <t>ヒョウジ</t>
    </rPh>
    <rPh sb="28" eb="31">
      <t>シュウケイヒョウ</t>
    </rPh>
    <rPh sb="32" eb="33">
      <t>ト</t>
    </rPh>
    <rPh sb="34" eb="35">
      <t>コ</t>
    </rPh>
    <rPh sb="39" eb="42">
      <t>フグアイ</t>
    </rPh>
    <rPh sb="44" eb="46">
      <t>カイショウ</t>
    </rPh>
    <rPh sb="47" eb="48">
      <t>ハカ</t>
    </rPh>
    <rPh sb="50" eb="53">
      <t>ジギョウショ</t>
    </rPh>
    <rPh sb="59" eb="62">
      <t>ホウコクショ</t>
    </rPh>
    <rPh sb="68" eb="71">
      <t>サンショウモト</t>
    </rPh>
    <rPh sb="71" eb="73">
      <t>コベツ</t>
    </rPh>
    <rPh sb="80" eb="81">
      <t>アタイ</t>
    </rPh>
    <rPh sb="82" eb="84">
      <t>シュトク</t>
    </rPh>
    <phoneticPr fontId="15"/>
  </si>
  <si>
    <t>個別票1で1/1事業者の場合、基礎排出量が非表示となり、集計表へ取り込まれない不具合
の解消を図る。事業所No.1のみ計画書個別票でなく参照元個別シートのE5の値を取得する。
    ↓
O6=計5!$C$15  →  O6=参照元個別!E5</t>
    <rPh sb="0" eb="3">
      <t>コベツヒョウ</t>
    </rPh>
    <rPh sb="8" eb="11">
      <t>ジギョウシャ</t>
    </rPh>
    <rPh sb="12" eb="14">
      <t>バアイ</t>
    </rPh>
    <rPh sb="15" eb="17">
      <t>キソ</t>
    </rPh>
    <rPh sb="17" eb="20">
      <t>ハイシュツリョウ</t>
    </rPh>
    <rPh sb="21" eb="22">
      <t>ヒ</t>
    </rPh>
    <rPh sb="22" eb="24">
      <t>ヒョウジ</t>
    </rPh>
    <rPh sb="28" eb="31">
      <t>シュウケイヒョウ</t>
    </rPh>
    <rPh sb="32" eb="33">
      <t>ト</t>
    </rPh>
    <rPh sb="34" eb="35">
      <t>コ</t>
    </rPh>
    <rPh sb="39" eb="42">
      <t>フグアイ</t>
    </rPh>
    <rPh sb="44" eb="46">
      <t>カイショウ</t>
    </rPh>
    <rPh sb="47" eb="48">
      <t>ハカ</t>
    </rPh>
    <rPh sb="50" eb="53">
      <t>ジギョウショ</t>
    </rPh>
    <rPh sb="68" eb="71">
      <t>サンショウモト</t>
    </rPh>
    <rPh sb="71" eb="73">
      <t>コベツ</t>
    </rPh>
    <rPh sb="80" eb="81">
      <t>アタイ</t>
    </rPh>
    <rPh sb="82" eb="84">
      <t>シュトク</t>
    </rPh>
    <phoneticPr fontId="15"/>
  </si>
  <si>
    <t>報７
計５</t>
    <rPh sb="0" eb="1">
      <t>ホウ</t>
    </rPh>
    <rPh sb="3" eb="4">
      <t>ケイ</t>
    </rPh>
    <phoneticPr fontId="15"/>
  </si>
  <si>
    <t>D6～C992
D6～C995</t>
    <phoneticPr fontId="15"/>
  </si>
  <si>
    <r>
      <t>個別票１～個別票40まで、条件付書式設定を（セル：グレーで文字：グレーをやめ
セル：グレーで文字：自然へ）変更し、文字が入力されると誰にも見えるようにする。
　　</t>
    </r>
    <r>
      <rPr>
        <b/>
        <sz val="11"/>
        <color rgb="FFFF0000"/>
        <rFont val="ＭＳ Ｐゴシック"/>
        <family val="3"/>
        <charset val="128"/>
      </rPr>
      <t>この修正作業は2度としたくないほどのつらい作業である。</t>
    </r>
    <rPh sb="0" eb="3">
      <t>コベツヒョウ</t>
    </rPh>
    <rPh sb="5" eb="8">
      <t>コベツヒョウ</t>
    </rPh>
    <rPh sb="13" eb="16">
      <t>ジョウケンツ</t>
    </rPh>
    <rPh sb="16" eb="20">
      <t>ショシキセッテイ</t>
    </rPh>
    <rPh sb="29" eb="31">
      <t>モジ</t>
    </rPh>
    <rPh sb="49" eb="51">
      <t>シゼン</t>
    </rPh>
    <rPh sb="53" eb="55">
      <t>ヘンコウ</t>
    </rPh>
    <rPh sb="57" eb="59">
      <t>モジ</t>
    </rPh>
    <rPh sb="60" eb="62">
      <t>ニュウリョク</t>
    </rPh>
    <rPh sb="66" eb="67">
      <t>ダレ</t>
    </rPh>
    <rPh sb="69" eb="70">
      <t>ミ</t>
    </rPh>
    <rPh sb="83" eb="87">
      <t>シュウセイサギョウ</t>
    </rPh>
    <rPh sb="89" eb="90">
      <t>ド</t>
    </rPh>
    <rPh sb="102" eb="104">
      <t>サギョウ</t>
    </rPh>
    <phoneticPr fontId="15"/>
  </si>
  <si>
    <t>報３
計３</t>
    <rPh sb="0" eb="1">
      <t>ホウ</t>
    </rPh>
    <rPh sb="3" eb="4">
      <t>ケイ</t>
    </rPh>
    <phoneticPr fontId="15"/>
  </si>
  <si>
    <t>23行の枠外の注記
28行の枠外の注記</t>
    <rPh sb="2" eb="3">
      <t>ギョウ</t>
    </rPh>
    <rPh sb="4" eb="6">
      <t>ワクガイ</t>
    </rPh>
    <rPh sb="7" eb="9">
      <t>チュウキ</t>
    </rPh>
    <rPh sb="12" eb="13">
      <t>ギョウ</t>
    </rPh>
    <rPh sb="14" eb="16">
      <t>ワクガイ</t>
    </rPh>
    <rPh sb="17" eb="19">
      <t>チュウキ</t>
    </rPh>
    <phoneticPr fontId="15"/>
  </si>
  <si>
    <t>「導入台数」には、デフォルトで「０」値が入っています。
「０」値以外の場合、正味の導入台数を次式により
　（導入台数）＝｛（新規台数）＋（転入台数）｝－｛（廃止台数）＋（転出台数）｝
算出し、記入してください。</t>
    <phoneticPr fontId="15"/>
  </si>
  <si>
    <t>報７</t>
    <rPh sb="0" eb="1">
      <t>ホウ</t>
    </rPh>
    <phoneticPr fontId="15"/>
  </si>
  <si>
    <t>C15</t>
    <phoneticPr fontId="15"/>
  </si>
  <si>
    <t>条件付書式設定を（セル：グレーで文字：グレーをやめ セル：グレーで文字：自然へ）変更したつもりでいたが、条件が3つあるうちの最後の１つが未修正だった。西山さんの指摘で不具合判明。修正しバージョンを上げた。</t>
    <rPh sb="52" eb="54">
      <t>ジョウケン</t>
    </rPh>
    <rPh sb="62" eb="64">
      <t>サイゴ</t>
    </rPh>
    <rPh sb="68" eb="71">
      <t>ミシュウセイ</t>
    </rPh>
    <rPh sb="75" eb="77">
      <t>ニシヤマ</t>
    </rPh>
    <rPh sb="80" eb="82">
      <t>シテキ</t>
    </rPh>
    <rPh sb="83" eb="88">
      <t>フグアイハンメイ</t>
    </rPh>
    <rPh sb="89" eb="91">
      <t>シュウセイ</t>
    </rPh>
    <rPh sb="98" eb="99">
      <t>ア</t>
    </rPh>
    <phoneticPr fontId="15"/>
  </si>
  <si>
    <t>2024/4/15
r02</t>
    <phoneticPr fontId="15"/>
  </si>
  <si>
    <t>-</t>
    <phoneticPr fontId="15"/>
  </si>
  <si>
    <t>事業所分類</t>
    <rPh sb="0" eb="3">
      <t>ジギョウショ</t>
    </rPh>
    <rPh sb="3" eb="5">
      <t>ブンルイ</t>
    </rPh>
    <phoneticPr fontId="88"/>
  </si>
  <si>
    <t>集計用</t>
    <rPh sb="0" eb="3">
      <t>シュウケイヨウ</t>
    </rPh>
    <phoneticPr fontId="88"/>
  </si>
  <si>
    <t>2024/4/30
r03</t>
    <phoneticPr fontId="15"/>
  </si>
  <si>
    <t>係内で実施したデバッグ作業で確認された不具合を修正。
内容については「バグ記入用ファイル.xlsx」に記載済み。4/30に係内で説明実施。
ここで ｒ02 → r03へとバージョンをアップ。</t>
    <rPh sb="0" eb="2">
      <t>カカリナイ</t>
    </rPh>
    <rPh sb="3" eb="5">
      <t>ジッシ</t>
    </rPh>
    <rPh sb="11" eb="13">
      <t>サギョウ</t>
    </rPh>
    <rPh sb="14" eb="16">
      <t>カクニン</t>
    </rPh>
    <rPh sb="19" eb="22">
      <t>フグアイ</t>
    </rPh>
    <rPh sb="23" eb="25">
      <t>シュウセイ</t>
    </rPh>
    <rPh sb="27" eb="29">
      <t>ナイヨウ</t>
    </rPh>
    <rPh sb="51" eb="53">
      <t>キサイ</t>
    </rPh>
    <rPh sb="53" eb="54">
      <t>ス</t>
    </rPh>
    <rPh sb="61" eb="63">
      <t>カカリナイ</t>
    </rPh>
    <rPh sb="64" eb="68">
      <t>セツメイジッシ</t>
    </rPh>
    <phoneticPr fontId="15"/>
  </si>
  <si>
    <t>集計_報告個別
集計_計画個別</t>
    <rPh sb="0" eb="2">
      <t>シュウケイ</t>
    </rPh>
    <rPh sb="3" eb="5">
      <t>ホウコク</t>
    </rPh>
    <rPh sb="5" eb="7">
      <t>コベツ</t>
    </rPh>
    <rPh sb="8" eb="10">
      <t>シュウケイ</t>
    </rPh>
    <rPh sb="11" eb="13">
      <t>ケイカク</t>
    </rPh>
    <rPh sb="13" eb="15">
      <t>コベツ</t>
    </rPh>
    <phoneticPr fontId="15"/>
  </si>
  <si>
    <t>最右側列</t>
    <rPh sb="0" eb="1">
      <t>サイ</t>
    </rPh>
    <rPh sb="1" eb="3">
      <t>ミギガワ</t>
    </rPh>
    <rPh sb="3" eb="4">
      <t>レツ</t>
    </rPh>
    <phoneticPr fontId="15"/>
  </si>
  <si>
    <t>事業所分類を個別票から拾うセルを各40個作成。</t>
    <rPh sb="0" eb="5">
      <t>ジギョウショブンルイ</t>
    </rPh>
    <rPh sb="6" eb="9">
      <t>コベツヒョウ</t>
    </rPh>
    <rPh sb="11" eb="12">
      <t>ヒロ</t>
    </rPh>
    <rPh sb="16" eb="17">
      <t>カク</t>
    </rPh>
    <rPh sb="19" eb="20">
      <t>コ</t>
    </rPh>
    <rPh sb="20" eb="22">
      <t>サクセイ</t>
    </rPh>
    <phoneticPr fontId="15"/>
  </si>
  <si>
    <t>学校法人桐蔭学園</t>
    <phoneticPr fontId="15"/>
  </si>
  <si>
    <t>計1、計５</t>
    <phoneticPr fontId="15"/>
  </si>
  <si>
    <t>2024/5/7
r03</t>
    <phoneticPr fontId="15"/>
  </si>
  <si>
    <t>[ファイル]→[オプション]→[詳細設定]を開き　[次のシートで作業するときの表示設定]で、
対象シートを選び、[ゼロ値のセルにゼロを表示する]のチェックボックスをオフにする。
これで、シート内の参照式の入ったセルの0値表示が消える。　バージョンはr03のまま。</t>
    <rPh sb="16" eb="20">
      <t>ショウサイセッテイ</t>
    </rPh>
    <rPh sb="22" eb="23">
      <t>ヒラ</t>
    </rPh>
    <rPh sb="26" eb="27">
      <t>ツギ</t>
    </rPh>
    <rPh sb="32" eb="34">
      <t>サギョウ</t>
    </rPh>
    <rPh sb="39" eb="41">
      <t>ヒョウジ</t>
    </rPh>
    <rPh sb="41" eb="43">
      <t>セッテイ</t>
    </rPh>
    <rPh sb="47" eb="49">
      <t>タイショウ</t>
    </rPh>
    <rPh sb="53" eb="54">
      <t>エラ</t>
    </rPh>
    <rPh sb="59" eb="60">
      <t>チ</t>
    </rPh>
    <rPh sb="67" eb="69">
      <t>ヒョウジ</t>
    </rPh>
    <rPh sb="96" eb="97">
      <t>ナイ</t>
    </rPh>
    <rPh sb="98" eb="101">
      <t>サンショウシキ</t>
    </rPh>
    <rPh sb="102" eb="103">
      <t>ハイ</t>
    </rPh>
    <rPh sb="109" eb="110">
      <t>チ</t>
    </rPh>
    <rPh sb="110" eb="112">
      <t>ヒョウジ</t>
    </rPh>
    <rPh sb="113" eb="114">
      <t>キ</t>
    </rPh>
    <phoneticPr fontId="15"/>
  </si>
  <si>
    <t>セルK128～BA128</t>
    <phoneticPr fontId="15"/>
  </si>
  <si>
    <t>セルK128の参照式　=IF(はじめに!$B$36="計画書",K123,"")　内のセルB36を相対参照（B36）のまま、K→BAへオートフィルしていました。絶対参照$B$36で固定すべきでした。</t>
    <rPh sb="41" eb="42">
      <t>ナイ</t>
    </rPh>
    <phoneticPr fontId="15"/>
  </si>
  <si>
    <t>2024/5/13
r03</t>
    <phoneticPr fontId="15"/>
  </si>
  <si>
    <t>集計_計画個別</t>
    <phoneticPr fontId="15"/>
  </si>
  <si>
    <t>Z19セル</t>
    <phoneticPr fontId="15"/>
  </si>
  <si>
    <t>「=計5!P333」へ修正。</t>
    <phoneticPr fontId="15"/>
  </si>
  <si>
    <t>M8セル、M33セル</t>
    <phoneticPr fontId="15"/>
  </si>
  <si>
    <t>デフォルトを以下のようにしました。　過去データ修正有無：修正ありません
　　　　　　　　　　　　　　　　　　　　　　事業者の状況変更：変更ありません</t>
    <phoneticPr fontId="15"/>
  </si>
  <si>
    <t>セルB10、B12</t>
    <phoneticPr fontId="15"/>
  </si>
  <si>
    <t>エネルギーの集計対象となる横浜市内の事業所等の数を入力してください。</t>
    <rPh sb="6" eb="8">
      <t>シュウケイ</t>
    </rPh>
    <rPh sb="8" eb="10">
      <t>タイショウ</t>
    </rPh>
    <rPh sb="13" eb="15">
      <t>ヨコハマ</t>
    </rPh>
    <rPh sb="15" eb="17">
      <t>シナイ</t>
    </rPh>
    <rPh sb="18" eb="21">
      <t>ジギョウショ</t>
    </rPh>
    <rPh sb="21" eb="22">
      <t>トウ</t>
    </rPh>
    <rPh sb="23" eb="24">
      <t>カズ</t>
    </rPh>
    <rPh sb="25" eb="27">
      <t>ニュウリョク</t>
    </rPh>
    <phoneticPr fontId="15"/>
  </si>
  <si>
    <t>━┳
　 ↓</t>
    <phoneticPr fontId="15"/>
  </si>
  <si>
    <t>　　┣
　　↓</t>
    <phoneticPr fontId="15"/>
  </si>
  <si>
    <t>2024/5/16
r04</t>
    <phoneticPr fontId="15"/>
  </si>
  <si>
    <t>セルI18、I19、M19</t>
    <phoneticPr fontId="15"/>
  </si>
  <si>
    <t>事業所の数を件とするのはおかしいので削除
これで、デバッグをいったん終了。バージョンをr04に上げる。</t>
    <rPh sb="0" eb="3">
      <t>ジギョウショ</t>
    </rPh>
    <rPh sb="4" eb="5">
      <t>カズ</t>
    </rPh>
    <rPh sb="6" eb="7">
      <t>ケン</t>
    </rPh>
    <rPh sb="18" eb="20">
      <t>サクジョ</t>
    </rPh>
    <rPh sb="34" eb="36">
      <t>シュウリョウ</t>
    </rPh>
    <rPh sb="47" eb="48">
      <t>ア</t>
    </rPh>
    <phoneticPr fontId="15"/>
  </si>
  <si>
    <t>2024/5/16
r03</t>
    <phoneticPr fontId="15"/>
  </si>
  <si>
    <t>M8セルに「=報7!M8」、M33セルに「=報7!M33」を入力しました。M58セルをM8と、M33にコピーして修正実現。その後M8セル、M33セルの条件付き書式設定を修正。</t>
    <rPh sb="56" eb="60">
      <t>シュウセイジツゲン</t>
    </rPh>
    <rPh sb="63" eb="64">
      <t>ゴ</t>
    </rPh>
    <rPh sb="75" eb="78">
      <t>ジョウケンツ</t>
    </rPh>
    <rPh sb="79" eb="81">
      <t>ショシキ</t>
    </rPh>
    <rPh sb="81" eb="83">
      <t>セッテイ</t>
    </rPh>
    <rPh sb="84" eb="86">
      <t>シュウセイ</t>
    </rPh>
    <phoneticPr fontId="15"/>
  </si>
  <si>
    <t>セルC15、C40～C990
の40か所</t>
    <rPh sb="19" eb="20">
      <t>ショ</t>
    </rPh>
    <phoneticPr fontId="15"/>
  </si>
  <si>
    <t>=AND($H$8&lt;1500,$R$21&lt;&gt;1)の条件でセルをグレーとする設定があり。　これを外した。</t>
    <rPh sb="25" eb="27">
      <t>ジョウケン</t>
    </rPh>
    <rPh sb="37" eb="39">
      <t>セッテイ</t>
    </rPh>
    <rPh sb="47" eb="48">
      <t>ハズ</t>
    </rPh>
    <phoneticPr fontId="15"/>
  </si>
  <si>
    <t>上記作業中、個別票2～40では報告書の同じ位置のセルを参照する式「=報7!C40」が入っていた。個別票1の同式「=IF(計1!$L$23=1,"",参照元個別!E5)」のように参照元個別シートを参照するほうが、新規の場合にも有効であり　そのように変更した。</t>
    <rPh sb="0" eb="1">
      <t>ジョウキ</t>
    </rPh>
    <rPh sb="1" eb="4">
      <t>サギョウチュウ</t>
    </rPh>
    <rPh sb="5" eb="8">
      <t>コベツヒョウ</t>
    </rPh>
    <rPh sb="14" eb="17">
      <t>ホウコクショ</t>
    </rPh>
    <rPh sb="18" eb="19">
      <t>オナ</t>
    </rPh>
    <rPh sb="20" eb="22">
      <t>イチ</t>
    </rPh>
    <rPh sb="26" eb="28">
      <t>サンショウ</t>
    </rPh>
    <rPh sb="30" eb="31">
      <t>シキ</t>
    </rPh>
    <rPh sb="41" eb="42">
      <t>ハイ</t>
    </rPh>
    <rPh sb="47" eb="50">
      <t>コベツヒョウ</t>
    </rPh>
    <rPh sb="52" eb="54">
      <t>ドウシキ</t>
    </rPh>
    <rPh sb="88" eb="91">
      <t>サンショウモト</t>
    </rPh>
    <rPh sb="91" eb="93">
      <t>コベツ</t>
    </rPh>
    <rPh sb="97" eb="99">
      <t>サンショウ</t>
    </rPh>
    <rPh sb="105" eb="107">
      <t>シンキ</t>
    </rPh>
    <rPh sb="108" eb="110">
      <t>バアイ</t>
    </rPh>
    <rPh sb="112" eb="114">
      <t>ユウコウ</t>
    </rPh>
    <rPh sb="123" eb="125">
      <t>ヘンコウ</t>
    </rPh>
    <phoneticPr fontId="15"/>
  </si>
  <si>
    <t>セルC40～C990
の39か所</t>
    <rPh sb="15" eb="16">
      <t>ショ</t>
    </rPh>
    <phoneticPr fontId="15"/>
  </si>
  <si>
    <t>事業者名称等に変更がありました</t>
    <rPh sb="0" eb="3">
      <t>ジギョウシャ</t>
    </rPh>
    <rPh sb="3" eb="5">
      <t>メイショウ</t>
    </rPh>
    <rPh sb="5" eb="6">
      <t>トウ</t>
    </rPh>
    <rPh sb="7" eb="9">
      <t>ヘンコウ</t>
    </rPh>
    <phoneticPr fontId="15"/>
  </si>
  <si>
    <t>2024/5/30
r05</t>
    <phoneticPr fontId="15"/>
  </si>
  <si>
    <t>B12
A14:H16</t>
    <phoneticPr fontId="15"/>
  </si>
  <si>
    <t>B12の選択肢を「事業者名称を変更しました」から「事業者名称等に変更がありました」に変更
事業者名称等に変更がありましたが選択されたら、旧事業者名称等を表示させ、変更部分のみを上書き修正するよう変更した。セルも黄色から緑色に変更。R05へアップする。</t>
    <rPh sb="4" eb="7">
      <t>センタクシ</t>
    </rPh>
    <rPh sb="42" eb="44">
      <t>ヘンコウ</t>
    </rPh>
    <rPh sb="61" eb="63">
      <t>センタク</t>
    </rPh>
    <rPh sb="68" eb="69">
      <t>キュウ</t>
    </rPh>
    <rPh sb="69" eb="74">
      <t>ジギョウシャメイショウ</t>
    </rPh>
    <rPh sb="74" eb="75">
      <t>トウ</t>
    </rPh>
    <phoneticPr fontId="15"/>
  </si>
  <si>
    <t>※</t>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</si>
</sst>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6" formatCode="&quot;¥&quot;#,##0;[Red]&quot;¥&quot;\-#,##0"/>
    <numFmt numFmtId="176" formatCode="&quot;¥&quot;#,##0_);[Red]\(&quot;¥&quot;#,##0\)"/>
    <numFmt numFmtId="177" formatCode="#,##0.00_ "/>
    <numFmt numFmtId="178" formatCode="0.0_ "/>
    <numFmt numFmtId="179" formatCode="#,##0_ "/>
    <numFmt numFmtId="180" formatCode="0.0000_ "/>
    <numFmt numFmtId="181" formatCode="0.000_ "/>
    <numFmt numFmtId="182" formatCode="0.00_ "/>
    <numFmt numFmtId="183" formatCode="#,##0.0_ "/>
    <numFmt numFmtId="184" formatCode="0.0;&quot;▲ &quot;0.0"/>
    <numFmt numFmtId="185" formatCode="00"/>
    <numFmt numFmtId="186" formatCode="yyyy&quot;年　&quot;m&quot;月　&quot;d&quot;日&quot;;@"/>
    <numFmt numFmtId="187" formatCode="&quot;( &quot;General&quot; 年度 )&quot;"/>
    <numFmt numFmtId="188" formatCode="#,##0.000_ "/>
    <numFmt numFmtId="189" formatCode="####&quot;年&quot;"/>
    <numFmt numFmtId="190" formatCode="[$-411]ggge&quot;年&quot;m&quot;月&quot;d&quot;日&quot;;@"/>
    <numFmt numFmtId="191" formatCode="000"/>
    <numFmt numFmtId="192" formatCode="m/d;@"/>
    <numFmt numFmtId="193" formatCode="\(#\)"/>
    <numFmt numFmtId="194" formatCode="#,##0.0000_ "/>
    <numFmt numFmtId="195" formatCode="#,##0.000000_ "/>
    <numFmt numFmtId="196" formatCode="#,##0;&quot;▲ &quot;#,##0"/>
    <numFmt numFmtId="197" formatCode="0.0"/>
    <numFmt numFmtId="198" formatCode="0.000000_);[Red]\(0.000000\)"/>
    <numFmt numFmtId="199" formatCode="0.0%"/>
    <numFmt numFmtId="200" formatCode="0.000_);[Red]\(0.000\)"/>
    <numFmt numFmtId="201" formatCode="0.000000"/>
    <numFmt numFmtId="202" formatCode="#,##0_ ;[Red]\-#,##0\ "/>
    <numFmt numFmtId="203" formatCode="#,##0_);[Red]\(#,##0\)"/>
    <numFmt numFmtId="204" formatCode="#,##0.0000_);[Red]\(#,##0.0000\)"/>
    <numFmt numFmtId="205" formatCode="#,##0.00_);[Red]\(#,##0.00\)"/>
    <numFmt numFmtId="206" formatCode="#,##0.000000_);[Red]\(#,##0.000000\)"/>
    <numFmt numFmtId="207" formatCode="0.0000_);[Red]\(0.0000\)"/>
    <numFmt numFmtId="208" formatCode="&quot;第&quot;0&quot;年&quot;&quot;度&quot;"/>
    <numFmt numFmtId="209" formatCode="#,##0.0_ ;[Red]\-#,##0.0\ "/>
    <numFmt numFmtId="210" formatCode="0.00_);[Red]\(0.00\)"/>
    <numFmt numFmtId="211" formatCode="[$-F800]dddd\,\ mmmm\ dd\,\ yyyy"/>
  </numFmts>
  <fonts count="23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11"/>
      <color indexed="8"/>
      <name val="ＭＳ Ｐゴシック"/>
      <family val="3"/>
      <charset val="128"/>
    </font>
    <font>
      <sz val="11"/>
      <color indexed="9"/>
      <name val="ＭＳ Ｐゴシック"/>
      <family val="3"/>
      <charset val="128"/>
    </font>
    <font>
      <sz val="11"/>
      <color indexed="10"/>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9"/>
      <color indexed="81"/>
      <name val="ＭＳ Ｐゴシック"/>
      <family val="3"/>
      <charset val="128"/>
    </font>
    <font>
      <sz val="10"/>
      <color rgb="FF000000"/>
      <name val="ＭＳ 明朝"/>
      <family val="1"/>
      <charset val="128"/>
    </font>
    <font>
      <sz val="11"/>
      <color rgb="FF000000"/>
      <name val="ＭＳ Ｐゴシック"/>
      <family val="3"/>
      <charset val="128"/>
    </font>
    <font>
      <sz val="10"/>
      <color rgb="FF000000"/>
      <name val="ＭＳ Ｐゴシック"/>
      <family val="3"/>
      <charset val="128"/>
    </font>
    <font>
      <vertAlign val="subscript"/>
      <sz val="10"/>
      <color rgb="FF000000"/>
      <name val="ＭＳ 明朝"/>
      <family val="1"/>
      <charset val="128"/>
    </font>
    <font>
      <sz val="10.5"/>
      <color indexed="8"/>
      <name val="ＭＳ Ｐゴシック"/>
      <family val="3"/>
      <charset val="128"/>
    </font>
    <font>
      <sz val="10.5"/>
      <color indexed="9"/>
      <name val="ＭＳ Ｐゴシック"/>
      <family val="3"/>
      <charset val="128"/>
    </font>
    <font>
      <b/>
      <sz val="10.5"/>
      <color indexed="9"/>
      <name val="ＭＳ Ｐゴシック"/>
      <family val="3"/>
      <charset val="128"/>
    </font>
    <font>
      <sz val="10.5"/>
      <color indexed="60"/>
      <name val="ＭＳ Ｐゴシック"/>
      <family val="3"/>
      <charset val="128"/>
    </font>
    <font>
      <u/>
      <sz val="11"/>
      <color indexed="12"/>
      <name val="ＭＳ Ｐゴシック"/>
      <family val="3"/>
      <charset val="128"/>
    </font>
    <font>
      <u/>
      <sz val="11"/>
      <color theme="10"/>
      <name val="ＭＳ Ｐゴシック"/>
      <family val="3"/>
      <charset val="128"/>
    </font>
    <font>
      <sz val="10.5"/>
      <color indexed="52"/>
      <name val="ＭＳ Ｐゴシック"/>
      <family val="3"/>
      <charset val="128"/>
    </font>
    <font>
      <sz val="10.5"/>
      <color indexed="20"/>
      <name val="ＭＳ Ｐゴシック"/>
      <family val="3"/>
      <charset val="128"/>
    </font>
    <font>
      <b/>
      <sz val="10.5"/>
      <color indexed="52"/>
      <name val="ＭＳ Ｐゴシック"/>
      <family val="3"/>
      <charset val="128"/>
    </font>
    <font>
      <sz val="10.5"/>
      <color indexed="10"/>
      <name val="ＭＳ Ｐゴシック"/>
      <family val="3"/>
      <charset val="128"/>
    </font>
    <font>
      <sz val="11"/>
      <color theme="1"/>
      <name val="ＭＳ Ｐゴシック"/>
      <family val="3"/>
      <charset val="128"/>
      <scheme val="minor"/>
    </font>
    <font>
      <sz val="11"/>
      <color theme="1"/>
      <name val="ＭＳ Ｐゴシック"/>
      <family val="2"/>
      <scheme val="minor"/>
    </font>
    <font>
      <b/>
      <sz val="10.5"/>
      <color indexed="8"/>
      <name val="ＭＳ Ｐゴシック"/>
      <family val="3"/>
      <charset val="128"/>
    </font>
    <font>
      <b/>
      <sz val="10.5"/>
      <color indexed="63"/>
      <name val="ＭＳ Ｐゴシック"/>
      <family val="3"/>
      <charset val="128"/>
    </font>
    <font>
      <i/>
      <sz val="10.5"/>
      <color indexed="23"/>
      <name val="ＭＳ Ｐゴシック"/>
      <family val="3"/>
      <charset val="128"/>
    </font>
    <font>
      <sz val="10.5"/>
      <color indexed="62"/>
      <name val="ＭＳ Ｐゴシック"/>
      <family val="3"/>
      <charset val="128"/>
    </font>
    <font>
      <sz val="9"/>
      <name val="HG丸ｺﾞｼｯｸM-PRO"/>
      <family val="3"/>
      <charset val="128"/>
    </font>
    <font>
      <sz val="10.5"/>
      <color indexed="17"/>
      <name val="ＭＳ Ｐゴシック"/>
      <family val="3"/>
      <charset val="128"/>
    </font>
    <font>
      <b/>
      <sz val="10"/>
      <color rgb="FF000000"/>
      <name val="ＭＳ Ｐゴシック"/>
      <family val="3"/>
      <charset val="128"/>
    </font>
    <font>
      <vertAlign val="subscript"/>
      <sz val="10"/>
      <color rgb="FF000000"/>
      <name val="ＭＳ Ｐゴシック"/>
      <family val="3"/>
      <charset val="128"/>
    </font>
    <font>
      <b/>
      <sz val="10"/>
      <color rgb="FF000000"/>
      <name val="ＭＳ 明朝"/>
      <family val="1"/>
      <charset val="128"/>
    </font>
    <font>
      <sz val="10"/>
      <color rgb="FF000000"/>
      <name val="ＭＳ Ｐゴシック"/>
      <family val="3"/>
      <charset val="128"/>
      <scheme val="minor"/>
    </font>
    <font>
      <vertAlign val="superscript"/>
      <sz val="10"/>
      <color rgb="FF000000"/>
      <name val="ＭＳ Ｐゴシック"/>
      <family val="3"/>
      <charset val="128"/>
    </font>
    <font>
      <sz val="9"/>
      <color rgb="FF000000"/>
      <name val="ＭＳ 明朝"/>
      <family val="1"/>
      <charset val="128"/>
    </font>
    <font>
      <sz val="8"/>
      <color rgb="FF000000"/>
      <name val="ＭＳ 明朝"/>
      <family val="1"/>
      <charset val="128"/>
    </font>
    <font>
      <sz val="10"/>
      <color rgb="FF000000"/>
      <name val="ＭＳ Ｐ明朝"/>
      <family val="1"/>
      <charset val="128"/>
    </font>
    <font>
      <sz val="14"/>
      <color rgb="FF000000"/>
      <name val="ＭＳ 明朝"/>
      <family val="1"/>
      <charset val="128"/>
    </font>
    <font>
      <sz val="11"/>
      <color rgb="FF000000"/>
      <name val="ＭＳ 明朝"/>
      <family val="1"/>
      <charset val="128"/>
    </font>
    <font>
      <sz val="10"/>
      <color rgb="FF000000"/>
      <name val="Century"/>
      <family val="1"/>
    </font>
    <font>
      <b/>
      <sz val="9"/>
      <color indexed="81"/>
      <name val="MS P ゴシック"/>
      <family val="3"/>
      <charset val="128"/>
    </font>
    <font>
      <b/>
      <sz val="10"/>
      <color rgb="FFFF0000"/>
      <name val="ＭＳ Ｐゴシック"/>
      <family val="3"/>
      <charset val="128"/>
    </font>
    <font>
      <sz val="9"/>
      <color rgb="FF000000"/>
      <name val="ＭＳ Ｐ明朝"/>
      <family val="1"/>
      <charset val="128"/>
    </font>
    <font>
      <sz val="11"/>
      <color rgb="FFFF0000"/>
      <name val="ＭＳ 明朝"/>
      <family val="1"/>
      <charset val="128"/>
    </font>
    <font>
      <sz val="11"/>
      <name val="ＭＳ 明朝"/>
      <family val="1"/>
      <charset val="128"/>
    </font>
    <font>
      <b/>
      <sz val="11"/>
      <name val="ＭＳ Ｐゴシック"/>
      <family val="3"/>
      <charset val="128"/>
    </font>
    <font>
      <sz val="14"/>
      <color rgb="FF000000"/>
      <name val="ＭＳ ゴシック"/>
      <family val="3"/>
      <charset val="128"/>
    </font>
    <font>
      <sz val="11"/>
      <color rgb="FF000000"/>
      <name val="ＭＳ ゴシック"/>
      <family val="3"/>
      <charset val="128"/>
    </font>
    <font>
      <vertAlign val="superscript"/>
      <sz val="10"/>
      <color rgb="FF000000"/>
      <name val="ＭＳ 明朝"/>
      <family val="1"/>
      <charset val="128"/>
    </font>
    <font>
      <sz val="10"/>
      <name val="ＭＳ 明朝"/>
      <family val="1"/>
      <charset val="128"/>
    </font>
    <font>
      <sz val="14"/>
      <name val="ＭＳ ゴシック"/>
      <family val="3"/>
      <charset val="128"/>
    </font>
    <font>
      <sz val="9"/>
      <color rgb="FF000000"/>
      <name val="Meiryo UI"/>
      <family val="3"/>
      <charset val="128"/>
    </font>
    <font>
      <sz val="9"/>
      <color rgb="FF000000"/>
      <name val="MS UI Gothic"/>
      <family val="3"/>
      <charset val="128"/>
    </font>
    <font>
      <vertAlign val="subscript"/>
      <sz val="9"/>
      <color rgb="FF000000"/>
      <name val="ＭＳ 明朝"/>
      <family val="1"/>
      <charset val="128"/>
    </font>
    <font>
      <sz val="14"/>
      <color rgb="FF000000"/>
      <name val="ＭＳ Ｐゴシック"/>
      <family val="3"/>
      <charset val="128"/>
    </font>
    <font>
      <b/>
      <vertAlign val="subscript"/>
      <sz val="10"/>
      <color rgb="FF000000"/>
      <name val="ＭＳ 明朝"/>
      <family val="1"/>
      <charset val="128"/>
    </font>
    <font>
      <b/>
      <sz val="9"/>
      <color rgb="FF000000"/>
      <name val="ＭＳ 明朝"/>
      <family val="1"/>
      <charset val="128"/>
    </font>
    <font>
      <sz val="6"/>
      <color rgb="FF000000"/>
      <name val="ＭＳ 明朝"/>
      <family val="1"/>
      <charset val="128"/>
    </font>
    <font>
      <sz val="10"/>
      <color theme="0"/>
      <name val="ＭＳ 明朝"/>
      <family val="1"/>
      <charset val="128"/>
    </font>
    <font>
      <b/>
      <sz val="11"/>
      <color theme="3"/>
      <name val="ＭＳ Ｐゴシック"/>
      <family val="2"/>
      <charset val="128"/>
      <scheme val="minor"/>
    </font>
    <font>
      <b/>
      <sz val="15"/>
      <color theme="3"/>
      <name val="ＭＳ Ｐゴシック"/>
      <family val="2"/>
      <charset val="128"/>
      <scheme val="minor"/>
    </font>
    <font>
      <sz val="6"/>
      <name val="ＭＳ Ｐゴシック"/>
      <family val="2"/>
      <charset val="128"/>
      <scheme val="minor"/>
    </font>
    <font>
      <sz val="11"/>
      <color theme="1"/>
      <name val="HGPｺﾞｼｯｸM"/>
      <family val="3"/>
      <charset val="128"/>
    </font>
    <font>
      <sz val="10"/>
      <color theme="1"/>
      <name val="HGPｺﾞｼｯｸM"/>
      <family val="3"/>
      <charset val="128"/>
    </font>
    <font>
      <sz val="9"/>
      <name val="HGPｺﾞｼｯｸM"/>
      <family val="3"/>
      <charset val="128"/>
    </font>
    <font>
      <sz val="11"/>
      <name val="HGPｺﾞｼｯｸM"/>
      <family val="3"/>
      <charset val="128"/>
    </font>
    <font>
      <b/>
      <sz val="9"/>
      <name val="HGPｺﾞｼｯｸM"/>
      <family val="3"/>
      <charset val="128"/>
    </font>
    <font>
      <b/>
      <sz val="10"/>
      <name val="HGPｺﾞｼｯｸM"/>
      <family val="3"/>
      <charset val="128"/>
    </font>
    <font>
      <sz val="9"/>
      <color theme="1" tint="0.249977111117893"/>
      <name val="HGPｺﾞｼｯｸM"/>
      <family val="3"/>
      <charset val="128"/>
    </font>
    <font>
      <sz val="9"/>
      <color theme="1"/>
      <name val="HGPｺﾞｼｯｸM"/>
      <family val="3"/>
      <charset val="128"/>
    </font>
    <font>
      <b/>
      <sz val="9"/>
      <color theme="1"/>
      <name val="HGPｺﾞｼｯｸM"/>
      <family val="3"/>
      <charset val="128"/>
    </font>
    <font>
      <b/>
      <sz val="10"/>
      <color theme="1"/>
      <name val="HGPｺﾞｼｯｸM"/>
      <family val="3"/>
      <charset val="128"/>
    </font>
    <font>
      <b/>
      <sz val="11"/>
      <color theme="1"/>
      <name val="HGPｺﾞｼｯｸM"/>
      <family val="3"/>
      <charset val="128"/>
    </font>
    <font>
      <sz val="14"/>
      <name val="ＭＳ Ｐゴシック"/>
      <family val="3"/>
      <charset val="128"/>
    </font>
    <font>
      <sz val="12"/>
      <name val="ＭＳ Ｐゴシック"/>
      <family val="3"/>
      <charset val="128"/>
    </font>
    <font>
      <sz val="11"/>
      <color theme="0"/>
      <name val="ＭＳ Ｐゴシック"/>
      <family val="3"/>
      <charset val="128"/>
    </font>
    <font>
      <b/>
      <sz val="16"/>
      <name val="ＭＳ Ｐゴシック"/>
      <family val="3"/>
      <charset val="128"/>
    </font>
    <font>
      <b/>
      <sz val="18"/>
      <name val="ＭＳ Ｐゴシック"/>
      <family val="3"/>
      <charset val="128"/>
    </font>
    <font>
      <b/>
      <sz val="12"/>
      <name val="ＭＳ Ｐゴシック"/>
      <family val="3"/>
      <charset val="128"/>
    </font>
    <font>
      <b/>
      <sz val="14"/>
      <color theme="0"/>
      <name val="ＭＳ Ｐゴシック"/>
      <family val="3"/>
      <charset val="128"/>
    </font>
    <font>
      <b/>
      <sz val="12"/>
      <color theme="0"/>
      <name val="ＭＳ Ｐゴシック"/>
      <family val="3"/>
      <charset val="128"/>
    </font>
    <font>
      <sz val="10"/>
      <color rgb="FFFF0000"/>
      <name val="ＭＳ Ｐゴシック"/>
      <family val="3"/>
      <charset val="128"/>
    </font>
    <font>
      <b/>
      <u/>
      <sz val="12"/>
      <color theme="3"/>
      <name val="ＭＳ Ｐゴシック"/>
      <family val="3"/>
      <charset val="128"/>
    </font>
    <font>
      <b/>
      <u/>
      <sz val="12"/>
      <name val="ＭＳ Ｐゴシック"/>
      <family val="3"/>
      <charset val="128"/>
    </font>
    <font>
      <b/>
      <sz val="14"/>
      <name val="ＭＳ Ｐゴシック"/>
      <family val="3"/>
      <charset val="128"/>
    </font>
    <font>
      <b/>
      <sz val="12"/>
      <color rgb="FFC00000"/>
      <name val="ＭＳ Ｐゴシック"/>
      <family val="3"/>
      <charset val="128"/>
    </font>
    <font>
      <b/>
      <sz val="9"/>
      <name val="ＭＳ Ｐゴシック"/>
      <family val="3"/>
      <charset val="128"/>
    </font>
    <font>
      <b/>
      <sz val="10"/>
      <name val="ＭＳ Ｐゴシック"/>
      <family val="3"/>
      <charset val="128"/>
    </font>
    <font>
      <vertAlign val="subscript"/>
      <sz val="11"/>
      <name val="ＭＳ Ｐゴシック"/>
      <family val="3"/>
      <charset val="128"/>
    </font>
    <font>
      <sz val="12"/>
      <color theme="1"/>
      <name val="ＭＳ 明朝"/>
      <family val="2"/>
      <charset val="128"/>
    </font>
    <font>
      <sz val="9"/>
      <name val="ＭＳ Ｐゴシック"/>
      <family val="3"/>
      <charset val="128"/>
    </font>
    <font>
      <vertAlign val="superscript"/>
      <sz val="11"/>
      <name val="ＭＳ Ｐゴシック"/>
      <family val="3"/>
      <charset val="128"/>
    </font>
    <font>
      <sz val="8"/>
      <name val="ＭＳ Ｐゴシック"/>
      <family val="3"/>
      <charset val="128"/>
    </font>
    <font>
      <b/>
      <sz val="14"/>
      <name val="ＭＳ 明朝"/>
      <family val="1"/>
      <charset val="128"/>
    </font>
    <font>
      <sz val="16"/>
      <name val="ＭＳ Ｐゴシック"/>
      <family val="2"/>
      <charset val="128"/>
      <scheme val="minor"/>
    </font>
    <font>
      <sz val="16"/>
      <name val="ＭＳ Ｐゴシック"/>
      <family val="3"/>
      <charset val="128"/>
      <scheme val="minor"/>
    </font>
    <font>
      <b/>
      <sz val="11"/>
      <color theme="1"/>
      <name val="ＭＳ Ｐゴシック"/>
      <family val="3"/>
      <charset val="128"/>
      <scheme val="minor"/>
    </font>
    <font>
      <b/>
      <sz val="12"/>
      <color theme="1"/>
      <name val="ＭＳ Ｐゴシック"/>
      <family val="3"/>
      <charset val="128"/>
    </font>
    <font>
      <b/>
      <sz val="9"/>
      <color theme="1"/>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1"/>
      <name val="ＭＳ Ｐゴシック"/>
      <family val="2"/>
      <charset val="128"/>
      <scheme val="minor"/>
    </font>
    <font>
      <sz val="9"/>
      <color indexed="81"/>
      <name val="ＭＳ Ｐゴシック"/>
      <family val="3"/>
      <charset val="128"/>
    </font>
    <font>
      <b/>
      <u/>
      <sz val="9"/>
      <color indexed="81"/>
      <name val="ＭＳ Ｐゴシック"/>
      <family val="3"/>
      <charset val="128"/>
    </font>
    <font>
      <sz val="16"/>
      <color theme="1"/>
      <name val="ＭＳ Ｐゴシック"/>
      <family val="2"/>
      <charset val="128"/>
      <scheme val="minor"/>
    </font>
    <font>
      <sz val="11"/>
      <color theme="0" tint="-0.14999847407452621"/>
      <name val="ＭＳ Ｐゴシック"/>
      <family val="2"/>
      <charset val="128"/>
      <scheme val="minor"/>
    </font>
    <font>
      <b/>
      <sz val="11"/>
      <color rgb="FF000000"/>
      <name val="ＭＳ Ｐゴシック"/>
      <family val="3"/>
      <charset val="128"/>
    </font>
    <font>
      <b/>
      <vertAlign val="subscript"/>
      <sz val="11"/>
      <name val="ＭＳ Ｐゴシック"/>
      <family val="3"/>
      <charset val="128"/>
    </font>
    <font>
      <b/>
      <sz val="16"/>
      <name val="ＭＳ Ｐゴシック"/>
      <family val="3"/>
      <charset val="128"/>
      <scheme val="minor"/>
    </font>
    <font>
      <sz val="6"/>
      <name val="ＭＳ 明朝"/>
      <family val="1"/>
      <charset val="128"/>
    </font>
    <font>
      <b/>
      <u/>
      <sz val="16"/>
      <color rgb="FFFF0000"/>
      <name val="ＭＳ Ｐゴシック"/>
      <family val="3"/>
      <charset val="128"/>
      <scheme val="minor"/>
    </font>
    <font>
      <sz val="11"/>
      <name val="ＭＳ Ｐゴシック"/>
      <family val="3"/>
      <charset val="128"/>
      <scheme val="minor"/>
    </font>
    <font>
      <b/>
      <sz val="14"/>
      <color theme="0"/>
      <name val="ＭＳ Ｐゴシック"/>
      <family val="3"/>
      <charset val="128"/>
      <scheme val="minor"/>
    </font>
    <font>
      <sz val="11"/>
      <color theme="0"/>
      <name val="ＭＳ Ｐゴシック"/>
      <family val="3"/>
      <charset val="128"/>
      <scheme val="minor"/>
    </font>
    <font>
      <sz val="9"/>
      <color theme="0"/>
      <name val="ＭＳ Ｐゴシック"/>
      <family val="3"/>
      <charset val="128"/>
      <scheme val="minor"/>
    </font>
    <font>
      <b/>
      <sz val="12"/>
      <color theme="1"/>
      <name val="ＭＳ Ｐゴシック"/>
      <family val="3"/>
      <charset val="128"/>
      <scheme val="minor"/>
    </font>
    <font>
      <sz val="11"/>
      <color theme="1"/>
      <name val="ＭＳ ゴシック"/>
      <family val="3"/>
      <charset val="128"/>
    </font>
    <font>
      <b/>
      <u/>
      <sz val="11"/>
      <color theme="1"/>
      <name val="ＭＳ ゴシック"/>
      <family val="3"/>
      <charset val="128"/>
    </font>
    <font>
      <u/>
      <sz val="11"/>
      <color theme="1"/>
      <name val="ＭＳ ゴシック"/>
      <family val="3"/>
      <charset val="128"/>
    </font>
    <font>
      <b/>
      <sz val="11"/>
      <color theme="1"/>
      <name val="ＭＳ ゴシック"/>
      <family val="3"/>
      <charset val="128"/>
    </font>
    <font>
      <b/>
      <u/>
      <sz val="12"/>
      <color theme="1"/>
      <name val="ＭＳ Ｐゴシック"/>
      <family val="3"/>
      <charset val="128"/>
      <scheme val="minor"/>
    </font>
    <font>
      <b/>
      <u/>
      <sz val="11"/>
      <color theme="1"/>
      <name val="ＭＳ Ｐゴシック"/>
      <family val="3"/>
      <charset val="128"/>
      <scheme val="minor"/>
    </font>
    <font>
      <u/>
      <sz val="11"/>
      <color theme="1"/>
      <name val="ＭＳ Ｐゴシック"/>
      <family val="3"/>
      <charset val="128"/>
      <scheme val="minor"/>
    </font>
    <font>
      <b/>
      <sz val="11"/>
      <color theme="0"/>
      <name val="ＭＳ Ｐゴシック"/>
      <family val="3"/>
      <charset val="128"/>
      <scheme val="minor"/>
    </font>
    <font>
      <b/>
      <sz val="11"/>
      <name val="ＭＳ Ｐゴシック"/>
      <family val="3"/>
      <charset val="128"/>
      <scheme val="minor"/>
    </font>
    <font>
      <b/>
      <u/>
      <sz val="14"/>
      <name val="ＭＳ Ｐゴシック"/>
      <family val="3"/>
      <charset val="128"/>
      <scheme val="minor"/>
    </font>
    <font>
      <b/>
      <sz val="14"/>
      <name val="ＭＳ Ｐゴシック"/>
      <family val="3"/>
      <charset val="128"/>
      <scheme val="minor"/>
    </font>
    <font>
      <sz val="9"/>
      <color rgb="FFFF0000"/>
      <name val="ＭＳ Ｐゴシック"/>
      <family val="3"/>
      <charset val="128"/>
      <scheme val="minor"/>
    </font>
    <font>
      <sz val="10"/>
      <color rgb="FFFF0000"/>
      <name val="ＭＳ Ｐゴシック"/>
      <family val="3"/>
      <charset val="128"/>
      <scheme val="minor"/>
    </font>
    <font>
      <sz val="9"/>
      <color theme="1"/>
      <name val="ＭＳ Ｐゴシック"/>
      <family val="3"/>
      <charset val="128"/>
      <scheme val="minor"/>
    </font>
    <font>
      <sz val="12"/>
      <name val="ＭＳ Ｐゴシック"/>
      <family val="3"/>
      <charset val="128"/>
      <scheme val="minor"/>
    </font>
    <font>
      <b/>
      <sz val="10"/>
      <name val="ＭＳ Ｐゴシック"/>
      <family val="3"/>
      <charset val="128"/>
      <scheme val="minor"/>
    </font>
    <font>
      <sz val="10"/>
      <name val="ＭＳ Ｐゴシック"/>
      <family val="3"/>
      <charset val="128"/>
      <scheme val="minor"/>
    </font>
    <font>
      <b/>
      <sz val="10"/>
      <color theme="0"/>
      <name val="ＭＳ Ｐゴシック"/>
      <family val="3"/>
      <charset val="128"/>
      <scheme val="minor"/>
    </font>
    <font>
      <sz val="9"/>
      <color rgb="FFC00000"/>
      <name val="ＭＳ Ｐゴシック"/>
      <family val="3"/>
      <charset val="128"/>
      <scheme val="minor"/>
    </font>
    <font>
      <sz val="11"/>
      <color rgb="FFFF0000"/>
      <name val="ＭＳ Ｐゴシック"/>
      <family val="3"/>
      <charset val="128"/>
      <scheme val="minor"/>
    </font>
    <font>
      <sz val="9"/>
      <name val="ＭＳ Ｐゴシック"/>
      <family val="3"/>
      <charset val="128"/>
      <scheme val="minor"/>
    </font>
    <font>
      <b/>
      <sz val="10"/>
      <color rgb="FFFF0000"/>
      <name val="ＭＳ Ｐゴシック"/>
      <family val="3"/>
      <charset val="128"/>
      <scheme val="minor"/>
    </font>
    <font>
      <b/>
      <sz val="12"/>
      <color rgb="FFFF0000"/>
      <name val="ＭＳ Ｐゴシック"/>
      <family val="3"/>
      <charset val="128"/>
      <scheme val="minor"/>
    </font>
    <font>
      <sz val="10"/>
      <color theme="0"/>
      <name val="ＭＳ Ｐゴシック"/>
      <family val="3"/>
      <charset val="128"/>
      <scheme val="minor"/>
    </font>
    <font>
      <b/>
      <sz val="14"/>
      <color theme="1"/>
      <name val="ＭＳ Ｐゴシック"/>
      <family val="3"/>
      <charset val="128"/>
      <scheme val="minor"/>
    </font>
    <font>
      <sz val="14"/>
      <color theme="1"/>
      <name val="ＭＳ Ｐゴシック"/>
      <family val="3"/>
      <charset val="128"/>
      <scheme val="minor"/>
    </font>
    <font>
      <sz val="12"/>
      <color theme="0"/>
      <name val="ＭＳ Ｐゴシック"/>
      <family val="3"/>
      <charset val="128"/>
      <scheme val="minor"/>
    </font>
    <font>
      <sz val="14"/>
      <color theme="0"/>
      <name val="ＭＳ Ｐゴシック"/>
      <family val="3"/>
      <charset val="128"/>
      <scheme val="minor"/>
    </font>
    <font>
      <sz val="10"/>
      <color indexed="10"/>
      <name val="ＭＳ Ｐゴシック"/>
      <family val="3"/>
      <charset val="128"/>
      <scheme val="minor"/>
    </font>
    <font>
      <sz val="12"/>
      <color theme="1"/>
      <name val="ＭＳ Ｐゴシック"/>
      <family val="3"/>
      <charset val="128"/>
      <scheme val="minor"/>
    </font>
    <font>
      <b/>
      <sz val="16"/>
      <name val="ＭＳ ゴシック"/>
      <family val="3"/>
      <charset val="128"/>
    </font>
    <font>
      <sz val="11"/>
      <name val="ＭＳ ゴシック"/>
      <family val="3"/>
      <charset val="128"/>
    </font>
    <font>
      <b/>
      <sz val="14"/>
      <name val="ＭＳ ゴシック"/>
      <family val="3"/>
      <charset val="128"/>
    </font>
    <font>
      <sz val="9"/>
      <color theme="1"/>
      <name val="ＭＳ 明朝"/>
      <family val="1"/>
      <charset val="128"/>
    </font>
    <font>
      <b/>
      <u/>
      <sz val="11"/>
      <name val="ＭＳ Ｐゴシック"/>
      <family val="3"/>
      <charset val="128"/>
    </font>
    <font>
      <b/>
      <u/>
      <sz val="12"/>
      <color indexed="8"/>
      <name val="ＭＳ Ｐゴシック"/>
      <family val="3"/>
      <charset val="128"/>
    </font>
    <font>
      <sz val="11"/>
      <color theme="1"/>
      <name val="ＭＳ Ｐゴシック"/>
      <family val="3"/>
      <charset val="128"/>
    </font>
    <font>
      <sz val="9"/>
      <color rgb="FFFF0000"/>
      <name val="ＭＳ Ｐゴシック"/>
      <family val="3"/>
      <charset val="128"/>
    </font>
    <font>
      <sz val="7"/>
      <name val="ＭＳ Ｐゴシック"/>
      <family val="3"/>
      <charset val="128"/>
    </font>
    <font>
      <b/>
      <sz val="14"/>
      <color theme="1"/>
      <name val="ＭＳ Ｐゴシック"/>
      <family val="3"/>
      <charset val="128"/>
    </font>
    <font>
      <sz val="14"/>
      <color theme="1"/>
      <name val="ＭＳ Ｐゴシック"/>
      <family val="3"/>
      <charset val="128"/>
    </font>
    <font>
      <b/>
      <sz val="8"/>
      <color theme="1"/>
      <name val="ＭＳ Ｐゴシック"/>
      <family val="3"/>
      <charset val="128"/>
    </font>
    <font>
      <sz val="9"/>
      <name val="ＭＳ 明朝"/>
      <family val="1"/>
      <charset val="128"/>
    </font>
    <font>
      <sz val="9"/>
      <color indexed="10"/>
      <name val="ＭＳ Ｐゴシック"/>
      <family val="3"/>
      <charset val="128"/>
    </font>
    <font>
      <b/>
      <sz val="10"/>
      <color indexed="10"/>
      <name val="ＭＳ Ｐゴシック"/>
      <family val="3"/>
      <charset val="128"/>
    </font>
    <font>
      <b/>
      <sz val="18"/>
      <color indexed="10"/>
      <name val="ＭＳ Ｐゴシック"/>
      <family val="3"/>
      <charset val="128"/>
    </font>
    <font>
      <sz val="12"/>
      <name val="ＭＳ ゴシック"/>
      <family val="3"/>
      <charset val="128"/>
    </font>
    <font>
      <u/>
      <sz val="12"/>
      <name val="ＭＳ Ｐゴシック"/>
      <family val="3"/>
      <charset val="128"/>
    </font>
    <font>
      <sz val="10"/>
      <color indexed="10"/>
      <name val="ＭＳ 明朝"/>
      <family val="1"/>
      <charset val="128"/>
    </font>
    <font>
      <sz val="8"/>
      <color theme="1"/>
      <name val="ＭＳ Ｐゴシック"/>
      <family val="3"/>
      <charset val="128"/>
      <scheme val="minor"/>
    </font>
    <font>
      <sz val="8"/>
      <color theme="1"/>
      <name val="ＭＳ Ｐゴシック"/>
      <family val="3"/>
      <charset val="128"/>
    </font>
    <font>
      <sz val="10"/>
      <color indexed="10"/>
      <name val="ＭＳ Ｐゴシック"/>
      <family val="3"/>
      <charset val="128"/>
    </font>
    <font>
      <sz val="14"/>
      <name val="ＭＳ 明朝"/>
      <family val="1"/>
      <charset val="128"/>
    </font>
    <font>
      <b/>
      <sz val="10"/>
      <color indexed="8"/>
      <name val="ＭＳ Ｐゴシック"/>
      <family val="3"/>
      <charset val="128"/>
      <scheme val="minor"/>
    </font>
    <font>
      <sz val="10"/>
      <color rgb="FFCCFFCC"/>
      <name val="ＭＳ 明朝"/>
      <family val="1"/>
      <charset val="128"/>
    </font>
    <font>
      <sz val="18"/>
      <name val="ＭＳ Ｐゴシック"/>
      <family val="3"/>
      <charset val="128"/>
    </font>
    <font>
      <b/>
      <sz val="13"/>
      <color indexed="8"/>
      <name val="ＭＳ Ｐゴシック"/>
      <family val="3"/>
      <charset val="128"/>
    </font>
    <font>
      <b/>
      <sz val="8"/>
      <name val="ＭＳ Ｐゴシック"/>
      <family val="3"/>
      <charset val="128"/>
    </font>
    <font>
      <sz val="11"/>
      <color rgb="FFFF0000"/>
      <name val="ＭＳ Ｐゴシック"/>
      <family val="3"/>
      <charset val="128"/>
    </font>
    <font>
      <sz val="12"/>
      <color rgb="FF800000"/>
      <name val="HGPｺﾞｼｯｸM"/>
      <family val="3"/>
      <charset val="128"/>
    </font>
    <font>
      <sz val="9"/>
      <color theme="1"/>
      <name val="ＭＳ Ｐゴシック"/>
      <family val="2"/>
      <charset val="128"/>
      <scheme val="minor"/>
    </font>
    <font>
      <b/>
      <sz val="8"/>
      <color theme="1"/>
      <name val="ＭＳ Ｐゴシック"/>
      <family val="3"/>
      <charset val="128"/>
      <scheme val="minor"/>
    </font>
    <font>
      <u/>
      <sz val="9"/>
      <color theme="1"/>
      <name val="ＭＳ Ｐゴシック"/>
      <family val="3"/>
      <charset val="128"/>
      <scheme val="minor"/>
    </font>
    <font>
      <b/>
      <sz val="10"/>
      <color theme="1"/>
      <name val="ＭＳ Ｐゴシック"/>
      <family val="3"/>
      <charset val="128"/>
      <scheme val="minor"/>
    </font>
    <font>
      <sz val="16"/>
      <color theme="1"/>
      <name val="ＭＳ Ｐゴシック"/>
      <family val="3"/>
      <charset val="128"/>
      <scheme val="minor"/>
    </font>
    <font>
      <sz val="11"/>
      <color rgb="FFC00000"/>
      <name val="ＭＳ Ｐゴシック"/>
      <family val="3"/>
      <charset val="128"/>
      <scheme val="minor"/>
    </font>
    <font>
      <b/>
      <sz val="12"/>
      <color rgb="FFFF0000"/>
      <name val="ＭＳ Ｐゴシック"/>
      <family val="3"/>
      <charset val="128"/>
    </font>
    <font>
      <b/>
      <sz val="11"/>
      <color theme="0"/>
      <name val="ＭＳ Ｐゴシック"/>
      <family val="3"/>
      <charset val="128"/>
    </font>
    <font>
      <b/>
      <sz val="11"/>
      <name val="ＭＳ 明朝"/>
      <family val="1"/>
      <charset val="128"/>
    </font>
    <font>
      <sz val="10"/>
      <color theme="0" tint="-0.14996795556505021"/>
      <name val="ＭＳ 明朝"/>
      <family val="1"/>
      <charset val="128"/>
    </font>
    <font>
      <b/>
      <sz val="10"/>
      <color theme="0" tint="-0.14996795556505021"/>
      <name val="ＭＳ 明朝"/>
      <family val="1"/>
      <charset val="128"/>
    </font>
    <font>
      <b/>
      <vertAlign val="subscript"/>
      <sz val="10"/>
      <color theme="0" tint="-0.14996795556505021"/>
      <name val="ＭＳ 明朝"/>
      <family val="1"/>
      <charset val="128"/>
    </font>
    <font>
      <sz val="11"/>
      <color theme="0" tint="-0.14996795556505021"/>
      <name val="ＭＳ Ｐゴシック"/>
      <family val="3"/>
      <charset val="128"/>
    </font>
    <font>
      <b/>
      <sz val="11"/>
      <color theme="0" tint="-0.14996795556505021"/>
      <name val="ＭＳ Ｐゴシック"/>
      <family val="3"/>
      <charset val="128"/>
    </font>
    <font>
      <b/>
      <sz val="14"/>
      <color theme="1"/>
      <name val="HGPｺﾞｼｯｸM"/>
      <family val="3"/>
      <charset val="128"/>
    </font>
    <font>
      <sz val="11"/>
      <color rgb="FF800000"/>
      <name val="HGPｺﾞｼｯｸM"/>
      <family val="3"/>
      <charset val="128"/>
    </font>
    <font>
      <b/>
      <sz val="13"/>
      <color theme="3"/>
      <name val="ＭＳ Ｐゴシック"/>
      <family val="2"/>
      <charset val="128"/>
      <scheme val="minor"/>
    </font>
    <font>
      <sz val="11"/>
      <color rgb="FFC00000"/>
      <name val="HGPｺﾞｼｯｸM"/>
      <family val="3"/>
      <charset val="128"/>
    </font>
    <font>
      <b/>
      <sz val="8.5"/>
      <color theme="1"/>
      <name val="HGPｺﾞｼｯｸM"/>
      <family val="3"/>
      <charset val="128"/>
    </font>
    <font>
      <vertAlign val="subscript"/>
      <sz val="9"/>
      <color theme="1"/>
      <name val="HGPｺﾞｼｯｸM"/>
      <family val="3"/>
      <charset val="128"/>
    </font>
    <font>
      <b/>
      <sz val="11"/>
      <color rgb="FF800000"/>
      <name val="ＭＳ Ｐゴシック"/>
      <family val="3"/>
      <charset val="128"/>
      <scheme val="minor"/>
    </font>
    <font>
      <sz val="11"/>
      <color theme="5" tint="-0.499984740745262"/>
      <name val="HGPｺﾞｼｯｸM"/>
      <family val="3"/>
      <charset val="128"/>
    </font>
    <font>
      <sz val="20"/>
      <name val="ＭＳ Ｐゴシック"/>
      <family val="3"/>
      <charset val="128"/>
    </font>
    <font>
      <sz val="9"/>
      <color theme="1" tint="0.499984740745262"/>
      <name val="HGPｺﾞｼｯｸM"/>
      <family val="3"/>
      <charset val="128"/>
    </font>
    <font>
      <sz val="10"/>
      <color theme="1"/>
      <name val="ＭＳ Ｐゴシック"/>
      <family val="3"/>
      <charset val="128"/>
    </font>
    <font>
      <strike/>
      <sz val="11"/>
      <color rgb="FFFF0000"/>
      <name val="ＭＳ Ｐゴシック"/>
      <family val="3"/>
      <charset val="128"/>
    </font>
    <font>
      <b/>
      <sz val="11"/>
      <color rgb="FFFF0000"/>
      <name val="ＭＳ Ｐゴシック"/>
      <family val="3"/>
      <charset val="128"/>
    </font>
    <font>
      <b/>
      <sz val="12"/>
      <color theme="1"/>
      <name val="HGPｺﾞｼｯｸM"/>
      <family val="3"/>
      <charset val="128"/>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14999847407452621"/>
        <bgColor indexed="64"/>
      </patternFill>
    </fill>
    <fill>
      <patternFill patternType="solid">
        <fgColor rgb="FFFFFF99"/>
        <bgColor indexed="64"/>
      </patternFill>
    </fill>
    <fill>
      <patternFill patternType="solid">
        <fgColor rgb="FFCCFFCC"/>
        <bgColor indexed="64"/>
      </patternFill>
    </fill>
    <fill>
      <patternFill patternType="solid">
        <fgColor rgb="FFFFFFCC"/>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3"/>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rgb="FFFF99FF"/>
        <bgColor indexed="64"/>
      </patternFill>
    </fill>
    <fill>
      <patternFill patternType="solid">
        <fgColor rgb="FFDDDDDD"/>
        <bgColor indexed="64"/>
      </patternFill>
    </fill>
    <fill>
      <patternFill patternType="solid">
        <fgColor theme="3" tint="0.79998168889431442"/>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81078524124887"/>
        <bgColor indexed="64"/>
      </patternFill>
    </fill>
    <fill>
      <patternFill patternType="solid">
        <fgColor indexed="43"/>
        <bgColor indexed="64"/>
      </patternFill>
    </fill>
    <fill>
      <patternFill patternType="solid">
        <fgColor theme="7" tint="0.79998168889431442"/>
        <bgColor indexed="64"/>
      </patternFill>
    </fill>
    <fill>
      <patternFill patternType="solid">
        <fgColor rgb="FF66FF33"/>
        <bgColor indexed="64"/>
      </patternFill>
    </fill>
    <fill>
      <patternFill patternType="solid">
        <fgColor indexed="9"/>
        <bgColor indexed="64"/>
      </patternFill>
    </fill>
    <fill>
      <patternFill patternType="solid">
        <fgColor theme="0" tint="-0.34998626667073579"/>
        <bgColor indexed="64"/>
      </patternFill>
    </fill>
    <fill>
      <patternFill patternType="lightGray">
        <bgColor theme="8" tint="0.79998168889431442"/>
      </patternFill>
    </fill>
    <fill>
      <patternFill patternType="solid">
        <fgColor theme="4" tint="-0.499984740745262"/>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rgb="FFE0E0E0"/>
        <bgColor indexed="64"/>
      </patternFill>
    </fill>
    <fill>
      <patternFill patternType="solid">
        <fgColor rgb="FFEAEAEA"/>
        <bgColor indexed="64"/>
      </patternFill>
    </fill>
    <fill>
      <patternFill patternType="solid">
        <fgColor rgb="FFE3ECF1"/>
        <bgColor indexed="64"/>
      </patternFill>
    </fill>
    <fill>
      <patternFill patternType="solid">
        <fgColor rgb="FFF3F3E1"/>
        <bgColor indexed="64"/>
      </patternFill>
    </fill>
    <fill>
      <patternFill patternType="solid">
        <fgColor rgb="FFE9F8E4"/>
        <bgColor indexed="64"/>
      </patternFill>
    </fill>
  </fills>
  <borders count="404">
    <border>
      <left/>
      <right/>
      <top/>
      <bottom/>
      <diagonal/>
    </border>
    <border diagonalUp="1">
      <left style="thin">
        <color indexed="64"/>
      </left>
      <right/>
      <top style="thin">
        <color indexed="64"/>
      </top>
      <bottom style="thin">
        <color indexed="64"/>
      </bottom>
      <diagonal style="thin">
        <color indexed="64"/>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hair">
        <color indexed="64"/>
      </left>
      <right style="medium">
        <color indexed="64"/>
      </right>
      <top style="thin">
        <color indexed="64"/>
      </top>
      <bottom/>
      <diagonal/>
    </border>
    <border>
      <left style="hair">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hair">
        <color indexed="64"/>
      </top>
      <bottom/>
      <diagonal/>
    </border>
    <border>
      <left/>
      <right/>
      <top style="thin">
        <color indexed="64"/>
      </top>
      <bottom style="hair">
        <color indexed="64"/>
      </bottom>
      <diagonal/>
    </border>
    <border>
      <left/>
      <right style="medium">
        <color indexed="64"/>
      </right>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hair">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hair">
        <color indexed="64"/>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top/>
      <bottom style="medium">
        <color indexed="64"/>
      </bottom>
      <diagonal/>
    </border>
    <border>
      <left/>
      <right/>
      <top/>
      <bottom style="hair">
        <color indexed="64"/>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style="medium">
        <color indexed="64"/>
      </left>
      <right/>
      <top/>
      <bottom style="thin">
        <color indexed="64"/>
      </bottom>
      <diagonal/>
    </border>
    <border>
      <left/>
      <right/>
      <top style="hair">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thin">
        <color indexed="64"/>
      </right>
      <top/>
      <bottom style="hair">
        <color indexed="64"/>
      </bottom>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hair">
        <color indexed="64"/>
      </bottom>
      <diagonal style="thin">
        <color indexed="64"/>
      </diagonal>
    </border>
    <border>
      <left style="thin">
        <color indexed="64"/>
      </left>
      <right style="thin">
        <color indexed="64"/>
      </right>
      <top style="hair">
        <color indexed="64"/>
      </top>
      <bottom/>
      <diagonal/>
    </border>
    <border diagonalUp="1">
      <left style="thin">
        <color indexed="64"/>
      </left>
      <right style="thin">
        <color indexed="64"/>
      </right>
      <top style="hair">
        <color indexed="64"/>
      </top>
      <bottom/>
      <diagonal style="thin">
        <color indexed="64"/>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top/>
      <bottom style="thick">
        <color theme="0"/>
      </bottom>
      <diagonal/>
    </border>
    <border diagonalUp="1">
      <left style="thin">
        <color indexed="64"/>
      </left>
      <right/>
      <top style="thin">
        <color indexed="64"/>
      </top>
      <bottom/>
      <diagonal style="thin">
        <color indexed="64"/>
      </diagonal>
    </border>
    <border>
      <left style="hair">
        <color indexed="64"/>
      </left>
      <right/>
      <top/>
      <bottom style="hair">
        <color indexed="64"/>
      </bottom>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diagonalUp="1">
      <left style="thin">
        <color indexed="64"/>
      </left>
      <right style="thin">
        <color indexed="64"/>
      </right>
      <top style="thin">
        <color indexed="64"/>
      </top>
      <bottom/>
      <diagonal style="hair">
        <color indexed="64"/>
      </diagonal>
    </border>
    <border diagonalUp="1">
      <left style="thin">
        <color indexed="64"/>
      </left>
      <right style="thin">
        <color indexed="64"/>
      </right>
      <top/>
      <bottom/>
      <diagonal style="hair">
        <color indexed="64"/>
      </diagonal>
    </border>
    <border diagonalUp="1">
      <left style="thin">
        <color indexed="64"/>
      </left>
      <right style="thin">
        <color indexed="64"/>
      </right>
      <top/>
      <bottom style="hair">
        <color indexed="64"/>
      </bottom>
      <diagonal style="hair">
        <color indexed="64"/>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hair">
        <color indexed="64"/>
      </left>
      <right/>
      <top style="hair">
        <color indexed="64"/>
      </top>
      <bottom/>
      <diagonal/>
    </border>
    <border>
      <left style="hair">
        <color indexed="64"/>
      </left>
      <right/>
      <top/>
      <bottom/>
      <diagonal/>
    </border>
    <border>
      <left/>
      <right style="medium">
        <color indexed="64"/>
      </right>
      <top style="thin">
        <color indexed="64"/>
      </top>
      <bottom style="thin">
        <color indexed="64"/>
      </bottom>
      <diagonal/>
    </border>
    <border diagonalUp="1">
      <left style="thin">
        <color indexed="64"/>
      </left>
      <right/>
      <top/>
      <bottom/>
      <diagonal style="thin">
        <color indexed="64"/>
      </diagonal>
    </border>
    <border>
      <left style="hair">
        <color indexed="64"/>
      </left>
      <right/>
      <top style="hair">
        <color indexed="64"/>
      </top>
      <bottom style="hair">
        <color indexed="64"/>
      </bottom>
      <diagonal/>
    </border>
    <border>
      <left/>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diagonalUp="1">
      <left style="thin">
        <color indexed="64"/>
      </left>
      <right style="thin">
        <color indexed="64"/>
      </right>
      <top style="medium">
        <color indexed="64"/>
      </top>
      <bottom/>
      <diagonal style="thin">
        <color indexed="64"/>
      </diagonal>
    </border>
    <border>
      <left style="thin">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top style="hair">
        <color indexed="64"/>
      </top>
      <bottom/>
      <diagonal/>
    </border>
    <border>
      <left style="medium">
        <color indexed="64"/>
      </left>
      <right/>
      <top/>
      <bottom/>
      <diagonal/>
    </border>
    <border>
      <left style="medium">
        <color indexed="64"/>
      </left>
      <right/>
      <top/>
      <bottom style="hair">
        <color indexed="64"/>
      </bottom>
      <diagonal/>
    </border>
    <border>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hair">
        <color indexed="64"/>
      </top>
      <bottom/>
      <diagonal/>
    </border>
    <border>
      <left style="thick">
        <color rgb="FFFF0000"/>
      </left>
      <right style="thick">
        <color rgb="FFFF0000"/>
      </right>
      <top style="thick">
        <color rgb="FFFF0000"/>
      </top>
      <bottom style="thick">
        <color rgb="FFFF0000"/>
      </bottom>
      <diagonal/>
    </border>
    <border>
      <left style="thin">
        <color indexed="64"/>
      </left>
      <right style="thin">
        <color theme="1" tint="0.499984740745262"/>
      </right>
      <top/>
      <bottom style="thin">
        <color theme="1" tint="0.499984740745262"/>
      </bottom>
      <diagonal/>
    </border>
    <border>
      <left style="thin">
        <color theme="1" tint="0.499984740745262"/>
      </left>
      <right/>
      <top/>
      <bottom/>
      <diagonal/>
    </border>
    <border>
      <left style="thin">
        <color theme="1" tint="0.499984740745262"/>
      </left>
      <right style="thin">
        <color theme="1" tint="0.499984740745262"/>
      </right>
      <top/>
      <bottom/>
      <diagonal/>
    </border>
    <border>
      <left style="medium">
        <color indexed="64"/>
      </left>
      <right style="thin">
        <color theme="1" tint="0.499984740745262"/>
      </right>
      <top/>
      <bottom/>
      <diagonal/>
    </border>
    <border>
      <left style="thin">
        <color auto="1"/>
      </left>
      <right style="thin">
        <color theme="1" tint="0.499984740745262"/>
      </right>
      <top/>
      <bottom/>
      <diagonal/>
    </border>
    <border>
      <left style="medium">
        <color theme="1"/>
      </left>
      <right style="thin">
        <color theme="1" tint="0.499984740745262"/>
      </right>
      <top/>
      <bottom/>
      <diagonal/>
    </border>
    <border>
      <left style="thin">
        <color theme="1" tint="0.499984740745262"/>
      </left>
      <right style="thin">
        <color auto="1"/>
      </right>
      <top/>
      <bottom/>
      <diagonal/>
    </border>
    <border>
      <left/>
      <right style="thin">
        <color theme="1" tint="0.499984740745262"/>
      </right>
      <top/>
      <bottom/>
      <diagonal/>
    </border>
    <border>
      <left style="thin">
        <color theme="1"/>
      </left>
      <right/>
      <top/>
      <bottom/>
      <diagonal/>
    </border>
    <border>
      <left style="thin">
        <color theme="1"/>
      </left>
      <right style="thin">
        <color theme="1" tint="0.499984740745262"/>
      </right>
      <top/>
      <bottom/>
      <diagonal/>
    </border>
    <border>
      <left style="thin">
        <color theme="1" tint="0.499984740745262"/>
      </left>
      <right style="dotted">
        <color theme="1" tint="0.24994659260841701"/>
      </right>
      <top/>
      <bottom/>
      <diagonal/>
    </border>
    <border>
      <left style="dotted">
        <color theme="1"/>
      </left>
      <right style="thin">
        <color theme="1" tint="0.499984740745262"/>
      </right>
      <top/>
      <bottom/>
      <diagonal/>
    </border>
    <border>
      <left style="dotted">
        <color theme="1"/>
      </left>
      <right/>
      <top/>
      <bottom/>
      <diagonal/>
    </border>
    <border>
      <left style="dotted">
        <color theme="1"/>
      </left>
      <right style="thin">
        <color theme="1"/>
      </right>
      <top/>
      <bottom/>
      <diagonal/>
    </border>
    <border>
      <left style="thin">
        <color theme="1"/>
      </left>
      <right style="hair">
        <color theme="1"/>
      </right>
      <top/>
      <bottom/>
      <diagonal/>
    </border>
    <border>
      <left style="hair">
        <color theme="1"/>
      </left>
      <right style="thin">
        <color theme="1" tint="0.499984740745262"/>
      </right>
      <top/>
      <bottom/>
      <diagonal/>
    </border>
    <border>
      <left style="thin">
        <color theme="1" tint="0.499984740745262"/>
      </left>
      <right style="hair">
        <color theme="1"/>
      </right>
      <top/>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1"/>
      </left>
      <right style="thin">
        <color theme="1" tint="0.499984740745262"/>
      </right>
      <top style="thin">
        <color theme="1" tint="0.499984740745262"/>
      </top>
      <bottom style="thin">
        <color theme="1" tint="0.499984740745262"/>
      </bottom>
      <diagonal/>
    </border>
    <border>
      <left style="thin">
        <color theme="1"/>
      </left>
      <right/>
      <top style="thin">
        <color theme="1" tint="0.499984740745262"/>
      </top>
      <bottom style="thin">
        <color theme="1" tint="0.499984740745262"/>
      </bottom>
      <diagonal/>
    </border>
    <border>
      <left style="thin">
        <color theme="1"/>
      </left>
      <right style="thin">
        <color theme="1" tint="0.499984740745262"/>
      </right>
      <top style="thin">
        <color theme="1" tint="0.499984740745262"/>
      </top>
      <bottom style="thin">
        <color theme="1" tint="0.499984740745262"/>
      </bottom>
      <diagonal/>
    </border>
    <border>
      <left style="dotted">
        <color theme="1"/>
      </left>
      <right/>
      <top style="thin">
        <color theme="1" tint="0.499984740745262"/>
      </top>
      <bottom style="thin">
        <color theme="1" tint="0.499984740745262"/>
      </bottom>
      <diagonal/>
    </border>
    <border>
      <left style="dotted">
        <color theme="1"/>
      </left>
      <right style="thin">
        <color theme="1" tint="0.499984740745262"/>
      </right>
      <top style="thin">
        <color theme="1" tint="0.499984740745262"/>
      </top>
      <bottom style="thin">
        <color theme="1" tint="0.499984740745262"/>
      </bottom>
      <diagonal/>
    </border>
    <border>
      <left style="thin">
        <color theme="1" tint="0.499984740745262"/>
      </left>
      <right style="dotted">
        <color theme="1"/>
      </right>
      <top style="thin">
        <color theme="1" tint="0.499984740745262"/>
      </top>
      <bottom style="thin">
        <color theme="1" tint="0.499984740745262"/>
      </bottom>
      <diagonal/>
    </border>
    <border>
      <left style="thin">
        <color theme="1"/>
      </left>
      <right style="hair">
        <color theme="1"/>
      </right>
      <top style="thin">
        <color theme="1" tint="0.499984740745262"/>
      </top>
      <bottom style="thin">
        <color theme="1" tint="0.499984740745262"/>
      </bottom>
      <diagonal/>
    </border>
    <border>
      <left style="hair">
        <color theme="1"/>
      </left>
      <right style="thin">
        <color theme="1" tint="0.499984740745262"/>
      </right>
      <top style="thin">
        <color theme="1" tint="0.499984740745262"/>
      </top>
      <bottom style="thin">
        <color theme="1" tint="0.499984740745262"/>
      </bottom>
      <diagonal/>
    </border>
    <border>
      <left style="thin">
        <color theme="1" tint="0.499984740745262"/>
      </left>
      <right style="hair">
        <color theme="1"/>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medium">
        <color theme="1"/>
      </left>
      <right style="thin">
        <color auto="1"/>
      </right>
      <top/>
      <bottom/>
      <diagonal/>
    </border>
    <border>
      <left style="thin">
        <color theme="1"/>
      </left>
      <right style="medium">
        <color indexed="64"/>
      </right>
      <top/>
      <bottom style="thin">
        <color theme="1" tint="0.499984740745262"/>
      </bottom>
      <diagonal/>
    </border>
    <border>
      <left style="thin">
        <color theme="1" tint="0.499984740745262"/>
      </left>
      <right/>
      <top/>
      <bottom style="thin">
        <color theme="1" tint="0.499984740745262"/>
      </bottom>
      <diagonal/>
    </border>
    <border>
      <left style="thin">
        <color theme="1" tint="0.499984740745262"/>
      </left>
      <right style="thin">
        <color auto="1"/>
      </right>
      <top/>
      <bottom style="thin">
        <color theme="1" tint="0.499984740745262"/>
      </bottom>
      <diagonal/>
    </border>
    <border>
      <left/>
      <right/>
      <top style="thin">
        <color theme="1" tint="0.499984740745262"/>
      </top>
      <bottom style="thin">
        <color theme="1" tint="0.499984740745262"/>
      </bottom>
      <diagonal/>
    </border>
    <border>
      <left style="medium">
        <color theme="1"/>
      </left>
      <right/>
      <top style="thin">
        <color theme="1" tint="0.499984740745262"/>
      </top>
      <bottom style="thin">
        <color theme="1" tint="0.499984740745262"/>
      </bottom>
      <diagonal/>
    </border>
    <border>
      <left style="thin">
        <color theme="1"/>
      </left>
      <right style="medium">
        <color indexed="64"/>
      </right>
      <top style="thin">
        <color theme="1" tint="0.499984740745262"/>
      </top>
      <bottom style="thin">
        <color theme="1" tint="0.499984740745262"/>
      </bottom>
      <diagonal/>
    </border>
    <border>
      <left style="thin">
        <color indexed="64"/>
      </left>
      <right style="thin">
        <color theme="1" tint="0.499984740745262"/>
      </right>
      <top style="thin">
        <color indexed="64"/>
      </top>
      <bottom style="thin">
        <color indexed="64"/>
      </bottom>
      <diagonal/>
    </border>
    <border>
      <left style="thin">
        <color theme="1" tint="0.499984740745262"/>
      </left>
      <right/>
      <top style="thin">
        <color indexed="64"/>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style="medium">
        <color indexed="64"/>
      </left>
      <right style="thin">
        <color theme="1" tint="0.499984740745262"/>
      </right>
      <top style="thin">
        <color indexed="64"/>
      </top>
      <bottom style="thin">
        <color indexed="64"/>
      </bottom>
      <diagonal/>
    </border>
    <border>
      <left style="medium">
        <color theme="1"/>
      </left>
      <right style="thin">
        <color theme="1" tint="0.499984740745262"/>
      </right>
      <top style="thin">
        <color indexed="64"/>
      </top>
      <bottom style="thin">
        <color indexed="64"/>
      </bottom>
      <diagonal/>
    </border>
    <border>
      <left style="thin">
        <color theme="1" tint="0.499984740745262"/>
      </left>
      <right style="thin">
        <color auto="1"/>
      </right>
      <top style="thin">
        <color indexed="64"/>
      </top>
      <bottom style="thin">
        <color indexed="64"/>
      </bottom>
      <diagonal/>
    </border>
    <border>
      <left/>
      <right style="thin">
        <color theme="1" tint="0.499984740745262"/>
      </right>
      <top style="thin">
        <color indexed="64"/>
      </top>
      <bottom style="thin">
        <color indexed="64"/>
      </bottom>
      <diagonal/>
    </border>
    <border>
      <left style="thin">
        <color theme="1"/>
      </left>
      <right/>
      <top style="thin">
        <color indexed="64"/>
      </top>
      <bottom style="thin">
        <color indexed="64"/>
      </bottom>
      <diagonal/>
    </border>
    <border>
      <left style="thin">
        <color theme="1"/>
      </left>
      <right style="thin">
        <color theme="1" tint="0.499984740745262"/>
      </right>
      <top style="thin">
        <color indexed="64"/>
      </top>
      <bottom style="thin">
        <color indexed="64"/>
      </bottom>
      <diagonal/>
    </border>
    <border>
      <left style="thin">
        <color theme="1" tint="0.499984740745262"/>
      </left>
      <right style="dotted">
        <color theme="1" tint="0.24994659260841701"/>
      </right>
      <top style="thin">
        <color indexed="64"/>
      </top>
      <bottom style="thin">
        <color indexed="64"/>
      </bottom>
      <diagonal/>
    </border>
    <border>
      <left style="dotted">
        <color theme="1"/>
      </left>
      <right style="thin">
        <color theme="1" tint="0.499984740745262"/>
      </right>
      <top style="thin">
        <color indexed="64"/>
      </top>
      <bottom style="thin">
        <color indexed="64"/>
      </bottom>
      <diagonal/>
    </border>
    <border>
      <left style="dotted">
        <color theme="1"/>
      </left>
      <right/>
      <top style="thin">
        <color indexed="64"/>
      </top>
      <bottom style="thin">
        <color indexed="64"/>
      </bottom>
      <diagonal/>
    </border>
    <border>
      <left style="dotted">
        <color theme="1"/>
      </left>
      <right style="thin">
        <color theme="1"/>
      </right>
      <top style="thin">
        <color indexed="64"/>
      </top>
      <bottom style="thin">
        <color indexed="64"/>
      </bottom>
      <diagonal/>
    </border>
    <border>
      <left style="thin">
        <color theme="1"/>
      </left>
      <right style="hair">
        <color theme="1"/>
      </right>
      <top style="thin">
        <color indexed="64"/>
      </top>
      <bottom style="thin">
        <color indexed="64"/>
      </bottom>
      <diagonal/>
    </border>
    <border>
      <left style="hair">
        <color theme="1"/>
      </left>
      <right style="thin">
        <color theme="1" tint="0.499984740745262"/>
      </right>
      <top style="thin">
        <color indexed="64"/>
      </top>
      <bottom style="thin">
        <color indexed="64"/>
      </bottom>
      <diagonal/>
    </border>
    <border>
      <left style="thin">
        <color theme="1" tint="0.499984740745262"/>
      </left>
      <right style="hair">
        <color theme="1"/>
      </right>
      <top style="thin">
        <color indexed="64"/>
      </top>
      <bottom style="thin">
        <color indexed="64"/>
      </bottom>
      <diagonal/>
    </border>
    <border>
      <left style="medium">
        <color theme="1"/>
      </left>
      <right style="thin">
        <color auto="1"/>
      </right>
      <top style="thin">
        <color indexed="64"/>
      </top>
      <bottom style="thin">
        <color indexed="64"/>
      </bottom>
      <diagonal/>
    </border>
    <border>
      <left style="thin">
        <color theme="1"/>
      </left>
      <right style="medium">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medium">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ck">
        <color indexed="64"/>
      </left>
      <right/>
      <top style="thick">
        <color indexed="64"/>
      </top>
      <bottom/>
      <diagonal/>
    </border>
    <border>
      <left/>
      <right/>
      <top style="thick">
        <color indexed="64"/>
      </top>
      <bottom/>
      <diagonal/>
    </border>
    <border>
      <left style="thick">
        <color indexed="64"/>
      </left>
      <right/>
      <top/>
      <bottom style="thin">
        <color indexed="64"/>
      </bottom>
      <diagonal/>
    </border>
    <border diagonalUp="1">
      <left style="thin">
        <color indexed="64"/>
      </left>
      <right style="thin">
        <color indexed="64"/>
      </right>
      <top style="thin">
        <color indexed="64"/>
      </top>
      <bottom/>
      <diagonal style="thin">
        <color indexed="64"/>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ck">
        <color indexed="64"/>
      </right>
      <top/>
      <bottom/>
      <diagonal/>
    </border>
    <border>
      <left style="thin">
        <color indexed="64"/>
      </left>
      <right style="thin">
        <color indexed="64"/>
      </right>
      <top style="thin">
        <color indexed="64"/>
      </top>
      <bottom style="thick">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n">
        <color indexed="64"/>
      </right>
      <top style="thick">
        <color indexed="64"/>
      </top>
      <bottom style="thick">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diagonalUp="1">
      <left style="thick">
        <color indexed="64"/>
      </left>
      <right style="thin">
        <color indexed="64"/>
      </right>
      <top style="thin">
        <color indexed="64"/>
      </top>
      <bottom style="thin">
        <color indexed="64"/>
      </bottom>
      <diagonal style="thin">
        <color indexed="64"/>
      </diagonal>
    </border>
    <border diagonalUp="1">
      <left style="thin">
        <color indexed="64"/>
      </left>
      <right style="thick">
        <color indexed="64"/>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ck">
        <color indexed="64"/>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hair">
        <color indexed="64"/>
      </left>
      <right style="hair">
        <color indexed="64"/>
      </right>
      <top style="hair">
        <color indexed="64"/>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hair">
        <color indexed="64"/>
      </left>
      <right style="hair">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diagonalUp="1">
      <left/>
      <right/>
      <top style="thin">
        <color indexed="64"/>
      </top>
      <bottom style="thin">
        <color indexed="64"/>
      </bottom>
      <diagonal style="thin">
        <color indexed="64"/>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Up="1">
      <left style="thin">
        <color indexed="64"/>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left/>
      <right style="medium">
        <color indexed="64"/>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style="thin">
        <color indexed="64"/>
      </left>
      <right style="thin">
        <color indexed="64"/>
      </right>
      <top style="double">
        <color indexed="64"/>
      </top>
      <bottom style="medium">
        <color indexed="64"/>
      </bottom>
      <diagonal style="thin">
        <color indexed="64"/>
      </diagonal>
    </border>
    <border>
      <left/>
      <right/>
      <top/>
      <bottom style="mediumDashed">
        <color indexed="64"/>
      </bottom>
      <diagonal/>
    </border>
    <border>
      <left/>
      <right/>
      <top style="mediumDashed">
        <color indexed="64"/>
      </top>
      <bottom/>
      <diagonal/>
    </border>
    <border>
      <left style="thick">
        <color indexed="64"/>
      </left>
      <right/>
      <top style="thin">
        <color indexed="64"/>
      </top>
      <bottom/>
      <diagonal/>
    </border>
    <border>
      <left style="thick">
        <color indexed="64"/>
      </left>
      <right/>
      <top style="thin">
        <color indexed="64"/>
      </top>
      <bottom style="thin">
        <color indexed="64"/>
      </bottom>
      <diagonal/>
    </border>
    <border>
      <left style="thin">
        <color indexed="64"/>
      </left>
      <right style="thin">
        <color indexed="64"/>
      </right>
      <top/>
      <bottom style="thick">
        <color indexed="64"/>
      </bottom>
      <diagonal/>
    </border>
    <border>
      <left style="hair">
        <color theme="1"/>
      </left>
      <right/>
      <top style="thin">
        <color indexed="64"/>
      </top>
      <bottom style="thin">
        <color indexed="64"/>
      </bottom>
      <diagonal/>
    </border>
    <border>
      <left style="medium">
        <color theme="1"/>
      </left>
      <right style="thin">
        <color theme="1" tint="0.499984740745262"/>
      </right>
      <top/>
      <bottom style="thin">
        <color indexed="64"/>
      </bottom>
      <diagonal/>
    </border>
    <border>
      <left style="thin">
        <color theme="1" tint="0.499984740745262"/>
      </left>
      <right style="dotted">
        <color theme="1" tint="0.24994659260841701"/>
      </right>
      <top/>
      <bottom style="thin">
        <color indexed="64"/>
      </bottom>
      <diagonal/>
    </border>
    <border>
      <left style="thin">
        <color theme="1" tint="0.499984740745262"/>
      </left>
      <right/>
      <top/>
      <bottom style="thin">
        <color indexed="64"/>
      </bottom>
      <diagonal/>
    </border>
    <border>
      <left style="dotted">
        <color theme="1"/>
      </left>
      <right style="thin">
        <color theme="1" tint="0.499984740745262"/>
      </right>
      <top/>
      <bottom style="thin">
        <color indexed="64"/>
      </bottom>
      <diagonal/>
    </border>
    <border>
      <left style="thin">
        <color theme="1"/>
      </left>
      <right style="thin">
        <color theme="1" tint="0.499984740745262"/>
      </right>
      <top/>
      <bottom style="thin">
        <color indexed="64"/>
      </bottom>
      <diagonal/>
    </border>
    <border>
      <left style="dotted">
        <color theme="1"/>
      </left>
      <right/>
      <top/>
      <bottom style="thin">
        <color indexed="64"/>
      </bottom>
      <diagonal/>
    </border>
    <border>
      <left style="dotted">
        <color theme="1"/>
      </left>
      <right style="thin">
        <color theme="1"/>
      </right>
      <top/>
      <bottom style="thin">
        <color indexed="64"/>
      </bottom>
      <diagonal/>
    </border>
    <border>
      <left/>
      <right style="thin">
        <color theme="1" tint="0.499984740745262"/>
      </right>
      <top style="thin">
        <color indexed="64"/>
      </top>
      <bottom/>
      <diagonal/>
    </border>
    <border>
      <left style="thin">
        <color theme="1" tint="0.499984740745262"/>
      </left>
      <right style="thin">
        <color theme="1" tint="0.499984740745262"/>
      </right>
      <top style="thin">
        <color indexed="64"/>
      </top>
      <bottom/>
      <diagonal/>
    </border>
    <border>
      <left style="thin">
        <color theme="1" tint="0.499984740745262"/>
      </left>
      <right/>
      <top style="thin">
        <color indexed="64"/>
      </top>
      <bottom/>
      <diagonal/>
    </border>
    <border>
      <left style="medium">
        <color theme="1"/>
      </left>
      <right style="thin">
        <color theme="1" tint="0.499984740745262"/>
      </right>
      <top style="thin">
        <color indexed="64"/>
      </top>
      <bottom/>
      <diagonal/>
    </border>
    <border>
      <left style="thin">
        <color theme="1" tint="0.499984740745262"/>
      </left>
      <right style="dotted">
        <color theme="1" tint="0.24994659260841701"/>
      </right>
      <top style="thin">
        <color indexed="64"/>
      </top>
      <bottom/>
      <diagonal/>
    </border>
    <border>
      <left style="dotted">
        <color theme="1"/>
      </left>
      <right style="thin">
        <color theme="1" tint="0.499984740745262"/>
      </right>
      <top style="thin">
        <color indexed="64"/>
      </top>
      <bottom/>
      <diagonal/>
    </border>
    <border>
      <left/>
      <right style="thin">
        <color theme="1" tint="0.499984740745262"/>
      </right>
      <top/>
      <bottom style="thin">
        <color indexed="64"/>
      </bottom>
      <diagonal/>
    </border>
    <border>
      <left style="thin">
        <color theme="1"/>
      </left>
      <right style="medium">
        <color indexed="64"/>
      </right>
      <top/>
      <bottom style="thin">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top/>
      <bottom style="double">
        <color indexed="64"/>
      </bottom>
      <diagonal/>
    </border>
    <border>
      <left style="thick">
        <color indexed="64"/>
      </left>
      <right/>
      <top/>
      <bottom style="double">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double">
        <color indexed="64"/>
      </bottom>
      <diagonal/>
    </border>
    <border>
      <left/>
      <right style="thick">
        <color indexed="64"/>
      </right>
      <top style="thin">
        <color indexed="64"/>
      </top>
      <bottom style="double">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ck">
        <color indexed="64"/>
      </top>
      <bottom style="thin">
        <color indexed="64"/>
      </bottom>
      <diagonal/>
    </border>
    <border diagonalUp="1">
      <left style="thick">
        <color indexed="64"/>
      </left>
      <right/>
      <top/>
      <bottom/>
      <diagonal style="thin">
        <color indexed="64"/>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style="medium">
        <color indexed="64"/>
      </left>
      <right/>
      <top style="thin">
        <color indexed="64"/>
      </top>
      <bottom style="thin">
        <color theme="1" tint="0.499984740745262"/>
      </bottom>
      <diagonal/>
    </border>
    <border>
      <left style="thin">
        <color indexed="64"/>
      </left>
      <right style="thin">
        <color theme="1" tint="0.499984740745262"/>
      </right>
      <top style="thin">
        <color indexed="64"/>
      </top>
      <bottom/>
      <diagonal/>
    </border>
    <border>
      <left/>
      <right/>
      <top style="thin">
        <color indexed="64"/>
      </top>
      <bottom style="thin">
        <color theme="1" tint="0.499984740745262"/>
      </bottom>
      <diagonal/>
    </border>
    <border>
      <left/>
      <right style="medium">
        <color indexed="64"/>
      </right>
      <top style="thin">
        <color indexed="64"/>
      </top>
      <bottom style="thin">
        <color theme="1" tint="0.499984740745262"/>
      </bottom>
      <diagonal/>
    </border>
    <border>
      <left style="medium">
        <color indexed="64"/>
      </left>
      <right/>
      <top style="thin">
        <color indexed="64"/>
      </top>
      <bottom/>
      <diagonal/>
    </border>
    <border>
      <left style="thin">
        <color indexed="64"/>
      </left>
      <right/>
      <top style="thin">
        <color indexed="64"/>
      </top>
      <bottom style="thin">
        <color theme="1" tint="0.499984740745262"/>
      </bottom>
      <diagonal/>
    </border>
    <border>
      <left/>
      <right style="thin">
        <color indexed="64"/>
      </right>
      <top style="thin">
        <color indexed="64"/>
      </top>
      <bottom style="thin">
        <color theme="1" tint="0.499984740745262"/>
      </bottom>
      <diagonal/>
    </border>
    <border>
      <left/>
      <right style="thin">
        <color indexed="64"/>
      </right>
      <top style="thin">
        <color theme="1" tint="0.499984740745262"/>
      </top>
      <bottom/>
      <diagonal/>
    </border>
    <border>
      <left/>
      <right/>
      <top/>
      <bottom style="thin">
        <color theme="1" tint="0.499984740745262"/>
      </bottom>
      <diagonal/>
    </border>
    <border>
      <left/>
      <right style="thin">
        <color indexed="64"/>
      </right>
      <top style="thin">
        <color theme="1" tint="0.499984740745262"/>
      </top>
      <bottom style="thin">
        <color theme="1" tint="0.499984740745262"/>
      </bottom>
      <diagonal/>
    </border>
    <border>
      <left style="thin">
        <color theme="1"/>
      </left>
      <right style="medium">
        <color indexed="64"/>
      </right>
      <top style="thin">
        <color theme="1" tint="0.499984740745262"/>
      </top>
      <bottom/>
      <diagonal/>
    </border>
    <border>
      <left/>
      <right/>
      <top style="thin">
        <color theme="1" tint="0.499984740745262"/>
      </top>
      <bottom/>
      <diagonal/>
    </border>
    <border>
      <left style="thin">
        <color theme="1"/>
      </left>
      <right/>
      <top style="thin">
        <color theme="1" tint="0.499984740745262"/>
      </top>
      <bottom/>
      <diagonal/>
    </border>
    <border>
      <left/>
      <right style="thin">
        <color theme="1"/>
      </right>
      <top style="thin">
        <color theme="1" tint="0.499984740745262"/>
      </top>
      <bottom/>
      <diagonal/>
    </border>
    <border>
      <left style="medium">
        <color indexed="64"/>
      </left>
      <right/>
      <top style="thin">
        <color theme="1" tint="0.499984740745262"/>
      </top>
      <bottom style="thin">
        <color theme="1" tint="0.499984740745262"/>
      </bottom>
      <diagonal/>
    </border>
    <border>
      <left style="thin">
        <color indexed="64"/>
      </left>
      <right/>
      <top style="thin">
        <color theme="1" tint="0.499984740745262"/>
      </top>
      <bottom/>
      <diagonal/>
    </border>
    <border>
      <left style="medium">
        <color indexed="64"/>
      </left>
      <right/>
      <top style="thin">
        <color theme="1" tint="0.499984740745262"/>
      </top>
      <bottom/>
      <diagonal/>
    </border>
    <border>
      <left style="medium">
        <color indexed="64"/>
      </left>
      <right/>
      <top/>
      <bottom style="thin">
        <color theme="1" tint="0.499984740745262"/>
      </bottom>
      <diagonal/>
    </border>
    <border>
      <left style="medium">
        <color indexed="64"/>
      </left>
      <right style="hair">
        <color indexed="64"/>
      </right>
      <top style="thin">
        <color theme="1" tint="0.499984740745262"/>
      </top>
      <bottom/>
      <diagonal/>
    </border>
    <border>
      <left style="hair">
        <color indexed="64"/>
      </left>
      <right style="hair">
        <color indexed="64"/>
      </right>
      <top style="thin">
        <color theme="1" tint="0.499984740745262"/>
      </top>
      <bottom/>
      <diagonal/>
    </border>
    <border>
      <left style="hair">
        <color indexed="64"/>
      </left>
      <right style="medium">
        <color indexed="64"/>
      </right>
      <top style="thin">
        <color theme="1" tint="0.499984740745262"/>
      </top>
      <bottom/>
      <diagonal/>
    </border>
    <border>
      <left style="thin">
        <color theme="1"/>
      </left>
      <right style="thin">
        <color theme="1" tint="0.499984740745262"/>
      </right>
      <top style="thin">
        <color theme="1" tint="0.499984740745262"/>
      </top>
      <bottom/>
      <diagonal/>
    </border>
    <border>
      <left style="thin">
        <color theme="1" tint="0.499984740745262"/>
      </left>
      <right style="dotted">
        <color theme="1"/>
      </right>
      <top style="thin">
        <color theme="1" tint="0.499984740745262"/>
      </top>
      <bottom/>
      <diagonal/>
    </border>
    <border>
      <left style="dotted">
        <color theme="1"/>
      </left>
      <right style="dotted">
        <color theme="1"/>
      </right>
      <top style="thin">
        <color theme="1" tint="0.499984740745262"/>
      </top>
      <bottom/>
      <diagonal/>
    </border>
    <border>
      <left style="dotted">
        <color theme="1"/>
      </left>
      <right style="thin">
        <color theme="1"/>
      </right>
      <top style="thin">
        <color theme="1" tint="0.499984740745262"/>
      </top>
      <bottom/>
      <diagonal/>
    </border>
    <border>
      <left style="dotted">
        <color theme="1"/>
      </left>
      <right/>
      <top style="thin">
        <color theme="1" tint="0.499984740745262"/>
      </top>
      <bottom/>
      <diagonal/>
    </border>
    <border>
      <left style="thin">
        <color indexed="64"/>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medium">
        <color indexed="64"/>
      </left>
      <right style="thin">
        <color theme="1" tint="0.499984740745262"/>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auto="1"/>
      </right>
      <top style="thin">
        <color theme="1" tint="0.499984740745262"/>
      </top>
      <bottom/>
      <diagonal/>
    </border>
    <border>
      <left style="thin">
        <color theme="1"/>
      </left>
      <right style="medium">
        <color indexed="64"/>
      </right>
      <top/>
      <bottom/>
      <diagonal/>
    </border>
    <border>
      <left style="thin">
        <color theme="1" tint="0.499984740745262"/>
      </left>
      <right style="medium">
        <color indexed="64"/>
      </right>
      <top style="thin">
        <color theme="1" tint="0.499984740745262"/>
      </top>
      <bottom/>
      <diagonal/>
    </border>
    <border>
      <left style="thin">
        <color theme="1" tint="0.499984740745262"/>
      </left>
      <right style="dotted">
        <color theme="1" tint="0.24994659260841701"/>
      </right>
      <top style="thin">
        <color theme="1" tint="0.499984740745262"/>
      </top>
      <bottom/>
      <diagonal/>
    </border>
    <border>
      <left style="dotted">
        <color theme="1"/>
      </left>
      <right style="thin">
        <color theme="1" tint="0.499984740745262"/>
      </right>
      <top style="thin">
        <color theme="1" tint="0.499984740745262"/>
      </top>
      <bottom/>
      <diagonal/>
    </border>
    <border>
      <left style="medium">
        <color indexed="64"/>
      </left>
      <right style="dotted">
        <color theme="1"/>
      </right>
      <top style="thin">
        <color theme="1" tint="0.499984740745262"/>
      </top>
      <bottom/>
      <diagonal/>
    </border>
    <border>
      <left style="thin">
        <color indexed="64"/>
      </left>
      <right style="dotted">
        <color indexed="64"/>
      </right>
      <top style="thin">
        <color theme="1" tint="0.499984740745262"/>
      </top>
      <bottom/>
      <diagonal/>
    </border>
    <border>
      <left style="dotted">
        <color indexed="64"/>
      </left>
      <right style="thin">
        <color theme="1" tint="0.499984740745262"/>
      </right>
      <top style="thin">
        <color theme="1" tint="0.499984740745262"/>
      </top>
      <bottom/>
      <diagonal/>
    </border>
    <border>
      <left style="thin">
        <color theme="1" tint="0.499984740745262"/>
      </left>
      <right style="thin">
        <color theme="1"/>
      </right>
      <top style="thin">
        <color theme="1" tint="0.499984740745262"/>
      </top>
      <bottom/>
      <diagonal/>
    </border>
    <border>
      <left/>
      <right style="medium">
        <color indexed="64"/>
      </right>
      <top/>
      <bottom style="thin">
        <color theme="1" tint="0.499984740745262"/>
      </bottom>
      <diagonal/>
    </border>
    <border>
      <left/>
      <right style="thin">
        <color indexed="64"/>
      </right>
      <top/>
      <bottom style="thin">
        <color theme="1" tint="0.499984740745262"/>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theme="1" tint="0.499984740745262"/>
      </bottom>
      <diagonal/>
    </border>
    <border>
      <left/>
      <right style="thin">
        <color theme="1"/>
      </right>
      <top style="thin">
        <color theme="1" tint="0.499984740745262"/>
      </top>
      <bottom style="thin">
        <color theme="1" tint="0.499984740745262"/>
      </bottom>
      <diagonal/>
    </border>
    <border>
      <left style="medium">
        <color indexed="64"/>
      </left>
      <right style="thin">
        <color indexed="64"/>
      </right>
      <top style="thin">
        <color theme="1" tint="0.499984740745262"/>
      </top>
      <bottom/>
      <diagonal/>
    </border>
    <border>
      <left style="medium">
        <color theme="1"/>
      </left>
      <right style="thin">
        <color theme="1" tint="0.499984740745262"/>
      </right>
      <top style="thin">
        <color theme="1" tint="0.499984740745262"/>
      </top>
      <bottom/>
      <diagonal/>
    </border>
    <border>
      <left style="thin">
        <color theme="1" tint="0.499984740745262"/>
      </left>
      <right style="hair">
        <color theme="1"/>
      </right>
      <top style="thin">
        <color theme="1" tint="0.499984740745262"/>
      </top>
      <bottom/>
      <diagonal/>
    </border>
    <border>
      <left style="hair">
        <color theme="1"/>
      </left>
      <right style="hair">
        <color theme="1"/>
      </right>
      <top style="thin">
        <color theme="1" tint="0.499984740745262"/>
      </top>
      <bottom/>
      <diagonal/>
    </border>
    <border>
      <left style="hair">
        <color theme="1"/>
      </left>
      <right style="thin">
        <color theme="1"/>
      </right>
      <top style="thin">
        <color theme="1" tint="0.499984740745262"/>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theme="1" tint="0.499984740745262"/>
      </left>
      <right style="thin">
        <color auto="1"/>
      </right>
      <top style="thin">
        <color indexed="64"/>
      </top>
      <bottom/>
      <diagonal/>
    </border>
    <border>
      <left style="thin">
        <color theme="1"/>
      </left>
      <right style="thin">
        <color theme="1" tint="0.499984740745262"/>
      </right>
      <top style="thin">
        <color indexed="64"/>
      </top>
      <bottom/>
      <diagonal/>
    </border>
    <border>
      <left style="thin">
        <color indexed="64"/>
      </left>
      <right/>
      <top style="thick">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bottom style="thin">
        <color indexed="64"/>
      </bottom>
      <diagonal/>
    </border>
    <border>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n">
        <color indexed="64"/>
      </right>
      <top style="double">
        <color indexed="64"/>
      </top>
      <bottom/>
      <diagonal/>
    </border>
  </borders>
  <cellStyleXfs count="468">
    <xf numFmtId="0" fontId="0" fillId="0" borderId="0">
      <alignment vertical="center"/>
    </xf>
    <xf numFmtId="0" fontId="17" fillId="2" borderId="0" applyNumberFormat="0" applyBorder="0" applyAlignment="0" applyProtection="0">
      <alignment vertical="center"/>
    </xf>
    <xf numFmtId="0" fontId="17" fillId="3" borderId="0" applyNumberFormat="0" applyBorder="0" applyAlignment="0" applyProtection="0">
      <alignment vertical="center"/>
    </xf>
    <xf numFmtId="0" fontId="17" fillId="4" borderId="0" applyNumberFormat="0" applyBorder="0" applyAlignment="0" applyProtection="0">
      <alignment vertical="center"/>
    </xf>
    <xf numFmtId="0" fontId="17" fillId="5" borderId="0" applyNumberFormat="0" applyBorder="0" applyAlignment="0" applyProtection="0">
      <alignment vertical="center"/>
    </xf>
    <xf numFmtId="0" fontId="17" fillId="6" borderId="0" applyNumberFormat="0" applyBorder="0" applyAlignment="0" applyProtection="0">
      <alignment vertical="center"/>
    </xf>
    <xf numFmtId="0" fontId="17" fillId="7" borderId="0" applyNumberFormat="0" applyBorder="0" applyAlignment="0" applyProtection="0">
      <alignment vertical="center"/>
    </xf>
    <xf numFmtId="0" fontId="17" fillId="8" borderId="0" applyNumberFormat="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5" borderId="0" applyNumberFormat="0" applyBorder="0" applyAlignment="0" applyProtection="0">
      <alignment vertical="center"/>
    </xf>
    <xf numFmtId="0" fontId="17" fillId="8" borderId="0" applyNumberFormat="0" applyBorder="0" applyAlignment="0" applyProtection="0">
      <alignment vertical="center"/>
    </xf>
    <xf numFmtId="0" fontId="17" fillId="11"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10"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18" fillId="15" borderId="0" applyNumberFormat="0" applyBorder="0" applyAlignment="0" applyProtection="0">
      <alignment vertical="center"/>
    </xf>
    <xf numFmtId="0" fontId="18" fillId="16" borderId="0" applyNumberFormat="0" applyBorder="0" applyAlignment="0" applyProtection="0">
      <alignment vertical="center"/>
    </xf>
    <xf numFmtId="0" fontId="18" fillId="17" borderId="0" applyNumberFormat="0" applyBorder="0" applyAlignment="0" applyProtection="0">
      <alignment vertical="center"/>
    </xf>
    <xf numFmtId="0" fontId="18" fillId="18"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18" fillId="19" borderId="0" applyNumberFormat="0" applyBorder="0" applyAlignment="0" applyProtection="0">
      <alignment vertical="center"/>
    </xf>
    <xf numFmtId="0" fontId="19" fillId="0" borderId="1">
      <alignment horizontal="center" vertical="center"/>
    </xf>
    <xf numFmtId="0" fontId="20" fillId="0" borderId="0" applyNumberFormat="0" applyFill="0" applyBorder="0" applyAlignment="0" applyProtection="0">
      <alignment vertical="center"/>
    </xf>
    <xf numFmtId="0" fontId="21" fillId="20" borderId="2" applyNumberFormat="0" applyAlignment="0" applyProtection="0">
      <alignment vertical="center"/>
    </xf>
    <xf numFmtId="0" fontId="22" fillId="21" borderId="0" applyNumberFormat="0" applyBorder="0" applyAlignment="0" applyProtection="0">
      <alignment vertical="center"/>
    </xf>
    <xf numFmtId="0" fontId="17" fillId="22" borderId="3" applyNumberFormat="0" applyFont="0" applyAlignment="0" applyProtection="0">
      <alignment vertical="center"/>
    </xf>
    <xf numFmtId="0" fontId="23" fillId="0" borderId="4" applyNumberFormat="0" applyFill="0" applyAlignment="0" applyProtection="0">
      <alignment vertical="center"/>
    </xf>
    <xf numFmtId="0" fontId="24" fillId="3" borderId="0" applyNumberFormat="0" applyBorder="0" applyAlignment="0" applyProtection="0">
      <alignment vertical="center"/>
    </xf>
    <xf numFmtId="0" fontId="25" fillId="23" borderId="5" applyNumberFormat="0" applyAlignment="0" applyProtection="0">
      <alignment vertical="center"/>
    </xf>
    <xf numFmtId="0" fontId="19" fillId="0" borderId="0" applyNumberFormat="0" applyFill="0" applyBorder="0" applyAlignment="0" applyProtection="0">
      <alignment vertical="center"/>
    </xf>
    <xf numFmtId="38" fontId="17" fillId="0" borderId="0" applyFont="0" applyFill="0" applyBorder="0" applyAlignment="0" applyProtection="0">
      <alignment vertical="center"/>
    </xf>
    <xf numFmtId="0" fontId="26" fillId="0" borderId="6" applyNumberFormat="0" applyFill="0" applyAlignment="0" applyProtection="0">
      <alignment vertical="center"/>
    </xf>
    <xf numFmtId="0" fontId="27" fillId="0" borderId="7" applyNumberFormat="0" applyFill="0" applyAlignment="0" applyProtection="0">
      <alignment vertical="center"/>
    </xf>
    <xf numFmtId="0" fontId="28" fillId="0" borderId="8" applyNumberFormat="0" applyFill="0" applyAlignment="0" applyProtection="0">
      <alignment vertical="center"/>
    </xf>
    <xf numFmtId="0" fontId="28" fillId="0" borderId="0" applyNumberFormat="0" applyFill="0" applyBorder="0" applyAlignment="0" applyProtection="0">
      <alignment vertical="center"/>
    </xf>
    <xf numFmtId="0" fontId="29" fillId="0" borderId="9" applyNumberFormat="0" applyFill="0" applyAlignment="0" applyProtection="0">
      <alignment vertical="center"/>
    </xf>
    <xf numFmtId="0" fontId="30" fillId="23" borderId="10" applyNumberFormat="0" applyAlignment="0" applyProtection="0">
      <alignment vertical="center"/>
    </xf>
    <xf numFmtId="0" fontId="31" fillId="0" borderId="0" applyNumberFormat="0" applyFill="0" applyBorder="0" applyAlignment="0" applyProtection="0">
      <alignment vertical="center"/>
    </xf>
    <xf numFmtId="0" fontId="32" fillId="7" borderId="5" applyNumberFormat="0" applyAlignment="0" applyProtection="0">
      <alignment vertical="center"/>
    </xf>
    <xf numFmtId="0" fontId="14" fillId="0" borderId="0">
      <alignment vertical="center"/>
    </xf>
    <xf numFmtId="0" fontId="14" fillId="0" borderId="0"/>
    <xf numFmtId="0" fontId="33" fillId="4" borderId="0" applyNumberFormat="0" applyBorder="0" applyAlignment="0" applyProtection="0">
      <alignment vertical="center"/>
    </xf>
    <xf numFmtId="0" fontId="13" fillId="0" borderId="0">
      <alignment vertical="center"/>
    </xf>
    <xf numFmtId="0" fontId="14" fillId="0" borderId="0">
      <alignment vertical="center"/>
    </xf>
    <xf numFmtId="0" fontId="17" fillId="2" borderId="0" applyNumberFormat="0" applyBorder="0" applyAlignment="0" applyProtection="0">
      <alignment vertical="center"/>
    </xf>
    <xf numFmtId="0" fontId="39" fillId="2" borderId="0" applyNumberFormat="0" applyBorder="0" applyAlignment="0" applyProtection="0">
      <alignment vertical="center"/>
    </xf>
    <xf numFmtId="0" fontId="17" fillId="2" borderId="0" applyNumberFormat="0" applyBorder="0" applyAlignment="0" applyProtection="0">
      <alignment vertical="center"/>
    </xf>
    <xf numFmtId="0" fontId="17" fillId="3" borderId="0" applyNumberFormat="0" applyBorder="0" applyAlignment="0" applyProtection="0">
      <alignment vertical="center"/>
    </xf>
    <xf numFmtId="0" fontId="39" fillId="3" borderId="0" applyNumberFormat="0" applyBorder="0" applyAlignment="0" applyProtection="0">
      <alignment vertical="center"/>
    </xf>
    <xf numFmtId="0" fontId="17" fillId="3" borderId="0" applyNumberFormat="0" applyBorder="0" applyAlignment="0" applyProtection="0">
      <alignment vertical="center"/>
    </xf>
    <xf numFmtId="0" fontId="17" fillId="4" borderId="0" applyNumberFormat="0" applyBorder="0" applyAlignment="0" applyProtection="0">
      <alignment vertical="center"/>
    </xf>
    <xf numFmtId="0" fontId="39" fillId="4" borderId="0" applyNumberFormat="0" applyBorder="0" applyAlignment="0" applyProtection="0">
      <alignment vertical="center"/>
    </xf>
    <xf numFmtId="0" fontId="17" fillId="4" borderId="0" applyNumberFormat="0" applyBorder="0" applyAlignment="0" applyProtection="0">
      <alignment vertical="center"/>
    </xf>
    <xf numFmtId="0" fontId="17" fillId="5" borderId="0" applyNumberFormat="0" applyBorder="0" applyAlignment="0" applyProtection="0">
      <alignment vertical="center"/>
    </xf>
    <xf numFmtId="0" fontId="39" fillId="5" borderId="0" applyNumberFormat="0" applyBorder="0" applyAlignment="0" applyProtection="0">
      <alignment vertical="center"/>
    </xf>
    <xf numFmtId="0" fontId="17" fillId="5" borderId="0" applyNumberFormat="0" applyBorder="0" applyAlignment="0" applyProtection="0">
      <alignment vertical="center"/>
    </xf>
    <xf numFmtId="0" fontId="17" fillId="6" borderId="0" applyNumberFormat="0" applyBorder="0" applyAlignment="0" applyProtection="0">
      <alignment vertical="center"/>
    </xf>
    <xf numFmtId="0" fontId="39" fillId="6" borderId="0" applyNumberFormat="0" applyBorder="0" applyAlignment="0" applyProtection="0">
      <alignment vertical="center"/>
    </xf>
    <xf numFmtId="0" fontId="17" fillId="6" borderId="0" applyNumberFormat="0" applyBorder="0" applyAlignment="0" applyProtection="0">
      <alignment vertical="center"/>
    </xf>
    <xf numFmtId="0" fontId="17" fillId="7" borderId="0" applyNumberFormat="0" applyBorder="0" applyAlignment="0" applyProtection="0">
      <alignment vertical="center"/>
    </xf>
    <xf numFmtId="0" fontId="39" fillId="7" borderId="0" applyNumberFormat="0" applyBorder="0" applyAlignment="0" applyProtection="0">
      <alignment vertical="center"/>
    </xf>
    <xf numFmtId="0" fontId="17" fillId="7" borderId="0" applyNumberFormat="0" applyBorder="0" applyAlignment="0" applyProtection="0">
      <alignment vertical="center"/>
    </xf>
    <xf numFmtId="0" fontId="17" fillId="8" borderId="0" applyNumberFormat="0" applyBorder="0" applyAlignment="0" applyProtection="0">
      <alignment vertical="center"/>
    </xf>
    <xf numFmtId="0" fontId="39" fillId="8" borderId="0" applyNumberFormat="0" applyBorder="0" applyAlignment="0" applyProtection="0">
      <alignment vertical="center"/>
    </xf>
    <xf numFmtId="0" fontId="17" fillId="8" borderId="0" applyNumberFormat="0" applyBorder="0" applyAlignment="0" applyProtection="0">
      <alignment vertical="center"/>
    </xf>
    <xf numFmtId="0" fontId="17" fillId="9" borderId="0" applyNumberFormat="0" applyBorder="0" applyAlignment="0" applyProtection="0">
      <alignment vertical="center"/>
    </xf>
    <xf numFmtId="0" fontId="39" fillId="9" borderId="0" applyNumberFormat="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39" fillId="10" borderId="0" applyNumberFormat="0" applyBorder="0" applyAlignment="0" applyProtection="0">
      <alignment vertical="center"/>
    </xf>
    <xf numFmtId="0" fontId="17" fillId="10" borderId="0" applyNumberFormat="0" applyBorder="0" applyAlignment="0" applyProtection="0">
      <alignment vertical="center"/>
    </xf>
    <xf numFmtId="0" fontId="17" fillId="5" borderId="0" applyNumberFormat="0" applyBorder="0" applyAlignment="0" applyProtection="0">
      <alignment vertical="center"/>
    </xf>
    <xf numFmtId="0" fontId="39" fillId="5" borderId="0" applyNumberFormat="0" applyBorder="0" applyAlignment="0" applyProtection="0">
      <alignment vertical="center"/>
    </xf>
    <xf numFmtId="0" fontId="17" fillId="5" borderId="0" applyNumberFormat="0" applyBorder="0" applyAlignment="0" applyProtection="0">
      <alignment vertical="center"/>
    </xf>
    <xf numFmtId="0" fontId="17" fillId="8" borderId="0" applyNumberFormat="0" applyBorder="0" applyAlignment="0" applyProtection="0">
      <alignment vertical="center"/>
    </xf>
    <xf numFmtId="0" fontId="39" fillId="8" borderId="0" applyNumberFormat="0" applyBorder="0" applyAlignment="0" applyProtection="0">
      <alignment vertical="center"/>
    </xf>
    <xf numFmtId="0" fontId="17" fillId="8" borderId="0" applyNumberFormat="0" applyBorder="0" applyAlignment="0" applyProtection="0">
      <alignment vertical="center"/>
    </xf>
    <xf numFmtId="0" fontId="17" fillId="11" borderId="0" applyNumberFormat="0" applyBorder="0" applyAlignment="0" applyProtection="0">
      <alignment vertical="center"/>
    </xf>
    <xf numFmtId="0" fontId="39" fillId="11" borderId="0" applyNumberFormat="0" applyBorder="0" applyAlignment="0" applyProtection="0">
      <alignment vertical="center"/>
    </xf>
    <xf numFmtId="0" fontId="17" fillId="11" borderId="0" applyNumberFormat="0" applyBorder="0" applyAlignment="0" applyProtection="0">
      <alignment vertical="center"/>
    </xf>
    <xf numFmtId="0" fontId="18" fillId="12" borderId="0" applyNumberFormat="0" applyBorder="0" applyAlignment="0" applyProtection="0">
      <alignment vertical="center"/>
    </xf>
    <xf numFmtId="0" fontId="40" fillId="12"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40" fillId="9" borderId="0" applyNumberFormat="0" applyBorder="0" applyAlignment="0" applyProtection="0">
      <alignment vertical="center"/>
    </xf>
    <xf numFmtId="0" fontId="18" fillId="9" borderId="0" applyNumberFormat="0" applyBorder="0" applyAlignment="0" applyProtection="0">
      <alignment vertical="center"/>
    </xf>
    <xf numFmtId="0" fontId="18" fillId="10" borderId="0" applyNumberFormat="0" applyBorder="0" applyAlignment="0" applyProtection="0">
      <alignment vertical="center"/>
    </xf>
    <xf numFmtId="0" fontId="40" fillId="10" borderId="0" applyNumberFormat="0" applyBorder="0" applyAlignment="0" applyProtection="0">
      <alignment vertical="center"/>
    </xf>
    <xf numFmtId="0" fontId="18" fillId="10" borderId="0" applyNumberFormat="0" applyBorder="0" applyAlignment="0" applyProtection="0">
      <alignment vertical="center"/>
    </xf>
    <xf numFmtId="0" fontId="18" fillId="13" borderId="0" applyNumberFormat="0" applyBorder="0" applyAlignment="0" applyProtection="0">
      <alignment vertical="center"/>
    </xf>
    <xf numFmtId="0" fontId="40" fillId="13"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40" fillId="14" borderId="0" applyNumberFormat="0" applyBorder="0" applyAlignment="0" applyProtection="0">
      <alignment vertical="center"/>
    </xf>
    <xf numFmtId="0" fontId="18" fillId="14" borderId="0" applyNumberFormat="0" applyBorder="0" applyAlignment="0" applyProtection="0">
      <alignment vertical="center"/>
    </xf>
    <xf numFmtId="0" fontId="18" fillId="15" borderId="0" applyNumberFormat="0" applyBorder="0" applyAlignment="0" applyProtection="0">
      <alignment vertical="center"/>
    </xf>
    <xf numFmtId="0" fontId="40" fillId="15" borderId="0" applyNumberFormat="0" applyBorder="0" applyAlignment="0" applyProtection="0">
      <alignment vertical="center"/>
    </xf>
    <xf numFmtId="0" fontId="18" fillId="15" borderId="0" applyNumberFormat="0" applyBorder="0" applyAlignment="0" applyProtection="0">
      <alignment vertical="center"/>
    </xf>
    <xf numFmtId="0" fontId="18" fillId="16" borderId="0" applyNumberFormat="0" applyBorder="0" applyAlignment="0" applyProtection="0">
      <alignment vertical="center"/>
    </xf>
    <xf numFmtId="0" fontId="40" fillId="16" borderId="0" applyNumberFormat="0" applyBorder="0" applyAlignment="0" applyProtection="0">
      <alignment vertical="center"/>
    </xf>
    <xf numFmtId="0" fontId="18" fillId="16" borderId="0" applyNumberFormat="0" applyBorder="0" applyAlignment="0" applyProtection="0">
      <alignment vertical="center"/>
    </xf>
    <xf numFmtId="0" fontId="18" fillId="17" borderId="0" applyNumberFormat="0" applyBorder="0" applyAlignment="0" applyProtection="0">
      <alignment vertical="center"/>
    </xf>
    <xf numFmtId="0" fontId="40" fillId="17" borderId="0" applyNumberFormat="0" applyBorder="0" applyAlignment="0" applyProtection="0">
      <alignment vertical="center"/>
    </xf>
    <xf numFmtId="0" fontId="18" fillId="17" borderId="0" applyNumberFormat="0" applyBorder="0" applyAlignment="0" applyProtection="0">
      <alignment vertical="center"/>
    </xf>
    <xf numFmtId="0" fontId="18" fillId="18" borderId="0" applyNumberFormat="0" applyBorder="0" applyAlignment="0" applyProtection="0">
      <alignment vertical="center"/>
    </xf>
    <xf numFmtId="0" fontId="40" fillId="18" borderId="0" applyNumberFormat="0" applyBorder="0" applyAlignment="0" applyProtection="0">
      <alignment vertical="center"/>
    </xf>
    <xf numFmtId="0" fontId="18" fillId="18" borderId="0" applyNumberFormat="0" applyBorder="0" applyAlignment="0" applyProtection="0">
      <alignment vertical="center"/>
    </xf>
    <xf numFmtId="0" fontId="18" fillId="13" borderId="0" applyNumberFormat="0" applyBorder="0" applyAlignment="0" applyProtection="0">
      <alignment vertical="center"/>
    </xf>
    <xf numFmtId="0" fontId="40" fillId="13"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40" fillId="14" borderId="0" applyNumberFormat="0" applyBorder="0" applyAlignment="0" applyProtection="0">
      <alignment vertical="center"/>
    </xf>
    <xf numFmtId="0" fontId="18" fillId="14" borderId="0" applyNumberFormat="0" applyBorder="0" applyAlignment="0" applyProtection="0">
      <alignment vertical="center"/>
    </xf>
    <xf numFmtId="0" fontId="18" fillId="19" borderId="0" applyNumberFormat="0" applyBorder="0" applyAlignment="0" applyProtection="0">
      <alignment vertical="center"/>
    </xf>
    <xf numFmtId="0" fontId="40" fillId="19" borderId="0" applyNumberFormat="0" applyBorder="0" applyAlignment="0" applyProtection="0">
      <alignment vertical="center"/>
    </xf>
    <xf numFmtId="0" fontId="18" fillId="19" borderId="0" applyNumberFormat="0" applyBorder="0" applyAlignment="0" applyProtection="0">
      <alignment vertical="center"/>
    </xf>
    <xf numFmtId="0" fontId="20" fillId="0" borderId="0" applyNumberFormat="0" applyFill="0" applyBorder="0" applyAlignment="0" applyProtection="0">
      <alignment vertical="center"/>
    </xf>
    <xf numFmtId="0" fontId="21" fillId="20" borderId="2" applyNumberFormat="0" applyAlignment="0" applyProtection="0">
      <alignment vertical="center"/>
    </xf>
    <xf numFmtId="0" fontId="41" fillId="20" borderId="2" applyNumberFormat="0" applyAlignment="0" applyProtection="0">
      <alignment vertical="center"/>
    </xf>
    <xf numFmtId="0" fontId="21" fillId="20" borderId="2" applyNumberFormat="0" applyAlignment="0" applyProtection="0">
      <alignment vertical="center"/>
    </xf>
    <xf numFmtId="0" fontId="22" fillId="21" borderId="0" applyNumberFormat="0" applyBorder="0" applyAlignment="0" applyProtection="0">
      <alignment vertical="center"/>
    </xf>
    <xf numFmtId="0" fontId="42" fillId="21" borderId="0" applyNumberFormat="0" applyBorder="0" applyAlignment="0" applyProtection="0">
      <alignment vertical="center"/>
    </xf>
    <xf numFmtId="0" fontId="22" fillId="21" borderId="0" applyNumberFormat="0" applyBorder="0" applyAlignment="0" applyProtection="0">
      <alignment vertical="center"/>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center"/>
    </xf>
    <xf numFmtId="0" fontId="17" fillId="22" borderId="3" applyNumberFormat="0" applyFont="0" applyAlignment="0" applyProtection="0">
      <alignment vertical="center"/>
    </xf>
    <xf numFmtId="0" fontId="39" fillId="22" borderId="3" applyNumberFormat="0" applyFont="0" applyAlignment="0" applyProtection="0">
      <alignment vertical="center"/>
    </xf>
    <xf numFmtId="0" fontId="17" fillId="22" borderId="3" applyNumberFormat="0" applyFont="0" applyAlignment="0" applyProtection="0">
      <alignment vertical="center"/>
    </xf>
    <xf numFmtId="0" fontId="23" fillId="0" borderId="4" applyNumberFormat="0" applyFill="0" applyAlignment="0" applyProtection="0">
      <alignment vertical="center"/>
    </xf>
    <xf numFmtId="0" fontId="45" fillId="0" borderId="4" applyNumberFormat="0" applyFill="0" applyAlignment="0" applyProtection="0">
      <alignment vertical="center"/>
    </xf>
    <xf numFmtId="0" fontId="23" fillId="0" borderId="4" applyNumberFormat="0" applyFill="0" applyAlignment="0" applyProtection="0">
      <alignment vertical="center"/>
    </xf>
    <xf numFmtId="0" fontId="24" fillId="3" borderId="0" applyNumberFormat="0" applyBorder="0" applyAlignment="0" applyProtection="0">
      <alignment vertical="center"/>
    </xf>
    <xf numFmtId="0" fontId="46" fillId="3" borderId="0" applyNumberFormat="0" applyBorder="0" applyAlignment="0" applyProtection="0">
      <alignment vertical="center"/>
    </xf>
    <xf numFmtId="0" fontId="24" fillId="3" borderId="0" applyNumberFormat="0" applyBorder="0" applyAlignment="0" applyProtection="0">
      <alignment vertical="center"/>
    </xf>
    <xf numFmtId="0" fontId="25" fillId="23" borderId="5" applyNumberFormat="0" applyAlignment="0" applyProtection="0">
      <alignment vertical="center"/>
    </xf>
    <xf numFmtId="0" fontId="47" fillId="23" borderId="5" applyNumberFormat="0" applyAlignment="0" applyProtection="0">
      <alignment vertical="center"/>
    </xf>
    <xf numFmtId="0" fontId="25" fillId="23" borderId="5" applyNumberFormat="0" applyAlignment="0" applyProtection="0">
      <alignment vertical="center"/>
    </xf>
    <xf numFmtId="0" fontId="19"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19" fillId="0" borderId="0" applyNumberFormat="0" applyFill="0" applyBorder="0" applyAlignment="0" applyProtection="0">
      <alignment vertical="center"/>
    </xf>
    <xf numFmtId="38" fontId="49" fillId="0" borderId="0" applyFont="0" applyFill="0" applyBorder="0" applyAlignment="0" applyProtection="0">
      <alignment vertical="center"/>
    </xf>
    <xf numFmtId="38" fontId="17" fillId="0" borderId="0" applyFont="0" applyFill="0" applyBorder="0" applyAlignment="0" applyProtection="0">
      <alignment vertical="center"/>
    </xf>
    <xf numFmtId="38" fontId="14" fillId="0" borderId="0" applyFont="0" applyFill="0" applyBorder="0" applyAlignment="0" applyProtection="0"/>
    <xf numFmtId="38" fontId="14" fillId="0" borderId="0" applyFont="0" applyFill="0" applyBorder="0" applyAlignment="0" applyProtection="0">
      <alignment vertical="center"/>
    </xf>
    <xf numFmtId="38" fontId="50" fillId="0" borderId="0" applyFont="0" applyFill="0" applyBorder="0" applyAlignment="0" applyProtection="0">
      <alignment vertical="center"/>
    </xf>
    <xf numFmtId="38" fontId="50" fillId="0" borderId="0" applyFont="0" applyFill="0" applyBorder="0" applyAlignment="0" applyProtection="0">
      <alignment vertical="center"/>
    </xf>
    <xf numFmtId="0" fontId="26" fillId="0" borderId="6" applyNumberFormat="0" applyFill="0" applyAlignment="0" applyProtection="0">
      <alignment vertical="center"/>
    </xf>
    <xf numFmtId="0" fontId="27" fillId="0" borderId="7" applyNumberFormat="0" applyFill="0" applyAlignment="0" applyProtection="0">
      <alignment vertical="center"/>
    </xf>
    <xf numFmtId="0" fontId="28" fillId="0" borderId="8" applyNumberFormat="0" applyFill="0" applyAlignment="0" applyProtection="0">
      <alignment vertical="center"/>
    </xf>
    <xf numFmtId="0" fontId="28" fillId="0" borderId="0" applyNumberFormat="0" applyFill="0" applyBorder="0" applyAlignment="0" applyProtection="0">
      <alignment vertical="center"/>
    </xf>
    <xf numFmtId="0" fontId="29" fillId="0" borderId="9" applyNumberFormat="0" applyFill="0" applyAlignment="0" applyProtection="0">
      <alignment vertical="center"/>
    </xf>
    <xf numFmtId="0" fontId="51" fillId="0" borderId="9" applyNumberFormat="0" applyFill="0" applyAlignment="0" applyProtection="0">
      <alignment vertical="center"/>
    </xf>
    <xf numFmtId="0" fontId="29" fillId="0" borderId="9" applyNumberFormat="0" applyFill="0" applyAlignment="0" applyProtection="0">
      <alignment vertical="center"/>
    </xf>
    <xf numFmtId="0" fontId="30" fillId="23" borderId="10" applyNumberFormat="0" applyAlignment="0" applyProtection="0">
      <alignment vertical="center"/>
    </xf>
    <xf numFmtId="0" fontId="52" fillId="23" borderId="10" applyNumberFormat="0" applyAlignment="0" applyProtection="0">
      <alignment vertical="center"/>
    </xf>
    <xf numFmtId="0" fontId="30" fillId="23" borderId="10" applyNumberFormat="0" applyAlignment="0" applyProtection="0">
      <alignment vertical="center"/>
    </xf>
    <xf numFmtId="0" fontId="31"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7" borderId="5" applyNumberFormat="0" applyAlignment="0" applyProtection="0">
      <alignment vertical="center"/>
    </xf>
    <xf numFmtId="0" fontId="54" fillId="7" borderId="5" applyNumberFormat="0" applyAlignment="0" applyProtection="0">
      <alignment vertical="center"/>
    </xf>
    <xf numFmtId="0" fontId="32" fillId="7" borderId="5"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0"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0" fillId="0" borderId="0"/>
    <xf numFmtId="0" fontId="13" fillId="0" borderId="0">
      <alignment vertical="center"/>
    </xf>
    <xf numFmtId="0" fontId="50" fillId="0" borderId="0"/>
    <xf numFmtId="0" fontId="16" fillId="0" borderId="0"/>
    <xf numFmtId="0" fontId="49" fillId="0" borderId="0">
      <alignment vertical="center"/>
    </xf>
    <xf numFmtId="0" fontId="14" fillId="0" borderId="0">
      <alignment vertical="center"/>
    </xf>
    <xf numFmtId="0" fontId="55" fillId="0" borderId="0">
      <alignment vertical="center"/>
    </xf>
    <xf numFmtId="0" fontId="16" fillId="0" borderId="0"/>
    <xf numFmtId="0" fontId="13" fillId="0" borderId="0">
      <alignment vertical="center"/>
    </xf>
    <xf numFmtId="0" fontId="14" fillId="0" borderId="0"/>
    <xf numFmtId="0" fontId="55" fillId="0" borderId="0">
      <alignment vertical="center"/>
    </xf>
    <xf numFmtId="0" fontId="14" fillId="0" borderId="0">
      <alignment vertical="center"/>
    </xf>
    <xf numFmtId="0" fontId="16" fillId="0" borderId="0"/>
    <xf numFmtId="0" fontId="49" fillId="0" borderId="0">
      <alignment vertical="center"/>
    </xf>
    <xf numFmtId="0" fontId="14" fillId="0" borderId="0">
      <alignment vertical="center"/>
    </xf>
    <xf numFmtId="0" fontId="14"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0"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3" fillId="4" borderId="0" applyNumberFormat="0" applyBorder="0" applyAlignment="0" applyProtection="0">
      <alignment vertical="center"/>
    </xf>
    <xf numFmtId="0" fontId="56" fillId="4" borderId="0" applyNumberFormat="0" applyBorder="0" applyAlignment="0" applyProtection="0">
      <alignment vertical="center"/>
    </xf>
    <xf numFmtId="0" fontId="33" fillId="4" borderId="0" applyNumberFormat="0" applyBorder="0" applyAlignment="0" applyProtection="0">
      <alignment vertical="center"/>
    </xf>
    <xf numFmtId="176" fontId="14" fillId="0" borderId="0" applyFont="0" applyFill="0" applyBorder="0" applyAlignment="0" applyProtection="0">
      <alignment vertical="center"/>
    </xf>
    <xf numFmtId="9"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44" fillId="0" borderId="0" applyNumberFormat="0" applyFill="0" applyBorder="0" applyAlignment="0" applyProtection="0">
      <alignment vertical="center"/>
    </xf>
    <xf numFmtId="0" fontId="12" fillId="0" borderId="0">
      <alignment vertical="center"/>
    </xf>
    <xf numFmtId="0" fontId="12" fillId="0" borderId="0">
      <alignment vertical="center"/>
    </xf>
    <xf numFmtId="0" fontId="117" fillId="0" borderId="0">
      <alignment vertical="center"/>
    </xf>
    <xf numFmtId="38" fontId="12" fillId="0" borderId="0" applyFont="0" applyFill="0" applyBorder="0" applyAlignment="0" applyProtection="0">
      <alignment vertical="center"/>
    </xf>
    <xf numFmtId="0" fontId="117" fillId="0" borderId="0">
      <alignment vertical="center"/>
    </xf>
    <xf numFmtId="9" fontId="12"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0" fillId="0" borderId="0">
      <alignment vertical="center"/>
    </xf>
    <xf numFmtId="0" fontId="9" fillId="0" borderId="0">
      <alignment vertical="center"/>
    </xf>
    <xf numFmtId="0" fontId="14" fillId="0" borderId="0"/>
    <xf numFmtId="0" fontId="6" fillId="0" borderId="0">
      <alignment vertical="center"/>
    </xf>
    <xf numFmtId="38" fontId="6" fillId="0" borderId="0" applyFont="0" applyFill="0" applyBorder="0" applyAlignment="0" applyProtection="0">
      <alignment vertical="center"/>
    </xf>
    <xf numFmtId="0" fontId="3" fillId="0" borderId="0">
      <alignment vertical="center"/>
    </xf>
    <xf numFmtId="0" fontId="14" fillId="0" borderId="0">
      <alignment vertical="center"/>
    </xf>
    <xf numFmtId="0" fontId="17" fillId="2" borderId="0" applyNumberFormat="0" applyBorder="0" applyAlignment="0" applyProtection="0">
      <alignment vertical="center"/>
    </xf>
    <xf numFmtId="0" fontId="17" fillId="3" borderId="0" applyNumberFormat="0" applyBorder="0" applyAlignment="0" applyProtection="0">
      <alignment vertical="center"/>
    </xf>
    <xf numFmtId="0" fontId="17" fillId="4" borderId="0" applyNumberFormat="0" applyBorder="0" applyAlignment="0" applyProtection="0">
      <alignment vertical="center"/>
    </xf>
    <xf numFmtId="0" fontId="17" fillId="5" borderId="0" applyNumberFormat="0" applyBorder="0" applyAlignment="0" applyProtection="0">
      <alignment vertical="center"/>
    </xf>
    <xf numFmtId="0" fontId="17" fillId="6" borderId="0" applyNumberFormat="0" applyBorder="0" applyAlignment="0" applyProtection="0">
      <alignment vertical="center"/>
    </xf>
    <xf numFmtId="0" fontId="17" fillId="7" borderId="0" applyNumberFormat="0" applyBorder="0" applyAlignment="0" applyProtection="0">
      <alignment vertical="center"/>
    </xf>
    <xf numFmtId="0" fontId="17" fillId="8" borderId="0" applyNumberFormat="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5" borderId="0" applyNumberFormat="0" applyBorder="0" applyAlignment="0" applyProtection="0">
      <alignment vertical="center"/>
    </xf>
    <xf numFmtId="0" fontId="17" fillId="8" borderId="0" applyNumberFormat="0" applyBorder="0" applyAlignment="0" applyProtection="0">
      <alignment vertical="center"/>
    </xf>
    <xf numFmtId="0" fontId="17" fillId="11"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10"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18" fillId="15" borderId="0" applyNumberFormat="0" applyBorder="0" applyAlignment="0" applyProtection="0">
      <alignment vertical="center"/>
    </xf>
    <xf numFmtId="0" fontId="18" fillId="16" borderId="0" applyNumberFormat="0" applyBorder="0" applyAlignment="0" applyProtection="0">
      <alignment vertical="center"/>
    </xf>
    <xf numFmtId="0" fontId="18" fillId="17" borderId="0" applyNumberFormat="0" applyBorder="0" applyAlignment="0" applyProtection="0">
      <alignment vertical="center"/>
    </xf>
    <xf numFmtId="0" fontId="18" fillId="18"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18" fillId="19" borderId="0" applyNumberFormat="0" applyBorder="0" applyAlignment="0" applyProtection="0">
      <alignment vertical="center"/>
    </xf>
    <xf numFmtId="0" fontId="20" fillId="0" borderId="0" applyNumberFormat="0" applyFill="0" applyBorder="0" applyAlignment="0" applyProtection="0">
      <alignment vertical="center"/>
    </xf>
    <xf numFmtId="0" fontId="21" fillId="20" borderId="2" applyNumberFormat="0" applyAlignment="0" applyProtection="0">
      <alignment vertical="center"/>
    </xf>
    <xf numFmtId="0" fontId="22" fillId="21" borderId="0" applyNumberFormat="0" applyBorder="0" applyAlignment="0" applyProtection="0">
      <alignment vertical="center"/>
    </xf>
    <xf numFmtId="0" fontId="17" fillId="22" borderId="3" applyNumberFormat="0" applyFont="0" applyAlignment="0" applyProtection="0">
      <alignment vertical="center"/>
    </xf>
    <xf numFmtId="0" fontId="23" fillId="0" borderId="4" applyNumberFormat="0" applyFill="0" applyAlignment="0" applyProtection="0">
      <alignment vertical="center"/>
    </xf>
    <xf numFmtId="0" fontId="24" fillId="3" borderId="0" applyNumberFormat="0" applyBorder="0" applyAlignment="0" applyProtection="0">
      <alignment vertical="center"/>
    </xf>
    <xf numFmtId="0" fontId="25" fillId="23" borderId="5" applyNumberFormat="0" applyAlignment="0" applyProtection="0">
      <alignment vertical="center"/>
    </xf>
    <xf numFmtId="0" fontId="19" fillId="0" borderId="0" applyNumberFormat="0" applyFill="0" applyBorder="0" applyAlignment="0" applyProtection="0">
      <alignment vertical="center"/>
    </xf>
    <xf numFmtId="0" fontId="26" fillId="0" borderId="6" applyNumberFormat="0" applyFill="0" applyAlignment="0" applyProtection="0">
      <alignment vertical="center"/>
    </xf>
    <xf numFmtId="0" fontId="27" fillId="0" borderId="7" applyNumberFormat="0" applyFill="0" applyAlignment="0" applyProtection="0">
      <alignment vertical="center"/>
    </xf>
    <xf numFmtId="0" fontId="28" fillId="0" borderId="8" applyNumberFormat="0" applyFill="0" applyAlignment="0" applyProtection="0">
      <alignment vertical="center"/>
    </xf>
    <xf numFmtId="0" fontId="28" fillId="0" borderId="0" applyNumberFormat="0" applyFill="0" applyBorder="0" applyAlignment="0" applyProtection="0">
      <alignment vertical="center"/>
    </xf>
    <xf numFmtId="0" fontId="29" fillId="0" borderId="9" applyNumberFormat="0" applyFill="0" applyAlignment="0" applyProtection="0">
      <alignment vertical="center"/>
    </xf>
    <xf numFmtId="0" fontId="30" fillId="23" borderId="10" applyNumberFormat="0" applyAlignment="0" applyProtection="0">
      <alignment vertical="center"/>
    </xf>
    <xf numFmtId="0" fontId="31" fillId="0" borderId="0" applyNumberFormat="0" applyFill="0" applyBorder="0" applyAlignment="0" applyProtection="0">
      <alignment vertical="center"/>
    </xf>
    <xf numFmtId="0" fontId="32" fillId="7" borderId="5" applyNumberFormat="0" applyAlignment="0" applyProtection="0">
      <alignment vertical="center"/>
    </xf>
    <xf numFmtId="0" fontId="33" fillId="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6" fontId="14" fillId="0" borderId="0" applyFont="0" applyFill="0" applyBorder="0" applyAlignment="0" applyProtection="0">
      <alignment vertical="center"/>
    </xf>
    <xf numFmtId="9"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17" fillId="22" borderId="3" applyNumberFormat="0" applyFont="0" applyAlignment="0" applyProtection="0">
      <alignment vertical="center"/>
    </xf>
    <xf numFmtId="0" fontId="25" fillId="23" borderId="5" applyNumberFormat="0" applyAlignment="0" applyProtection="0">
      <alignment vertical="center"/>
    </xf>
    <xf numFmtId="6" fontId="14" fillId="0" borderId="0" applyFont="0" applyFill="0" applyBorder="0" applyAlignment="0" applyProtection="0">
      <alignment vertical="center"/>
    </xf>
    <xf numFmtId="0" fontId="29" fillId="0" borderId="9" applyNumberFormat="0" applyFill="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0" fillId="23" borderId="10" applyNumberFormat="0" applyAlignment="0" applyProtection="0">
      <alignment vertical="center"/>
    </xf>
    <xf numFmtId="0" fontId="32" fillId="7" borderId="5" applyNumberFormat="0" applyAlignment="0" applyProtection="0">
      <alignment vertical="center"/>
    </xf>
    <xf numFmtId="0" fontId="17" fillId="22" borderId="3" applyNumberFormat="0" applyFont="0" applyAlignment="0" applyProtection="0">
      <alignment vertical="center"/>
    </xf>
    <xf numFmtId="0" fontId="39" fillId="22" borderId="3" applyNumberFormat="0" applyFont="0" applyAlignment="0" applyProtection="0">
      <alignment vertical="center"/>
    </xf>
    <xf numFmtId="0" fontId="17" fillId="22" borderId="3" applyNumberFormat="0" applyFont="0" applyAlignment="0" applyProtection="0">
      <alignment vertical="center"/>
    </xf>
    <xf numFmtId="0" fontId="25" fillId="23" borderId="5" applyNumberFormat="0" applyAlignment="0" applyProtection="0">
      <alignment vertical="center"/>
    </xf>
    <xf numFmtId="0" fontId="47" fillId="23" borderId="5" applyNumberFormat="0" applyAlignment="0" applyProtection="0">
      <alignment vertical="center"/>
    </xf>
    <xf numFmtId="0" fontId="25" fillId="23" borderId="5" applyNumberFormat="0" applyAlignment="0" applyProtection="0">
      <alignment vertical="center"/>
    </xf>
    <xf numFmtId="0" fontId="29" fillId="0" borderId="9" applyNumberFormat="0" applyFill="0" applyAlignment="0" applyProtection="0">
      <alignment vertical="center"/>
    </xf>
    <xf numFmtId="0" fontId="51" fillId="0" borderId="9" applyNumberFormat="0" applyFill="0" applyAlignment="0" applyProtection="0">
      <alignment vertical="center"/>
    </xf>
    <xf numFmtId="0" fontId="29" fillId="0" borderId="9" applyNumberFormat="0" applyFill="0" applyAlignment="0" applyProtection="0">
      <alignment vertical="center"/>
    </xf>
    <xf numFmtId="0" fontId="30" fillId="23" borderId="10" applyNumberFormat="0" applyAlignment="0" applyProtection="0">
      <alignment vertical="center"/>
    </xf>
    <xf numFmtId="0" fontId="52" fillId="23" borderId="10" applyNumberFormat="0" applyAlignment="0" applyProtection="0">
      <alignment vertical="center"/>
    </xf>
    <xf numFmtId="0" fontId="30" fillId="23" borderId="10" applyNumberFormat="0" applyAlignment="0" applyProtection="0">
      <alignment vertical="center"/>
    </xf>
    <xf numFmtId="0" fontId="32" fillId="7" borderId="5" applyNumberFormat="0" applyAlignment="0" applyProtection="0">
      <alignment vertical="center"/>
    </xf>
    <xf numFmtId="0" fontId="54" fillId="7" borderId="5" applyNumberFormat="0" applyAlignment="0" applyProtection="0">
      <alignment vertical="center"/>
    </xf>
    <xf numFmtId="0" fontId="32" fillId="7" borderId="5" applyNumberFormat="0" applyAlignment="0" applyProtection="0">
      <alignment vertical="center"/>
    </xf>
  </cellStyleXfs>
  <cellXfs count="3310">
    <xf numFmtId="0" fontId="0" fillId="0" borderId="0" xfId="0">
      <alignment vertical="center"/>
    </xf>
    <xf numFmtId="0" fontId="35" fillId="0" borderId="0" xfId="0" applyFont="1" applyAlignment="1">
      <alignment horizontal="left"/>
    </xf>
    <xf numFmtId="0" fontId="35" fillId="0" borderId="0" xfId="0" applyFont="1">
      <alignment vertical="center"/>
    </xf>
    <xf numFmtId="0" fontId="36" fillId="0" borderId="0" xfId="0" applyFont="1">
      <alignment vertical="center"/>
    </xf>
    <xf numFmtId="0" fontId="35" fillId="0" borderId="0" xfId="0" applyFont="1" applyAlignment="1">
      <alignment vertical="top" wrapText="1"/>
    </xf>
    <xf numFmtId="0" fontId="35" fillId="0" borderId="0" xfId="0" applyFont="1" applyAlignment="1">
      <alignment horizontal="center" vertical="center"/>
    </xf>
    <xf numFmtId="0" fontId="35" fillId="0" borderId="0" xfId="44" applyFont="1"/>
    <xf numFmtId="0" fontId="35" fillId="0" borderId="0" xfId="44" applyFont="1" applyAlignment="1">
      <alignment horizontal="center" vertical="center"/>
    </xf>
    <xf numFmtId="0" fontId="37" fillId="0" borderId="0" xfId="44" applyFont="1"/>
    <xf numFmtId="0" fontId="35" fillId="0" borderId="0" xfId="44" applyFont="1" applyAlignment="1">
      <alignment vertical="top"/>
    </xf>
    <xf numFmtId="0" fontId="35" fillId="0" borderId="0" xfId="44" applyFont="1" applyAlignment="1" applyProtection="1">
      <alignment vertical="center" wrapText="1"/>
      <protection locked="0"/>
    </xf>
    <xf numFmtId="0" fontId="37" fillId="0" borderId="0" xfId="0" applyFont="1" applyAlignment="1" applyProtection="1">
      <alignment vertical="center" wrapText="1"/>
      <protection locked="0"/>
    </xf>
    <xf numFmtId="179" fontId="35" fillId="0" borderId="0" xfId="44" applyNumberFormat="1" applyFont="1" applyAlignment="1" applyProtection="1">
      <alignment vertical="center" wrapText="1"/>
      <protection locked="0"/>
    </xf>
    <xf numFmtId="0" fontId="35" fillId="0" borderId="0" xfId="0" applyFont="1" applyAlignment="1" applyProtection="1">
      <alignment vertical="center" wrapText="1"/>
      <protection locked="0"/>
    </xf>
    <xf numFmtId="0" fontId="35" fillId="0" borderId="0" xfId="0" applyFont="1" applyAlignment="1">
      <alignment vertical="center" shrinkToFit="1"/>
    </xf>
    <xf numFmtId="0" fontId="35" fillId="0" borderId="0" xfId="0" applyFont="1" applyAlignment="1">
      <alignment vertical="center" wrapText="1"/>
    </xf>
    <xf numFmtId="0" fontId="35" fillId="0" borderId="0" xfId="44" applyFont="1" applyAlignment="1">
      <alignment vertical="center"/>
    </xf>
    <xf numFmtId="0" fontId="62" fillId="0" borderId="102" xfId="280" applyNumberFormat="1" applyFont="1" applyFill="1" applyBorder="1" applyAlignment="1" applyProtection="1">
      <alignment horizontal="left" vertical="center" wrapText="1"/>
    </xf>
    <xf numFmtId="9" fontId="62" fillId="0" borderId="102" xfId="280" applyFont="1" applyFill="1" applyBorder="1" applyAlignment="1" applyProtection="1">
      <alignment horizontal="left" vertical="center" wrapText="1"/>
    </xf>
    <xf numFmtId="0" fontId="62" fillId="0" borderId="0" xfId="280" applyNumberFormat="1" applyFont="1" applyFill="1" applyBorder="1" applyAlignment="1" applyProtection="1">
      <alignment horizontal="center" vertical="center"/>
    </xf>
    <xf numFmtId="9" fontId="62" fillId="0" borderId="0" xfId="280" applyFont="1" applyFill="1" applyBorder="1" applyAlignment="1" applyProtection="1">
      <alignment horizontal="center" vertical="center"/>
    </xf>
    <xf numFmtId="9" fontId="35" fillId="0" borderId="0" xfId="280" applyFont="1" applyFill="1" applyBorder="1" applyAlignment="1" applyProtection="1">
      <alignment vertical="center" wrapText="1"/>
    </xf>
    <xf numFmtId="9" fontId="62" fillId="0" borderId="0" xfId="280" applyFont="1" applyFill="1" applyBorder="1" applyAlignment="1" applyProtection="1">
      <alignment horizontal="center" vertical="center" wrapText="1"/>
    </xf>
    <xf numFmtId="9" fontId="35" fillId="0" borderId="0" xfId="280" applyFont="1" applyFill="1" applyBorder="1" applyAlignment="1" applyProtection="1">
      <alignment horizontal="right" wrapText="1"/>
    </xf>
    <xf numFmtId="0" fontId="62" fillId="0" borderId="33" xfId="280" applyNumberFormat="1" applyFont="1" applyFill="1" applyBorder="1" applyAlignment="1" applyProtection="1">
      <alignment horizontal="left" vertical="center" wrapText="1"/>
    </xf>
    <xf numFmtId="0" fontId="35" fillId="0" borderId="0" xfId="0" applyFont="1" applyAlignment="1">
      <alignment horizontal="left" vertical="top"/>
    </xf>
    <xf numFmtId="0" fontId="35" fillId="0" borderId="0" xfId="0" applyFont="1" applyAlignment="1">
      <alignment vertical="top"/>
    </xf>
    <xf numFmtId="0" fontId="36" fillId="0" borderId="0" xfId="0" applyFont="1" applyAlignment="1">
      <alignment horizontal="right" vertical="center"/>
    </xf>
    <xf numFmtId="0" fontId="66" fillId="0" borderId="0" xfId="0" applyFont="1">
      <alignment vertical="center"/>
    </xf>
    <xf numFmtId="0" fontId="35" fillId="0" borderId="0" xfId="0" applyFont="1" applyAlignment="1">
      <alignment horizontal="distributed" vertical="center"/>
    </xf>
    <xf numFmtId="0" fontId="35" fillId="0" borderId="0" xfId="44" applyFont="1" applyAlignment="1">
      <alignment horizontal="center" vertical="top"/>
    </xf>
    <xf numFmtId="0" fontId="35" fillId="0" borderId="68" xfId="44" applyFont="1" applyBorder="1" applyAlignment="1">
      <alignment horizontal="center" vertical="center"/>
    </xf>
    <xf numFmtId="0" fontId="35" fillId="0" borderId="77" xfId="44" applyFont="1" applyBorder="1" applyAlignment="1">
      <alignment horizontal="center" vertical="center"/>
    </xf>
    <xf numFmtId="184" fontId="35" fillId="0" borderId="11" xfId="44" applyNumberFormat="1" applyFont="1" applyBorder="1" applyAlignment="1">
      <alignment vertical="center" shrinkToFit="1"/>
    </xf>
    <xf numFmtId="0" fontId="35" fillId="0" borderId="90" xfId="44" applyFont="1" applyBorder="1" applyAlignment="1">
      <alignment horizontal="center" vertical="center" shrinkToFit="1"/>
    </xf>
    <xf numFmtId="0" fontId="35" fillId="0" borderId="65" xfId="44" applyFont="1" applyBorder="1" applyAlignment="1">
      <alignment horizontal="center" vertical="center"/>
    </xf>
    <xf numFmtId="0" fontId="35" fillId="0" borderId="65" xfId="44" applyFont="1" applyBorder="1" applyAlignment="1">
      <alignment horizontal="center" vertical="center" shrinkToFit="1"/>
    </xf>
    <xf numFmtId="0" fontId="35" fillId="0" borderId="68" xfId="44" applyFont="1" applyBorder="1" applyAlignment="1">
      <alignment horizontal="center" vertical="center" shrinkToFit="1"/>
    </xf>
    <xf numFmtId="0" fontId="65" fillId="0" borderId="0" xfId="0" applyFont="1" applyAlignment="1">
      <alignment horizontal="center" vertical="top"/>
    </xf>
    <xf numFmtId="0" fontId="64" fillId="0" borderId="0" xfId="0" applyFont="1" applyAlignment="1">
      <alignment horizontal="center" vertical="center" wrapText="1"/>
    </xf>
    <xf numFmtId="0" fontId="35" fillId="0" borderId="0" xfId="0" applyFont="1" applyAlignment="1" applyProtection="1">
      <alignment horizontal="center" vertical="top" wrapText="1"/>
      <protection locked="0"/>
    </xf>
    <xf numFmtId="0" fontId="35" fillId="0" borderId="0" xfId="0" applyFont="1" applyAlignment="1" applyProtection="1">
      <alignment horizontal="left" vertical="center" wrapText="1"/>
      <protection locked="0"/>
    </xf>
    <xf numFmtId="0" fontId="66" fillId="0" borderId="0" xfId="0" applyFont="1" applyAlignment="1">
      <alignment horizontal="left" vertical="center"/>
    </xf>
    <xf numFmtId="0" fontId="35" fillId="0" borderId="0" xfId="44" applyFont="1" applyAlignment="1">
      <alignment horizontal="center" vertical="center" shrinkToFit="1"/>
    </xf>
    <xf numFmtId="0" fontId="35" fillId="0" borderId="0" xfId="0" applyFont="1" applyAlignment="1" applyProtection="1">
      <alignment horizontal="center" vertical="center" shrinkToFit="1"/>
      <protection locked="0"/>
    </xf>
    <xf numFmtId="0" fontId="66" fillId="0" borderId="0" xfId="0" applyFont="1" applyAlignment="1">
      <alignment vertical="center" wrapText="1"/>
    </xf>
    <xf numFmtId="179" fontId="35" fillId="0" borderId="11" xfId="44" applyNumberFormat="1" applyFont="1" applyBorder="1" applyAlignment="1">
      <alignment vertical="center" shrinkToFit="1"/>
    </xf>
    <xf numFmtId="179" fontId="35" fillId="0" borderId="14" xfId="0" applyNumberFormat="1" applyFont="1" applyBorder="1" applyAlignment="1">
      <alignment horizontal="right" vertical="center" shrinkToFit="1"/>
    </xf>
    <xf numFmtId="0" fontId="75" fillId="0" borderId="0" xfId="0" applyFont="1" applyAlignment="1"/>
    <xf numFmtId="0" fontId="75" fillId="0" borderId="0" xfId="44" applyFont="1" applyAlignment="1">
      <alignment vertical="center"/>
    </xf>
    <xf numFmtId="0" fontId="75" fillId="0" borderId="0" xfId="44" applyFont="1"/>
    <xf numFmtId="0" fontId="75" fillId="0" borderId="0" xfId="0" applyFont="1">
      <alignment vertical="center"/>
    </xf>
    <xf numFmtId="0" fontId="75" fillId="0" borderId="0" xfId="44" applyFont="1" applyAlignment="1">
      <alignment horizontal="center" vertical="top"/>
    </xf>
    <xf numFmtId="0" fontId="0" fillId="0" borderId="28" xfId="0" applyBorder="1">
      <alignment vertical="center"/>
    </xf>
    <xf numFmtId="0" fontId="0" fillId="0" borderId="54" xfId="0" applyBorder="1">
      <alignment vertical="center"/>
    </xf>
    <xf numFmtId="0" fontId="0" fillId="0" borderId="0" xfId="0" applyAlignment="1">
      <alignment horizontal="center" vertical="center"/>
    </xf>
    <xf numFmtId="0" fontId="66" fillId="0" borderId="0" xfId="0" applyFont="1" applyAlignment="1">
      <alignment horizontal="right" vertical="center"/>
    </xf>
    <xf numFmtId="0" fontId="35" fillId="0" borderId="0" xfId="0" applyFont="1" applyAlignment="1">
      <alignment horizontal="left" vertical="center"/>
    </xf>
    <xf numFmtId="0" fontId="35" fillId="0" borderId="54" xfId="0" applyFont="1" applyBorder="1" applyAlignment="1">
      <alignment horizontal="center" vertical="center"/>
    </xf>
    <xf numFmtId="0" fontId="62" fillId="0" borderId="77" xfId="0" applyFont="1" applyBorder="1" applyAlignment="1">
      <alignment horizontal="center" vertical="center"/>
    </xf>
    <xf numFmtId="0" fontId="62" fillId="0" borderId="50" xfId="0" applyFont="1" applyBorder="1" applyAlignment="1">
      <alignment horizontal="center" vertical="center"/>
    </xf>
    <xf numFmtId="0" fontId="62" fillId="0" borderId="54" xfId="0" applyFont="1" applyBorder="1" applyAlignment="1">
      <alignment horizontal="center" vertical="center"/>
    </xf>
    <xf numFmtId="0" fontId="35" fillId="0" borderId="59" xfId="0" applyFont="1" applyBorder="1" applyAlignment="1">
      <alignment horizontal="right" vertical="center"/>
    </xf>
    <xf numFmtId="0" fontId="35" fillId="0" borderId="59" xfId="0" applyFont="1" applyBorder="1" applyAlignment="1">
      <alignment horizontal="center" vertical="center"/>
    </xf>
    <xf numFmtId="0" fontId="35" fillId="0" borderId="21" xfId="44" applyFont="1" applyBorder="1" applyAlignment="1">
      <alignment vertical="center"/>
    </xf>
    <xf numFmtId="0" fontId="35" fillId="0" borderId="21" xfId="0" applyFont="1" applyBorder="1" applyAlignment="1">
      <alignment horizontal="center" vertical="center" wrapText="1"/>
    </xf>
    <xf numFmtId="179" fontId="35" fillId="0" borderId="21" xfId="44" applyNumberFormat="1" applyFont="1" applyBorder="1" applyAlignment="1">
      <alignment horizontal="right" vertical="center" shrinkToFit="1"/>
    </xf>
    <xf numFmtId="184" fontId="35" fillId="0" borderId="78" xfId="44" applyNumberFormat="1" applyFont="1" applyBorder="1" applyAlignment="1">
      <alignment vertical="center" shrinkToFit="1"/>
    </xf>
    <xf numFmtId="0" fontId="35" fillId="0" borderId="60" xfId="44" applyFont="1" applyBorder="1" applyAlignment="1">
      <alignment horizontal="center" vertical="center" shrinkToFit="1"/>
    </xf>
    <xf numFmtId="0" fontId="35" fillId="0" borderId="32" xfId="44" applyFont="1" applyBorder="1"/>
    <xf numFmtId="0" fontId="35" fillId="0" borderId="50" xfId="44" applyFont="1" applyBorder="1" applyAlignment="1">
      <alignment vertical="center"/>
    </xf>
    <xf numFmtId="0" fontId="35" fillId="0" borderId="28" xfId="44" applyFont="1" applyBorder="1" applyAlignment="1">
      <alignment horizontal="center" vertical="center"/>
    </xf>
    <xf numFmtId="0" fontId="35" fillId="0" borderId="117" xfId="44" applyFont="1" applyBorder="1" applyAlignment="1">
      <alignment horizontal="center" vertical="center"/>
    </xf>
    <xf numFmtId="0" fontId="35" fillId="0" borderId="118" xfId="44" applyFont="1" applyBorder="1" applyAlignment="1">
      <alignment horizontal="center" vertical="center"/>
    </xf>
    <xf numFmtId="0" fontId="35" fillId="0" borderId="105" xfId="44" applyFont="1" applyBorder="1" applyAlignment="1">
      <alignment horizontal="center" vertical="center"/>
    </xf>
    <xf numFmtId="0" fontId="35" fillId="0" borderId="119" xfId="44" applyFont="1" applyBorder="1" applyAlignment="1">
      <alignment horizontal="center" vertical="center"/>
    </xf>
    <xf numFmtId="0" fontId="62" fillId="0" borderId="50" xfId="280" applyNumberFormat="1" applyFont="1" applyFill="1" applyBorder="1" applyAlignment="1" applyProtection="1">
      <alignment horizontal="left" vertical="center" wrapText="1"/>
    </xf>
    <xf numFmtId="9" fontId="62" fillId="0" borderId="50" xfId="280" applyFont="1" applyFill="1" applyBorder="1" applyAlignment="1" applyProtection="1">
      <alignment horizontal="left" vertical="center" wrapText="1"/>
    </xf>
    <xf numFmtId="0" fontId="59" fillId="0" borderId="61" xfId="0" applyFont="1" applyBorder="1" applyAlignment="1">
      <alignment horizontal="center" vertical="center" shrinkToFit="1"/>
    </xf>
    <xf numFmtId="0" fontId="35" fillId="0" borderId="28" xfId="0" applyFont="1" applyBorder="1" applyAlignment="1">
      <alignment horizontal="center" vertical="center"/>
    </xf>
    <xf numFmtId="0" fontId="75" fillId="0" borderId="0" xfId="0" applyFont="1" applyAlignment="1">
      <alignment vertical="top" wrapText="1"/>
    </xf>
    <xf numFmtId="0" fontId="35" fillId="0" borderId="54" xfId="0" applyFont="1" applyBorder="1" applyAlignment="1">
      <alignment horizontal="center" vertical="center" wrapText="1"/>
    </xf>
    <xf numFmtId="0" fontId="35" fillId="0" borderId="25" xfId="44" applyFont="1" applyBorder="1" applyAlignment="1">
      <alignment horizontal="center" vertical="center"/>
    </xf>
    <xf numFmtId="186" fontId="35" fillId="0" borderId="0" xfId="0" applyNumberFormat="1" applyFont="1" applyAlignment="1">
      <alignment horizontal="right" vertical="center" shrinkToFit="1"/>
    </xf>
    <xf numFmtId="0" fontId="0" fillId="0" borderId="0" xfId="0" applyAlignment="1">
      <alignment horizontal="right" vertical="center"/>
    </xf>
    <xf numFmtId="190" fontId="0" fillId="0" borderId="0" xfId="0" applyNumberFormat="1">
      <alignment vertical="center"/>
    </xf>
    <xf numFmtId="190" fontId="0" fillId="0" borderId="0" xfId="0" applyNumberFormat="1" applyAlignment="1">
      <alignment horizontal="right" vertical="center"/>
    </xf>
    <xf numFmtId="0" fontId="35" fillId="0" borderId="0" xfId="44" applyFont="1" applyAlignment="1">
      <alignment horizontal="right" vertical="center"/>
    </xf>
    <xf numFmtId="0" fontId="62" fillId="0" borderId="0" xfId="0" applyFont="1" applyAlignment="1">
      <alignment horizontal="center" vertical="center"/>
    </xf>
    <xf numFmtId="0" fontId="35" fillId="0" borderId="0" xfId="44" applyFont="1" applyAlignment="1">
      <alignment vertical="center" wrapText="1"/>
    </xf>
    <xf numFmtId="0" fontId="62" fillId="0" borderId="0" xfId="44" applyFont="1" applyAlignment="1">
      <alignment horizontal="center"/>
    </xf>
    <xf numFmtId="0" fontId="35" fillId="0" borderId="0" xfId="44" applyFont="1" applyAlignment="1">
      <alignment horizontal="center" vertical="center" wrapText="1"/>
    </xf>
    <xf numFmtId="0" fontId="62" fillId="0" borderId="61" xfId="44" applyFont="1" applyBorder="1" applyAlignment="1">
      <alignment horizontal="left" vertical="center" shrinkToFit="1"/>
    </xf>
    <xf numFmtId="0" fontId="62" fillId="0" borderId="61" xfId="44" applyFont="1" applyBorder="1" applyAlignment="1">
      <alignment horizontal="left" vertical="center"/>
    </xf>
    <xf numFmtId="0" fontId="62" fillId="0" borderId="33" xfId="44" applyFont="1" applyBorder="1" applyAlignment="1">
      <alignment horizontal="left" vertical="center" shrinkToFit="1"/>
    </xf>
    <xf numFmtId="0" fontId="62" fillId="0" borderId="33" xfId="44" applyFont="1" applyBorder="1" applyAlignment="1">
      <alignment horizontal="left" vertical="center"/>
    </xf>
    <xf numFmtId="0" fontId="62" fillId="0" borderId="65" xfId="44" applyFont="1" applyBorder="1" applyAlignment="1">
      <alignment horizontal="left" vertical="center" shrinkToFit="1"/>
    </xf>
    <xf numFmtId="0" fontId="62" fillId="0" borderId="0" xfId="0" applyFont="1">
      <alignment vertical="center"/>
    </xf>
    <xf numFmtId="0" fontId="35" fillId="0" borderId="0" xfId="0" applyFont="1" applyAlignment="1">
      <alignment horizontal="left" vertical="center" wrapText="1"/>
    </xf>
    <xf numFmtId="177" fontId="35" fillId="0" borderId="0" xfId="44" applyNumberFormat="1" applyFont="1" applyAlignment="1" applyProtection="1">
      <alignment vertical="center" shrinkToFit="1"/>
      <protection locked="0"/>
    </xf>
    <xf numFmtId="0" fontId="72" fillId="0" borderId="0" xfId="0" applyFont="1">
      <alignment vertical="center"/>
    </xf>
    <xf numFmtId="0" fontId="35" fillId="0" borderId="77" xfId="0" applyFont="1" applyBorder="1" applyAlignment="1">
      <alignment horizontal="center" vertical="center"/>
    </xf>
    <xf numFmtId="0" fontId="35" fillId="0" borderId="50" xfId="0" applyFont="1" applyBorder="1" applyAlignment="1">
      <alignment horizontal="center" vertical="center"/>
    </xf>
    <xf numFmtId="0" fontId="82" fillId="0" borderId="0" xfId="0" applyFont="1">
      <alignment vertical="center"/>
    </xf>
    <xf numFmtId="0" fontId="64" fillId="0" borderId="0" xfId="0" applyFont="1" applyAlignment="1">
      <alignment horizontal="left" vertical="center"/>
    </xf>
    <xf numFmtId="0" fontId="36" fillId="0" borderId="0" xfId="0" applyFont="1" applyAlignment="1">
      <alignment horizontal="center" vertical="center"/>
    </xf>
    <xf numFmtId="0" fontId="35" fillId="0" borderId="0" xfId="0" applyFont="1" applyAlignment="1" applyProtection="1">
      <alignment vertical="top" wrapText="1"/>
      <protection locked="0"/>
    </xf>
    <xf numFmtId="0" fontId="35" fillId="0" borderId="0" xfId="44" applyFont="1" applyAlignment="1">
      <alignment horizontal="center"/>
    </xf>
    <xf numFmtId="0" fontId="62" fillId="0" borderId="0" xfId="44" applyFont="1" applyAlignment="1">
      <alignment horizontal="left" vertical="center" shrinkToFit="1"/>
    </xf>
    <xf numFmtId="0" fontId="62" fillId="0" borderId="0" xfId="44" applyFont="1" applyAlignment="1">
      <alignment horizontal="left" vertical="center"/>
    </xf>
    <xf numFmtId="0" fontId="62" fillId="0" borderId="0" xfId="280" applyNumberFormat="1" applyFont="1" applyFill="1" applyBorder="1" applyAlignment="1" applyProtection="1">
      <alignment horizontal="left" vertical="center" wrapText="1"/>
    </xf>
    <xf numFmtId="9" fontId="62" fillId="0" borderId="0" xfId="280" applyFont="1" applyFill="1" applyBorder="1" applyAlignment="1" applyProtection="1">
      <alignment horizontal="left" vertical="center" wrapText="1"/>
    </xf>
    <xf numFmtId="0" fontId="62" fillId="0" borderId="0" xfId="0" applyFont="1" applyAlignment="1">
      <alignment vertical="center" wrapText="1"/>
    </xf>
    <xf numFmtId="0" fontId="62" fillId="0" borderId="0" xfId="0" applyFont="1" applyAlignment="1">
      <alignment horizontal="center" vertical="center" wrapText="1"/>
    </xf>
    <xf numFmtId="0" fontId="35" fillId="0" borderId="0" xfId="0" applyFont="1" applyAlignment="1">
      <alignment horizontal="center" vertical="center" wrapText="1"/>
    </xf>
    <xf numFmtId="9" fontId="62" fillId="0" borderId="33" xfId="280" applyFont="1" applyFill="1" applyBorder="1" applyAlignment="1" applyProtection="1">
      <alignment horizontal="left" vertical="center" wrapText="1"/>
    </xf>
    <xf numFmtId="0" fontId="62" fillId="0" borderId="65" xfId="44" applyFont="1" applyBorder="1" applyAlignment="1">
      <alignment horizontal="left" vertical="center"/>
    </xf>
    <xf numFmtId="0" fontId="62" fillId="0" borderId="62" xfId="280" applyNumberFormat="1" applyFont="1" applyFill="1" applyBorder="1" applyAlignment="1" applyProtection="1">
      <alignment horizontal="left" vertical="center" wrapText="1"/>
    </xf>
    <xf numFmtId="9" fontId="62" fillId="0" borderId="62" xfId="280" applyFont="1" applyFill="1" applyBorder="1" applyAlignment="1" applyProtection="1">
      <alignment horizontal="left" vertical="center" wrapText="1"/>
    </xf>
    <xf numFmtId="0" fontId="62" fillId="0" borderId="95" xfId="44" applyFont="1" applyBorder="1" applyAlignment="1">
      <alignment horizontal="left" vertical="center"/>
    </xf>
    <xf numFmtId="9" fontId="62" fillId="0" borderId="90" xfId="280" applyFont="1" applyFill="1" applyBorder="1" applyAlignment="1" applyProtection="1">
      <alignment horizontal="left" vertical="center" wrapText="1"/>
    </xf>
    <xf numFmtId="0" fontId="62" fillId="0" borderId="95" xfId="44" applyFont="1" applyBorder="1" applyAlignment="1">
      <alignment horizontal="left" vertical="center" shrinkToFit="1"/>
    </xf>
    <xf numFmtId="0" fontId="62" fillId="0" borderId="90" xfId="280" applyNumberFormat="1" applyFont="1" applyFill="1" applyBorder="1" applyAlignment="1" applyProtection="1">
      <alignment horizontal="left" vertical="center" wrapText="1"/>
    </xf>
    <xf numFmtId="0" fontId="35" fillId="0" borderId="11" xfId="44" applyFont="1" applyBorder="1" applyAlignment="1">
      <alignment horizontal="center" vertical="center"/>
    </xf>
    <xf numFmtId="0" fontId="35" fillId="0" borderId="12" xfId="44" applyFont="1" applyBorder="1" applyAlignment="1">
      <alignment horizontal="center" vertical="center"/>
    </xf>
    <xf numFmtId="0" fontId="35" fillId="0" borderId="14" xfId="44" applyFont="1" applyBorder="1" applyAlignment="1">
      <alignment horizontal="center" vertical="center"/>
    </xf>
    <xf numFmtId="0" fontId="35" fillId="0" borderId="87" xfId="44" applyFont="1" applyBorder="1" applyAlignment="1">
      <alignment vertical="center"/>
    </xf>
    <xf numFmtId="0" fontId="35" fillId="0" borderId="87" xfId="44" applyFont="1" applyBorder="1" applyAlignment="1">
      <alignment vertical="top" wrapText="1"/>
    </xf>
    <xf numFmtId="0" fontId="35" fillId="0" borderId="72" xfId="44" applyFont="1" applyBorder="1" applyAlignment="1">
      <alignment vertical="top" wrapText="1"/>
    </xf>
    <xf numFmtId="0" fontId="35" fillId="0" borderId="11" xfId="44" applyFont="1" applyBorder="1" applyAlignment="1">
      <alignment horizontal="center" vertical="center" wrapText="1"/>
    </xf>
    <xf numFmtId="0" fontId="35" fillId="0" borderId="12" xfId="44" applyFont="1" applyBorder="1" applyAlignment="1">
      <alignment horizontal="center" vertical="center" wrapText="1"/>
    </xf>
    <xf numFmtId="0" fontId="35" fillId="0" borderId="14" xfId="44" applyFont="1" applyBorder="1" applyAlignment="1">
      <alignment horizontal="center" vertical="center" wrapText="1"/>
    </xf>
    <xf numFmtId="0" fontId="35" fillId="0" borderId="25" xfId="0" applyFont="1" applyBorder="1" applyAlignment="1">
      <alignment horizontal="center" vertical="center" wrapText="1"/>
    </xf>
    <xf numFmtId="0" fontId="35" fillId="0" borderId="61" xfId="44" applyFont="1" applyBorder="1" applyAlignment="1">
      <alignment horizontal="center" vertical="center"/>
    </xf>
    <xf numFmtId="0" fontId="35" fillId="0" borderId="50" xfId="44" applyFont="1" applyBorder="1" applyAlignment="1">
      <alignment horizontal="center" vertical="center"/>
    </xf>
    <xf numFmtId="0" fontId="35" fillId="0" borderId="66" xfId="44" applyFont="1" applyBorder="1" applyAlignment="1">
      <alignment horizontal="center" vertical="center" shrinkToFit="1"/>
    </xf>
    <xf numFmtId="179" fontId="35" fillId="0" borderId="21" xfId="44" applyNumberFormat="1" applyFont="1" applyBorder="1" applyAlignment="1">
      <alignment vertical="center" shrinkToFit="1"/>
    </xf>
    <xf numFmtId="0" fontId="35" fillId="0" borderId="77" xfId="44" applyFont="1" applyBorder="1" applyAlignment="1">
      <alignment horizontal="center" vertical="center" shrinkToFit="1"/>
    </xf>
    <xf numFmtId="0" fontId="35" fillId="0" borderId="69" xfId="44" applyFont="1" applyBorder="1" applyAlignment="1">
      <alignment horizontal="center" vertical="center"/>
    </xf>
    <xf numFmtId="0" fontId="35" fillId="0" borderId="102" xfId="44" applyFont="1" applyBorder="1" applyAlignment="1">
      <alignment horizontal="center" vertical="center"/>
    </xf>
    <xf numFmtId="0" fontId="35" fillId="0" borderId="102" xfId="44" applyFont="1" applyBorder="1" applyAlignment="1">
      <alignment horizontal="center" vertical="center" shrinkToFit="1"/>
    </xf>
    <xf numFmtId="0" fontId="35" fillId="0" borderId="135" xfId="44" applyFont="1" applyBorder="1" applyAlignment="1">
      <alignment horizontal="center" vertical="center"/>
    </xf>
    <xf numFmtId="0" fontId="35" fillId="0" borderId="109" xfId="44" applyFont="1" applyBorder="1" applyAlignment="1">
      <alignment horizontal="center" vertical="center"/>
    </xf>
    <xf numFmtId="0" fontId="35" fillId="0" borderId="136" xfId="44" applyFont="1" applyBorder="1" applyAlignment="1">
      <alignment horizontal="center" vertical="center"/>
    </xf>
    <xf numFmtId="0" fontId="35" fillId="0" borderId="33" xfId="44" applyFont="1" applyBorder="1"/>
    <xf numFmtId="187" fontId="35" fillId="0" borderId="21" xfId="44" applyNumberFormat="1" applyFont="1" applyBorder="1" applyAlignment="1">
      <alignment vertical="center" shrinkToFit="1"/>
    </xf>
    <xf numFmtId="187" fontId="35" fillId="0" borderId="69" xfId="44" applyNumberFormat="1" applyFont="1" applyBorder="1" applyAlignment="1">
      <alignment horizontal="center" vertical="center" shrinkToFit="1"/>
    </xf>
    <xf numFmtId="184" fontId="35" fillId="0" borderId="129" xfId="44" applyNumberFormat="1" applyFont="1" applyBorder="1" applyAlignment="1">
      <alignment vertical="center" shrinkToFit="1"/>
    </xf>
    <xf numFmtId="0" fontId="35" fillId="0" borderId="129" xfId="44" applyFont="1" applyBorder="1" applyAlignment="1">
      <alignment vertical="center"/>
    </xf>
    <xf numFmtId="0" fontId="72" fillId="25" borderId="0" xfId="0" applyFont="1" applyFill="1" applyAlignment="1" applyProtection="1">
      <alignment horizontal="right" vertical="center"/>
      <protection locked="0"/>
    </xf>
    <xf numFmtId="186" fontId="72" fillId="25" borderId="0" xfId="0" applyNumberFormat="1" applyFont="1" applyFill="1" applyAlignment="1" applyProtection="1">
      <alignment horizontal="right" vertical="center"/>
      <protection locked="0"/>
    </xf>
    <xf numFmtId="0" fontId="35" fillId="25" borderId="25" xfId="0" applyFont="1" applyFill="1" applyBorder="1" applyAlignment="1" applyProtection="1">
      <alignment vertical="center" wrapText="1"/>
      <protection locked="0"/>
    </xf>
    <xf numFmtId="0" fontId="0" fillId="25" borderId="59" xfId="0" applyFill="1" applyBorder="1" applyAlignment="1">
      <alignment vertical="center" wrapText="1"/>
    </xf>
    <xf numFmtId="0" fontId="77" fillId="25" borderId="59" xfId="0" applyFont="1" applyFill="1" applyBorder="1" applyAlignment="1">
      <alignment vertical="center" wrapText="1"/>
    </xf>
    <xf numFmtId="0" fontId="0" fillId="25" borderId="54" xfId="0" applyFill="1" applyBorder="1" applyAlignment="1">
      <alignment vertical="center" wrapText="1"/>
    </xf>
    <xf numFmtId="0" fontId="35" fillId="25" borderId="25" xfId="0" applyFont="1" applyFill="1" applyBorder="1" applyAlignment="1" applyProtection="1">
      <alignment horizontal="center" vertical="center" wrapText="1"/>
      <protection locked="0"/>
    </xf>
    <xf numFmtId="0" fontId="36" fillId="24" borderId="0" xfId="0" applyFont="1" applyFill="1">
      <alignment vertical="center"/>
    </xf>
    <xf numFmtId="0" fontId="36" fillId="24" borderId="17" xfId="0" applyFont="1" applyFill="1" applyBorder="1" applyProtection="1">
      <alignment vertical="center"/>
      <protection locked="0"/>
    </xf>
    <xf numFmtId="14" fontId="0" fillId="24" borderId="0" xfId="0" applyNumberFormat="1" applyFill="1" applyAlignment="1">
      <alignment horizontal="center" vertical="center"/>
    </xf>
    <xf numFmtId="0" fontId="36" fillId="24" borderId="28" xfId="0" applyFont="1" applyFill="1" applyBorder="1">
      <alignment vertical="center"/>
    </xf>
    <xf numFmtId="0" fontId="36" fillId="24" borderId="0" xfId="0" applyFont="1" applyFill="1" applyProtection="1">
      <alignment vertical="center"/>
      <protection locked="0"/>
    </xf>
    <xf numFmtId="0" fontId="73" fillId="24" borderId="0" xfId="0" applyFont="1" applyFill="1" applyAlignment="1">
      <alignment horizontal="center" vertical="center"/>
    </xf>
    <xf numFmtId="0" fontId="0" fillId="24" borderId="0" xfId="0" applyFill="1" applyAlignment="1">
      <alignment horizontal="right" vertical="center"/>
    </xf>
    <xf numFmtId="0" fontId="0" fillId="24" borderId="0" xfId="0" applyFill="1">
      <alignment vertical="center"/>
    </xf>
    <xf numFmtId="0" fontId="35" fillId="24" borderId="0" xfId="44" applyFont="1" applyFill="1" applyAlignment="1">
      <alignment horizontal="right"/>
    </xf>
    <xf numFmtId="0" fontId="35" fillId="24" borderId="0" xfId="44" applyFont="1" applyFill="1"/>
    <xf numFmtId="0" fontId="35" fillId="24" borderId="0" xfId="44" applyFont="1" applyFill="1" applyAlignment="1">
      <alignment vertical="top" wrapText="1"/>
    </xf>
    <xf numFmtId="0" fontId="59" fillId="24" borderId="0" xfId="44" applyFont="1" applyFill="1" applyAlignment="1">
      <alignment horizontal="center" vertical="center" wrapText="1"/>
    </xf>
    <xf numFmtId="0" fontId="35" fillId="24" borderId="0" xfId="44" applyFont="1" applyFill="1" applyAlignment="1">
      <alignment horizontal="center" wrapText="1"/>
    </xf>
    <xf numFmtId="0" fontId="62" fillId="24" borderId="0" xfId="44" applyFont="1" applyFill="1" applyAlignment="1">
      <alignment vertical="top" wrapText="1"/>
    </xf>
    <xf numFmtId="0" fontId="35" fillId="24" borderId="0" xfId="44" applyFont="1" applyFill="1" applyAlignment="1">
      <alignment vertical="center"/>
    </xf>
    <xf numFmtId="0" fontId="35" fillId="24" borderId="0" xfId="44" applyFont="1" applyFill="1" applyAlignment="1">
      <alignment horizontal="center" vertical="center" wrapText="1"/>
    </xf>
    <xf numFmtId="0" fontId="35" fillId="24" borderId="0" xfId="44" applyFont="1" applyFill="1" applyAlignment="1">
      <alignment horizontal="center" vertical="center"/>
    </xf>
    <xf numFmtId="0" fontId="35" fillId="24" borderId="28" xfId="44" applyFont="1" applyFill="1" applyBorder="1" applyAlignment="1">
      <alignment horizontal="center" vertical="center" wrapText="1"/>
    </xf>
    <xf numFmtId="0" fontId="35" fillId="24" borderId="28" xfId="44" applyFont="1" applyFill="1" applyBorder="1" applyAlignment="1" applyProtection="1">
      <alignment horizontal="center" vertical="center" wrapText="1"/>
      <protection locked="0"/>
    </xf>
    <xf numFmtId="0" fontId="35" fillId="24" borderId="28" xfId="44" applyFont="1" applyFill="1" applyBorder="1" applyAlignment="1" applyProtection="1">
      <alignment horizontal="center" vertical="center"/>
      <protection locked="0"/>
    </xf>
    <xf numFmtId="0" fontId="35" fillId="24" borderId="28" xfId="44" applyFont="1" applyFill="1" applyBorder="1" applyAlignment="1">
      <alignment horizontal="center" vertical="center"/>
    </xf>
    <xf numFmtId="0" fontId="35" fillId="24" borderId="0" xfId="44" applyFont="1" applyFill="1" applyAlignment="1">
      <alignment horizontal="left" vertical="center" wrapText="1"/>
    </xf>
    <xf numFmtId="0" fontId="35" fillId="24" borderId="0" xfId="44" applyFont="1" applyFill="1" applyAlignment="1">
      <alignment horizontal="right" vertical="center"/>
    </xf>
    <xf numFmtId="0" fontId="35" fillId="24" borderId="0" xfId="44" applyFont="1" applyFill="1" applyAlignment="1">
      <alignment horizontal="left" vertical="top" wrapText="1"/>
    </xf>
    <xf numFmtId="0" fontId="35" fillId="24" borderId="0" xfId="44" applyFont="1" applyFill="1" applyAlignment="1">
      <alignment horizontal="center" vertical="top" wrapText="1"/>
    </xf>
    <xf numFmtId="0" fontId="35" fillId="24" borderId="32" xfId="44" applyFont="1" applyFill="1" applyBorder="1" applyAlignment="1">
      <alignment horizontal="center" vertical="center"/>
    </xf>
    <xf numFmtId="0" fontId="35" fillId="24" borderId="0" xfId="0" applyFont="1" applyFill="1">
      <alignment vertical="center"/>
    </xf>
    <xf numFmtId="0" fontId="35" fillId="24" borderId="0" xfId="0" applyFont="1" applyFill="1" applyAlignment="1">
      <alignment horizontal="left" vertical="top"/>
    </xf>
    <xf numFmtId="0" fontId="35" fillId="24" borderId="0" xfId="0" applyFont="1" applyFill="1" applyAlignment="1">
      <alignment horizontal="center" vertical="center"/>
    </xf>
    <xf numFmtId="0" fontId="35" fillId="24" borderId="0" xfId="0" applyFont="1" applyFill="1" applyAlignment="1">
      <alignment horizontal="right"/>
    </xf>
    <xf numFmtId="0" fontId="35" fillId="24" borderId="0" xfId="44" applyFont="1" applyFill="1" applyAlignment="1">
      <alignment horizontal="left"/>
    </xf>
    <xf numFmtId="0" fontId="35" fillId="24" borderId="0" xfId="44" applyFont="1" applyFill="1" applyAlignment="1">
      <alignment horizontal="left" wrapText="1"/>
    </xf>
    <xf numFmtId="0" fontId="35" fillId="24" borderId="0" xfId="44" applyFont="1" applyFill="1" applyAlignment="1">
      <alignment horizontal="left" vertical="center"/>
    </xf>
    <xf numFmtId="0" fontId="35" fillId="24" borderId="0" xfId="44" applyFont="1" applyFill="1" applyAlignment="1">
      <alignment horizontal="left" vertical="top"/>
    </xf>
    <xf numFmtId="0" fontId="35" fillId="24" borderId="0" xfId="44" applyFont="1" applyFill="1" applyAlignment="1" applyProtection="1">
      <alignment horizontal="center" vertical="center"/>
      <protection locked="0"/>
    </xf>
    <xf numFmtId="176" fontId="35" fillId="24" borderId="0" xfId="279" applyFont="1" applyFill="1" applyBorder="1" applyAlignment="1" applyProtection="1">
      <alignment horizontal="left" vertical="top"/>
    </xf>
    <xf numFmtId="0" fontId="35" fillId="24" borderId="0" xfId="0" applyFont="1" applyFill="1" applyAlignment="1">
      <alignment wrapText="1"/>
    </xf>
    <xf numFmtId="0" fontId="62" fillId="24" borderId="0" xfId="280" applyNumberFormat="1" applyFont="1" applyFill="1" applyBorder="1" applyAlignment="1" applyProtection="1">
      <alignment horizontal="center"/>
    </xf>
    <xf numFmtId="9" fontId="62" fillId="24" borderId="0" xfId="280" applyFont="1" applyFill="1" applyBorder="1" applyAlignment="1" applyProtection="1">
      <alignment horizontal="center"/>
    </xf>
    <xf numFmtId="9" fontId="35" fillId="24" borderId="0" xfId="280" applyFont="1" applyFill="1" applyBorder="1" applyAlignment="1" applyProtection="1">
      <alignment horizontal="right" wrapText="1"/>
    </xf>
    <xf numFmtId="0" fontId="62" fillId="24" borderId="0" xfId="0" applyFont="1" applyFill="1" applyAlignment="1">
      <alignment horizontal="center" vertical="center"/>
    </xf>
    <xf numFmtId="0" fontId="59" fillId="24" borderId="0" xfId="0" applyFont="1" applyFill="1" applyAlignment="1">
      <alignment horizontal="center" wrapText="1"/>
    </xf>
    <xf numFmtId="0" fontId="35" fillId="24" borderId="0" xfId="0" applyFont="1" applyFill="1" applyAlignment="1">
      <alignment horizontal="left"/>
    </xf>
    <xf numFmtId="0" fontId="35" fillId="24" borderId="0" xfId="0" applyFont="1" applyFill="1" applyAlignment="1">
      <alignment horizontal="left" wrapText="1"/>
    </xf>
    <xf numFmtId="0" fontId="35" fillId="24" borderId="0" xfId="0" applyFont="1" applyFill="1" applyAlignment="1">
      <alignment vertical="center" wrapText="1"/>
    </xf>
    <xf numFmtId="0" fontId="35" fillId="24" borderId="0" xfId="0" applyFont="1" applyFill="1" applyAlignment="1">
      <alignment vertical="center" shrinkToFit="1"/>
    </xf>
    <xf numFmtId="0" fontId="35" fillId="24" borderId="0" xfId="0" applyFont="1" applyFill="1" applyAlignment="1">
      <alignment horizontal="left" vertical="center" shrinkToFit="1"/>
    </xf>
    <xf numFmtId="0" fontId="37" fillId="24" borderId="0" xfId="0" applyFont="1" applyFill="1" applyAlignment="1">
      <alignment vertical="top" wrapText="1"/>
    </xf>
    <xf numFmtId="0" fontId="70" fillId="24" borderId="0" xfId="0" applyFont="1" applyFill="1" applyAlignment="1">
      <alignment vertical="center" wrapText="1"/>
    </xf>
    <xf numFmtId="0" fontId="37" fillId="24" borderId="0" xfId="43" applyFont="1" applyFill="1">
      <alignment vertical="center"/>
    </xf>
    <xf numFmtId="0" fontId="57" fillId="24" borderId="0" xfId="43" applyFont="1" applyFill="1" applyAlignment="1">
      <alignment horizontal="center" vertical="center"/>
    </xf>
    <xf numFmtId="0" fontId="37" fillId="24" borderId="0" xfId="43" applyFont="1" applyFill="1" applyAlignment="1">
      <alignment horizontal="center" vertical="center"/>
    </xf>
    <xf numFmtId="0" fontId="37" fillId="24" borderId="17" xfId="43" applyFont="1" applyFill="1" applyBorder="1" applyAlignment="1">
      <alignment horizontal="center" vertical="center"/>
    </xf>
    <xf numFmtId="0" fontId="37" fillId="24" borderId="47" xfId="43" applyFont="1" applyFill="1" applyBorder="1" applyAlignment="1">
      <alignment horizontal="center" vertical="center"/>
    </xf>
    <xf numFmtId="0" fontId="37" fillId="24" borderId="48" xfId="43" applyFont="1" applyFill="1" applyBorder="1" applyAlignment="1">
      <alignment horizontal="center" vertical="center"/>
    </xf>
    <xf numFmtId="0" fontId="35" fillId="24" borderId="74" xfId="0" applyFont="1" applyFill="1" applyBorder="1" applyAlignment="1">
      <alignment horizontal="center" vertical="center"/>
    </xf>
    <xf numFmtId="0" fontId="35" fillId="24" borderId="73" xfId="0" applyFont="1" applyFill="1" applyBorder="1">
      <alignment vertical="center"/>
    </xf>
    <xf numFmtId="0" fontId="57" fillId="24" borderId="0" xfId="43" applyFont="1" applyFill="1" applyAlignment="1">
      <alignment horizontal="centerContinuous" vertical="center"/>
    </xf>
    <xf numFmtId="0" fontId="37" fillId="24" borderId="0" xfId="43" applyFont="1" applyFill="1" applyAlignment="1">
      <alignment horizontal="centerContinuous" vertical="center"/>
    </xf>
    <xf numFmtId="0" fontId="35" fillId="24" borderId="89" xfId="0" applyFont="1" applyFill="1" applyBorder="1" applyAlignment="1">
      <alignment horizontal="justify" vertical="center"/>
    </xf>
    <xf numFmtId="0" fontId="35" fillId="24" borderId="71" xfId="0" applyFont="1" applyFill="1" applyBorder="1" applyAlignment="1">
      <alignment vertical="center" wrapText="1"/>
    </xf>
    <xf numFmtId="0" fontId="35" fillId="24" borderId="19" xfId="0" applyFont="1" applyFill="1" applyBorder="1" applyAlignment="1">
      <alignment horizontal="center" vertical="center" shrinkToFit="1"/>
    </xf>
    <xf numFmtId="0" fontId="35" fillId="24" borderId="49" xfId="0" applyFont="1" applyFill="1" applyBorder="1" applyAlignment="1">
      <alignment vertical="center" wrapText="1"/>
    </xf>
    <xf numFmtId="0" fontId="35" fillId="24" borderId="0" xfId="0" applyFont="1" applyFill="1" applyAlignment="1">
      <alignment horizontal="left" vertical="center"/>
    </xf>
    <xf numFmtId="185" fontId="35" fillId="24" borderId="28" xfId="0" applyNumberFormat="1" applyFont="1" applyFill="1" applyBorder="1">
      <alignment vertical="center"/>
    </xf>
    <xf numFmtId="0" fontId="35" fillId="24" borderId="28" xfId="0" applyFont="1" applyFill="1" applyBorder="1">
      <alignment vertical="center"/>
    </xf>
    <xf numFmtId="185" fontId="35" fillId="24" borderId="20" xfId="0" applyNumberFormat="1" applyFont="1" applyFill="1" applyBorder="1" applyAlignment="1">
      <alignment horizontal="center" vertical="center"/>
    </xf>
    <xf numFmtId="0" fontId="37" fillId="24" borderId="21" xfId="43" applyFont="1" applyFill="1" applyBorder="1">
      <alignment vertical="center"/>
    </xf>
    <xf numFmtId="0" fontId="37" fillId="24" borderId="50" xfId="43" applyFont="1" applyFill="1" applyBorder="1">
      <alignment vertical="center"/>
    </xf>
    <xf numFmtId="178" fontId="37" fillId="24" borderId="21" xfId="43" applyNumberFormat="1" applyFont="1" applyFill="1" applyBorder="1">
      <alignment vertical="center"/>
    </xf>
    <xf numFmtId="0" fontId="37" fillId="24" borderId="22" xfId="43" applyFont="1" applyFill="1" applyBorder="1">
      <alignment vertical="center"/>
    </xf>
    <xf numFmtId="180" fontId="37" fillId="24" borderId="21" xfId="43" applyNumberFormat="1" applyFont="1" applyFill="1" applyBorder="1">
      <alignment vertical="center"/>
    </xf>
    <xf numFmtId="182" fontId="37" fillId="24" borderId="21" xfId="43" applyNumberFormat="1" applyFont="1" applyFill="1" applyBorder="1">
      <alignment vertical="center"/>
    </xf>
    <xf numFmtId="0" fontId="37" fillId="24" borderId="23" xfId="43" applyFont="1" applyFill="1" applyBorder="1">
      <alignment vertical="center"/>
    </xf>
    <xf numFmtId="0" fontId="37" fillId="24" borderId="0" xfId="43" applyFont="1" applyFill="1" applyAlignment="1">
      <alignment horizontal="center" vertical="center" wrapText="1"/>
    </xf>
    <xf numFmtId="185" fontId="37" fillId="24" borderId="51" xfId="43" applyNumberFormat="1" applyFont="1" applyFill="1" applyBorder="1" applyAlignment="1">
      <alignment horizontal="center" vertical="center"/>
    </xf>
    <xf numFmtId="0" fontId="37" fillId="24" borderId="52" xfId="43" applyFont="1" applyFill="1" applyBorder="1">
      <alignment vertical="center"/>
    </xf>
    <xf numFmtId="0" fontId="37" fillId="24" borderId="53" xfId="43" applyFont="1" applyFill="1" applyBorder="1">
      <alignment vertical="center"/>
    </xf>
    <xf numFmtId="0" fontId="37" fillId="24" borderId="51" xfId="43" applyFont="1" applyFill="1" applyBorder="1">
      <alignment vertical="center"/>
    </xf>
    <xf numFmtId="182" fontId="37" fillId="24" borderId="20" xfId="43" applyNumberFormat="1" applyFont="1" applyFill="1" applyBorder="1">
      <alignment vertical="center"/>
    </xf>
    <xf numFmtId="0" fontId="37" fillId="24" borderId="20" xfId="43" applyFont="1" applyFill="1" applyBorder="1">
      <alignment vertical="center"/>
    </xf>
    <xf numFmtId="0" fontId="37" fillId="24" borderId="52" xfId="43" applyFont="1" applyFill="1" applyBorder="1" applyAlignment="1">
      <alignment horizontal="center" vertical="center"/>
    </xf>
    <xf numFmtId="0" fontId="37" fillId="24" borderId="53" xfId="43" applyFont="1" applyFill="1" applyBorder="1" applyAlignment="1">
      <alignment horizontal="center" vertical="center"/>
    </xf>
    <xf numFmtId="0" fontId="37" fillId="24" borderId="79" xfId="43" applyFont="1" applyFill="1" applyBorder="1">
      <alignment vertical="center"/>
    </xf>
    <xf numFmtId="178" fontId="35" fillId="24" borderId="0" xfId="0" applyNumberFormat="1" applyFont="1" applyFill="1">
      <alignment vertical="center"/>
    </xf>
    <xf numFmtId="185" fontId="35" fillId="24" borderId="24" xfId="0" applyNumberFormat="1" applyFont="1" applyFill="1" applyBorder="1" applyAlignment="1">
      <alignment horizontal="center" vertical="center"/>
    </xf>
    <xf numFmtId="0" fontId="37" fillId="24" borderId="25" xfId="43" applyFont="1" applyFill="1" applyBorder="1">
      <alignment vertical="center"/>
    </xf>
    <xf numFmtId="0" fontId="37" fillId="24" borderId="54" xfId="43" applyFont="1" applyFill="1" applyBorder="1">
      <alignment vertical="center"/>
    </xf>
    <xf numFmtId="178" fontId="37" fillId="24" borderId="25" xfId="43" applyNumberFormat="1" applyFont="1" applyFill="1" applyBorder="1">
      <alignment vertical="center"/>
    </xf>
    <xf numFmtId="0" fontId="37" fillId="24" borderId="26" xfId="43" applyFont="1" applyFill="1" applyBorder="1">
      <alignment vertical="center"/>
    </xf>
    <xf numFmtId="180" fontId="37" fillId="24" borderId="25" xfId="43" applyNumberFormat="1" applyFont="1" applyFill="1" applyBorder="1">
      <alignment vertical="center"/>
    </xf>
    <xf numFmtId="182" fontId="37" fillId="24" borderId="25" xfId="43" applyNumberFormat="1" applyFont="1" applyFill="1" applyBorder="1">
      <alignment vertical="center"/>
    </xf>
    <xf numFmtId="0" fontId="37" fillId="24" borderId="27" xfId="43" applyFont="1" applyFill="1" applyBorder="1">
      <alignment vertical="center"/>
    </xf>
    <xf numFmtId="185" fontId="37" fillId="24" borderId="55" xfId="43" applyNumberFormat="1" applyFont="1" applyFill="1" applyBorder="1" applyAlignment="1">
      <alignment horizontal="center" vertical="center"/>
    </xf>
    <xf numFmtId="0" fontId="37" fillId="24" borderId="56" xfId="43" applyFont="1" applyFill="1" applyBorder="1">
      <alignment vertical="center"/>
    </xf>
    <xf numFmtId="0" fontId="37" fillId="24" borderId="55" xfId="43" applyFont="1" applyFill="1" applyBorder="1">
      <alignment vertical="center"/>
    </xf>
    <xf numFmtId="182" fontId="37" fillId="24" borderId="24" xfId="43" applyNumberFormat="1" applyFont="1" applyFill="1" applyBorder="1">
      <alignment vertical="center"/>
    </xf>
    <xf numFmtId="0" fontId="37" fillId="24" borderId="24" xfId="43" applyFont="1" applyFill="1" applyBorder="1">
      <alignment vertical="center"/>
    </xf>
    <xf numFmtId="0" fontId="37" fillId="24" borderId="56" xfId="43" applyFont="1" applyFill="1" applyBorder="1" applyAlignment="1">
      <alignment horizontal="center" vertical="center"/>
    </xf>
    <xf numFmtId="0" fontId="37" fillId="24" borderId="27" xfId="43" applyFont="1" applyFill="1" applyBorder="1" applyAlignment="1">
      <alignment horizontal="center" vertical="center"/>
    </xf>
    <xf numFmtId="0" fontId="37" fillId="24" borderId="31" xfId="43" applyFont="1" applyFill="1" applyBorder="1">
      <alignment vertical="center"/>
    </xf>
    <xf numFmtId="0" fontId="37" fillId="24" borderId="24" xfId="43" applyFont="1" applyFill="1" applyBorder="1" applyAlignment="1">
      <alignment horizontal="center" vertical="center"/>
    </xf>
    <xf numFmtId="0" fontId="35" fillId="24" borderId="17" xfId="0" applyFont="1" applyFill="1" applyBorder="1" applyAlignment="1">
      <alignment vertical="center" wrapText="1"/>
    </xf>
    <xf numFmtId="0" fontId="35" fillId="24" borderId="18" xfId="0" applyFont="1" applyFill="1" applyBorder="1" applyAlignment="1">
      <alignment horizontal="left" vertical="center" wrapText="1"/>
    </xf>
    <xf numFmtId="0" fontId="35" fillId="24" borderId="0" xfId="0" applyFont="1" applyFill="1" applyAlignment="1">
      <alignment horizontal="left" vertical="center" wrapText="1"/>
    </xf>
    <xf numFmtId="0" fontId="35" fillId="24" borderId="0" xfId="0" applyFont="1" applyFill="1" applyAlignment="1">
      <alignment vertical="top" wrapText="1"/>
    </xf>
    <xf numFmtId="0" fontId="37" fillId="24" borderId="57" xfId="43" applyFont="1" applyFill="1" applyBorder="1" applyAlignment="1">
      <alignment horizontal="center" vertical="center"/>
    </xf>
    <xf numFmtId="0" fontId="37" fillId="24" borderId="58" xfId="43" applyFont="1" applyFill="1" applyBorder="1">
      <alignment vertical="center"/>
    </xf>
    <xf numFmtId="0" fontId="37" fillId="24" borderId="36" xfId="43" quotePrefix="1" applyFont="1" applyFill="1" applyBorder="1" applyAlignment="1">
      <alignment horizontal="center" vertical="center"/>
    </xf>
    <xf numFmtId="0" fontId="35" fillId="24" borderId="17" xfId="0" applyFont="1" applyFill="1" applyBorder="1" applyAlignment="1">
      <alignment horizontal="left" vertical="center" wrapText="1"/>
    </xf>
    <xf numFmtId="0" fontId="35" fillId="24" borderId="0" xfId="0" applyFont="1" applyFill="1" applyAlignment="1">
      <alignment vertical="top"/>
    </xf>
    <xf numFmtId="0" fontId="37" fillId="24" borderId="0" xfId="0" applyFont="1" applyFill="1">
      <alignment vertical="center"/>
    </xf>
    <xf numFmtId="0" fontId="37" fillId="24" borderId="28" xfId="43" applyFont="1" applyFill="1" applyBorder="1">
      <alignment vertical="center"/>
    </xf>
    <xf numFmtId="0" fontId="37" fillId="24" borderId="0" xfId="43" applyFont="1" applyFill="1" applyAlignment="1">
      <alignment vertical="center" wrapText="1"/>
    </xf>
    <xf numFmtId="182" fontId="37" fillId="24" borderId="29" xfId="43" applyNumberFormat="1" applyFont="1" applyFill="1" applyBorder="1">
      <alignment vertical="center"/>
    </xf>
    <xf numFmtId="0" fontId="37" fillId="24" borderId="30" xfId="43" applyFont="1" applyFill="1" applyBorder="1">
      <alignment vertical="center"/>
    </xf>
    <xf numFmtId="0" fontId="37" fillId="24" borderId="85" xfId="43" quotePrefix="1" applyFont="1" applyFill="1" applyBorder="1" applyAlignment="1">
      <alignment horizontal="left" vertical="center"/>
    </xf>
    <xf numFmtId="0" fontId="35" fillId="24" borderId="28" xfId="43" applyFont="1" applyFill="1" applyBorder="1" applyAlignment="1" applyProtection="1">
      <alignment horizontal="left" vertical="center"/>
      <protection locked="0"/>
    </xf>
    <xf numFmtId="0" fontId="35" fillId="24" borderId="25" xfId="43" applyFont="1" applyFill="1" applyBorder="1" applyProtection="1">
      <alignment vertical="center"/>
      <protection locked="0"/>
    </xf>
    <xf numFmtId="0" fontId="35" fillId="24" borderId="26" xfId="43" applyFont="1" applyFill="1" applyBorder="1" applyProtection="1">
      <alignment vertical="center"/>
      <protection locked="0"/>
    </xf>
    <xf numFmtId="0" fontId="35" fillId="24" borderId="30" xfId="43" applyFont="1" applyFill="1" applyBorder="1" applyProtection="1">
      <alignment vertical="center"/>
      <protection locked="0"/>
    </xf>
    <xf numFmtId="0" fontId="37" fillId="24" borderId="29" xfId="43" applyFont="1" applyFill="1" applyBorder="1" applyAlignment="1">
      <alignment horizontal="left" vertical="center"/>
    </xf>
    <xf numFmtId="0" fontId="37" fillId="24" borderId="59" xfId="43" applyFont="1" applyFill="1" applyBorder="1">
      <alignment vertical="center"/>
    </xf>
    <xf numFmtId="0" fontId="37" fillId="24" borderId="60" xfId="43" applyFont="1" applyFill="1" applyBorder="1">
      <alignment vertical="center"/>
    </xf>
    <xf numFmtId="0" fontId="37" fillId="24" borderId="61" xfId="43" applyFont="1" applyFill="1" applyBorder="1">
      <alignment vertical="center"/>
    </xf>
    <xf numFmtId="0" fontId="37" fillId="24" borderId="32" xfId="43" applyFont="1" applyFill="1" applyBorder="1" applyAlignment="1">
      <alignment horizontal="center" vertical="center" wrapText="1"/>
    </xf>
    <xf numFmtId="181" fontId="37" fillId="24" borderId="25" xfId="43" applyNumberFormat="1" applyFont="1" applyFill="1" applyBorder="1">
      <alignment vertical="center"/>
    </xf>
    <xf numFmtId="0" fontId="37" fillId="24" borderId="33" xfId="43" applyFont="1" applyFill="1" applyBorder="1">
      <alignment vertical="center"/>
    </xf>
    <xf numFmtId="0" fontId="37" fillId="24" borderId="84" xfId="43" quotePrefix="1" applyFont="1" applyFill="1" applyBorder="1">
      <alignment vertical="center"/>
    </xf>
    <xf numFmtId="0" fontId="35" fillId="24" borderId="29" xfId="43" applyFont="1" applyFill="1" applyBorder="1" applyProtection="1">
      <alignment vertical="center"/>
      <protection locked="0"/>
    </xf>
    <xf numFmtId="0" fontId="37" fillId="24" borderId="34" xfId="43" applyFont="1" applyFill="1" applyBorder="1">
      <alignment vertical="center"/>
    </xf>
    <xf numFmtId="0" fontId="37" fillId="24" borderId="21" xfId="43" applyFont="1" applyFill="1" applyBorder="1" applyAlignment="1">
      <alignment horizontal="center" vertical="center" wrapText="1"/>
    </xf>
    <xf numFmtId="0" fontId="37" fillId="24" borderId="62" xfId="43" applyFont="1" applyFill="1" applyBorder="1" applyAlignment="1">
      <alignment vertical="center" wrapText="1"/>
    </xf>
    <xf numFmtId="0" fontId="37" fillId="24" borderId="62" xfId="43" applyFont="1" applyFill="1" applyBorder="1">
      <alignment vertical="center"/>
    </xf>
    <xf numFmtId="0" fontId="37" fillId="24" borderId="35" xfId="43" applyFont="1" applyFill="1" applyBorder="1">
      <alignment vertical="center"/>
    </xf>
    <xf numFmtId="181" fontId="37" fillId="24" borderId="35" xfId="43" applyNumberFormat="1" applyFont="1" applyFill="1" applyBorder="1">
      <alignment vertical="center"/>
    </xf>
    <xf numFmtId="185" fontId="35" fillId="24" borderId="36" xfId="0" applyNumberFormat="1" applyFont="1" applyFill="1" applyBorder="1" applyAlignment="1">
      <alignment horizontal="center" vertical="center"/>
    </xf>
    <xf numFmtId="0" fontId="37" fillId="24" borderId="37" xfId="43" applyFont="1" applyFill="1" applyBorder="1">
      <alignment vertical="center"/>
    </xf>
    <xf numFmtId="0" fontId="37" fillId="24" borderId="44" xfId="43" applyFont="1" applyFill="1" applyBorder="1">
      <alignment vertical="center"/>
    </xf>
    <xf numFmtId="182" fontId="37" fillId="24" borderId="37" xfId="43" applyNumberFormat="1" applyFont="1" applyFill="1" applyBorder="1">
      <alignment vertical="center"/>
    </xf>
    <xf numFmtId="0" fontId="37" fillId="24" borderId="38" xfId="43" applyFont="1" applyFill="1" applyBorder="1">
      <alignment vertical="center"/>
    </xf>
    <xf numFmtId="0" fontId="37" fillId="24" borderId="39" xfId="43" applyFont="1" applyFill="1" applyBorder="1">
      <alignment vertical="center"/>
    </xf>
    <xf numFmtId="181" fontId="37" fillId="24" borderId="39" xfId="43" applyNumberFormat="1" applyFont="1" applyFill="1" applyBorder="1">
      <alignment vertical="center"/>
    </xf>
    <xf numFmtId="0" fontId="37" fillId="24" borderId="40" xfId="43" applyFont="1" applyFill="1" applyBorder="1">
      <alignment vertical="center"/>
    </xf>
    <xf numFmtId="185" fontId="35" fillId="24" borderId="0" xfId="0" applyNumberFormat="1" applyFont="1" applyFill="1" applyAlignment="1">
      <alignment horizontal="center" vertical="center"/>
    </xf>
    <xf numFmtId="0" fontId="69" fillId="24" borderId="0" xfId="43" applyFont="1" applyFill="1" applyAlignment="1"/>
    <xf numFmtId="0" fontId="37" fillId="24" borderId="41" xfId="43" applyFont="1" applyFill="1" applyBorder="1">
      <alignment vertical="center"/>
    </xf>
    <xf numFmtId="182" fontId="37" fillId="24" borderId="41" xfId="43" applyNumberFormat="1" applyFont="1" applyFill="1" applyBorder="1">
      <alignment vertical="center"/>
    </xf>
    <xf numFmtId="0" fontId="37" fillId="24" borderId="42" xfId="43" applyFont="1" applyFill="1" applyBorder="1">
      <alignment vertical="center"/>
    </xf>
    <xf numFmtId="181" fontId="69" fillId="24" borderId="41" xfId="43" applyNumberFormat="1" applyFont="1" applyFill="1" applyBorder="1">
      <alignment vertical="center"/>
    </xf>
    <xf numFmtId="182" fontId="37" fillId="24" borderId="28" xfId="43" applyNumberFormat="1" applyFont="1" applyFill="1" applyBorder="1">
      <alignment vertical="center"/>
    </xf>
    <xf numFmtId="0" fontId="37" fillId="24" borderId="43" xfId="43" applyFont="1" applyFill="1" applyBorder="1">
      <alignment vertical="center"/>
    </xf>
    <xf numFmtId="181" fontId="69" fillId="24" borderId="28" xfId="43" applyNumberFormat="1" applyFont="1" applyFill="1" applyBorder="1">
      <alignment vertical="center"/>
    </xf>
    <xf numFmtId="185" fontId="37" fillId="24" borderId="63" xfId="43" applyNumberFormat="1" applyFont="1" applyFill="1" applyBorder="1" applyAlignment="1">
      <alignment horizontal="center" vertical="center"/>
    </xf>
    <xf numFmtId="0" fontId="37" fillId="24" borderId="57" xfId="43" applyFont="1" applyFill="1" applyBorder="1">
      <alignment vertical="center"/>
    </xf>
    <xf numFmtId="0" fontId="37" fillId="24" borderId="63" xfId="43" applyFont="1" applyFill="1" applyBorder="1">
      <alignment vertical="center"/>
    </xf>
    <xf numFmtId="182" fontId="37" fillId="24" borderId="36" xfId="43" applyNumberFormat="1" applyFont="1" applyFill="1" applyBorder="1">
      <alignment vertical="center"/>
    </xf>
    <xf numFmtId="0" fontId="37" fillId="24" borderId="36" xfId="43" applyFont="1" applyFill="1" applyBorder="1">
      <alignment vertical="center"/>
    </xf>
    <xf numFmtId="0" fontId="37" fillId="24" borderId="40" xfId="43" applyFont="1" applyFill="1" applyBorder="1" applyAlignment="1">
      <alignment horizontal="center" vertical="center"/>
    </xf>
    <xf numFmtId="0" fontId="37" fillId="24" borderId="46" xfId="43" applyFont="1" applyFill="1" applyBorder="1">
      <alignment vertical="center"/>
    </xf>
    <xf numFmtId="182" fontId="37" fillId="24" borderId="46" xfId="43" applyNumberFormat="1" applyFont="1" applyFill="1" applyBorder="1">
      <alignment vertical="center"/>
    </xf>
    <xf numFmtId="0" fontId="37" fillId="24" borderId="45" xfId="43" applyFont="1" applyFill="1" applyBorder="1">
      <alignment vertical="center"/>
    </xf>
    <xf numFmtId="181" fontId="69" fillId="24" borderId="46" xfId="43" applyNumberFormat="1" applyFont="1" applyFill="1" applyBorder="1">
      <alignment vertical="center"/>
    </xf>
    <xf numFmtId="0" fontId="60" fillId="24" borderId="0" xfId="0" applyFont="1" applyFill="1">
      <alignment vertical="center"/>
    </xf>
    <xf numFmtId="0" fontId="67" fillId="24" borderId="0" xfId="0" applyFont="1" applyFill="1" applyAlignment="1">
      <alignment horizontal="justify" vertical="center" wrapText="1"/>
    </xf>
    <xf numFmtId="0" fontId="67" fillId="24" borderId="0" xfId="0" applyFont="1" applyFill="1" applyAlignment="1">
      <alignment vertical="center" wrapText="1"/>
    </xf>
    <xf numFmtId="0" fontId="35" fillId="24" borderId="0" xfId="0" applyFont="1" applyFill="1" applyAlignment="1">
      <alignment horizontal="right" vertical="center"/>
    </xf>
    <xf numFmtId="0" fontId="35" fillId="25" borderId="12" xfId="44" applyFont="1" applyFill="1" applyBorder="1" applyAlignment="1" applyProtection="1">
      <alignment vertical="top" wrapText="1"/>
      <protection locked="0"/>
    </xf>
    <xf numFmtId="0" fontId="75" fillId="24" borderId="0" xfId="0" applyFont="1" applyFill="1">
      <alignment vertical="center"/>
    </xf>
    <xf numFmtId="0" fontId="36" fillId="24" borderId="0" xfId="0" applyFont="1" applyFill="1" applyAlignment="1">
      <alignment vertical="top" wrapText="1"/>
    </xf>
    <xf numFmtId="0" fontId="75" fillId="24" borderId="0" xfId="0" applyFont="1" applyFill="1" applyAlignment="1">
      <alignment vertical="top" wrapText="1"/>
    </xf>
    <xf numFmtId="0" fontId="35" fillId="24" borderId="0" xfId="44" applyFont="1" applyFill="1" applyAlignment="1">
      <alignment horizontal="distributed" vertical="center"/>
    </xf>
    <xf numFmtId="0" fontId="36" fillId="24" borderId="0" xfId="0" applyFont="1" applyFill="1" applyAlignment="1">
      <alignment horizontal="distributed" vertical="center"/>
    </xf>
    <xf numFmtId="0" fontId="35" fillId="24" borderId="0" xfId="0" applyFont="1" applyFill="1" applyAlignment="1"/>
    <xf numFmtId="0" fontId="37" fillId="24" borderId="25" xfId="0" applyFont="1" applyFill="1" applyBorder="1" applyAlignment="1">
      <alignment horizontal="right" vertical="center"/>
    </xf>
    <xf numFmtId="0" fontId="37" fillId="24" borderId="54" xfId="0" applyFont="1" applyFill="1" applyBorder="1" applyAlignment="1">
      <alignment horizontal="center" vertical="center"/>
    </xf>
    <xf numFmtId="0" fontId="63" fillId="24" borderId="0" xfId="44" applyFont="1" applyFill="1" applyAlignment="1">
      <alignment vertical="top"/>
    </xf>
    <xf numFmtId="0" fontId="35" fillId="24" borderId="0" xfId="44" applyFont="1" applyFill="1" applyAlignment="1">
      <alignment vertical="top"/>
    </xf>
    <xf numFmtId="0" fontId="82" fillId="24" borderId="0" xfId="0" applyFont="1" applyFill="1">
      <alignment vertical="center"/>
    </xf>
    <xf numFmtId="0" fontId="35" fillId="24" borderId="0" xfId="44" applyFont="1" applyFill="1" applyAlignment="1">
      <alignment horizontal="distributed" wrapText="1"/>
    </xf>
    <xf numFmtId="0" fontId="35" fillId="24" borderId="0" xfId="44" applyFont="1" applyFill="1" applyAlignment="1">
      <alignment horizontal="center" vertical="top" shrinkToFit="1"/>
    </xf>
    <xf numFmtId="0" fontId="35" fillId="25" borderId="59" xfId="0" applyFont="1" applyFill="1" applyBorder="1" applyAlignment="1">
      <alignment vertical="top" wrapText="1"/>
    </xf>
    <xf numFmtId="0" fontId="35" fillId="25" borderId="59" xfId="0" applyFont="1" applyFill="1" applyBorder="1" applyAlignment="1">
      <alignment horizontal="left" vertical="center" wrapText="1"/>
    </xf>
    <xf numFmtId="0" fontId="35" fillId="25" borderId="54" xfId="0" applyFont="1" applyFill="1" applyBorder="1" applyAlignment="1">
      <alignment horizontal="left" vertical="center" wrapText="1"/>
    </xf>
    <xf numFmtId="0" fontId="35" fillId="25" borderId="60" xfId="0" applyFont="1" applyFill="1" applyBorder="1" applyAlignment="1">
      <alignment vertical="top" wrapText="1"/>
    </xf>
    <xf numFmtId="0" fontId="35" fillId="25" borderId="60" xfId="0" applyFont="1" applyFill="1" applyBorder="1" applyAlignment="1">
      <alignment horizontal="left" vertical="center" wrapText="1"/>
    </xf>
    <xf numFmtId="0" fontId="35" fillId="25" borderId="61" xfId="0" applyFont="1" applyFill="1" applyBorder="1" applyAlignment="1">
      <alignment horizontal="left" vertical="center" wrapText="1"/>
    </xf>
    <xf numFmtId="0" fontId="62" fillId="25" borderId="29" xfId="44" applyFont="1" applyFill="1" applyBorder="1" applyAlignment="1">
      <alignment horizontal="center" vertical="center" shrinkToFit="1"/>
    </xf>
    <xf numFmtId="0" fontId="62" fillId="25" borderId="32" xfId="44" applyFont="1" applyFill="1" applyBorder="1" applyAlignment="1">
      <alignment horizontal="center" vertical="center" shrinkToFit="1"/>
    </xf>
    <xf numFmtId="0" fontId="62" fillId="25" borderId="86" xfId="44" applyFont="1" applyFill="1" applyBorder="1" applyAlignment="1">
      <alignment horizontal="center" vertical="center" shrinkToFit="1"/>
    </xf>
    <xf numFmtId="0" fontId="62" fillId="25" borderId="13" xfId="44" applyFont="1" applyFill="1" applyBorder="1" applyAlignment="1">
      <alignment horizontal="center" vertical="center" shrinkToFit="1"/>
    </xf>
    <xf numFmtId="0" fontId="62" fillId="25" borderId="21" xfId="44" applyFont="1" applyFill="1" applyBorder="1" applyAlignment="1">
      <alignment horizontal="center" vertical="center" shrinkToFit="1"/>
    </xf>
    <xf numFmtId="0" fontId="62" fillId="25" borderId="0" xfId="44" applyFont="1" applyFill="1" applyAlignment="1">
      <alignment horizontal="center" vertical="center" shrinkToFit="1"/>
    </xf>
    <xf numFmtId="0" fontId="62" fillId="25" borderId="95" xfId="44" applyFont="1" applyFill="1" applyBorder="1" applyAlignment="1">
      <alignment horizontal="center" vertical="center" shrinkToFit="1"/>
    </xf>
    <xf numFmtId="0" fontId="62" fillId="25" borderId="90" xfId="44" applyFont="1" applyFill="1" applyBorder="1" applyAlignment="1">
      <alignment horizontal="center" vertical="center" shrinkToFit="1"/>
    </xf>
    <xf numFmtId="0" fontId="62" fillId="25" borderId="62" xfId="44" applyFont="1" applyFill="1" applyBorder="1" applyAlignment="1">
      <alignment horizontal="center" vertical="center" shrinkToFit="1"/>
    </xf>
    <xf numFmtId="0" fontId="59" fillId="24" borderId="0" xfId="0" applyFont="1" applyFill="1">
      <alignment vertical="center"/>
    </xf>
    <xf numFmtId="0" fontId="35" fillId="0" borderId="60" xfId="44" applyFont="1" applyBorder="1" applyAlignment="1">
      <alignment vertical="center"/>
    </xf>
    <xf numFmtId="0" fontId="35" fillId="0" borderId="102" xfId="280" applyNumberFormat="1" applyFont="1" applyFill="1" applyBorder="1" applyAlignment="1" applyProtection="1">
      <alignment horizontal="left" vertical="center" wrapText="1"/>
    </xf>
    <xf numFmtId="9" fontId="35" fillId="0" borderId="102" xfId="280" applyFont="1" applyFill="1" applyBorder="1" applyAlignment="1" applyProtection="1">
      <alignment horizontal="left" vertical="center" wrapText="1"/>
    </xf>
    <xf numFmtId="0" fontId="35" fillId="0" borderId="33" xfId="280" applyNumberFormat="1" applyFont="1" applyFill="1" applyBorder="1" applyAlignment="1" applyProtection="1">
      <alignment horizontal="left" vertical="center" wrapText="1"/>
    </xf>
    <xf numFmtId="0" fontId="35" fillId="24" borderId="0" xfId="44" applyFont="1" applyFill="1" applyAlignment="1" applyProtection="1">
      <alignment horizontal="center" vertical="center" shrinkToFit="1"/>
      <protection locked="0"/>
    </xf>
    <xf numFmtId="0" fontId="35" fillId="24" borderId="0" xfId="44" applyFont="1" applyFill="1" applyAlignment="1">
      <alignment vertical="top" shrinkToFit="1"/>
    </xf>
    <xf numFmtId="0" fontId="36" fillId="27" borderId="0" xfId="0" applyFont="1" applyFill="1">
      <alignment vertical="center"/>
    </xf>
    <xf numFmtId="0" fontId="36" fillId="27" borderId="0" xfId="0" applyFont="1" applyFill="1" applyAlignment="1">
      <alignment vertical="top"/>
    </xf>
    <xf numFmtId="0" fontId="75" fillId="24" borderId="0" xfId="44" applyFont="1" applyFill="1"/>
    <xf numFmtId="0" fontId="35" fillId="24" borderId="0" xfId="44" applyFont="1" applyFill="1" applyAlignment="1" applyProtection="1">
      <alignment vertical="top"/>
      <protection locked="0"/>
    </xf>
    <xf numFmtId="0" fontId="37" fillId="24" borderId="0" xfId="44" applyFont="1" applyFill="1" applyProtection="1">
      <protection locked="0"/>
    </xf>
    <xf numFmtId="0" fontId="75" fillId="24" borderId="0" xfId="44" applyFont="1" applyFill="1" applyProtection="1">
      <protection locked="0"/>
    </xf>
    <xf numFmtId="0" fontId="37" fillId="24" borderId="0" xfId="44" applyFont="1" applyFill="1"/>
    <xf numFmtId="0" fontId="35" fillId="0" borderId="33" xfId="44" applyFont="1" applyBorder="1" applyAlignment="1">
      <alignment horizontal="left" vertical="center" shrinkToFit="1"/>
    </xf>
    <xf numFmtId="9" fontId="62" fillId="0" borderId="140" xfId="280" applyFont="1" applyFill="1" applyBorder="1" applyAlignment="1" applyProtection="1">
      <alignment horizontal="center" vertical="center" wrapText="1"/>
    </xf>
    <xf numFmtId="0" fontId="62" fillId="0" borderId="140" xfId="44" applyFont="1" applyBorder="1" applyAlignment="1">
      <alignment horizontal="center"/>
    </xf>
    <xf numFmtId="0" fontId="62" fillId="25" borderId="32" xfId="44" applyFont="1" applyFill="1" applyBorder="1" applyAlignment="1" applyProtection="1">
      <alignment horizontal="center" vertical="center" shrinkToFit="1"/>
      <protection locked="0"/>
    </xf>
    <xf numFmtId="0" fontId="62" fillId="25" borderId="0" xfId="44" applyFont="1" applyFill="1" applyAlignment="1" applyProtection="1">
      <alignment horizontal="center" vertical="center" shrinkToFit="1"/>
      <protection locked="0"/>
    </xf>
    <xf numFmtId="0" fontId="35" fillId="0" borderId="33" xfId="44" applyFont="1" applyBorder="1" applyAlignment="1">
      <alignment horizontal="left" vertical="center"/>
    </xf>
    <xf numFmtId="0" fontId="62" fillId="25" borderId="86" xfId="44" applyFont="1" applyFill="1" applyBorder="1" applyAlignment="1" applyProtection="1">
      <alignment horizontal="center" vertical="center" shrinkToFit="1"/>
      <protection locked="0"/>
    </xf>
    <xf numFmtId="0" fontId="62" fillId="25" borderId="90" xfId="44" applyFont="1" applyFill="1" applyBorder="1" applyAlignment="1" applyProtection="1">
      <alignment horizontal="center" vertical="center" shrinkToFit="1"/>
      <protection locked="0"/>
    </xf>
    <xf numFmtId="0" fontId="62" fillId="25" borderId="148" xfId="44" applyFont="1" applyFill="1" applyBorder="1" applyAlignment="1" applyProtection="1">
      <alignment horizontal="center" vertical="center" shrinkToFit="1"/>
      <protection locked="0"/>
    </xf>
    <xf numFmtId="0" fontId="62" fillId="25" borderId="140" xfId="44" applyFont="1" applyFill="1" applyBorder="1" applyAlignment="1" applyProtection="1">
      <alignment horizontal="center" vertical="center" shrinkToFit="1"/>
      <protection locked="0"/>
    </xf>
    <xf numFmtId="9" fontId="62" fillId="25" borderId="0" xfId="280" applyFont="1" applyFill="1" applyBorder="1" applyAlignment="1" applyProtection="1">
      <alignment horizontal="center" vertical="center" wrapText="1"/>
      <protection locked="0"/>
    </xf>
    <xf numFmtId="9" fontId="62" fillId="25" borderId="86" xfId="280" applyFont="1" applyFill="1" applyBorder="1" applyAlignment="1" applyProtection="1">
      <alignment horizontal="center" vertical="center" wrapText="1"/>
      <protection locked="0"/>
    </xf>
    <xf numFmtId="9" fontId="62" fillId="25" borderId="90" xfId="280" applyFont="1" applyFill="1" applyBorder="1" applyAlignment="1" applyProtection="1">
      <alignment horizontal="center" vertical="center" wrapText="1"/>
      <protection locked="0"/>
    </xf>
    <xf numFmtId="9" fontId="62" fillId="25" borderId="148" xfId="280" applyFont="1" applyFill="1" applyBorder="1" applyAlignment="1" applyProtection="1">
      <alignment horizontal="center" vertical="center" wrapText="1"/>
      <protection locked="0"/>
    </xf>
    <xf numFmtId="9" fontId="62" fillId="25" borderId="140" xfId="280" applyFont="1" applyFill="1" applyBorder="1" applyAlignment="1" applyProtection="1">
      <alignment horizontal="center" vertical="center" wrapText="1"/>
      <protection locked="0"/>
    </xf>
    <xf numFmtId="0" fontId="35" fillId="0" borderId="140" xfId="0" applyFont="1" applyBorder="1">
      <alignment vertical="center"/>
    </xf>
    <xf numFmtId="0" fontId="62" fillId="25" borderId="0" xfId="44" applyFont="1" applyFill="1" applyAlignment="1" applyProtection="1">
      <alignment horizontal="center" vertical="center" wrapText="1"/>
      <protection locked="0"/>
    </xf>
    <xf numFmtId="0" fontId="62" fillId="25" borderId="90" xfId="44" applyFont="1" applyFill="1" applyBorder="1" applyAlignment="1" applyProtection="1">
      <alignment horizontal="center" vertical="center" wrapText="1"/>
      <protection locked="0"/>
    </xf>
    <xf numFmtId="0" fontId="62" fillId="25" borderId="140" xfId="44" applyFont="1" applyFill="1" applyBorder="1" applyAlignment="1" applyProtection="1">
      <alignment horizontal="center" vertical="center" wrapText="1"/>
      <protection locked="0"/>
    </xf>
    <xf numFmtId="0" fontId="35" fillId="0" borderId="0" xfId="44" applyFont="1" applyAlignment="1">
      <alignment horizontal="left" vertical="top"/>
    </xf>
    <xf numFmtId="0" fontId="75" fillId="0" borderId="140" xfId="44" applyFont="1" applyBorder="1"/>
    <xf numFmtId="0" fontId="35" fillId="0" borderId="142" xfId="44" applyFont="1" applyBorder="1" applyAlignment="1">
      <alignment horizontal="left" vertical="center" shrinkToFit="1"/>
    </xf>
    <xf numFmtId="0" fontId="35" fillId="0" borderId="146" xfId="280" applyNumberFormat="1" applyFont="1" applyFill="1" applyBorder="1" applyAlignment="1" applyProtection="1">
      <alignment horizontal="left" vertical="center" wrapText="1"/>
    </xf>
    <xf numFmtId="9" fontId="35" fillId="0" borderId="146" xfId="280" applyFont="1" applyFill="1" applyBorder="1" applyAlignment="1" applyProtection="1">
      <alignment horizontal="left" vertical="center" wrapText="1"/>
    </xf>
    <xf numFmtId="0" fontId="35" fillId="0" borderId="65" xfId="44" applyFont="1" applyBorder="1" applyAlignment="1">
      <alignment horizontal="left" vertical="center" shrinkToFit="1"/>
    </xf>
    <xf numFmtId="0" fontId="35" fillId="0" borderId="29" xfId="0" applyFont="1" applyBorder="1" applyAlignment="1">
      <alignment horizontal="center" vertical="center" shrinkToFit="1"/>
    </xf>
    <xf numFmtId="0" fontId="35" fillId="0" borderId="85" xfId="0" applyFont="1" applyBorder="1" applyAlignment="1">
      <alignment horizontal="center" vertical="center" shrinkToFit="1"/>
    </xf>
    <xf numFmtId="0" fontId="35" fillId="0" borderId="83" xfId="0" applyFont="1" applyBorder="1" applyAlignment="1">
      <alignment horizontal="center" vertical="center" shrinkToFit="1"/>
    </xf>
    <xf numFmtId="0" fontId="35" fillId="0" borderId="32" xfId="0" applyFont="1" applyBorder="1" applyAlignment="1">
      <alignment horizontal="center" vertical="center" shrinkToFit="1"/>
    </xf>
    <xf numFmtId="178" fontId="35" fillId="0" borderId="25" xfId="0" applyNumberFormat="1" applyFont="1" applyBorder="1" applyAlignment="1">
      <alignment horizontal="right" vertical="center" shrinkToFit="1"/>
    </xf>
    <xf numFmtId="183" fontId="35" fillId="0" borderId="28" xfId="0" applyNumberFormat="1" applyFont="1" applyBorder="1" applyAlignment="1">
      <alignment horizontal="right" vertical="center" shrinkToFit="1"/>
    </xf>
    <xf numFmtId="0" fontId="35" fillId="0" borderId="61" xfId="0" applyFont="1" applyBorder="1" applyAlignment="1">
      <alignment horizontal="center" shrinkToFit="1"/>
    </xf>
    <xf numFmtId="0" fontId="37" fillId="0" borderId="33" xfId="0" applyFont="1" applyBorder="1" applyAlignment="1">
      <alignment shrinkToFit="1"/>
    </xf>
    <xf numFmtId="0" fontId="35" fillId="0" borderId="33" xfId="0" applyFont="1" applyBorder="1" applyAlignment="1">
      <alignment horizontal="center" vertical="center" shrinkToFit="1"/>
    </xf>
    <xf numFmtId="178" fontId="35" fillId="0" borderId="29" xfId="0" applyNumberFormat="1" applyFont="1" applyBorder="1" applyAlignment="1">
      <alignment horizontal="right" vertical="center" shrinkToFit="1"/>
    </xf>
    <xf numFmtId="183" fontId="35" fillId="0" borderId="85" xfId="0" applyNumberFormat="1" applyFont="1" applyBorder="1" applyAlignment="1">
      <alignment horizontal="right" vertical="center" shrinkToFit="1"/>
    </xf>
    <xf numFmtId="178" fontId="35" fillId="0" borderId="21" xfId="0" applyNumberFormat="1" applyFont="1" applyBorder="1" applyAlignment="1">
      <alignment horizontal="right" vertical="center" shrinkToFit="1"/>
    </xf>
    <xf numFmtId="183" fontId="35" fillId="0" borderId="84" xfId="0" applyNumberFormat="1" applyFont="1" applyBorder="1" applyAlignment="1">
      <alignment horizontal="right" vertical="center" shrinkToFit="1"/>
    </xf>
    <xf numFmtId="0" fontId="64" fillId="0" borderId="108" xfId="0" applyFont="1" applyBorder="1" applyAlignment="1">
      <alignment horizontal="center" vertical="center"/>
    </xf>
    <xf numFmtId="0" fontId="35" fillId="0" borderId="43" xfId="0" applyFont="1" applyBorder="1" applyAlignment="1">
      <alignment horizontal="center" vertical="center"/>
    </xf>
    <xf numFmtId="179" fontId="35" fillId="27" borderId="28" xfId="0" applyNumberFormat="1" applyFont="1" applyFill="1" applyBorder="1" applyAlignment="1" applyProtection="1">
      <alignment horizontal="right" vertical="center" shrinkToFit="1"/>
      <protection locked="0"/>
    </xf>
    <xf numFmtId="0" fontId="35" fillId="27" borderId="28" xfId="0" applyFont="1" applyFill="1" applyBorder="1" applyAlignment="1" applyProtection="1">
      <alignment horizontal="center" vertical="center" shrinkToFit="1"/>
      <protection locked="0"/>
    </xf>
    <xf numFmtId="179" fontId="35" fillId="27" borderId="85" xfId="0" applyNumberFormat="1" applyFont="1" applyFill="1" applyBorder="1" applyAlignment="1" applyProtection="1">
      <alignment horizontal="right" vertical="center" shrinkToFit="1"/>
      <protection locked="0"/>
    </xf>
    <xf numFmtId="0" fontId="35" fillId="27" borderId="85" xfId="0" applyFont="1" applyFill="1" applyBorder="1" applyAlignment="1" applyProtection="1">
      <alignment horizontal="center" vertical="center" shrinkToFit="1"/>
      <protection locked="0"/>
    </xf>
    <xf numFmtId="179" fontId="35" fillId="27" borderId="84" xfId="0" applyNumberFormat="1" applyFont="1" applyFill="1" applyBorder="1" applyAlignment="1" applyProtection="1">
      <alignment horizontal="right" vertical="center" shrinkToFit="1"/>
      <protection locked="0"/>
    </xf>
    <xf numFmtId="0" fontId="35" fillId="27" borderId="84" xfId="0" applyFont="1" applyFill="1" applyBorder="1" applyAlignment="1" applyProtection="1">
      <alignment horizontal="center" vertical="center" shrinkToFit="1"/>
      <protection locked="0"/>
    </xf>
    <xf numFmtId="0" fontId="86" fillId="0" borderId="78" xfId="0" applyFont="1" applyBorder="1" applyAlignment="1">
      <alignment vertical="center" wrapText="1"/>
    </xf>
    <xf numFmtId="0" fontId="0" fillId="0" borderId="59" xfId="0" applyBorder="1">
      <alignment vertical="center"/>
    </xf>
    <xf numFmtId="0" fontId="0" fillId="0" borderId="25" xfId="0" applyBorder="1">
      <alignment vertical="center"/>
    </xf>
    <xf numFmtId="191" fontId="0" fillId="0" borderId="0" xfId="0" applyNumberFormat="1" applyProtection="1">
      <alignment vertical="center"/>
      <protection locked="0"/>
    </xf>
    <xf numFmtId="0" fontId="0" fillId="0" borderId="0" xfId="0" applyAlignment="1">
      <alignment horizontal="left" vertical="center" indent="1"/>
    </xf>
    <xf numFmtId="0" fontId="90" fillId="0" borderId="182" xfId="0" applyFont="1" applyBorder="1" applyAlignment="1">
      <alignment horizontal="center" vertical="center" shrinkToFit="1"/>
    </xf>
    <xf numFmtId="0" fontId="90" fillId="0" borderId="184" xfId="0" applyFont="1" applyBorder="1" applyAlignment="1">
      <alignment horizontal="center" vertical="center" shrinkToFit="1"/>
    </xf>
    <xf numFmtId="192" fontId="90" fillId="0" borderId="182" xfId="0" applyNumberFormat="1" applyFont="1" applyBorder="1" applyAlignment="1">
      <alignment horizontal="center" vertical="center"/>
    </xf>
    <xf numFmtId="0" fontId="90" fillId="0" borderId="181" xfId="0" applyFont="1" applyBorder="1" applyAlignment="1">
      <alignment horizontal="left" vertical="center" shrinkToFit="1"/>
    </xf>
    <xf numFmtId="0" fontId="90" fillId="0" borderId="185" xfId="0" applyFont="1" applyBorder="1" applyAlignment="1">
      <alignment horizontal="left" vertical="center" shrinkToFit="1"/>
    </xf>
    <xf numFmtId="0" fontId="90" fillId="0" borderId="182" xfId="0" applyFont="1" applyBorder="1" applyAlignment="1">
      <alignment horizontal="left" vertical="center" shrinkToFit="1"/>
    </xf>
    <xf numFmtId="179" fontId="90" fillId="0" borderId="181" xfId="0" applyNumberFormat="1" applyFont="1" applyBorder="1" applyAlignment="1">
      <alignment vertical="center" shrinkToFit="1"/>
    </xf>
    <xf numFmtId="179" fontId="90" fillId="0" borderId="185" xfId="0" applyNumberFormat="1" applyFont="1" applyBorder="1" applyAlignment="1">
      <alignment vertical="center" shrinkToFit="1"/>
    </xf>
    <xf numFmtId="179" fontId="90" fillId="0" borderId="182" xfId="0" applyNumberFormat="1" applyFont="1" applyBorder="1" applyAlignment="1">
      <alignment vertical="center" shrinkToFit="1"/>
    </xf>
    <xf numFmtId="0" fontId="90" fillId="0" borderId="186" xfId="0" applyFont="1" applyBorder="1" applyAlignment="1">
      <alignment horizontal="center" vertical="center" shrinkToFit="1"/>
    </xf>
    <xf numFmtId="0" fontId="90" fillId="0" borderId="186" xfId="0" applyFont="1" applyBorder="1" applyAlignment="1">
      <alignment horizontal="left" vertical="top" shrinkToFit="1"/>
    </xf>
    <xf numFmtId="0" fontId="90" fillId="0" borderId="188" xfId="0" applyFont="1" applyBorder="1" applyAlignment="1">
      <alignment horizontal="left" vertical="top" shrinkToFit="1"/>
    </xf>
    <xf numFmtId="0" fontId="90" fillId="0" borderId="186" xfId="0" applyFont="1" applyBorder="1" applyAlignment="1">
      <alignment vertical="center" shrinkToFit="1"/>
    </xf>
    <xf numFmtId="182" fontId="90" fillId="0" borderId="182" xfId="0" applyNumberFormat="1" applyFont="1" applyBorder="1" applyAlignment="1">
      <alignment vertical="center" shrinkToFit="1"/>
    </xf>
    <xf numFmtId="0" fontId="90" fillId="0" borderId="189" xfId="0" applyFont="1" applyBorder="1" applyAlignment="1">
      <alignment vertical="center" shrinkToFit="1"/>
    </xf>
    <xf numFmtId="0" fontId="90" fillId="0" borderId="181" xfId="0" applyFont="1" applyBorder="1" applyAlignment="1">
      <alignment vertical="center" shrinkToFit="1"/>
    </xf>
    <xf numFmtId="184" fontId="90" fillId="0" borderId="190" xfId="0" applyNumberFormat="1" applyFont="1" applyBorder="1" applyAlignment="1">
      <alignment vertical="center" shrinkToFit="1"/>
    </xf>
    <xf numFmtId="182" fontId="90" fillId="0" borderId="191" xfId="0" applyNumberFormat="1" applyFont="1" applyBorder="1" applyAlignment="1">
      <alignment vertical="center" shrinkToFit="1"/>
    </xf>
    <xf numFmtId="184" fontId="90" fillId="0" borderId="189" xfId="0" applyNumberFormat="1" applyFont="1" applyBorder="1" applyAlignment="1">
      <alignment vertical="center" shrinkToFit="1"/>
    </xf>
    <xf numFmtId="0" fontId="90" fillId="0" borderId="181" xfId="0" applyFont="1" applyBorder="1" applyAlignment="1">
      <alignment horizontal="left" vertical="top"/>
    </xf>
    <xf numFmtId="0" fontId="90" fillId="0" borderId="185" xfId="0" applyFont="1" applyBorder="1" applyAlignment="1">
      <alignment horizontal="left" vertical="top"/>
    </xf>
    <xf numFmtId="0" fontId="90" fillId="0" borderId="182" xfId="0" applyFont="1" applyBorder="1" applyAlignment="1">
      <alignment horizontal="left" vertical="top"/>
    </xf>
    <xf numFmtId="0" fontId="90" fillId="0" borderId="186" xfId="0" applyFont="1" applyBorder="1" applyAlignment="1">
      <alignment horizontal="left" vertical="top"/>
    </xf>
    <xf numFmtId="49" fontId="92" fillId="29" borderId="164" xfId="0" applyNumberFormat="1" applyFont="1" applyFill="1" applyBorder="1" applyAlignment="1">
      <alignment horizontal="center" vertical="top" wrapText="1"/>
    </xf>
    <xf numFmtId="0" fontId="92" fillId="29" borderId="165" xfId="0" applyFont="1" applyFill="1" applyBorder="1" applyAlignment="1">
      <alignment horizontal="center" vertical="top" wrapText="1"/>
    </xf>
    <xf numFmtId="0" fontId="92" fillId="29" borderId="166" xfId="0" applyFont="1" applyFill="1" applyBorder="1" applyAlignment="1">
      <alignment horizontal="left" vertical="top" wrapText="1"/>
    </xf>
    <xf numFmtId="0" fontId="92" fillId="29" borderId="32" xfId="0" applyFont="1" applyFill="1" applyBorder="1" applyAlignment="1">
      <alignment horizontal="center" vertical="top" wrapText="1"/>
    </xf>
    <xf numFmtId="0" fontId="92" fillId="29" borderId="167" xfId="0" applyFont="1" applyFill="1" applyBorder="1" applyAlignment="1">
      <alignment horizontal="left" vertical="top" wrapText="1"/>
    </xf>
    <xf numFmtId="0" fontId="92" fillId="29" borderId="165" xfId="0" applyFont="1" applyFill="1" applyBorder="1" applyAlignment="1">
      <alignment horizontal="left" vertical="top" wrapText="1"/>
    </xf>
    <xf numFmtId="0" fontId="92" fillId="29" borderId="168" xfId="0" applyFont="1" applyFill="1" applyBorder="1" applyAlignment="1">
      <alignment horizontal="left" vertical="top" wrapText="1"/>
    </xf>
    <xf numFmtId="0" fontId="92" fillId="29" borderId="169" xfId="0" applyFont="1" applyFill="1" applyBorder="1" applyAlignment="1">
      <alignment horizontal="left" vertical="top" wrapText="1"/>
    </xf>
    <xf numFmtId="0" fontId="92" fillId="29" borderId="170" xfId="0" applyFont="1" applyFill="1" applyBorder="1" applyAlignment="1">
      <alignment horizontal="left" vertical="top" wrapText="1"/>
    </xf>
    <xf numFmtId="0" fontId="92" fillId="29" borderId="171" xfId="0" applyFont="1" applyFill="1" applyBorder="1" applyAlignment="1">
      <alignment horizontal="left" vertical="top" wrapText="1"/>
    </xf>
    <xf numFmtId="179" fontId="92" fillId="29" borderId="171" xfId="0" applyNumberFormat="1" applyFont="1" applyFill="1" applyBorder="1" applyAlignment="1">
      <alignment horizontal="left" vertical="top" wrapText="1"/>
    </xf>
    <xf numFmtId="179" fontId="92" fillId="29" borderId="166" xfId="0" applyNumberFormat="1" applyFont="1" applyFill="1" applyBorder="1" applyAlignment="1">
      <alignment horizontal="left" vertical="top" wrapText="1"/>
    </xf>
    <xf numFmtId="179" fontId="92" fillId="29" borderId="165" xfId="0" applyNumberFormat="1" applyFont="1" applyFill="1" applyBorder="1" applyAlignment="1">
      <alignment horizontal="left" vertical="top" wrapText="1"/>
    </xf>
    <xf numFmtId="179" fontId="92" fillId="29" borderId="172" xfId="0" applyNumberFormat="1" applyFont="1" applyFill="1" applyBorder="1" applyAlignment="1">
      <alignment horizontal="left" vertical="top" wrapText="1"/>
    </xf>
    <xf numFmtId="0" fontId="92" fillId="29" borderId="173" xfId="0" applyFont="1" applyFill="1" applyBorder="1" applyAlignment="1">
      <alignment horizontal="left" vertical="top" wrapText="1"/>
    </xf>
    <xf numFmtId="0" fontId="92" fillId="29" borderId="174" xfId="0" applyFont="1" applyFill="1" applyBorder="1" applyAlignment="1">
      <alignment horizontal="left" vertical="top" wrapText="1"/>
    </xf>
    <xf numFmtId="0" fontId="92" fillId="29" borderId="175" xfId="0" applyFont="1" applyFill="1" applyBorder="1" applyAlignment="1">
      <alignment horizontal="left" vertical="top" wrapText="1"/>
    </xf>
    <xf numFmtId="0" fontId="92" fillId="29" borderId="176" xfId="0" applyFont="1" applyFill="1" applyBorder="1" applyAlignment="1">
      <alignment horizontal="left" vertical="top" wrapText="1"/>
    </xf>
    <xf numFmtId="0" fontId="92" fillId="29" borderId="177" xfId="0" applyFont="1" applyFill="1" applyBorder="1" applyAlignment="1">
      <alignment horizontal="left" vertical="top" wrapText="1"/>
    </xf>
    <xf numFmtId="0" fontId="92" fillId="29" borderId="178" xfId="0" applyFont="1" applyFill="1" applyBorder="1" applyAlignment="1">
      <alignment horizontal="left" vertical="top" wrapText="1"/>
    </xf>
    <xf numFmtId="0" fontId="92" fillId="29" borderId="179" xfId="0" applyFont="1" applyFill="1" applyBorder="1" applyAlignment="1">
      <alignment horizontal="left" vertical="top" wrapText="1"/>
    </xf>
    <xf numFmtId="0" fontId="92" fillId="29" borderId="180" xfId="0" applyFont="1" applyFill="1" applyBorder="1" applyAlignment="1">
      <alignment horizontal="left" vertical="top" wrapText="1"/>
    </xf>
    <xf numFmtId="49" fontId="96" fillId="29" borderId="168" xfId="0" applyNumberFormat="1" applyFont="1" applyFill="1" applyBorder="1" applyAlignment="1">
      <alignment horizontal="center" vertical="center" wrapText="1"/>
    </xf>
    <xf numFmtId="0" fontId="96" fillId="29" borderId="165" xfId="0" applyFont="1" applyFill="1" applyBorder="1" applyAlignment="1">
      <alignment horizontal="center" vertical="center" wrapText="1"/>
    </xf>
    <xf numFmtId="0" fontId="96" fillId="29" borderId="166" xfId="0" applyFont="1" applyFill="1" applyBorder="1" applyAlignment="1">
      <alignment horizontal="center" vertical="top" wrapText="1"/>
    </xf>
    <xf numFmtId="0" fontId="96" fillId="29" borderId="165" xfId="0" applyFont="1" applyFill="1" applyBorder="1" applyAlignment="1">
      <alignment horizontal="center" vertical="center"/>
    </xf>
    <xf numFmtId="0" fontId="96" fillId="29" borderId="32" xfId="0" applyFont="1" applyFill="1" applyBorder="1" applyAlignment="1">
      <alignment horizontal="center" vertical="top" wrapText="1"/>
    </xf>
    <xf numFmtId="0" fontId="96" fillId="29" borderId="167" xfId="0" applyFont="1" applyFill="1" applyBorder="1" applyAlignment="1">
      <alignment horizontal="left" vertical="top" wrapText="1"/>
    </xf>
    <xf numFmtId="0" fontId="96" fillId="29" borderId="165" xfId="0" applyFont="1" applyFill="1" applyBorder="1" applyAlignment="1">
      <alignment horizontal="left" vertical="top" wrapText="1"/>
    </xf>
    <xf numFmtId="0" fontId="96" fillId="29" borderId="168" xfId="0" applyFont="1" applyFill="1" applyBorder="1" applyAlignment="1">
      <alignment horizontal="left" vertical="top" wrapText="1"/>
    </xf>
    <xf numFmtId="0" fontId="96" fillId="29" borderId="166" xfId="0" applyFont="1" applyFill="1" applyBorder="1" applyAlignment="1">
      <alignment horizontal="left" vertical="top" wrapText="1"/>
    </xf>
    <xf numFmtId="0" fontId="96" fillId="29" borderId="0" xfId="0" applyFont="1" applyFill="1" applyAlignment="1">
      <alignment horizontal="left" vertical="top" wrapText="1"/>
    </xf>
    <xf numFmtId="0" fontId="96" fillId="29" borderId="169" xfId="0" applyFont="1" applyFill="1" applyBorder="1" applyAlignment="1">
      <alignment horizontal="left" vertical="top" wrapText="1"/>
    </xf>
    <xf numFmtId="0" fontId="96" fillId="29" borderId="170" xfId="0" applyFont="1" applyFill="1" applyBorder="1" applyAlignment="1">
      <alignment horizontal="left" vertical="top" wrapText="1"/>
    </xf>
    <xf numFmtId="0" fontId="96" fillId="29" borderId="171" xfId="0" applyFont="1" applyFill="1" applyBorder="1" applyAlignment="1">
      <alignment horizontal="left" vertical="top" wrapText="1"/>
    </xf>
    <xf numFmtId="0" fontId="96" fillId="29" borderId="171" xfId="0" applyFont="1" applyFill="1" applyBorder="1" applyAlignment="1">
      <alignment horizontal="left" vertical="top"/>
    </xf>
    <xf numFmtId="0" fontId="96" fillId="29" borderId="166" xfId="0" applyFont="1" applyFill="1" applyBorder="1" applyAlignment="1">
      <alignment horizontal="left" vertical="top"/>
    </xf>
    <xf numFmtId="0" fontId="96" fillId="29" borderId="170" xfId="0" applyFont="1" applyFill="1" applyBorder="1" applyAlignment="1">
      <alignment horizontal="left" vertical="top"/>
    </xf>
    <xf numFmtId="179" fontId="96" fillId="29" borderId="171" xfId="0" applyNumberFormat="1" applyFont="1" applyFill="1" applyBorder="1" applyAlignment="1">
      <alignment horizontal="left" vertical="top" wrapText="1"/>
    </xf>
    <xf numFmtId="179" fontId="96" fillId="29" borderId="166" xfId="0" applyNumberFormat="1" applyFont="1" applyFill="1" applyBorder="1" applyAlignment="1">
      <alignment horizontal="left" vertical="top" wrapText="1"/>
    </xf>
    <xf numFmtId="179" fontId="96" fillId="29" borderId="165" xfId="0" applyNumberFormat="1" applyFont="1" applyFill="1" applyBorder="1" applyAlignment="1">
      <alignment horizontal="left" vertical="top" wrapText="1"/>
    </xf>
    <xf numFmtId="0" fontId="96" fillId="29" borderId="196" xfId="0" applyFont="1" applyFill="1" applyBorder="1" applyAlignment="1">
      <alignment horizontal="left" vertical="top" wrapText="1"/>
    </xf>
    <xf numFmtId="0" fontId="96" fillId="29" borderId="173" xfId="0" applyFont="1" applyFill="1" applyBorder="1" applyAlignment="1">
      <alignment horizontal="left" vertical="top" wrapText="1"/>
    </xf>
    <xf numFmtId="0" fontId="96" fillId="29" borderId="174" xfId="0" applyFont="1" applyFill="1" applyBorder="1" applyAlignment="1">
      <alignment horizontal="left" vertical="top" wrapText="1"/>
    </xf>
    <xf numFmtId="0" fontId="96" fillId="29" borderId="175" xfId="0" applyFont="1" applyFill="1" applyBorder="1" applyAlignment="1">
      <alignment horizontal="left" vertical="top" wrapText="1"/>
    </xf>
    <xf numFmtId="0" fontId="96" fillId="29" borderId="176" xfId="0" applyFont="1" applyFill="1" applyBorder="1" applyAlignment="1">
      <alignment horizontal="left" vertical="top" wrapText="1"/>
    </xf>
    <xf numFmtId="0" fontId="96" fillId="29" borderId="197" xfId="0" applyFont="1" applyFill="1" applyBorder="1" applyAlignment="1">
      <alignment horizontal="left" vertical="top" wrapText="1"/>
    </xf>
    <xf numFmtId="0" fontId="90" fillId="0" borderId="199" xfId="0" applyFont="1" applyBorder="1" applyAlignment="1">
      <alignment horizontal="center" vertical="center" shrinkToFit="1"/>
    </xf>
    <xf numFmtId="49" fontId="90" fillId="0" borderId="181" xfId="0" applyNumberFormat="1" applyFont="1" applyBorder="1" applyAlignment="1">
      <alignment horizontal="center" vertical="center"/>
    </xf>
    <xf numFmtId="0" fontId="90" fillId="0" borderId="198" xfId="0" applyFont="1" applyBorder="1" applyAlignment="1">
      <alignment horizontal="left" vertical="top"/>
    </xf>
    <xf numFmtId="0" fontId="90" fillId="0" borderId="198" xfId="0" applyFont="1" applyBorder="1" applyAlignment="1">
      <alignment horizontal="center" vertical="top"/>
    </xf>
    <xf numFmtId="0" fontId="90" fillId="0" borderId="183" xfId="0" applyFont="1" applyBorder="1">
      <alignment vertical="center"/>
    </xf>
    <xf numFmtId="0" fontId="90" fillId="0" borderId="200" xfId="0" applyFont="1" applyBorder="1" applyAlignment="1">
      <alignment horizontal="left" vertical="top"/>
    </xf>
    <xf numFmtId="0" fontId="90" fillId="0" borderId="201" xfId="0" applyFont="1" applyBorder="1" applyAlignment="1">
      <alignment horizontal="left" vertical="top"/>
    </xf>
    <xf numFmtId="0" fontId="90" fillId="0" borderId="202" xfId="0" applyFont="1" applyBorder="1" applyAlignment="1">
      <alignment horizontal="left" vertical="top"/>
    </xf>
    <xf numFmtId="0" fontId="16" fillId="0" borderId="0" xfId="0" applyFont="1" applyAlignment="1">
      <alignment vertical="center" wrapText="1"/>
    </xf>
    <xf numFmtId="0" fontId="101" fillId="0" borderId="0" xfId="0" applyFont="1">
      <alignment vertical="center"/>
    </xf>
    <xf numFmtId="0" fontId="35" fillId="26" borderId="11" xfId="0" applyFont="1" applyFill="1" applyBorder="1" applyAlignment="1">
      <alignment horizontal="center" vertical="center" wrapText="1"/>
    </xf>
    <xf numFmtId="0" fontId="35" fillId="26" borderId="12" xfId="0" applyFont="1" applyFill="1" applyBorder="1" applyAlignment="1">
      <alignment horizontal="center" vertical="center" wrapText="1"/>
    </xf>
    <xf numFmtId="0" fontId="35" fillId="26" borderId="13" xfId="0" applyFont="1" applyFill="1" applyBorder="1" applyAlignment="1">
      <alignment horizontal="center" vertical="center" wrapText="1"/>
    </xf>
    <xf numFmtId="0" fontId="35" fillId="26" borderId="14" xfId="0" applyFont="1" applyFill="1" applyBorder="1" applyAlignment="1">
      <alignment vertical="center" wrapText="1"/>
    </xf>
    <xf numFmtId="49" fontId="92" fillId="29" borderId="203" xfId="0" applyNumberFormat="1" applyFont="1" applyFill="1" applyBorder="1" applyAlignment="1">
      <alignment horizontal="center" vertical="top" wrapText="1"/>
    </xf>
    <xf numFmtId="0" fontId="92" fillId="29" borderId="204" xfId="0" applyFont="1" applyFill="1" applyBorder="1" applyAlignment="1">
      <alignment horizontal="center" vertical="top" wrapText="1"/>
    </xf>
    <xf numFmtId="0" fontId="92" fillId="29" borderId="205" xfId="0" applyFont="1" applyFill="1" applyBorder="1" applyAlignment="1">
      <alignment horizontal="left" vertical="top" wrapText="1"/>
    </xf>
    <xf numFmtId="0" fontId="92" fillId="29" borderId="25" xfId="0" applyFont="1" applyFill="1" applyBorder="1" applyAlignment="1">
      <alignment horizontal="center" vertical="top" wrapText="1"/>
    </xf>
    <xf numFmtId="0" fontId="92" fillId="29" borderId="206" xfId="0" applyFont="1" applyFill="1" applyBorder="1" applyAlignment="1">
      <alignment horizontal="left" vertical="top" wrapText="1"/>
    </xf>
    <xf numFmtId="0" fontId="92" fillId="29" borderId="204" xfId="0" applyFont="1" applyFill="1" applyBorder="1" applyAlignment="1">
      <alignment horizontal="left" vertical="top" wrapText="1"/>
    </xf>
    <xf numFmtId="0" fontId="92" fillId="29" borderId="203" xfId="0" applyFont="1" applyFill="1" applyBorder="1" applyAlignment="1">
      <alignment horizontal="left" vertical="top" wrapText="1"/>
    </xf>
    <xf numFmtId="0" fontId="92" fillId="29" borderId="207" xfId="0" applyFont="1" applyFill="1" applyBorder="1" applyAlignment="1">
      <alignment horizontal="left" vertical="top" wrapText="1"/>
    </xf>
    <xf numFmtId="0" fontId="92" fillId="29" borderId="208" xfId="0" applyFont="1" applyFill="1" applyBorder="1" applyAlignment="1">
      <alignment horizontal="left" vertical="top" wrapText="1"/>
    </xf>
    <xf numFmtId="0" fontId="92" fillId="29" borderId="209" xfId="0" applyFont="1" applyFill="1" applyBorder="1" applyAlignment="1">
      <alignment horizontal="left" vertical="top" wrapText="1"/>
    </xf>
    <xf numFmtId="179" fontId="92" fillId="29" borderId="209" xfId="0" applyNumberFormat="1" applyFont="1" applyFill="1" applyBorder="1" applyAlignment="1">
      <alignment horizontal="left" vertical="top" wrapText="1"/>
    </xf>
    <xf numFmtId="179" fontId="92" fillId="29" borderId="205" xfId="0" applyNumberFormat="1" applyFont="1" applyFill="1" applyBorder="1" applyAlignment="1">
      <alignment horizontal="left" vertical="top" wrapText="1"/>
    </xf>
    <xf numFmtId="179" fontId="92" fillId="29" borderId="204" xfId="0" applyNumberFormat="1" applyFont="1" applyFill="1" applyBorder="1" applyAlignment="1">
      <alignment horizontal="left" vertical="top" wrapText="1"/>
    </xf>
    <xf numFmtId="179" fontId="92" fillId="29" borderId="210" xfId="0" applyNumberFormat="1" applyFont="1" applyFill="1" applyBorder="1" applyAlignment="1">
      <alignment horizontal="left" vertical="top" wrapText="1"/>
    </xf>
    <xf numFmtId="0" fontId="92" fillId="29" borderId="211" xfId="0" applyFont="1" applyFill="1" applyBorder="1" applyAlignment="1">
      <alignment horizontal="left" vertical="top" wrapText="1"/>
    </xf>
    <xf numFmtId="0" fontId="92" fillId="29" borderId="212" xfId="0" applyFont="1" applyFill="1" applyBorder="1" applyAlignment="1">
      <alignment horizontal="left" vertical="top" wrapText="1"/>
    </xf>
    <xf numFmtId="0" fontId="92" fillId="29" borderId="213" xfId="0" applyFont="1" applyFill="1" applyBorder="1" applyAlignment="1">
      <alignment horizontal="left" vertical="top" wrapText="1"/>
    </xf>
    <xf numFmtId="0" fontId="92" fillId="29" borderId="214" xfId="0" applyFont="1" applyFill="1" applyBorder="1" applyAlignment="1">
      <alignment horizontal="left" vertical="top" wrapText="1"/>
    </xf>
    <xf numFmtId="0" fontId="92" fillId="29" borderId="215" xfId="0" applyFont="1" applyFill="1" applyBorder="1" applyAlignment="1">
      <alignment horizontal="left" vertical="top" wrapText="1"/>
    </xf>
    <xf numFmtId="0" fontId="92" fillId="29" borderId="216" xfId="0" applyFont="1" applyFill="1" applyBorder="1" applyAlignment="1">
      <alignment horizontal="left" vertical="top" wrapText="1"/>
    </xf>
    <xf numFmtId="0" fontId="92" fillId="29" borderId="217" xfId="0" applyFont="1" applyFill="1" applyBorder="1" applyAlignment="1">
      <alignment horizontal="left" vertical="top" wrapText="1"/>
    </xf>
    <xf numFmtId="0" fontId="92" fillId="29" borderId="218" xfId="0" applyFont="1" applyFill="1" applyBorder="1" applyAlignment="1">
      <alignment horizontal="left" vertical="top" wrapText="1"/>
    </xf>
    <xf numFmtId="49" fontId="96" fillId="29" borderId="203" xfId="0" applyNumberFormat="1" applyFont="1" applyFill="1" applyBorder="1" applyAlignment="1">
      <alignment horizontal="center" vertical="center" wrapText="1"/>
    </xf>
    <xf numFmtId="0" fontId="96" fillId="29" borderId="204" xfId="0" applyFont="1" applyFill="1" applyBorder="1" applyAlignment="1">
      <alignment horizontal="center" vertical="center" wrapText="1"/>
    </xf>
    <xf numFmtId="0" fontId="96" fillId="29" borderId="205" xfId="0" applyFont="1" applyFill="1" applyBorder="1" applyAlignment="1">
      <alignment horizontal="center" vertical="top" wrapText="1"/>
    </xf>
    <xf numFmtId="0" fontId="96" fillId="29" borderId="204" xfId="0" applyFont="1" applyFill="1" applyBorder="1" applyAlignment="1">
      <alignment horizontal="center" vertical="center"/>
    </xf>
    <xf numFmtId="0" fontId="96" fillId="29" borderId="25" xfId="0" applyFont="1" applyFill="1" applyBorder="1" applyAlignment="1">
      <alignment horizontal="center" vertical="top" wrapText="1"/>
    </xf>
    <xf numFmtId="0" fontId="96" fillId="29" borderId="206" xfId="0" applyFont="1" applyFill="1" applyBorder="1" applyAlignment="1">
      <alignment horizontal="left" vertical="top" wrapText="1"/>
    </xf>
    <xf numFmtId="0" fontId="96" fillId="29" borderId="204" xfId="0" applyFont="1" applyFill="1" applyBorder="1" applyAlignment="1">
      <alignment horizontal="left" vertical="top" wrapText="1"/>
    </xf>
    <xf numFmtId="0" fontId="96" fillId="29" borderId="203" xfId="0" applyFont="1" applyFill="1" applyBorder="1" applyAlignment="1">
      <alignment horizontal="left" vertical="top" wrapText="1"/>
    </xf>
    <xf numFmtId="0" fontId="96" fillId="29" borderId="205" xfId="0" applyFont="1" applyFill="1" applyBorder="1" applyAlignment="1">
      <alignment horizontal="left" vertical="top" wrapText="1"/>
    </xf>
    <xf numFmtId="0" fontId="96" fillId="29" borderId="59" xfId="0" applyFont="1" applyFill="1" applyBorder="1" applyAlignment="1">
      <alignment horizontal="left" vertical="top" wrapText="1"/>
    </xf>
    <xf numFmtId="0" fontId="96" fillId="29" borderId="207" xfId="0" applyFont="1" applyFill="1" applyBorder="1" applyAlignment="1">
      <alignment horizontal="left" vertical="top" wrapText="1"/>
    </xf>
    <xf numFmtId="0" fontId="96" fillId="29" borderId="208" xfId="0" applyFont="1" applyFill="1" applyBorder="1" applyAlignment="1">
      <alignment horizontal="left" vertical="top" wrapText="1"/>
    </xf>
    <xf numFmtId="0" fontId="96" fillId="29" borderId="209" xfId="0" applyFont="1" applyFill="1" applyBorder="1" applyAlignment="1">
      <alignment horizontal="left" vertical="top" wrapText="1"/>
    </xf>
    <xf numFmtId="0" fontId="96" fillId="29" borderId="209" xfId="0" applyFont="1" applyFill="1" applyBorder="1" applyAlignment="1">
      <alignment horizontal="left" vertical="top"/>
    </xf>
    <xf numFmtId="0" fontId="96" fillId="29" borderId="205" xfId="0" applyFont="1" applyFill="1" applyBorder="1" applyAlignment="1">
      <alignment horizontal="left" vertical="top"/>
    </xf>
    <xf numFmtId="0" fontId="96" fillId="29" borderId="208" xfId="0" applyFont="1" applyFill="1" applyBorder="1" applyAlignment="1">
      <alignment horizontal="left" vertical="top"/>
    </xf>
    <xf numFmtId="179" fontId="96" fillId="29" borderId="209" xfId="0" applyNumberFormat="1" applyFont="1" applyFill="1" applyBorder="1" applyAlignment="1">
      <alignment horizontal="left" vertical="top" wrapText="1"/>
    </xf>
    <xf numFmtId="179" fontId="96" fillId="29" borderId="205" xfId="0" applyNumberFormat="1" applyFont="1" applyFill="1" applyBorder="1" applyAlignment="1">
      <alignment horizontal="left" vertical="top" wrapText="1"/>
    </xf>
    <xf numFmtId="179" fontId="96" fillId="29" borderId="204" xfId="0" applyNumberFormat="1" applyFont="1" applyFill="1" applyBorder="1" applyAlignment="1">
      <alignment horizontal="left" vertical="top" wrapText="1"/>
    </xf>
    <xf numFmtId="0" fontId="96" fillId="29" borderId="219" xfId="0" applyFont="1" applyFill="1" applyBorder="1" applyAlignment="1">
      <alignment horizontal="left" vertical="top" wrapText="1"/>
    </xf>
    <xf numFmtId="0" fontId="96" fillId="29" borderId="211" xfId="0" applyFont="1" applyFill="1" applyBorder="1" applyAlignment="1">
      <alignment horizontal="left" vertical="top" wrapText="1"/>
    </xf>
    <xf numFmtId="0" fontId="96" fillId="29" borderId="212" xfId="0" applyFont="1" applyFill="1" applyBorder="1" applyAlignment="1">
      <alignment horizontal="left" vertical="top" wrapText="1"/>
    </xf>
    <xf numFmtId="0" fontId="96" fillId="29" borderId="213" xfId="0" applyFont="1" applyFill="1" applyBorder="1" applyAlignment="1">
      <alignment horizontal="left" vertical="top" wrapText="1"/>
    </xf>
    <xf numFmtId="0" fontId="96" fillId="29" borderId="214" xfId="0" applyFont="1" applyFill="1" applyBorder="1" applyAlignment="1">
      <alignment horizontal="left" vertical="top" wrapText="1"/>
    </xf>
    <xf numFmtId="0" fontId="96" fillId="29" borderId="220" xfId="0" applyFont="1" applyFill="1" applyBorder="1" applyAlignment="1">
      <alignment horizontal="left" vertical="top" wrapText="1"/>
    </xf>
    <xf numFmtId="0" fontId="92" fillId="29" borderId="59" xfId="0" applyFont="1" applyFill="1" applyBorder="1" applyAlignment="1">
      <alignment horizontal="left" vertical="top" wrapText="1"/>
    </xf>
    <xf numFmtId="0" fontId="0" fillId="25" borderId="28" xfId="0" applyFill="1" applyBorder="1">
      <alignment vertical="center"/>
    </xf>
    <xf numFmtId="179" fontId="35" fillId="26" borderId="28" xfId="0" applyNumberFormat="1" applyFont="1" applyFill="1" applyBorder="1" applyAlignment="1" applyProtection="1">
      <alignment horizontal="right" vertical="center" shrinkToFit="1"/>
      <protection locked="0"/>
    </xf>
    <xf numFmtId="0" fontId="35" fillId="26" borderId="11" xfId="0" applyFont="1" applyFill="1" applyBorder="1" applyAlignment="1" applyProtection="1">
      <alignment horizontal="center" vertical="center" wrapText="1"/>
      <protection locked="0"/>
    </xf>
    <xf numFmtId="0" fontId="35" fillId="26" borderId="14" xfId="0" applyFont="1" applyFill="1" applyBorder="1" applyAlignment="1" applyProtection="1">
      <alignment horizontal="center" wrapText="1"/>
      <protection locked="0"/>
    </xf>
    <xf numFmtId="179" fontId="35" fillId="0" borderId="62" xfId="0" applyNumberFormat="1" applyFont="1" applyBorder="1" applyAlignment="1" applyProtection="1">
      <alignment horizontal="right" vertical="center" shrinkToFit="1"/>
      <protection locked="0"/>
    </xf>
    <xf numFmtId="0" fontId="104" fillId="0" borderId="0" xfId="0" applyFont="1" applyAlignment="1">
      <alignment vertical="top"/>
    </xf>
    <xf numFmtId="0" fontId="105" fillId="0" borderId="0" xfId="0" applyFont="1">
      <alignment vertical="center"/>
    </xf>
    <xf numFmtId="0" fontId="12" fillId="0" borderId="0" xfId="283">
      <alignment vertical="center"/>
    </xf>
    <xf numFmtId="0" fontId="106" fillId="0" borderId="0" xfId="0" applyFont="1" applyAlignment="1">
      <alignment vertical="center" shrinkToFit="1"/>
    </xf>
    <xf numFmtId="193" fontId="106" fillId="0" borderId="0" xfId="0" applyNumberFormat="1" applyFont="1" applyAlignment="1">
      <alignment vertical="center" shrinkToFit="1"/>
    </xf>
    <xf numFmtId="193" fontId="106" fillId="0" borderId="0" xfId="284" applyNumberFormat="1" applyFont="1" applyAlignment="1">
      <alignment vertical="center" shrinkToFit="1"/>
    </xf>
    <xf numFmtId="0" fontId="106" fillId="0" borderId="0" xfId="284" applyFont="1">
      <alignment vertical="center"/>
    </xf>
    <xf numFmtId="0" fontId="12" fillId="0" borderId="0" xfId="284">
      <alignment vertical="center"/>
    </xf>
    <xf numFmtId="193" fontId="102" fillId="0" borderId="0" xfId="284" applyNumberFormat="1" applyFont="1" applyAlignment="1">
      <alignment vertical="center" shrinkToFit="1"/>
    </xf>
    <xf numFmtId="0" fontId="112" fillId="0" borderId="0" xfId="284" applyFont="1">
      <alignment vertical="center"/>
    </xf>
    <xf numFmtId="0" fontId="106" fillId="25" borderId="224" xfId="284" applyFont="1" applyFill="1" applyBorder="1" applyAlignment="1" applyProtection="1">
      <alignment horizontal="center" vertical="center" shrinkToFit="1"/>
      <protection locked="0"/>
    </xf>
    <xf numFmtId="0" fontId="113" fillId="0" borderId="0" xfId="284" applyFont="1" applyAlignment="1">
      <alignment vertical="center" shrinkToFit="1"/>
    </xf>
    <xf numFmtId="0" fontId="73" fillId="34" borderId="29" xfId="0" applyFont="1" applyFill="1" applyBorder="1">
      <alignment vertical="center"/>
    </xf>
    <xf numFmtId="0" fontId="73" fillId="34" borderId="21" xfId="0" applyFont="1" applyFill="1" applyBorder="1">
      <alignment vertical="center"/>
    </xf>
    <xf numFmtId="0" fontId="73" fillId="34" borderId="62" xfId="0" applyFont="1" applyFill="1" applyBorder="1">
      <alignment vertical="center"/>
    </xf>
    <xf numFmtId="0" fontId="73" fillId="34" borderId="50" xfId="0" applyFont="1" applyFill="1" applyBorder="1">
      <alignment vertical="center"/>
    </xf>
    <xf numFmtId="0" fontId="114" fillId="34" borderId="84" xfId="0" applyFont="1" applyFill="1" applyBorder="1" applyAlignment="1">
      <alignment vertical="center" wrapText="1" shrinkToFit="1"/>
    </xf>
    <xf numFmtId="0" fontId="73" fillId="34" borderId="28" xfId="0" applyFont="1" applyFill="1" applyBorder="1" applyAlignment="1">
      <alignment horizontal="center" vertical="center" wrapText="1"/>
    </xf>
    <xf numFmtId="0" fontId="115" fillId="34" borderId="28" xfId="0" applyFont="1" applyFill="1" applyBorder="1" applyAlignment="1">
      <alignment horizontal="center" vertical="center" shrinkToFit="1"/>
    </xf>
    <xf numFmtId="0" fontId="73" fillId="34" borderId="28" xfId="0" applyFont="1" applyFill="1" applyBorder="1" applyAlignment="1">
      <alignment vertical="center" wrapText="1" shrinkToFit="1"/>
    </xf>
    <xf numFmtId="0" fontId="0" fillId="0" borderId="28" xfId="281" applyNumberFormat="1" applyFont="1" applyBorder="1" applyAlignment="1" applyProtection="1">
      <alignment horizontal="center" vertical="center" shrinkToFit="1"/>
    </xf>
    <xf numFmtId="0" fontId="0" fillId="0" borderId="84" xfId="281" applyNumberFormat="1" applyFont="1" applyBorder="1" applyAlignment="1" applyProtection="1">
      <alignment horizontal="center" vertical="center" shrinkToFit="1"/>
    </xf>
    <xf numFmtId="0" fontId="15" fillId="0" borderId="28" xfId="281" applyNumberFormat="1" applyFont="1" applyBorder="1" applyAlignment="1" applyProtection="1">
      <alignment horizontal="center" vertical="center" wrapText="1" shrinkToFit="1"/>
    </xf>
    <xf numFmtId="2" fontId="118" fillId="0" borderId="28" xfId="281" applyNumberFormat="1" applyFont="1" applyBorder="1" applyAlignment="1" applyProtection="1">
      <alignment horizontal="center" vertical="center" wrapText="1" shrinkToFit="1"/>
    </xf>
    <xf numFmtId="0" fontId="14" fillId="0" borderId="137" xfId="0" applyFont="1" applyBorder="1">
      <alignment vertical="center"/>
    </xf>
    <xf numFmtId="0" fontId="0" fillId="0" borderId="29" xfId="0" applyBorder="1" applyAlignment="1">
      <alignment vertical="center" shrinkToFit="1"/>
    </xf>
    <xf numFmtId="0" fontId="0" fillId="0" borderId="225" xfId="0" applyBorder="1">
      <alignment vertical="center"/>
    </xf>
    <xf numFmtId="0" fontId="0" fillId="0" borderId="225" xfId="0" applyBorder="1" applyProtection="1">
      <alignment vertical="center"/>
      <protection locked="0"/>
    </xf>
    <xf numFmtId="0" fontId="106" fillId="24" borderId="0" xfId="0" applyFont="1" applyFill="1" applyAlignment="1">
      <alignment horizontal="center" vertical="center"/>
    </xf>
    <xf numFmtId="0" fontId="0" fillId="28" borderId="29" xfId="0" applyFill="1" applyBorder="1" applyAlignment="1">
      <alignment horizontal="left" vertical="center"/>
    </xf>
    <xf numFmtId="0" fontId="0" fillId="28" borderId="59" xfId="0" applyFill="1" applyBorder="1">
      <alignment vertical="center"/>
    </xf>
    <xf numFmtId="0" fontId="0" fillId="28" borderId="60" xfId="0" applyFill="1" applyBorder="1">
      <alignment vertical="center"/>
    </xf>
    <xf numFmtId="0" fontId="0" fillId="28" borderId="61" xfId="0" applyFill="1" applyBorder="1">
      <alignment vertical="center"/>
    </xf>
    <xf numFmtId="0" fontId="0" fillId="28" borderId="32" xfId="0" applyFill="1" applyBorder="1" applyAlignment="1">
      <alignment horizontal="center" vertical="center" wrapText="1"/>
    </xf>
    <xf numFmtId="0" fontId="0" fillId="28" borderId="28" xfId="0" applyFill="1" applyBorder="1">
      <alignment vertical="center"/>
    </xf>
    <xf numFmtId="0" fontId="14" fillId="28" borderId="25" xfId="0" applyFont="1" applyFill="1" applyBorder="1">
      <alignment vertical="center"/>
    </xf>
    <xf numFmtId="0" fontId="0" fillId="28" borderId="26" xfId="0" applyFill="1" applyBorder="1">
      <alignment vertical="center"/>
    </xf>
    <xf numFmtId="0" fontId="14" fillId="28" borderId="31" xfId="0" applyFont="1" applyFill="1" applyBorder="1">
      <alignment vertical="center"/>
    </xf>
    <xf numFmtId="181" fontId="14" fillId="28" borderId="25" xfId="0" applyNumberFormat="1" applyFont="1" applyFill="1" applyBorder="1">
      <alignment vertical="center"/>
    </xf>
    <xf numFmtId="0" fontId="0" fillId="28" borderId="27" xfId="0" applyFill="1" applyBorder="1">
      <alignment vertical="center"/>
    </xf>
    <xf numFmtId="0" fontId="0" fillId="28" borderId="33" xfId="0" applyFill="1" applyBorder="1">
      <alignment vertical="center"/>
    </xf>
    <xf numFmtId="0" fontId="0" fillId="28" borderId="21" xfId="0" applyFill="1" applyBorder="1" applyAlignment="1">
      <alignment horizontal="center" vertical="center" wrapText="1"/>
    </xf>
    <xf numFmtId="0" fontId="0" fillId="28" borderId="62" xfId="0" applyFill="1" applyBorder="1" applyAlignment="1">
      <alignment vertical="center" wrapText="1"/>
    </xf>
    <xf numFmtId="0" fontId="0" fillId="28" borderId="62" xfId="0" applyFill="1" applyBorder="1">
      <alignment vertical="center"/>
    </xf>
    <xf numFmtId="0" fontId="0" fillId="28" borderId="50" xfId="0" applyFill="1" applyBorder="1">
      <alignment vertical="center"/>
    </xf>
    <xf numFmtId="0" fontId="120" fillId="0" borderId="28" xfId="281" applyNumberFormat="1" applyFont="1" applyBorder="1" applyAlignment="1" applyProtection="1">
      <alignment horizontal="center" vertical="center" wrapText="1" shrinkToFit="1"/>
    </xf>
    <xf numFmtId="0" fontId="16" fillId="0" borderId="54" xfId="0" applyFont="1" applyBorder="1" applyAlignment="1">
      <alignment horizontal="center" vertical="center" shrinkToFit="1"/>
    </xf>
    <xf numFmtId="195" fontId="0" fillId="0" borderId="28" xfId="281" applyNumberFormat="1" applyFont="1" applyBorder="1" applyAlignment="1" applyProtection="1">
      <alignment vertical="center" shrinkToFit="1"/>
    </xf>
    <xf numFmtId="38" fontId="0" fillId="34" borderId="230" xfId="281" applyFont="1" applyFill="1" applyBorder="1" applyAlignment="1" applyProtection="1">
      <alignment horizontal="right" vertical="center" shrinkToFit="1"/>
    </xf>
    <xf numFmtId="0" fontId="0" fillId="34" borderId="85" xfId="281" applyNumberFormat="1" applyFont="1" applyFill="1" applyBorder="1" applyAlignment="1" applyProtection="1">
      <alignment horizontal="center" vertical="center" shrinkToFit="1"/>
    </xf>
    <xf numFmtId="196" fontId="0" fillId="34" borderId="230" xfId="281" applyNumberFormat="1" applyFont="1" applyFill="1" applyBorder="1" applyAlignment="1" applyProtection="1">
      <alignment vertical="center" shrinkToFit="1"/>
    </xf>
    <xf numFmtId="0" fontId="0" fillId="34" borderId="230" xfId="281" applyNumberFormat="1" applyFont="1" applyFill="1" applyBorder="1" applyAlignment="1" applyProtection="1">
      <alignment vertical="center" shrinkToFit="1"/>
    </xf>
    <xf numFmtId="0" fontId="0" fillId="34" borderId="28" xfId="281" applyNumberFormat="1" applyFont="1" applyFill="1" applyBorder="1" applyAlignment="1" applyProtection="1">
      <alignment vertical="center" shrinkToFit="1"/>
    </xf>
    <xf numFmtId="0" fontId="0" fillId="34" borderId="0" xfId="281" applyNumberFormat="1" applyFont="1" applyFill="1" applyBorder="1" applyAlignment="1" applyProtection="1">
      <alignment vertical="center" shrinkToFit="1"/>
    </xf>
    <xf numFmtId="0" fontId="122" fillId="0" borderId="0" xfId="284" applyFont="1">
      <alignment vertical="center"/>
    </xf>
    <xf numFmtId="0" fontId="107" fillId="31" borderId="0" xfId="284" applyFont="1" applyFill="1">
      <alignment vertical="center"/>
    </xf>
    <xf numFmtId="0" fontId="103" fillId="31" borderId="0" xfId="284" applyFont="1" applyFill="1">
      <alignment vertical="center"/>
    </xf>
    <xf numFmtId="0" fontId="103" fillId="31" borderId="0" xfId="284" applyFont="1" applyFill="1" applyAlignment="1">
      <alignment horizontal="center" vertical="center"/>
    </xf>
    <xf numFmtId="0" fontId="12" fillId="0" borderId="0" xfId="284" applyAlignment="1">
      <alignment horizontal="center" vertical="center"/>
    </xf>
    <xf numFmtId="0" fontId="106" fillId="0" borderId="0" xfId="284" applyFont="1" applyAlignment="1">
      <alignment horizontal="left" vertical="center"/>
    </xf>
    <xf numFmtId="0" fontId="106" fillId="0" borderId="0" xfId="284" applyFont="1" applyAlignment="1">
      <alignment horizontal="center" vertical="center" shrinkToFit="1"/>
    </xf>
    <xf numFmtId="193" fontId="102" fillId="0" borderId="0" xfId="284" applyNumberFormat="1" applyFont="1" applyAlignment="1">
      <alignment horizontal="left" vertical="center" shrinkToFit="1"/>
    </xf>
    <xf numFmtId="0" fontId="12" fillId="0" borderId="0" xfId="284" applyAlignment="1">
      <alignment vertical="center" shrinkToFit="1"/>
    </xf>
    <xf numFmtId="0" fontId="12" fillId="0" borderId="0" xfId="284" applyAlignment="1">
      <alignment horizontal="right" vertical="center"/>
    </xf>
    <xf numFmtId="0" fontId="12" fillId="0" borderId="0" xfId="284" applyAlignment="1">
      <alignment horizontal="center" vertical="center" shrinkToFit="1"/>
    </xf>
    <xf numFmtId="0" fontId="12" fillId="31" borderId="0" xfId="284" applyFill="1">
      <alignment vertical="center"/>
    </xf>
    <xf numFmtId="0" fontId="124" fillId="0" borderId="0" xfId="284" applyFont="1">
      <alignment vertical="center"/>
    </xf>
    <xf numFmtId="0" fontId="12" fillId="37" borderId="240" xfId="284" applyFill="1" applyBorder="1">
      <alignment vertical="center"/>
    </xf>
    <xf numFmtId="0" fontId="12" fillId="37" borderId="241" xfId="284" applyFill="1" applyBorder="1">
      <alignment vertical="center"/>
    </xf>
    <xf numFmtId="0" fontId="12" fillId="0" borderId="59" xfId="284" applyBorder="1" applyAlignment="1">
      <alignment horizontal="center" vertical="center" shrinkToFit="1"/>
    </xf>
    <xf numFmtId="0" fontId="125" fillId="36" borderId="244" xfId="284" applyFont="1" applyFill="1" applyBorder="1" applyAlignment="1" applyProtection="1">
      <alignment horizontal="center" vertical="center" shrinkToFit="1"/>
      <protection locked="0"/>
    </xf>
    <xf numFmtId="0" fontId="125" fillId="36" borderId="245" xfId="284" applyFont="1" applyFill="1" applyBorder="1" applyAlignment="1" applyProtection="1">
      <alignment horizontal="center" vertical="center" shrinkToFit="1"/>
      <protection locked="0"/>
    </xf>
    <xf numFmtId="0" fontId="126" fillId="36" borderId="246" xfId="284" applyFont="1" applyFill="1" applyBorder="1" applyAlignment="1" applyProtection="1">
      <alignment horizontal="center" vertical="center" wrapText="1" shrinkToFit="1"/>
      <protection locked="0"/>
    </xf>
    <xf numFmtId="0" fontId="126" fillId="36" borderId="244" xfId="284" applyFont="1" applyFill="1" applyBorder="1" applyAlignment="1" applyProtection="1">
      <alignment horizontal="center" vertical="center" wrapText="1" shrinkToFit="1"/>
      <protection locked="0"/>
    </xf>
    <xf numFmtId="0" fontId="126" fillId="36" borderId="245" xfId="284" applyFont="1" applyFill="1" applyBorder="1" applyAlignment="1" applyProtection="1">
      <alignment horizontal="center" vertical="center" wrapText="1" shrinkToFit="1"/>
      <protection locked="0"/>
    </xf>
    <xf numFmtId="0" fontId="125" fillId="36" borderId="28" xfId="284" applyFont="1" applyFill="1" applyBorder="1" applyAlignment="1" applyProtection="1">
      <alignment horizontal="center" vertical="center" shrinkToFit="1"/>
      <protection locked="0"/>
    </xf>
    <xf numFmtId="0" fontId="125" fillId="36" borderId="248" xfId="284" applyFont="1" applyFill="1" applyBorder="1" applyAlignment="1" applyProtection="1">
      <alignment horizontal="center" vertical="center" shrinkToFit="1"/>
      <protection locked="0"/>
    </xf>
    <xf numFmtId="0" fontId="126" fillId="36" borderId="54" xfId="284" applyFont="1" applyFill="1" applyBorder="1" applyAlignment="1" applyProtection="1">
      <alignment horizontal="center" vertical="center" wrapText="1" shrinkToFit="1"/>
      <protection locked="0"/>
    </xf>
    <xf numFmtId="0" fontId="126" fillId="36" borderId="28" xfId="284" applyFont="1" applyFill="1" applyBorder="1" applyAlignment="1" applyProtection="1">
      <alignment horizontal="center" vertical="center" wrapText="1" shrinkToFit="1"/>
      <protection locked="0"/>
    </xf>
    <xf numFmtId="0" fontId="126" fillId="36" borderId="248" xfId="284" applyFont="1" applyFill="1" applyBorder="1" applyAlignment="1" applyProtection="1">
      <alignment horizontal="center" vertical="center" wrapText="1" shrinkToFit="1"/>
      <protection locked="0"/>
    </xf>
    <xf numFmtId="0" fontId="12" fillId="0" borderId="29" xfId="284" applyBorder="1" applyAlignment="1">
      <alignment vertical="center" shrinkToFit="1"/>
    </xf>
    <xf numFmtId="0" fontId="125" fillId="36" borderId="235" xfId="284" applyFont="1" applyFill="1" applyBorder="1" applyAlignment="1" applyProtection="1">
      <alignment horizontal="center" vertical="center" shrinkToFit="1"/>
      <protection locked="0"/>
    </xf>
    <xf numFmtId="0" fontId="125" fillId="36" borderId="253" xfId="284" applyFont="1" applyFill="1" applyBorder="1" applyAlignment="1" applyProtection="1">
      <alignment horizontal="center" vertical="center" shrinkToFit="1"/>
      <protection locked="0"/>
    </xf>
    <xf numFmtId="38" fontId="12" fillId="0" borderId="28" xfId="284" applyNumberFormat="1" applyBorder="1">
      <alignment vertical="center"/>
    </xf>
    <xf numFmtId="0" fontId="125" fillId="36" borderId="256" xfId="284" applyFont="1" applyFill="1" applyBorder="1" applyAlignment="1" applyProtection="1">
      <alignment horizontal="center" vertical="center" shrinkToFit="1"/>
      <protection locked="0"/>
    </xf>
    <xf numFmtId="2" fontId="125" fillId="36" borderId="232" xfId="284" applyNumberFormat="1" applyFont="1" applyFill="1" applyBorder="1" applyAlignment="1" applyProtection="1">
      <alignment horizontal="right" vertical="center" shrinkToFit="1"/>
      <protection locked="0"/>
    </xf>
    <xf numFmtId="0" fontId="132" fillId="0" borderId="0" xfId="284" applyFont="1">
      <alignment vertical="center"/>
    </xf>
    <xf numFmtId="0" fontId="106" fillId="0" borderId="28" xfId="284" applyFont="1" applyBorder="1" applyAlignment="1" applyProtection="1">
      <alignment horizontal="right" vertical="center" shrinkToFit="1"/>
      <protection locked="0"/>
    </xf>
    <xf numFmtId="0" fontId="106" fillId="0" borderId="28" xfId="284" applyFont="1" applyBorder="1">
      <alignment vertical="center"/>
    </xf>
    <xf numFmtId="0" fontId="12" fillId="0" borderId="28" xfId="284" applyBorder="1">
      <alignment vertical="center"/>
    </xf>
    <xf numFmtId="0" fontId="12" fillId="35" borderId="62" xfId="284" applyFill="1" applyBorder="1" applyAlignment="1">
      <alignment horizontal="center" vertical="center"/>
    </xf>
    <xf numFmtId="0" fontId="12" fillId="35" borderId="247" xfId="284" applyFill="1" applyBorder="1">
      <alignment vertical="center"/>
    </xf>
    <xf numFmtId="0" fontId="12" fillId="35" borderId="28" xfId="284" applyFill="1" applyBorder="1">
      <alignment vertical="center"/>
    </xf>
    <xf numFmtId="0" fontId="12" fillId="35" borderId="248" xfId="284" applyFill="1" applyBorder="1">
      <alignment vertical="center"/>
    </xf>
    <xf numFmtId="0" fontId="126" fillId="36" borderId="235" xfId="284" applyFont="1" applyFill="1" applyBorder="1" applyAlignment="1" applyProtection="1">
      <alignment horizontal="center" vertical="center" wrapText="1" shrinkToFit="1"/>
      <protection locked="0"/>
    </xf>
    <xf numFmtId="200" fontId="73" fillId="27" borderId="260" xfId="43" applyNumberFormat="1" applyFont="1" applyFill="1" applyBorder="1" applyAlignment="1">
      <alignment horizontal="center" vertical="top" wrapText="1"/>
    </xf>
    <xf numFmtId="200" fontId="73" fillId="27" borderId="260" xfId="43" applyNumberFormat="1" applyFont="1" applyFill="1" applyBorder="1" applyAlignment="1">
      <alignment horizontal="left" vertical="top" wrapText="1"/>
    </xf>
    <xf numFmtId="200" fontId="73" fillId="27" borderId="0" xfId="43" applyNumberFormat="1" applyFont="1" applyFill="1" applyAlignment="1">
      <alignment horizontal="left" vertical="top" wrapText="1"/>
    </xf>
    <xf numFmtId="0" fontId="36" fillId="0" borderId="0" xfId="43" applyFont="1" applyAlignment="1">
      <alignment horizontal="left" vertical="top"/>
    </xf>
    <xf numFmtId="0" fontId="36" fillId="39" borderId="0" xfId="43" applyFont="1" applyFill="1" applyAlignment="1">
      <alignment horizontal="left" vertical="top"/>
    </xf>
    <xf numFmtId="0" fontId="36" fillId="39" borderId="0" xfId="43" applyFont="1" applyFill="1" applyAlignment="1">
      <alignment horizontal="left" vertical="center"/>
    </xf>
    <xf numFmtId="0" fontId="36" fillId="39" borderId="0" xfId="43" applyFont="1" applyFill="1" applyAlignment="1">
      <alignment horizontal="center" vertical="top"/>
    </xf>
    <xf numFmtId="0" fontId="73" fillId="27" borderId="261" xfId="43" applyFont="1" applyFill="1" applyBorder="1" applyAlignment="1">
      <alignment horizontal="left" vertical="top" wrapText="1"/>
    </xf>
    <xf numFmtId="0" fontId="73" fillId="27" borderId="262" xfId="43" applyFont="1" applyFill="1" applyBorder="1" applyAlignment="1">
      <alignment horizontal="center" vertical="top" wrapText="1"/>
    </xf>
    <xf numFmtId="200" fontId="73" fillId="27" borderId="262" xfId="43" applyNumberFormat="1" applyFont="1" applyFill="1" applyBorder="1" applyAlignment="1">
      <alignment horizontal="center" vertical="top" wrapText="1"/>
    </xf>
    <xf numFmtId="200" fontId="73" fillId="27" borderId="85" xfId="43" applyNumberFormat="1" applyFont="1" applyFill="1" applyBorder="1" applyAlignment="1">
      <alignment horizontal="center" vertical="top" wrapText="1"/>
    </xf>
    <xf numFmtId="0" fontId="73" fillId="27" borderId="264" xfId="43" applyFont="1" applyFill="1" applyBorder="1" applyAlignment="1">
      <alignment horizontal="left" vertical="top" wrapText="1"/>
    </xf>
    <xf numFmtId="0" fontId="73" fillId="27" borderId="265" xfId="43" applyFont="1" applyFill="1" applyBorder="1" applyAlignment="1">
      <alignment horizontal="center" vertical="top" wrapText="1"/>
    </xf>
    <xf numFmtId="200" fontId="73" fillId="27" borderId="265" xfId="43" applyNumberFormat="1" applyFont="1" applyFill="1" applyBorder="1" applyAlignment="1">
      <alignment horizontal="center" vertical="top" wrapText="1"/>
    </xf>
    <xf numFmtId="200" fontId="73" fillId="27" borderId="84" xfId="43" applyNumberFormat="1" applyFont="1" applyFill="1" applyBorder="1" applyAlignment="1">
      <alignment horizontal="center" vertical="top" wrapText="1"/>
    </xf>
    <xf numFmtId="0" fontId="73" fillId="27" borderId="266" xfId="43" applyFont="1" applyFill="1" applyBorder="1" applyAlignment="1">
      <alignment horizontal="left" vertical="top" wrapText="1"/>
    </xf>
    <xf numFmtId="0" fontId="73" fillId="27" borderId="267" xfId="43" applyFont="1" applyFill="1" applyBorder="1" applyAlignment="1">
      <alignment horizontal="center" vertical="top" wrapText="1"/>
    </xf>
    <xf numFmtId="200" fontId="73" fillId="27" borderId="267" xfId="43" applyNumberFormat="1" applyFont="1" applyFill="1" applyBorder="1" applyAlignment="1">
      <alignment horizontal="center" vertical="top" wrapText="1"/>
    </xf>
    <xf numFmtId="200" fontId="73" fillId="27" borderId="0" xfId="43" applyNumberFormat="1" applyFont="1" applyFill="1" applyAlignment="1">
      <alignment horizontal="center" vertical="top" wrapText="1"/>
    </xf>
    <xf numFmtId="0" fontId="0" fillId="27" borderId="261" xfId="43" applyFont="1" applyFill="1" applyBorder="1" applyAlignment="1">
      <alignment horizontal="left" vertical="center" wrapText="1"/>
    </xf>
    <xf numFmtId="0" fontId="0" fillId="27" borderId="262" xfId="43" applyFont="1" applyFill="1" applyBorder="1" applyAlignment="1">
      <alignment horizontal="left" vertical="center" wrapText="1"/>
    </xf>
    <xf numFmtId="200" fontId="36" fillId="27" borderId="262" xfId="43" applyNumberFormat="1" applyFont="1" applyFill="1" applyBorder="1" applyAlignment="1">
      <alignment horizontal="center" vertical="center" shrinkToFit="1"/>
    </xf>
    <xf numFmtId="200" fontId="36" fillId="27" borderId="269" xfId="43" applyNumberFormat="1" applyFont="1" applyFill="1" applyBorder="1" applyAlignment="1">
      <alignment horizontal="left" vertical="top" wrapText="1"/>
    </xf>
    <xf numFmtId="200" fontId="36" fillId="27" borderId="264" xfId="43" applyNumberFormat="1" applyFont="1" applyFill="1" applyBorder="1" applyAlignment="1">
      <alignment horizontal="center" vertical="top" shrinkToFit="1"/>
    </xf>
    <xf numFmtId="0" fontId="14" fillId="27" borderId="266" xfId="43" applyFill="1" applyBorder="1" applyAlignment="1">
      <alignment horizontal="left" vertical="center" wrapText="1"/>
    </xf>
    <xf numFmtId="0" fontId="36" fillId="27" borderId="267" xfId="43" applyFont="1" applyFill="1" applyBorder="1" applyAlignment="1">
      <alignment horizontal="left" vertical="center" wrapText="1"/>
    </xf>
    <xf numFmtId="200" fontId="36" fillId="27" borderId="267" xfId="43" applyNumberFormat="1" applyFont="1" applyFill="1" applyBorder="1" applyAlignment="1">
      <alignment horizontal="center" vertical="center" shrinkToFit="1"/>
    </xf>
    <xf numFmtId="200" fontId="36" fillId="27" borderId="269" xfId="43" applyNumberFormat="1" applyFont="1" applyFill="1" applyBorder="1" applyAlignment="1">
      <alignment horizontal="center" vertical="top" shrinkToFit="1"/>
    </xf>
    <xf numFmtId="0" fontId="14" fillId="27" borderId="269" xfId="43" applyFill="1" applyBorder="1" applyAlignment="1">
      <alignment horizontal="left" vertical="top" wrapText="1"/>
    </xf>
    <xf numFmtId="0" fontId="36" fillId="27" borderId="270" xfId="43" applyFont="1" applyFill="1" applyBorder="1" applyAlignment="1">
      <alignment horizontal="left" vertical="top" wrapText="1"/>
    </xf>
    <xf numFmtId="200" fontId="36" fillId="27" borderId="270" xfId="43" applyNumberFormat="1" applyFont="1" applyFill="1" applyBorder="1" applyAlignment="1">
      <alignment horizontal="center" vertical="top" wrapText="1"/>
    </xf>
    <xf numFmtId="200" fontId="36" fillId="27" borderId="269" xfId="43" applyNumberFormat="1" applyFont="1" applyFill="1" applyBorder="1" applyAlignment="1">
      <alignment horizontal="left" wrapText="1"/>
    </xf>
    <xf numFmtId="200" fontId="36" fillId="27" borderId="270" xfId="43" applyNumberFormat="1" applyFont="1" applyFill="1" applyBorder="1" applyAlignment="1">
      <alignment horizontal="center" vertical="top" shrinkToFit="1"/>
    </xf>
    <xf numFmtId="200" fontId="36" fillId="27" borderId="269" xfId="43" applyNumberFormat="1" applyFont="1" applyFill="1" applyBorder="1" applyAlignment="1">
      <alignment horizontal="left" vertical="center" wrapText="1"/>
    </xf>
    <xf numFmtId="0" fontId="36" fillId="27" borderId="262" xfId="43" applyFont="1" applyFill="1" applyBorder="1" applyAlignment="1">
      <alignment horizontal="left" vertical="center" wrapText="1"/>
    </xf>
    <xf numFmtId="0" fontId="0" fillId="27" borderId="261" xfId="43" applyFont="1" applyFill="1" applyBorder="1" applyAlignment="1">
      <alignment horizontal="left" vertical="top" wrapText="1"/>
    </xf>
    <xf numFmtId="0" fontId="36" fillId="27" borderId="262" xfId="43" applyFont="1" applyFill="1" applyBorder="1" applyAlignment="1">
      <alignment horizontal="left" vertical="top" wrapText="1"/>
    </xf>
    <xf numFmtId="200" fontId="36" fillId="27" borderId="262" xfId="43" applyNumberFormat="1" applyFont="1" applyFill="1" applyBorder="1" applyAlignment="1">
      <alignment horizontal="center" vertical="top" shrinkToFit="1"/>
    </xf>
    <xf numFmtId="0" fontId="14" fillId="27" borderId="266" xfId="43" applyFill="1" applyBorder="1" applyAlignment="1">
      <alignment horizontal="left" vertical="top" wrapText="1"/>
    </xf>
    <xf numFmtId="0" fontId="36" fillId="27" borderId="267" xfId="43" applyFont="1" applyFill="1" applyBorder="1" applyAlignment="1">
      <alignment horizontal="left" vertical="top" wrapText="1"/>
    </xf>
    <xf numFmtId="200" fontId="36" fillId="27" borderId="267" xfId="43" applyNumberFormat="1" applyFont="1" applyFill="1" applyBorder="1" applyAlignment="1">
      <alignment horizontal="center" vertical="top" shrinkToFit="1"/>
    </xf>
    <xf numFmtId="0" fontId="14" fillId="27" borderId="261" xfId="43" applyFill="1" applyBorder="1" applyAlignment="1">
      <alignment horizontal="left" vertical="center" wrapText="1"/>
    </xf>
    <xf numFmtId="0" fontId="14" fillId="27" borderId="261" xfId="43" applyFill="1" applyBorder="1" applyAlignment="1">
      <alignment horizontal="left" vertical="top" wrapText="1"/>
    </xf>
    <xf numFmtId="0" fontId="37" fillId="39" borderId="0" xfId="43" applyFont="1" applyFill="1" applyAlignment="1">
      <alignment horizontal="left" vertical="top"/>
    </xf>
    <xf numFmtId="0" fontId="14" fillId="27" borderId="270" xfId="43" applyFill="1" applyBorder="1" applyAlignment="1">
      <alignment horizontal="left" vertical="top" wrapText="1"/>
    </xf>
    <xf numFmtId="200" fontId="36" fillId="27" borderId="262" xfId="43" applyNumberFormat="1" applyFont="1" applyFill="1" applyBorder="1" applyAlignment="1">
      <alignment horizontal="center" vertical="center" wrapText="1"/>
    </xf>
    <xf numFmtId="200" fontId="36" fillId="27" borderId="267" xfId="43" applyNumberFormat="1" applyFont="1" applyFill="1" applyBorder="1" applyAlignment="1">
      <alignment horizontal="center" vertical="center" wrapText="1"/>
    </xf>
    <xf numFmtId="200" fontId="36" fillId="27" borderId="269" xfId="43" applyNumberFormat="1" applyFont="1" applyFill="1" applyBorder="1" applyAlignment="1">
      <alignment horizontal="center" vertical="top" wrapText="1"/>
    </xf>
    <xf numFmtId="200" fontId="36" fillId="27" borderId="262" xfId="43" applyNumberFormat="1" applyFont="1" applyFill="1" applyBorder="1" applyAlignment="1">
      <alignment horizontal="center" vertical="top" wrapText="1"/>
    </xf>
    <xf numFmtId="200" fontId="36" fillId="27" borderId="267" xfId="43" applyNumberFormat="1" applyFont="1" applyFill="1" applyBorder="1" applyAlignment="1">
      <alignment horizontal="center" vertical="top" wrapText="1"/>
    </xf>
    <xf numFmtId="0" fontId="14" fillId="27" borderId="262" xfId="43" applyFill="1" applyBorder="1" applyAlignment="1">
      <alignment horizontal="left" vertical="center" wrapText="1"/>
    </xf>
    <xf numFmtId="0" fontId="14" fillId="27" borderId="267" xfId="43" applyFill="1" applyBorder="1" applyAlignment="1">
      <alignment horizontal="left" vertical="center" wrapText="1"/>
    </xf>
    <xf numFmtId="0" fontId="14" fillId="27" borderId="269" xfId="43" applyFill="1" applyBorder="1" applyAlignment="1">
      <alignment horizontal="left" vertical="center" wrapText="1"/>
    </xf>
    <xf numFmtId="0" fontId="36" fillId="27" borderId="270" xfId="43" applyFont="1" applyFill="1" applyBorder="1" applyAlignment="1">
      <alignment horizontal="left" vertical="center" wrapText="1"/>
    </xf>
    <xf numFmtId="200" fontId="36" fillId="27" borderId="270" xfId="43" applyNumberFormat="1" applyFont="1" applyFill="1" applyBorder="1" applyAlignment="1">
      <alignment horizontal="center" vertical="center" shrinkToFit="1"/>
    </xf>
    <xf numFmtId="200" fontId="36" fillId="27" borderId="269" xfId="43" applyNumberFormat="1" applyFont="1" applyFill="1" applyBorder="1" applyAlignment="1">
      <alignment horizontal="center" vertical="center" shrinkToFit="1"/>
    </xf>
    <xf numFmtId="1" fontId="36" fillId="27" borderId="269" xfId="43" applyNumberFormat="1" applyFont="1" applyFill="1" applyBorder="1" applyAlignment="1">
      <alignment horizontal="right" vertical="top" shrinkToFit="1"/>
    </xf>
    <xf numFmtId="200" fontId="36" fillId="27" borderId="261" xfId="43" applyNumberFormat="1" applyFont="1" applyFill="1" applyBorder="1" applyAlignment="1">
      <alignment horizontal="left" wrapText="1"/>
    </xf>
    <xf numFmtId="200" fontId="36" fillId="27" borderId="261" xfId="43" applyNumberFormat="1" applyFont="1" applyFill="1" applyBorder="1" applyAlignment="1">
      <alignment horizontal="center" vertical="top" shrinkToFit="1"/>
    </xf>
    <xf numFmtId="181" fontId="36" fillId="27" borderId="270" xfId="43" applyNumberFormat="1" applyFont="1" applyFill="1" applyBorder="1" applyAlignment="1">
      <alignment horizontal="center" vertical="top" shrinkToFit="1"/>
    </xf>
    <xf numFmtId="200" fontId="36" fillId="27" borderId="28" xfId="43" applyNumberFormat="1" applyFont="1" applyFill="1" applyBorder="1" applyAlignment="1">
      <alignment horizontal="left" vertical="top"/>
    </xf>
    <xf numFmtId="181" fontId="36" fillId="27" borderId="28" xfId="43" applyNumberFormat="1" applyFont="1" applyFill="1" applyBorder="1" applyAlignment="1">
      <alignment horizontal="center" vertical="top" shrinkToFit="1"/>
    </xf>
    <xf numFmtId="200" fontId="36" fillId="0" borderId="0" xfId="43" applyNumberFormat="1" applyFont="1" applyAlignment="1">
      <alignment horizontal="center" vertical="top"/>
    </xf>
    <xf numFmtId="200" fontId="36" fillId="0" borderId="0" xfId="43" applyNumberFormat="1" applyFont="1" applyAlignment="1">
      <alignment horizontal="left" vertical="top"/>
    </xf>
    <xf numFmtId="0" fontId="36" fillId="0" borderId="0" xfId="43" applyFont="1" applyAlignment="1">
      <alignment horizontal="center" vertical="center"/>
    </xf>
    <xf numFmtId="0" fontId="36" fillId="0" borderId="0" xfId="43" applyFont="1" applyAlignment="1">
      <alignment horizontal="center" vertical="top"/>
    </xf>
    <xf numFmtId="0" fontId="36" fillId="0" borderId="268" xfId="43" applyFont="1" applyBorder="1" applyAlignment="1">
      <alignment horizontal="left" vertical="top"/>
    </xf>
    <xf numFmtId="201" fontId="36" fillId="0" borderId="268" xfId="43" applyNumberFormat="1" applyFont="1" applyBorder="1" applyAlignment="1">
      <alignment horizontal="center" vertical="top"/>
    </xf>
    <xf numFmtId="0" fontId="73" fillId="27" borderId="0" xfId="43" applyFont="1" applyFill="1" applyAlignment="1">
      <alignment horizontal="left" vertical="top" wrapText="1"/>
    </xf>
    <xf numFmtId="0" fontId="36" fillId="27" borderId="0" xfId="43" applyFont="1" applyFill="1" applyAlignment="1">
      <alignment horizontal="left" vertical="top" wrapText="1"/>
    </xf>
    <xf numFmtId="177" fontId="0" fillId="0" borderId="28" xfId="281" applyNumberFormat="1" applyFont="1" applyFill="1" applyBorder="1" applyAlignment="1" applyProtection="1">
      <alignment horizontal="right" vertical="center" shrinkToFit="1"/>
    </xf>
    <xf numFmtId="0" fontId="125" fillId="25" borderId="243" xfId="284" applyFont="1" applyFill="1" applyBorder="1" applyAlignment="1" applyProtection="1">
      <alignment horizontal="center" vertical="center" shrinkToFit="1"/>
      <protection locked="0"/>
    </xf>
    <xf numFmtId="0" fontId="125" fillId="25" borderId="247" xfId="284" applyFont="1" applyFill="1" applyBorder="1" applyAlignment="1" applyProtection="1">
      <alignment horizontal="center" vertical="center" shrinkToFit="1"/>
      <protection locked="0"/>
    </xf>
    <xf numFmtId="0" fontId="125" fillId="25" borderId="252" xfId="284" applyFont="1" applyFill="1" applyBorder="1" applyAlignment="1" applyProtection="1">
      <alignment horizontal="center" vertical="center" shrinkToFit="1"/>
      <protection locked="0"/>
    </xf>
    <xf numFmtId="0" fontId="12" fillId="35" borderId="0" xfId="284" applyFill="1" applyAlignment="1">
      <alignment horizontal="right" vertical="center"/>
    </xf>
    <xf numFmtId="0" fontId="73" fillId="34" borderId="83" xfId="0" applyFont="1" applyFill="1" applyBorder="1" applyAlignment="1">
      <alignment horizontal="center" vertical="center" textRotation="255" shrinkToFit="1"/>
    </xf>
    <xf numFmtId="0" fontId="0" fillId="28" borderId="0" xfId="0" applyFill="1" applyAlignment="1">
      <alignment horizontal="center" vertical="center" wrapText="1"/>
    </xf>
    <xf numFmtId="0" fontId="0" fillId="28" borderId="0" xfId="0" applyFill="1" applyAlignment="1">
      <alignment vertical="center" wrapText="1"/>
    </xf>
    <xf numFmtId="0" fontId="0" fillId="28" borderId="0" xfId="0" applyFill="1">
      <alignment vertical="center"/>
    </xf>
    <xf numFmtId="0" fontId="73" fillId="34" borderId="32" xfId="0" applyFont="1" applyFill="1" applyBorder="1" applyAlignment="1">
      <alignment horizontal="center" vertical="center" textRotation="255" shrinkToFit="1"/>
    </xf>
    <xf numFmtId="0" fontId="0" fillId="24" borderId="29" xfId="0" applyFill="1" applyBorder="1">
      <alignment vertical="center"/>
    </xf>
    <xf numFmtId="0" fontId="0" fillId="24" borderId="60" xfId="0" applyFill="1" applyBorder="1">
      <alignment vertical="center"/>
    </xf>
    <xf numFmtId="0" fontId="0" fillId="24" borderId="59" xfId="0" applyFill="1" applyBorder="1">
      <alignment vertical="center"/>
    </xf>
    <xf numFmtId="0" fontId="0" fillId="24" borderId="54" xfId="0" applyFill="1" applyBorder="1">
      <alignment vertical="center"/>
    </xf>
    <xf numFmtId="177" fontId="0" fillId="24" borderId="28" xfId="281" applyNumberFormat="1" applyFont="1" applyFill="1" applyBorder="1" applyAlignment="1" applyProtection="1">
      <alignment horizontal="right" vertical="center" shrinkToFit="1"/>
    </xf>
    <xf numFmtId="0" fontId="0" fillId="24" borderId="28" xfId="281" applyNumberFormat="1" applyFont="1" applyFill="1" applyBorder="1" applyAlignment="1" applyProtection="1">
      <alignment horizontal="center" vertical="center" shrinkToFit="1"/>
    </xf>
    <xf numFmtId="0" fontId="0" fillId="24" borderId="84" xfId="281" applyNumberFormat="1" applyFont="1" applyFill="1" applyBorder="1" applyAlignment="1" applyProtection="1">
      <alignment horizontal="center" vertical="center" shrinkToFit="1"/>
    </xf>
    <xf numFmtId="188" fontId="0" fillId="24" borderId="28" xfId="281" applyNumberFormat="1" applyFont="1" applyFill="1" applyBorder="1" applyAlignment="1" applyProtection="1">
      <alignment vertical="center" shrinkToFit="1"/>
    </xf>
    <xf numFmtId="188" fontId="0" fillId="24" borderId="84" xfId="281" applyNumberFormat="1" applyFont="1" applyFill="1" applyBorder="1" applyAlignment="1" applyProtection="1">
      <alignment vertical="center" shrinkToFit="1"/>
    </xf>
    <xf numFmtId="0" fontId="120" fillId="24" borderId="28" xfId="281" applyNumberFormat="1" applyFont="1" applyFill="1" applyBorder="1" applyAlignment="1" applyProtection="1">
      <alignment horizontal="center" vertical="center" wrapText="1" shrinkToFit="1"/>
    </xf>
    <xf numFmtId="2" fontId="118" fillId="24" borderId="28" xfId="281" applyNumberFormat="1" applyFont="1" applyFill="1" applyBorder="1" applyAlignment="1" applyProtection="1">
      <alignment horizontal="center" vertical="center" wrapText="1" shrinkToFit="1"/>
    </xf>
    <xf numFmtId="0" fontId="0" fillId="24" borderId="225" xfId="0" applyFill="1" applyBorder="1" applyProtection="1">
      <alignment vertical="center"/>
      <protection locked="0"/>
    </xf>
    <xf numFmtId="0" fontId="0" fillId="24" borderId="21" xfId="0" applyFill="1" applyBorder="1">
      <alignment vertical="center"/>
    </xf>
    <xf numFmtId="0" fontId="0" fillId="24" borderId="59" xfId="0" applyFill="1" applyBorder="1" applyAlignment="1">
      <alignment horizontal="left" vertical="center" shrinkToFit="1"/>
    </xf>
    <xf numFmtId="0" fontId="0" fillId="24" borderId="54" xfId="0" applyFill="1" applyBorder="1" applyAlignment="1">
      <alignment horizontal="left" vertical="center" shrinkToFit="1"/>
    </xf>
    <xf numFmtId="183" fontId="0" fillId="24" borderId="28" xfId="281" applyNumberFormat="1" applyFont="1" applyFill="1" applyBorder="1" applyAlignment="1" applyProtection="1">
      <alignment horizontal="right" vertical="center" shrinkToFit="1"/>
    </xf>
    <xf numFmtId="194" fontId="0" fillId="24" borderId="28" xfId="281" applyNumberFormat="1" applyFont="1" applyFill="1" applyBorder="1" applyAlignment="1" applyProtection="1">
      <alignment vertical="center" shrinkToFit="1"/>
    </xf>
    <xf numFmtId="194" fontId="0" fillId="24" borderId="84" xfId="281" applyNumberFormat="1" applyFont="1" applyFill="1" applyBorder="1" applyAlignment="1" applyProtection="1">
      <alignment vertical="center" shrinkToFit="1"/>
    </xf>
    <xf numFmtId="0" fontId="15" fillId="24" borderId="28" xfId="281" applyNumberFormat="1" applyFont="1" applyFill="1" applyBorder="1" applyAlignment="1" applyProtection="1">
      <alignment horizontal="center" vertical="center" wrapText="1" shrinkToFit="1"/>
    </xf>
    <xf numFmtId="0" fontId="125" fillId="36" borderId="274" xfId="284" applyFont="1" applyFill="1" applyBorder="1" applyAlignment="1" applyProtection="1">
      <alignment horizontal="center" vertical="center" shrinkToFit="1"/>
      <protection locked="0"/>
    </xf>
    <xf numFmtId="0" fontId="125" fillId="36" borderId="85" xfId="284" applyFont="1" applyFill="1" applyBorder="1" applyAlignment="1" applyProtection="1">
      <alignment horizontal="center" vertical="center" shrinkToFit="1"/>
      <protection locked="0"/>
    </xf>
    <xf numFmtId="0" fontId="125" fillId="36" borderId="275" xfId="284" applyFont="1" applyFill="1" applyBorder="1" applyAlignment="1" applyProtection="1">
      <alignment horizontal="center" vertical="center" shrinkToFit="1"/>
      <protection locked="0"/>
    </xf>
    <xf numFmtId="0" fontId="126" fillId="36" borderId="85" xfId="284" applyFont="1" applyFill="1" applyBorder="1" applyAlignment="1" applyProtection="1">
      <alignment horizontal="center" vertical="center" wrapText="1" shrinkToFit="1"/>
      <protection locked="0"/>
    </xf>
    <xf numFmtId="0" fontId="12" fillId="37" borderId="242" xfId="284" applyFill="1" applyBorder="1">
      <alignment vertical="center"/>
    </xf>
    <xf numFmtId="0" fontId="0" fillId="39" borderId="28" xfId="281" applyNumberFormat="1" applyFont="1" applyFill="1" applyBorder="1" applyAlignment="1" applyProtection="1">
      <alignment horizontal="center" vertical="center" shrinkToFit="1"/>
    </xf>
    <xf numFmtId="0" fontId="0" fillId="39" borderId="84" xfId="281" applyNumberFormat="1" applyFont="1" applyFill="1" applyBorder="1" applyAlignment="1" applyProtection="1">
      <alignment horizontal="center" vertical="center" shrinkToFit="1"/>
    </xf>
    <xf numFmtId="195" fontId="0" fillId="39" borderId="28" xfId="281" applyNumberFormat="1" applyFont="1" applyFill="1" applyBorder="1" applyAlignment="1" applyProtection="1">
      <alignment vertical="center" shrinkToFit="1"/>
    </xf>
    <xf numFmtId="0" fontId="120" fillId="39" borderId="28" xfId="281" applyNumberFormat="1" applyFont="1" applyFill="1" applyBorder="1" applyAlignment="1" applyProtection="1">
      <alignment horizontal="center" vertical="center" wrapText="1" shrinkToFit="1"/>
    </xf>
    <xf numFmtId="2" fontId="118" fillId="39" borderId="28" xfId="281" applyNumberFormat="1" applyFont="1" applyFill="1" applyBorder="1" applyAlignment="1" applyProtection="1">
      <alignment horizontal="center" vertical="center" wrapText="1" shrinkToFit="1"/>
    </xf>
    <xf numFmtId="0" fontId="0" fillId="39" borderId="225" xfId="0" applyFill="1" applyBorder="1" applyProtection="1">
      <alignment vertical="center"/>
      <protection locked="0"/>
    </xf>
    <xf numFmtId="0" fontId="0" fillId="39" borderId="25" xfId="0" applyFill="1" applyBorder="1">
      <alignment vertical="center"/>
    </xf>
    <xf numFmtId="0" fontId="136" fillId="0" borderId="0" xfId="0" applyFont="1">
      <alignment vertical="center"/>
    </xf>
    <xf numFmtId="0" fontId="138" fillId="0" borderId="0" xfId="0" applyFont="1" applyAlignment="1">
      <alignment horizontal="left" vertical="center" wrapText="1" shrinkToFit="1"/>
    </xf>
    <xf numFmtId="0" fontId="139" fillId="0" borderId="0" xfId="0" applyFont="1">
      <alignment vertical="center"/>
    </xf>
    <xf numFmtId="0" fontId="49" fillId="0" borderId="0" xfId="0" applyFont="1" applyAlignment="1">
      <alignment horizontal="center" vertical="center"/>
    </xf>
    <xf numFmtId="0" fontId="49" fillId="0" borderId="0" xfId="0" applyFont="1">
      <alignment vertical="center"/>
    </xf>
    <xf numFmtId="0" fontId="140" fillId="31" borderId="0" xfId="0" applyFont="1" applyFill="1" applyAlignment="1">
      <alignment horizontal="left" vertical="center"/>
    </xf>
    <xf numFmtId="0" fontId="141" fillId="31" borderId="0" xfId="0" applyFont="1" applyFill="1" applyAlignment="1">
      <alignment horizontal="center" vertical="center"/>
    </xf>
    <xf numFmtId="0" fontId="141" fillId="31" borderId="0" xfId="0" applyFont="1" applyFill="1">
      <alignment vertical="center"/>
    </xf>
    <xf numFmtId="0" fontId="142" fillId="31" borderId="0" xfId="0" applyFont="1" applyFill="1" applyAlignment="1">
      <alignment vertical="top" wrapText="1"/>
    </xf>
    <xf numFmtId="0" fontId="141" fillId="0" borderId="0" xfId="0" applyFont="1" applyAlignment="1">
      <alignment horizontal="center" vertical="center"/>
    </xf>
    <xf numFmtId="0" fontId="142" fillId="0" borderId="0" xfId="0" applyFont="1" applyAlignment="1">
      <alignment vertical="top" wrapText="1"/>
    </xf>
    <xf numFmtId="0" fontId="143" fillId="0" borderId="0" xfId="0" applyFont="1" applyAlignment="1">
      <alignment horizontal="left" vertical="center"/>
    </xf>
    <xf numFmtId="0" fontId="124" fillId="0" borderId="0" xfId="0" applyFont="1" applyAlignment="1">
      <alignment horizontal="left" vertical="center"/>
    </xf>
    <xf numFmtId="0" fontId="49" fillId="0" borderId="0" xfId="0" applyFont="1" applyAlignment="1">
      <alignment horizontal="left" vertical="center"/>
    </xf>
    <xf numFmtId="0" fontId="151" fillId="0" borderId="0" xfId="0" applyFont="1">
      <alignment vertical="center"/>
    </xf>
    <xf numFmtId="0" fontId="152" fillId="0" borderId="0" xfId="0" applyFont="1">
      <alignment vertical="center"/>
    </xf>
    <xf numFmtId="0" fontId="139" fillId="0" borderId="0" xfId="0" applyFont="1" applyAlignment="1">
      <alignment horizontal="right" vertical="center"/>
    </xf>
    <xf numFmtId="0" fontId="153" fillId="0" borderId="0" xfId="0" applyFont="1" applyAlignment="1">
      <alignment horizontal="left" vertical="center"/>
    </xf>
    <xf numFmtId="0" fontId="154" fillId="0" borderId="0" xfId="0" applyFont="1" applyAlignment="1">
      <alignment horizontal="left" vertical="center"/>
    </xf>
    <xf numFmtId="0" fontId="139" fillId="0" borderId="0" xfId="0" applyFont="1" applyAlignment="1">
      <alignment horizontal="center" vertical="center"/>
    </xf>
    <xf numFmtId="0" fontId="155" fillId="0" borderId="0" xfId="0" applyFont="1" applyAlignment="1">
      <alignment vertical="top" wrapText="1"/>
    </xf>
    <xf numFmtId="0" fontId="157" fillId="0" borderId="0" xfId="0" applyFont="1" applyAlignment="1">
      <alignment horizontal="right"/>
    </xf>
    <xf numFmtId="0" fontId="158" fillId="0" borderId="0" xfId="0" applyFont="1" applyAlignment="1">
      <alignment horizontal="center" vertical="center" wrapText="1" shrinkToFit="1"/>
    </xf>
    <xf numFmtId="0" fontId="139" fillId="0" borderId="237" xfId="0" applyFont="1" applyBorder="1">
      <alignment vertical="center"/>
    </xf>
    <xf numFmtId="0" fontId="139" fillId="0" borderId="0" xfId="0" applyFont="1" applyAlignment="1">
      <alignment vertical="center" wrapText="1"/>
    </xf>
    <xf numFmtId="0" fontId="139" fillId="0" borderId="237" xfId="0" applyFont="1" applyBorder="1" applyAlignment="1">
      <alignment vertical="center" wrapText="1"/>
    </xf>
    <xf numFmtId="0" fontId="139" fillId="0" borderId="234" xfId="0" applyFont="1" applyBorder="1" applyAlignment="1">
      <alignment vertical="center" wrapText="1"/>
    </xf>
    <xf numFmtId="202" fontId="139" fillId="0" borderId="0" xfId="0" applyNumberFormat="1" applyFont="1" applyAlignment="1">
      <alignment vertical="center" shrinkToFit="1"/>
    </xf>
    <xf numFmtId="203" fontId="139" fillId="0" borderId="0" xfId="0" applyNumberFormat="1" applyFont="1" applyAlignment="1">
      <alignment horizontal="right" vertical="center" shrinkToFit="1"/>
    </xf>
    <xf numFmtId="203" fontId="139" fillId="0" borderId="237" xfId="0" applyNumberFormat="1" applyFont="1" applyBorder="1" applyAlignment="1">
      <alignment horizontal="right" vertical="center" shrinkToFit="1"/>
    </xf>
    <xf numFmtId="0" fontId="139" fillId="34" borderId="0" xfId="0" applyFont="1" applyFill="1">
      <alignment vertical="center"/>
    </xf>
    <xf numFmtId="0" fontId="159" fillId="34" borderId="237" xfId="0" applyFont="1" applyFill="1" applyBorder="1" applyAlignment="1">
      <alignment horizontal="center" vertical="center" wrapText="1"/>
    </xf>
    <xf numFmtId="0" fontId="159" fillId="34" borderId="0" xfId="0" applyFont="1" applyFill="1" applyAlignment="1">
      <alignment horizontal="center" vertical="center" wrapText="1"/>
    </xf>
    <xf numFmtId="0" fontId="160" fillId="34" borderId="234" xfId="0" applyFont="1" applyFill="1" applyBorder="1" applyAlignment="1">
      <alignment horizontal="center" vertical="center" wrapText="1"/>
    </xf>
    <xf numFmtId="0" fontId="139" fillId="34" borderId="0" xfId="0" applyFont="1" applyFill="1" applyAlignment="1">
      <alignment horizontal="center" vertical="center"/>
    </xf>
    <xf numFmtId="0" fontId="159" fillId="34" borderId="0" xfId="0" applyFont="1" applyFill="1" applyAlignment="1">
      <alignment horizontal="center" vertical="top" wrapText="1" shrinkToFit="1"/>
    </xf>
    <xf numFmtId="0" fontId="159" fillId="34" borderId="0" xfId="0" applyFont="1" applyFill="1" applyAlignment="1">
      <alignment horizontal="center" vertical="top" shrinkToFit="1"/>
    </xf>
    <xf numFmtId="0" fontId="160" fillId="34" borderId="237" xfId="0" applyFont="1" applyFill="1" applyBorder="1" applyAlignment="1">
      <alignment vertical="center" shrinkToFit="1"/>
    </xf>
    <xf numFmtId="0" fontId="160" fillId="34" borderId="234" xfId="0" applyFont="1" applyFill="1" applyBorder="1" applyAlignment="1">
      <alignment horizontal="center" vertical="center" shrinkToFit="1"/>
    </xf>
    <xf numFmtId="0" fontId="139" fillId="34" borderId="0" xfId="0" applyFont="1" applyFill="1" applyAlignment="1">
      <alignment horizontal="right" vertical="center"/>
    </xf>
    <xf numFmtId="0" fontId="139" fillId="34" borderId="237" xfId="0" applyFont="1" applyFill="1" applyBorder="1">
      <alignment vertical="center"/>
    </xf>
    <xf numFmtId="0" fontId="139" fillId="34" borderId="234" xfId="0" applyFont="1" applyFill="1" applyBorder="1" applyAlignment="1">
      <alignment horizontal="center" vertical="center"/>
    </xf>
    <xf numFmtId="0" fontId="139" fillId="34" borderId="0" xfId="0" applyFont="1" applyFill="1" applyAlignment="1">
      <alignment vertical="top" wrapText="1"/>
    </xf>
    <xf numFmtId="0" fontId="152" fillId="0" borderId="54" xfId="0" applyFont="1" applyBorder="1">
      <alignment vertical="center"/>
    </xf>
    <xf numFmtId="0" fontId="152" fillId="0" borderId="223" xfId="0" applyFont="1" applyBorder="1" applyAlignment="1">
      <alignment vertical="center" shrinkToFit="1"/>
    </xf>
    <xf numFmtId="0" fontId="152" fillId="28" borderId="54" xfId="0" applyFont="1" applyFill="1" applyBorder="1">
      <alignment vertical="center"/>
    </xf>
    <xf numFmtId="0" fontId="152" fillId="0" borderId="223" xfId="0" applyFont="1" applyBorder="1">
      <alignment vertical="center"/>
    </xf>
    <xf numFmtId="0" fontId="139" fillId="34" borderId="62" xfId="0" applyFont="1" applyFill="1" applyBorder="1" applyAlignment="1">
      <alignment horizontal="center" vertical="center"/>
    </xf>
    <xf numFmtId="0" fontId="139" fillId="34" borderId="59" xfId="0" applyFont="1" applyFill="1" applyBorder="1" applyAlignment="1">
      <alignment horizontal="center" vertical="center"/>
    </xf>
    <xf numFmtId="0" fontId="139" fillId="34" borderId="237" xfId="0" applyFont="1" applyFill="1" applyBorder="1" applyAlignment="1">
      <alignment horizontal="left" vertical="center"/>
    </xf>
    <xf numFmtId="0" fontId="139" fillId="34" borderId="234" xfId="0" applyFont="1" applyFill="1" applyBorder="1" applyAlignment="1">
      <alignment horizontal="left" vertical="center"/>
    </xf>
    <xf numFmtId="0" fontId="152" fillId="28" borderId="223" xfId="0" applyFont="1" applyFill="1" applyBorder="1">
      <alignment vertical="center"/>
    </xf>
    <xf numFmtId="0" fontId="157" fillId="34" borderId="0" xfId="0" applyFont="1" applyFill="1" applyAlignment="1">
      <alignment horizontal="right" vertical="top"/>
    </xf>
    <xf numFmtId="0" fontId="157" fillId="0" borderId="237" xfId="0" applyFont="1" applyBorder="1" applyAlignment="1">
      <alignment horizontal="right" vertical="top"/>
    </xf>
    <xf numFmtId="0" fontId="139" fillId="34" borderId="234" xfId="0" applyFont="1" applyFill="1" applyBorder="1">
      <alignment vertical="center"/>
    </xf>
    <xf numFmtId="0" fontId="139" fillId="34" borderId="0" xfId="0" applyFont="1" applyFill="1" applyAlignment="1">
      <alignment horizontal="left" vertical="center"/>
    </xf>
    <xf numFmtId="0" fontId="139" fillId="0" borderId="237" xfId="0" applyFont="1" applyBorder="1" applyAlignment="1">
      <alignment horizontal="center" vertical="center"/>
    </xf>
    <xf numFmtId="0" fontId="163" fillId="34" borderId="0" xfId="0" applyFont="1" applyFill="1" applyAlignment="1">
      <alignment vertical="top" wrapText="1"/>
    </xf>
    <xf numFmtId="0" fontId="49" fillId="34" borderId="0" xfId="0" applyFont="1" applyFill="1" applyAlignment="1">
      <alignment horizontal="right" vertical="top" wrapText="1"/>
    </xf>
    <xf numFmtId="0" fontId="139" fillId="34" borderId="237" xfId="0" applyFont="1" applyFill="1" applyBorder="1" applyAlignment="1">
      <alignment vertical="center" wrapText="1"/>
    </xf>
    <xf numFmtId="0" fontId="139" fillId="34" borderId="0" xfId="0" applyFont="1" applyFill="1" applyAlignment="1">
      <alignment vertical="center" wrapText="1"/>
    </xf>
    <xf numFmtId="0" fontId="139" fillId="34" borderId="234" xfId="0" applyFont="1" applyFill="1" applyBorder="1" applyAlignment="1">
      <alignment vertical="center" wrapText="1"/>
    </xf>
    <xf numFmtId="202" fontId="139" fillId="34" borderId="0" xfId="0" applyNumberFormat="1" applyFont="1" applyFill="1" applyAlignment="1">
      <alignment vertical="center" shrinkToFit="1"/>
    </xf>
    <xf numFmtId="203" fontId="139" fillId="34" borderId="0" xfId="0" applyNumberFormat="1" applyFont="1" applyFill="1" applyAlignment="1">
      <alignment horizontal="right" vertical="center" shrinkToFit="1"/>
    </xf>
    <xf numFmtId="0" fontId="139" fillId="40" borderId="0" xfId="0" applyFont="1" applyFill="1">
      <alignment vertical="center"/>
    </xf>
    <xf numFmtId="0" fontId="159" fillId="40" borderId="237" xfId="0" applyFont="1" applyFill="1" applyBorder="1" applyAlignment="1">
      <alignment horizontal="center" vertical="center" wrapText="1"/>
    </xf>
    <xf numFmtId="0" fontId="159" fillId="40" borderId="0" xfId="0" applyFont="1" applyFill="1" applyAlignment="1">
      <alignment horizontal="center" vertical="center" wrapText="1"/>
    </xf>
    <xf numFmtId="0" fontId="160" fillId="40" borderId="234" xfId="0" applyFont="1" applyFill="1" applyBorder="1" applyAlignment="1">
      <alignment horizontal="center" vertical="center" wrapText="1"/>
    </xf>
    <xf numFmtId="0" fontId="139" fillId="40" borderId="0" xfId="0" applyFont="1" applyFill="1" applyAlignment="1">
      <alignment horizontal="center" vertical="center"/>
    </xf>
    <xf numFmtId="0" fontId="159" fillId="40" borderId="0" xfId="0" applyFont="1" applyFill="1" applyAlignment="1">
      <alignment horizontal="center" vertical="top" wrapText="1" shrinkToFit="1"/>
    </xf>
    <xf numFmtId="0" fontId="159" fillId="40" borderId="0" xfId="0" applyFont="1" applyFill="1" applyAlignment="1">
      <alignment horizontal="center" vertical="top" shrinkToFit="1"/>
    </xf>
    <xf numFmtId="0" fontId="160" fillId="40" borderId="237" xfId="0" applyFont="1" applyFill="1" applyBorder="1" applyAlignment="1">
      <alignment vertical="center" shrinkToFit="1"/>
    </xf>
    <xf numFmtId="0" fontId="160" fillId="40" borderId="234" xfId="0" applyFont="1" applyFill="1" applyBorder="1" applyAlignment="1">
      <alignment horizontal="center" vertical="center" shrinkToFit="1"/>
    </xf>
    <xf numFmtId="0" fontId="139" fillId="40" borderId="0" xfId="0" applyFont="1" applyFill="1" applyAlignment="1">
      <alignment horizontal="right" vertical="center"/>
    </xf>
    <xf numFmtId="0" fontId="139" fillId="40" borderId="237" xfId="0" applyFont="1" applyFill="1" applyBorder="1">
      <alignment vertical="center"/>
    </xf>
    <xf numFmtId="0" fontId="139" fillId="40" borderId="234" xfId="0" applyFont="1" applyFill="1" applyBorder="1" applyAlignment="1">
      <alignment horizontal="center" vertical="center"/>
    </xf>
    <xf numFmtId="0" fontId="139" fillId="40" borderId="0" xfId="0" applyFont="1" applyFill="1" applyAlignment="1">
      <alignment vertical="top" wrapText="1"/>
    </xf>
    <xf numFmtId="0" fontId="139" fillId="40" borderId="59" xfId="0" applyFont="1" applyFill="1" applyBorder="1" applyAlignment="1">
      <alignment horizontal="center" vertical="center"/>
    </xf>
    <xf numFmtId="0" fontId="139" fillId="40" borderId="237" xfId="0" applyFont="1" applyFill="1" applyBorder="1" applyAlignment="1">
      <alignment horizontal="left" vertical="center"/>
    </xf>
    <xf numFmtId="0" fontId="139" fillId="40" borderId="234" xfId="0" applyFont="1" applyFill="1" applyBorder="1" applyAlignment="1">
      <alignment horizontal="left" vertical="center"/>
    </xf>
    <xf numFmtId="0" fontId="157" fillId="40" borderId="0" xfId="0" applyFont="1" applyFill="1" applyAlignment="1">
      <alignment horizontal="right" vertical="top"/>
    </xf>
    <xf numFmtId="0" fontId="139" fillId="40" borderId="234" xfId="0" applyFont="1" applyFill="1" applyBorder="1">
      <alignment vertical="center"/>
    </xf>
    <xf numFmtId="0" fontId="139" fillId="40" borderId="0" xfId="0" applyFont="1" applyFill="1" applyAlignment="1">
      <alignment horizontal="left" vertical="center"/>
    </xf>
    <xf numFmtId="0" fontId="163" fillId="40" borderId="0" xfId="0" applyFont="1" applyFill="1" applyAlignment="1">
      <alignment vertical="top" wrapText="1"/>
    </xf>
    <xf numFmtId="0" fontId="49" fillId="40" borderId="0" xfId="0" applyFont="1" applyFill="1" applyAlignment="1">
      <alignment horizontal="right" vertical="top" wrapText="1"/>
    </xf>
    <xf numFmtId="0" fontId="139" fillId="40" borderId="237" xfId="0" applyFont="1" applyFill="1" applyBorder="1" applyAlignment="1">
      <alignment vertical="center" wrapText="1"/>
    </xf>
    <xf numFmtId="0" fontId="139" fillId="40" borderId="0" xfId="0" applyFont="1" applyFill="1" applyAlignment="1">
      <alignment vertical="center" wrapText="1"/>
    </xf>
    <xf numFmtId="0" fontId="139" fillId="40" borderId="234" xfId="0" applyFont="1" applyFill="1" applyBorder="1" applyAlignment="1">
      <alignment vertical="center" wrapText="1"/>
    </xf>
    <xf numFmtId="202" fontId="139" fillId="40" borderId="0" xfId="0" applyNumberFormat="1" applyFont="1" applyFill="1" applyAlignment="1">
      <alignment vertical="center" shrinkToFit="1"/>
    </xf>
    <xf numFmtId="203" fontId="139" fillId="40" borderId="0" xfId="0" applyNumberFormat="1" applyFont="1" applyFill="1" applyAlignment="1">
      <alignment horizontal="right" vertical="center" shrinkToFit="1"/>
    </xf>
    <xf numFmtId="0" fontId="159" fillId="40" borderId="0" xfId="0" applyFont="1" applyFill="1" applyAlignment="1">
      <alignment horizontal="right" vertical="top" shrinkToFit="1"/>
    </xf>
    <xf numFmtId="0" fontId="155" fillId="0" borderId="0" xfId="0" applyFont="1" applyAlignment="1">
      <alignment horizontal="right" vertical="top" wrapText="1"/>
    </xf>
    <xf numFmtId="0" fontId="156" fillId="0" borderId="0" xfId="0" applyFont="1" applyAlignment="1">
      <alignment horizontal="left" vertical="top" wrapText="1"/>
    </xf>
    <xf numFmtId="0" fontId="166" fillId="0" borderId="0" xfId="0" applyFont="1" applyAlignment="1">
      <alignment horizontal="left" vertical="top" wrapText="1"/>
    </xf>
    <xf numFmtId="0" fontId="139" fillId="0" borderId="32" xfId="0" applyFont="1" applyBorder="1" applyAlignment="1">
      <alignment horizontal="center" vertical="top" wrapText="1"/>
    </xf>
    <xf numFmtId="0" fontId="139" fillId="0" borderId="0" xfId="0" applyFont="1" applyAlignment="1">
      <alignment horizontal="center" vertical="top" wrapText="1"/>
    </xf>
    <xf numFmtId="0" fontId="159" fillId="0" borderId="32" xfId="0" applyFont="1" applyBorder="1" applyAlignment="1">
      <alignment horizontal="center" vertical="center" wrapText="1"/>
    </xf>
    <xf numFmtId="0" fontId="159" fillId="0" borderId="0" xfId="0" applyFont="1" applyAlignment="1">
      <alignment horizontal="center" vertical="center" wrapText="1"/>
    </xf>
    <xf numFmtId="203" fontId="164" fillId="0" borderId="54" xfId="281" applyNumberFormat="1" applyFont="1" applyFill="1" applyBorder="1" applyAlignment="1" applyProtection="1">
      <alignment horizontal="center" vertical="center" shrinkToFit="1"/>
    </xf>
    <xf numFmtId="203" fontId="139" fillId="0" borderId="32" xfId="281" applyNumberFormat="1" applyFont="1" applyFill="1" applyBorder="1" applyAlignment="1" applyProtection="1">
      <alignment horizontal="right" vertical="center" shrinkToFit="1"/>
    </xf>
    <xf numFmtId="203" fontId="139" fillId="0" borderId="0" xfId="281" applyNumberFormat="1" applyFont="1" applyFill="1" applyBorder="1" applyAlignment="1" applyProtection="1">
      <alignment horizontal="right" vertical="center" shrinkToFit="1"/>
    </xf>
    <xf numFmtId="203" fontId="160" fillId="0" borderId="32" xfId="281" applyNumberFormat="1" applyFont="1" applyFill="1" applyBorder="1" applyAlignment="1" applyProtection="1">
      <alignment horizontal="right" vertical="center" shrinkToFit="1"/>
    </xf>
    <xf numFmtId="203" fontId="160" fillId="0" borderId="0" xfId="281" applyNumberFormat="1" applyFont="1" applyFill="1" applyBorder="1" applyAlignment="1" applyProtection="1">
      <alignment horizontal="right" vertical="center" shrinkToFit="1"/>
    </xf>
    <xf numFmtId="203" fontId="164" fillId="0" borderId="61" xfId="281" applyNumberFormat="1" applyFont="1" applyFill="1" applyBorder="1" applyAlignment="1" applyProtection="1">
      <alignment horizontal="center" vertical="center" shrinkToFit="1"/>
    </xf>
    <xf numFmtId="203" fontId="164" fillId="0" borderId="50" xfId="281" applyNumberFormat="1" applyFont="1" applyFill="1" applyBorder="1" applyAlignment="1" applyProtection="1">
      <alignment horizontal="center" vertical="center" shrinkToFit="1"/>
    </xf>
    <xf numFmtId="203" fontId="164" fillId="0" borderId="278" xfId="281" applyNumberFormat="1" applyFont="1" applyFill="1" applyBorder="1" applyAlignment="1" applyProtection="1">
      <alignment horizontal="center" vertical="center" shrinkToFit="1"/>
    </xf>
    <xf numFmtId="0" fontId="162" fillId="0" borderId="0" xfId="0" applyFont="1" applyAlignment="1"/>
    <xf numFmtId="0" fontId="158" fillId="0" borderId="0" xfId="0" applyFont="1" applyAlignment="1">
      <alignment vertical="center" wrapText="1"/>
    </xf>
    <xf numFmtId="179" fontId="168" fillId="0" borderId="0" xfId="0" applyNumberFormat="1" applyFont="1" applyAlignment="1">
      <alignment vertical="center" shrinkToFit="1"/>
    </xf>
    <xf numFmtId="179" fontId="169" fillId="0" borderId="0" xfId="0" applyNumberFormat="1" applyFont="1" applyAlignment="1">
      <alignment vertical="center" shrinkToFit="1"/>
    </xf>
    <xf numFmtId="179" fontId="169" fillId="0" borderId="0" xfId="0" applyNumberFormat="1" applyFont="1" applyAlignment="1">
      <alignment horizontal="right" vertical="center" shrinkToFit="1"/>
    </xf>
    <xf numFmtId="0" fontId="167" fillId="31" borderId="0" xfId="0" applyFont="1" applyFill="1" applyAlignment="1">
      <alignment horizontal="left" vertical="center"/>
    </xf>
    <xf numFmtId="0" fontId="170" fillId="31" borderId="0" xfId="0" applyFont="1" applyFill="1" applyAlignment="1">
      <alignment horizontal="center" vertical="center"/>
    </xf>
    <xf numFmtId="0" fontId="142" fillId="31" borderId="0" xfId="0" applyFont="1" applyFill="1" applyAlignment="1">
      <alignment vertical="center" wrapText="1" shrinkToFit="1"/>
    </xf>
    <xf numFmtId="179" fontId="171" fillId="31" borderId="0" xfId="0" applyNumberFormat="1" applyFont="1" applyFill="1" applyAlignment="1">
      <alignment vertical="center" shrinkToFit="1"/>
    </xf>
    <xf numFmtId="179" fontId="167" fillId="31" borderId="0" xfId="0" applyNumberFormat="1" applyFont="1" applyFill="1" applyAlignment="1">
      <alignment horizontal="left" vertical="top" wrapText="1"/>
    </xf>
    <xf numFmtId="179" fontId="172" fillId="0" borderId="0" xfId="0" applyNumberFormat="1" applyFont="1" applyAlignment="1">
      <alignment horizontal="left" vertical="top" wrapText="1"/>
    </xf>
    <xf numFmtId="0" fontId="49" fillId="34" borderId="28" xfId="0" applyFont="1" applyFill="1" applyBorder="1" applyAlignment="1">
      <alignment horizontal="left" vertical="center"/>
    </xf>
    <xf numFmtId="0" fontId="162" fillId="0" borderId="0" xfId="0" applyFont="1" applyAlignment="1">
      <alignment vertical="top"/>
    </xf>
    <xf numFmtId="0" fontId="143" fillId="0" borderId="0" xfId="0" applyFont="1" applyAlignment="1">
      <alignment vertical="top" wrapText="1"/>
    </xf>
    <xf numFmtId="0" fontId="16" fillId="26" borderId="0" xfId="0" applyFont="1" applyFill="1" applyAlignment="1">
      <alignment vertical="center" wrapText="1"/>
    </xf>
    <xf numFmtId="0" fontId="12" fillId="0" borderId="25" xfId="284" applyBorder="1" applyAlignment="1">
      <alignment horizontal="center" vertical="center" shrinkToFit="1"/>
    </xf>
    <xf numFmtId="0" fontId="12" fillId="0" borderId="25" xfId="284" applyBorder="1" applyAlignment="1">
      <alignment horizontal="center" vertical="center"/>
    </xf>
    <xf numFmtId="0" fontId="16" fillId="0" borderId="25" xfId="284" applyFont="1" applyBorder="1" applyAlignment="1">
      <alignment horizontal="center" vertical="center" shrinkToFit="1"/>
    </xf>
    <xf numFmtId="0" fontId="174" fillId="0" borderId="0" xfId="0" applyFont="1">
      <alignment vertical="center"/>
    </xf>
    <xf numFmtId="0" fontId="175" fillId="0" borderId="0" xfId="0" applyFont="1" applyAlignment="1">
      <alignment horizontal="right"/>
    </xf>
    <xf numFmtId="0" fontId="77" fillId="0" borderId="0" xfId="0" applyFont="1">
      <alignment vertical="center"/>
    </xf>
    <xf numFmtId="0" fontId="72" fillId="0" borderId="0" xfId="0" applyFont="1" applyAlignment="1">
      <alignment horizontal="center" vertical="center"/>
    </xf>
    <xf numFmtId="0" fontId="72" fillId="0" borderId="0" xfId="0" applyFont="1" applyAlignment="1">
      <alignment horizontal="right" vertical="center"/>
    </xf>
    <xf numFmtId="0" fontId="78" fillId="0" borderId="0" xfId="0" applyFont="1" applyAlignment="1">
      <alignment horizontal="center" vertical="center"/>
    </xf>
    <xf numFmtId="0" fontId="175" fillId="0" borderId="0" xfId="0" applyFont="1" applyAlignment="1">
      <alignment horizontal="center" vertical="center"/>
    </xf>
    <xf numFmtId="0" fontId="176" fillId="0" borderId="0" xfId="0" applyFont="1" applyAlignment="1">
      <alignment horizontal="left" vertical="center"/>
    </xf>
    <xf numFmtId="0" fontId="177" fillId="0" borderId="0" xfId="0" applyFont="1" applyAlignment="1">
      <alignment horizontal="right" vertical="top"/>
    </xf>
    <xf numFmtId="0" fontId="14" fillId="0" borderId="0" xfId="0" applyFont="1" applyAlignment="1">
      <alignment horizontal="center" vertical="center"/>
    </xf>
    <xf numFmtId="203" fontId="14" fillId="0" borderId="0" xfId="0" applyNumberFormat="1" applyFont="1" applyAlignment="1">
      <alignment horizontal="right" vertical="center" shrinkToFit="1"/>
    </xf>
    <xf numFmtId="203" fontId="104" fillId="0" borderId="0" xfId="0" applyNumberFormat="1" applyFont="1" applyAlignment="1">
      <alignment horizontal="right" vertical="center" shrinkToFit="1"/>
    </xf>
    <xf numFmtId="0" fontId="181" fillId="0" borderId="0" xfId="0" applyFont="1" applyAlignment="1">
      <alignment vertical="top" wrapText="1"/>
    </xf>
    <xf numFmtId="0" fontId="181" fillId="0" borderId="0" xfId="0" applyFont="1" applyAlignment="1">
      <alignment horizontal="left" vertical="top" wrapText="1"/>
    </xf>
    <xf numFmtId="0" fontId="109" fillId="0" borderId="0" xfId="0" applyFont="1" applyAlignment="1">
      <alignment horizontal="left" vertical="top" wrapText="1"/>
    </xf>
    <xf numFmtId="0" fontId="14" fillId="34" borderId="60" xfId="0" applyFont="1" applyFill="1" applyBorder="1" applyAlignment="1">
      <alignment horizontal="center" vertical="top" wrapText="1"/>
    </xf>
    <xf numFmtId="0" fontId="14" fillId="0" borderId="32" xfId="0" applyFont="1" applyBorder="1" applyAlignment="1">
      <alignment horizontal="center" vertical="top" wrapText="1"/>
    </xf>
    <xf numFmtId="0" fontId="14" fillId="34" borderId="62" xfId="0" applyFont="1" applyFill="1" applyBorder="1" applyAlignment="1">
      <alignment horizontal="center" vertical="top" wrapText="1"/>
    </xf>
    <xf numFmtId="0" fontId="14" fillId="34" borderId="28" xfId="0" applyFont="1" applyFill="1" applyBorder="1" applyAlignment="1">
      <alignment horizontal="center" vertical="center" shrinkToFit="1"/>
    </xf>
    <xf numFmtId="0" fontId="16" fillId="0" borderId="32" xfId="0" applyFont="1" applyBorder="1" applyAlignment="1">
      <alignment horizontal="center" vertical="center" wrapText="1"/>
    </xf>
    <xf numFmtId="182" fontId="77" fillId="0" borderId="32" xfId="0" applyNumberFormat="1" applyFont="1" applyBorder="1" applyAlignment="1">
      <alignment horizontal="center" vertical="center"/>
    </xf>
    <xf numFmtId="203" fontId="118" fillId="0" borderId="54" xfId="281" applyNumberFormat="1" applyFont="1" applyFill="1" applyBorder="1" applyAlignment="1" applyProtection="1">
      <alignment horizontal="center" vertical="center" shrinkToFit="1"/>
    </xf>
    <xf numFmtId="205" fontId="120" fillId="0" borderId="25" xfId="281" applyNumberFormat="1" applyFont="1" applyBorder="1" applyAlignment="1" applyProtection="1">
      <alignment horizontal="left" vertical="center" wrapText="1" shrinkToFit="1"/>
    </xf>
    <xf numFmtId="203" fontId="14" fillId="0" borderId="32" xfId="281" applyNumberFormat="1" applyFont="1" applyFill="1" applyBorder="1" applyAlignment="1" applyProtection="1">
      <alignment horizontal="right" vertical="center" shrinkToFit="1"/>
    </xf>
    <xf numFmtId="0" fontId="16" fillId="0" borderId="32" xfId="0" applyFont="1" applyBorder="1">
      <alignment vertical="center"/>
    </xf>
    <xf numFmtId="203" fontId="16" fillId="0" borderId="226" xfId="281" applyNumberFormat="1" applyFont="1" applyFill="1" applyBorder="1" applyAlignment="1" applyProtection="1">
      <alignment horizontal="right" vertical="center" wrapText="1" shrinkToFit="1"/>
    </xf>
    <xf numFmtId="203" fontId="16" fillId="0" borderId="32" xfId="281" applyNumberFormat="1" applyFont="1" applyFill="1" applyBorder="1" applyAlignment="1" applyProtection="1">
      <alignment horizontal="right" vertical="center" shrinkToFit="1"/>
    </xf>
    <xf numFmtId="203" fontId="14" fillId="0" borderId="59" xfId="281" applyNumberFormat="1" applyFont="1" applyFill="1" applyBorder="1" applyAlignment="1" applyProtection="1">
      <alignment horizontal="right" vertical="center" shrinkToFit="1"/>
    </xf>
    <xf numFmtId="205" fontId="120" fillId="0" borderId="25" xfId="281" applyNumberFormat="1" applyFont="1" applyBorder="1" applyAlignment="1" applyProtection="1">
      <alignment horizontal="right" vertical="center" wrapText="1" shrinkToFit="1"/>
    </xf>
    <xf numFmtId="0" fontId="16" fillId="0" borderId="61" xfId="0" applyFont="1" applyBorder="1" applyAlignment="1">
      <alignment horizontal="center" vertical="center" shrinkToFit="1"/>
    </xf>
    <xf numFmtId="203" fontId="118" fillId="0" borderId="61" xfId="281" applyNumberFormat="1" applyFont="1" applyFill="1" applyBorder="1" applyAlignment="1" applyProtection="1">
      <alignment horizontal="center" vertical="center" shrinkToFit="1"/>
    </xf>
    <xf numFmtId="205" fontId="120" fillId="0" borderId="29" xfId="281" applyNumberFormat="1" applyFont="1" applyBorder="1" applyAlignment="1" applyProtection="1">
      <alignment horizontal="right" vertical="center" wrapText="1" shrinkToFit="1"/>
    </xf>
    <xf numFmtId="205" fontId="120" fillId="0" borderId="28" xfId="281" applyNumberFormat="1" applyFont="1" applyBorder="1" applyAlignment="1" applyProtection="1">
      <alignment horizontal="right" vertical="center" wrapText="1" shrinkToFit="1"/>
    </xf>
    <xf numFmtId="0" fontId="16" fillId="0" borderId="50" xfId="0" applyFont="1" applyBorder="1" applyAlignment="1">
      <alignment horizontal="center" vertical="center" shrinkToFit="1"/>
    </xf>
    <xf numFmtId="203" fontId="118" fillId="0" borderId="50" xfId="281" applyNumberFormat="1" applyFont="1" applyFill="1" applyBorder="1" applyAlignment="1" applyProtection="1">
      <alignment horizontal="center" vertical="center" shrinkToFit="1"/>
    </xf>
    <xf numFmtId="0" fontId="16" fillId="0" borderId="278" xfId="0" applyFont="1" applyBorder="1" applyAlignment="1">
      <alignment horizontal="center" vertical="center" shrinkToFit="1"/>
    </xf>
    <xf numFmtId="203" fontId="118" fillId="0" borderId="278" xfId="281" applyNumberFormat="1" applyFont="1" applyFill="1" applyBorder="1" applyAlignment="1" applyProtection="1">
      <alignment horizontal="center" vertical="center" shrinkToFit="1"/>
    </xf>
    <xf numFmtId="205" fontId="120" fillId="0" borderId="292" xfId="281" applyNumberFormat="1" applyFont="1" applyBorder="1" applyAlignment="1" applyProtection="1">
      <alignment horizontal="right" vertical="center" wrapText="1" shrinkToFit="1"/>
    </xf>
    <xf numFmtId="203" fontId="16" fillId="0" borderId="299" xfId="281" applyNumberFormat="1" applyFont="1" applyFill="1" applyBorder="1" applyAlignment="1" applyProtection="1">
      <alignment horizontal="right" vertical="center" shrinkToFit="1"/>
    </xf>
    <xf numFmtId="0" fontId="181" fillId="0" borderId="29" xfId="0" applyFont="1" applyBorder="1" applyAlignment="1">
      <alignment horizontal="right" vertical="top" wrapText="1"/>
    </xf>
    <xf numFmtId="0" fontId="181" fillId="0" borderId="60" xfId="0" applyFont="1" applyBorder="1" applyAlignment="1">
      <alignment horizontal="right" vertical="top" wrapText="1"/>
    </xf>
    <xf numFmtId="0" fontId="72" fillId="0" borderId="225" xfId="0" applyFont="1" applyBorder="1">
      <alignment vertical="center"/>
    </xf>
    <xf numFmtId="179" fontId="184" fillId="0" borderId="32" xfId="0" applyNumberFormat="1" applyFont="1" applyBorder="1" applyAlignment="1">
      <alignment horizontal="right" vertical="center" shrinkToFit="1"/>
    </xf>
    <xf numFmtId="177" fontId="185" fillId="0" borderId="0" xfId="0" applyNumberFormat="1" applyFont="1" applyAlignment="1">
      <alignment horizontal="left" vertical="center"/>
    </xf>
    <xf numFmtId="0" fontId="186" fillId="0" borderId="0" xfId="0" applyFont="1" applyAlignment="1">
      <alignment vertical="center" shrinkToFit="1"/>
    </xf>
    <xf numFmtId="0" fontId="186" fillId="0" borderId="141" xfId="0" applyFont="1" applyBorder="1" applyAlignment="1">
      <alignment vertical="top" wrapText="1" shrinkToFit="1"/>
    </xf>
    <xf numFmtId="177" fontId="188" fillId="0" borderId="0" xfId="0" applyNumberFormat="1" applyFont="1" applyAlignment="1">
      <alignment horizontal="right" vertical="center"/>
    </xf>
    <xf numFmtId="0" fontId="77" fillId="0" borderId="301" xfId="0" applyFont="1" applyBorder="1" applyAlignment="1">
      <alignment horizontal="left" vertical="center"/>
    </xf>
    <xf numFmtId="0" fontId="72" fillId="0" borderId="301" xfId="0" applyFont="1" applyBorder="1" applyAlignment="1">
      <alignment horizontal="center" vertical="center"/>
    </xf>
    <xf numFmtId="0" fontId="102" fillId="0" borderId="301" xfId="0" applyFont="1" applyBorder="1" applyAlignment="1">
      <alignment horizontal="center" vertical="center"/>
    </xf>
    <xf numFmtId="179" fontId="189" fillId="0" borderId="301" xfId="0" applyNumberFormat="1" applyFont="1" applyBorder="1">
      <alignment vertical="center"/>
    </xf>
    <xf numFmtId="177" fontId="188" fillId="0" borderId="301" xfId="0" applyNumberFormat="1" applyFont="1" applyBorder="1" applyAlignment="1">
      <alignment horizontal="right" vertical="center"/>
    </xf>
    <xf numFmtId="0" fontId="176" fillId="0" borderId="0" xfId="0" applyFont="1">
      <alignment vertical="center"/>
    </xf>
    <xf numFmtId="0" fontId="14" fillId="0" borderId="0" xfId="0" applyFont="1" applyAlignment="1">
      <alignment horizontal="left" vertical="center"/>
    </xf>
    <xf numFmtId="0" fontId="102" fillId="0" borderId="0" xfId="0" applyFont="1" applyAlignment="1">
      <alignment horizontal="center" vertical="center"/>
    </xf>
    <xf numFmtId="179" fontId="189" fillId="0" borderId="0" xfId="0" applyNumberFormat="1" applyFont="1">
      <alignment vertical="center"/>
    </xf>
    <xf numFmtId="0" fontId="77" fillId="0" borderId="0" xfId="0" applyFont="1" applyAlignment="1">
      <alignment horizontal="left" vertical="center"/>
    </xf>
    <xf numFmtId="0" fontId="14" fillId="0" borderId="0" xfId="0" applyFont="1" applyAlignment="1">
      <alignment horizontal="center" vertical="top" wrapText="1"/>
    </xf>
    <xf numFmtId="0" fontId="16" fillId="0" borderId="0" xfId="0" applyFont="1" applyAlignment="1">
      <alignment horizontal="center" vertical="center"/>
    </xf>
    <xf numFmtId="177" fontId="192" fillId="0" borderId="0" xfId="0" applyNumberFormat="1" applyFont="1" applyAlignment="1">
      <alignment horizontal="right" vertical="center"/>
    </xf>
    <xf numFmtId="0" fontId="16" fillId="0" borderId="0" xfId="0" applyFont="1" applyAlignment="1">
      <alignment horizontal="center" vertical="center" shrinkToFit="1"/>
    </xf>
    <xf numFmtId="0" fontId="16" fillId="0" borderId="0" xfId="0" applyFont="1" applyAlignment="1">
      <alignment horizontal="center" vertical="center" wrapText="1"/>
    </xf>
    <xf numFmtId="0" fontId="102" fillId="0" borderId="0" xfId="0" applyFont="1">
      <alignment vertical="center"/>
    </xf>
    <xf numFmtId="204" fontId="125" fillId="0" borderId="0" xfId="0" applyNumberFormat="1" applyFont="1" applyAlignment="1">
      <alignment horizontal="right" vertical="center" shrinkToFit="1"/>
    </xf>
    <xf numFmtId="0" fontId="77" fillId="0" borderId="0" xfId="0" applyFont="1" applyAlignment="1">
      <alignment horizontal="center" vertical="center" wrapText="1"/>
    </xf>
    <xf numFmtId="0" fontId="193" fillId="0" borderId="0" xfId="0" applyFont="1">
      <alignment vertical="center"/>
    </xf>
    <xf numFmtId="0" fontId="193" fillId="0" borderId="0" xfId="0" applyFont="1" applyAlignment="1">
      <alignment vertical="center" wrapText="1"/>
    </xf>
    <xf numFmtId="0" fontId="77" fillId="0" borderId="0" xfId="0" applyFont="1" applyAlignment="1">
      <alignment horizontal="center" vertical="center"/>
    </xf>
    <xf numFmtId="0" fontId="164" fillId="0" borderId="0" xfId="0" applyFont="1" applyAlignment="1">
      <alignment horizontal="center" vertical="center" wrapText="1"/>
    </xf>
    <xf numFmtId="0" fontId="160" fillId="0" borderId="0" xfId="0" applyFont="1" applyAlignment="1">
      <alignment horizontal="center" vertical="center" wrapText="1"/>
    </xf>
    <xf numFmtId="177" fontId="194" fillId="0" borderId="0" xfId="0" applyNumberFormat="1" applyFont="1" applyAlignment="1">
      <alignment horizontal="left" vertical="center"/>
    </xf>
    <xf numFmtId="177" fontId="194" fillId="0" borderId="0" xfId="0" applyNumberFormat="1" applyFont="1" applyAlignment="1">
      <alignment horizontal="left" vertical="center" wrapText="1"/>
    </xf>
    <xf numFmtId="177" fontId="195" fillId="0" borderId="0" xfId="0" applyNumberFormat="1" applyFont="1" applyAlignment="1">
      <alignment horizontal="right" vertical="center"/>
    </xf>
    <xf numFmtId="0" fontId="196" fillId="0" borderId="0" xfId="0" applyFont="1" applyAlignment="1">
      <alignment horizontal="center" vertical="center"/>
    </xf>
    <xf numFmtId="177" fontId="197" fillId="43" borderId="0" xfId="0" applyNumberFormat="1" applyFont="1" applyFill="1" applyAlignment="1">
      <alignment horizontal="left" vertical="center"/>
    </xf>
    <xf numFmtId="202" fontId="121" fillId="44" borderId="0" xfId="281" applyNumberFormat="1" applyFont="1" applyFill="1" applyBorder="1" applyAlignment="1" applyProtection="1">
      <alignment horizontal="center" vertical="center"/>
    </xf>
    <xf numFmtId="177" fontId="115" fillId="43" borderId="0" xfId="0" applyNumberFormat="1" applyFont="1" applyFill="1" applyAlignment="1">
      <alignment horizontal="left" vertical="center"/>
    </xf>
    <xf numFmtId="0" fontId="77" fillId="0" borderId="0" xfId="0" applyFont="1" applyAlignment="1">
      <alignment horizontal="right" vertical="center"/>
    </xf>
    <xf numFmtId="0" fontId="35" fillId="27" borderId="28" xfId="0" applyFont="1" applyFill="1" applyBorder="1" applyAlignment="1" applyProtection="1">
      <alignment horizontal="left" vertical="center" wrapText="1"/>
      <protection locked="0"/>
    </xf>
    <xf numFmtId="0" fontId="35" fillId="26" borderId="12" xfId="0" applyFont="1" applyFill="1" applyBorder="1" applyAlignment="1" applyProtection="1">
      <alignment horizontal="center" vertical="center" wrapText="1"/>
      <protection locked="0"/>
    </xf>
    <xf numFmtId="0" fontId="35" fillId="26" borderId="13" xfId="0" applyFont="1" applyFill="1" applyBorder="1" applyAlignment="1" applyProtection="1">
      <alignment horizontal="center" vertical="center" wrapText="1"/>
      <protection locked="0"/>
    </xf>
    <xf numFmtId="0" fontId="86" fillId="26" borderId="78" xfId="0" applyFont="1" applyFill="1" applyBorder="1" applyAlignment="1">
      <alignment vertical="center" wrapText="1"/>
    </xf>
    <xf numFmtId="0" fontId="198" fillId="26" borderId="78" xfId="0" applyFont="1" applyFill="1" applyBorder="1" applyAlignment="1">
      <alignment vertical="center" wrapText="1"/>
    </xf>
    <xf numFmtId="0" fontId="35" fillId="25" borderId="66" xfId="0" applyFont="1" applyFill="1" applyBorder="1" applyAlignment="1" applyProtection="1">
      <alignment vertical="center" shrinkToFit="1"/>
      <protection locked="0"/>
    </xf>
    <xf numFmtId="0" fontId="35" fillId="25" borderId="87" xfId="0" applyFont="1" applyFill="1" applyBorder="1" applyAlignment="1" applyProtection="1">
      <alignment vertical="center" shrinkToFit="1"/>
      <protection locked="0"/>
    </xf>
    <xf numFmtId="0" fontId="35" fillId="25" borderId="78" xfId="0" applyFont="1" applyFill="1" applyBorder="1" applyAlignment="1" applyProtection="1">
      <alignment vertical="center" shrinkToFit="1"/>
      <protection locked="0"/>
    </xf>
    <xf numFmtId="0" fontId="35" fillId="25" borderId="77" xfId="0" applyFont="1" applyFill="1" applyBorder="1" applyAlignment="1" applyProtection="1">
      <alignment vertical="center" wrapText="1" shrinkToFit="1"/>
      <protection locked="0"/>
    </xf>
    <xf numFmtId="0" fontId="35" fillId="25" borderId="72" xfId="0" applyFont="1" applyFill="1" applyBorder="1" applyAlignment="1" applyProtection="1">
      <alignment vertical="center" wrapText="1" shrinkToFit="1"/>
      <protection locked="0"/>
    </xf>
    <xf numFmtId="0" fontId="35" fillId="25" borderId="68" xfId="0" applyFont="1" applyFill="1" applyBorder="1" applyAlignment="1" applyProtection="1">
      <alignment vertical="center" wrapText="1" shrinkToFit="1"/>
      <protection locked="0"/>
    </xf>
    <xf numFmtId="0" fontId="126" fillId="36" borderId="238" xfId="284" applyFont="1" applyFill="1" applyBorder="1" applyAlignment="1" applyProtection="1">
      <alignment horizontal="left" vertical="top" wrapText="1" shrinkToFit="1"/>
      <protection locked="0"/>
    </xf>
    <xf numFmtId="208" fontId="16" fillId="0" borderId="0" xfId="0" applyNumberFormat="1" applyFont="1" applyAlignment="1">
      <alignment vertical="center" wrapText="1"/>
    </xf>
    <xf numFmtId="198" fontId="120" fillId="0" borderId="28" xfId="284" applyNumberFormat="1" applyFont="1" applyBorder="1" applyAlignment="1">
      <alignment vertical="center" shrinkToFit="1"/>
    </xf>
    <xf numFmtId="198" fontId="120" fillId="0" borderId="28" xfId="284" applyNumberFormat="1" applyFont="1" applyBorder="1" applyAlignment="1">
      <alignment horizontal="center" vertical="center" shrinkToFit="1"/>
    </xf>
    <xf numFmtId="0" fontId="118" fillId="0" borderId="0" xfId="0" applyFont="1" applyAlignment="1">
      <alignment vertical="center" wrapText="1"/>
    </xf>
    <xf numFmtId="0" fontId="118" fillId="0" borderId="0" xfId="0" applyFont="1" applyAlignment="1">
      <alignment horizontal="left" vertical="top" wrapText="1"/>
    </xf>
    <xf numFmtId="0" fontId="92" fillId="29" borderId="305" xfId="0" applyFont="1" applyFill="1" applyBorder="1" applyAlignment="1">
      <alignment horizontal="left" vertical="top" wrapText="1"/>
    </xf>
    <xf numFmtId="0" fontId="92" fillId="40" borderId="28" xfId="0" applyFont="1" applyFill="1" applyBorder="1" applyAlignment="1">
      <alignment horizontal="left" vertical="top" wrapText="1"/>
    </xf>
    <xf numFmtId="0" fontId="92" fillId="40" borderId="207" xfId="0" applyFont="1" applyFill="1" applyBorder="1" applyAlignment="1">
      <alignment horizontal="left" vertical="top" wrapText="1"/>
    </xf>
    <xf numFmtId="0" fontId="92" fillId="40" borderId="211" xfId="0" applyFont="1" applyFill="1" applyBorder="1" applyAlignment="1">
      <alignment horizontal="left" vertical="top" wrapText="1"/>
    </xf>
    <xf numFmtId="0" fontId="16" fillId="26" borderId="28" xfId="0" applyFont="1" applyFill="1" applyBorder="1" applyAlignment="1">
      <alignment vertical="center" wrapText="1"/>
    </xf>
    <xf numFmtId="0" fontId="16" fillId="0" borderId="28" xfId="0" applyFont="1" applyBorder="1" applyAlignment="1">
      <alignment vertical="center" wrapText="1"/>
    </xf>
    <xf numFmtId="0" fontId="92" fillId="29" borderId="306" xfId="0" applyFont="1" applyFill="1" applyBorder="1" applyAlignment="1">
      <alignment horizontal="left" vertical="top" wrapText="1"/>
    </xf>
    <xf numFmtId="0" fontId="92" fillId="29" borderId="307" xfId="0" applyFont="1" applyFill="1" applyBorder="1" applyAlignment="1">
      <alignment horizontal="left" vertical="top" wrapText="1"/>
    </xf>
    <xf numFmtId="0" fontId="92" fillId="29" borderId="308" xfId="0" applyFont="1" applyFill="1" applyBorder="1" applyAlignment="1">
      <alignment horizontal="left" vertical="top" wrapText="1"/>
    </xf>
    <xf numFmtId="0" fontId="92" fillId="29" borderId="309" xfId="0" applyFont="1" applyFill="1" applyBorder="1" applyAlignment="1">
      <alignment horizontal="left" vertical="top" wrapText="1"/>
    </xf>
    <xf numFmtId="0" fontId="92" fillId="29" borderId="310" xfId="0" applyFont="1" applyFill="1" applyBorder="1" applyAlignment="1">
      <alignment horizontal="left" vertical="top" wrapText="1"/>
    </xf>
    <xf numFmtId="0" fontId="92" fillId="29" borderId="311" xfId="0" applyFont="1" applyFill="1" applyBorder="1" applyAlignment="1">
      <alignment horizontal="left" vertical="top" wrapText="1"/>
    </xf>
    <xf numFmtId="0" fontId="92" fillId="29" borderId="312" xfId="0" applyFont="1" applyFill="1" applyBorder="1" applyAlignment="1">
      <alignment horizontal="left" vertical="top" wrapText="1"/>
    </xf>
    <xf numFmtId="0" fontId="0" fillId="0" borderId="80" xfId="0" applyBorder="1">
      <alignment vertical="center"/>
    </xf>
    <xf numFmtId="0" fontId="0" fillId="0" borderId="16" xfId="0" applyBorder="1">
      <alignment vertical="center"/>
    </xf>
    <xf numFmtId="0" fontId="0" fillId="0" borderId="15" xfId="0" applyBorder="1">
      <alignment vertical="center"/>
    </xf>
    <xf numFmtId="38" fontId="16" fillId="0" borderId="0" xfId="0" applyNumberFormat="1" applyFont="1" applyAlignment="1">
      <alignment vertical="center" wrapText="1"/>
    </xf>
    <xf numFmtId="0" fontId="16" fillId="24" borderId="28" xfId="0" applyFont="1" applyFill="1" applyBorder="1" applyAlignment="1">
      <alignment vertical="center" wrapText="1"/>
    </xf>
    <xf numFmtId="0" fontId="0" fillId="24" borderId="28" xfId="0" applyFill="1" applyBorder="1">
      <alignment vertical="center"/>
    </xf>
    <xf numFmtId="179" fontId="96" fillId="29" borderId="313" xfId="0" applyNumberFormat="1" applyFont="1" applyFill="1" applyBorder="1" applyAlignment="1">
      <alignment horizontal="left" vertical="top" wrapText="1"/>
    </xf>
    <xf numFmtId="179" fontId="96" fillId="29" borderId="314" xfId="0" applyNumberFormat="1" applyFont="1" applyFill="1" applyBorder="1" applyAlignment="1">
      <alignment horizontal="left" vertical="top" wrapText="1"/>
    </xf>
    <xf numFmtId="179" fontId="96" fillId="29" borderId="315" xfId="0" applyNumberFormat="1" applyFont="1" applyFill="1" applyBorder="1" applyAlignment="1">
      <alignment horizontal="left" vertical="top" wrapText="1"/>
    </xf>
    <xf numFmtId="0" fontId="92" fillId="29" borderId="316" xfId="0" applyFont="1" applyFill="1" applyBorder="1" applyAlignment="1">
      <alignment horizontal="left" vertical="top" wrapText="1"/>
    </xf>
    <xf numFmtId="0" fontId="92" fillId="29" borderId="317" xfId="0" applyFont="1" applyFill="1" applyBorder="1" applyAlignment="1">
      <alignment horizontal="left" vertical="top" wrapText="1"/>
    </xf>
    <xf numFmtId="0" fontId="92" fillId="29" borderId="315" xfId="0" applyFont="1" applyFill="1" applyBorder="1" applyAlignment="1">
      <alignment horizontal="left" vertical="top" wrapText="1"/>
    </xf>
    <xf numFmtId="0" fontId="92" fillId="29" borderId="318" xfId="0" applyFont="1" applyFill="1" applyBorder="1" applyAlignment="1">
      <alignment horizontal="left" vertical="top" wrapText="1"/>
    </xf>
    <xf numFmtId="38" fontId="0" fillId="0" borderId="28" xfId="0" applyNumberFormat="1" applyBorder="1">
      <alignment vertical="center"/>
    </xf>
    <xf numFmtId="0" fontId="92" fillId="29" borderId="319" xfId="0" applyFont="1" applyFill="1" applyBorder="1" applyAlignment="1">
      <alignment horizontal="left" vertical="top" wrapText="1"/>
    </xf>
    <xf numFmtId="0" fontId="96" fillId="29" borderId="320" xfId="0" applyFont="1" applyFill="1" applyBorder="1" applyAlignment="1">
      <alignment horizontal="left" vertical="top" wrapText="1"/>
    </xf>
    <xf numFmtId="0" fontId="180" fillId="0" borderId="0" xfId="289" applyFont="1" applyAlignment="1">
      <alignment shrinkToFit="1"/>
    </xf>
    <xf numFmtId="0" fontId="180" fillId="0" borderId="0" xfId="289" applyFont="1" applyAlignment="1">
      <alignment horizontal="right"/>
    </xf>
    <xf numFmtId="0" fontId="11" fillId="0" borderId="0" xfId="289">
      <alignment vertical="center"/>
    </xf>
    <xf numFmtId="0" fontId="11" fillId="0" borderId="0" xfId="289" applyAlignment="1">
      <alignment horizontal="left" vertical="center"/>
    </xf>
    <xf numFmtId="0" fontId="11" fillId="45" borderId="28" xfId="289" applyFill="1" applyBorder="1">
      <alignment vertical="center"/>
    </xf>
    <xf numFmtId="0" fontId="105" fillId="0" borderId="0" xfId="289" applyFont="1" applyAlignment="1">
      <alignment vertical="top"/>
    </xf>
    <xf numFmtId="0" fontId="16" fillId="0" borderId="0" xfId="289" applyFont="1" applyAlignment="1">
      <alignment vertical="center" wrapText="1"/>
    </xf>
    <xf numFmtId="0" fontId="175" fillId="0" borderId="0" xfId="289" applyFont="1">
      <alignment vertical="center"/>
    </xf>
    <xf numFmtId="0" fontId="11" fillId="0" borderId="0" xfId="289" applyAlignment="1">
      <alignment horizontal="right" vertical="center" shrinkToFit="1"/>
    </xf>
    <xf numFmtId="0" fontId="11" fillId="0" borderId="0" xfId="289" applyAlignment="1">
      <alignment vertical="center" shrinkToFit="1"/>
    </xf>
    <xf numFmtId="0" fontId="104" fillId="0" borderId="0" xfId="289" applyFont="1">
      <alignment vertical="center"/>
    </xf>
    <xf numFmtId="0" fontId="11" fillId="0" borderId="0" xfId="289" applyAlignment="1">
      <alignment horizontal="center" vertical="center"/>
    </xf>
    <xf numFmtId="0" fontId="112" fillId="0" borderId="0" xfId="289" applyFont="1">
      <alignment vertical="center"/>
    </xf>
    <xf numFmtId="0" fontId="104" fillId="0" borderId="0" xfId="289" applyFont="1" applyAlignment="1">
      <alignment horizontal="center" vertical="center"/>
    </xf>
    <xf numFmtId="0" fontId="104" fillId="0" borderId="0" xfId="289" applyFont="1" applyAlignment="1">
      <alignment vertical="center" shrinkToFit="1"/>
    </xf>
    <xf numFmtId="0" fontId="180" fillId="0" borderId="0" xfId="289" applyFont="1" applyAlignment="1">
      <alignment vertical="top"/>
    </xf>
    <xf numFmtId="0" fontId="101" fillId="0" borderId="0" xfId="289" applyFont="1">
      <alignment vertical="center"/>
    </xf>
    <xf numFmtId="0" fontId="112" fillId="0" borderId="0" xfId="289" applyFont="1" applyAlignment="1">
      <alignment horizontal="right" vertical="center"/>
    </xf>
    <xf numFmtId="0" fontId="104" fillId="46" borderId="19" xfId="289" applyFont="1" applyFill="1" applyBorder="1" applyAlignment="1">
      <alignment vertical="center" wrapText="1" shrinkToFit="1"/>
    </xf>
    <xf numFmtId="0" fontId="104" fillId="46" borderId="141" xfId="289" applyFont="1" applyFill="1" applyBorder="1" applyAlignment="1">
      <alignment vertical="center" wrapText="1" shrinkToFit="1"/>
    </xf>
    <xf numFmtId="0" fontId="104" fillId="46" borderId="49" xfId="289" applyFont="1" applyFill="1" applyBorder="1" applyAlignment="1">
      <alignment vertical="center" wrapText="1" shrinkToFit="1"/>
    </xf>
    <xf numFmtId="0" fontId="73" fillId="38" borderId="17" xfId="289" applyFont="1" applyFill="1" applyBorder="1" applyAlignment="1">
      <alignment horizontal="center" vertical="center"/>
    </xf>
    <xf numFmtId="38" fontId="199" fillId="46" borderId="18" xfId="290" applyFont="1" applyFill="1" applyBorder="1" applyAlignment="1" applyProtection="1">
      <alignment vertical="top" shrinkToFit="1"/>
    </xf>
    <xf numFmtId="38" fontId="199" fillId="38" borderId="18" xfId="290" applyFont="1" applyFill="1" applyBorder="1" applyAlignment="1" applyProtection="1">
      <alignment vertical="center" shrinkToFit="1"/>
    </xf>
    <xf numFmtId="0" fontId="16" fillId="0" borderId="0" xfId="289" applyFont="1">
      <alignment vertical="center"/>
    </xf>
    <xf numFmtId="0" fontId="200" fillId="0" borderId="0" xfId="289" applyFont="1" applyAlignment="1">
      <alignment horizontal="left" vertical="center"/>
    </xf>
    <xf numFmtId="0" fontId="73" fillId="34" borderId="28" xfId="289" applyFont="1" applyFill="1" applyBorder="1" applyAlignment="1">
      <alignment horizontal="center" vertical="center" wrapText="1"/>
    </xf>
    <xf numFmtId="0" fontId="115" fillId="34" borderId="28" xfId="289" applyFont="1" applyFill="1" applyBorder="1" applyAlignment="1">
      <alignment horizontal="center" vertical="center" shrinkToFit="1"/>
    </xf>
    <xf numFmtId="0" fontId="0" fillId="0" borderId="28" xfId="290" applyNumberFormat="1" applyFont="1" applyBorder="1" applyAlignment="1" applyProtection="1">
      <alignment horizontal="center" vertical="center" shrinkToFit="1"/>
    </xf>
    <xf numFmtId="183" fontId="0" fillId="0" borderId="28" xfId="290" applyNumberFormat="1" applyFont="1" applyBorder="1" applyAlignment="1" applyProtection="1">
      <alignment horizontal="right" vertical="center" shrinkToFit="1"/>
    </xf>
    <xf numFmtId="202" fontId="0" fillId="47" borderId="28" xfId="290" applyNumberFormat="1" applyFont="1" applyFill="1" applyBorder="1" applyAlignment="1" applyProtection="1">
      <alignment vertical="center" shrinkToFit="1"/>
    </xf>
    <xf numFmtId="196" fontId="0" fillId="0" borderId="28" xfId="290" applyNumberFormat="1" applyFont="1" applyBorder="1" applyAlignment="1" applyProtection="1">
      <alignment vertical="center" shrinkToFit="1"/>
    </xf>
    <xf numFmtId="194" fontId="0" fillId="0" borderId="84" xfId="290" applyNumberFormat="1" applyFont="1" applyBorder="1" applyAlignment="1" applyProtection="1">
      <alignment vertical="center" shrinkToFit="1"/>
    </xf>
    <xf numFmtId="0" fontId="15" fillId="0" borderId="28" xfId="290" applyNumberFormat="1" applyFont="1" applyBorder="1" applyAlignment="1" applyProtection="1">
      <alignment horizontal="center" vertical="center" wrapText="1" shrinkToFit="1"/>
    </xf>
    <xf numFmtId="196" fontId="0" fillId="0" borderId="84" xfId="290" applyNumberFormat="1" applyFont="1" applyBorder="1" applyAlignment="1" applyProtection="1">
      <alignment vertical="center" shrinkToFit="1"/>
    </xf>
    <xf numFmtId="177" fontId="0" fillId="0" borderId="28" xfId="290" applyNumberFormat="1" applyFont="1" applyBorder="1" applyAlignment="1" applyProtection="1">
      <alignment horizontal="right" vertical="center" shrinkToFit="1"/>
    </xf>
    <xf numFmtId="183" fontId="0" fillId="0" borderId="28" xfId="290" applyNumberFormat="1" applyFont="1" applyFill="1" applyBorder="1" applyAlignment="1" applyProtection="1">
      <alignment horizontal="right" vertical="center" shrinkToFit="1"/>
    </xf>
    <xf numFmtId="0" fontId="11" fillId="34" borderId="226" xfId="289" applyFill="1" applyBorder="1" applyAlignment="1">
      <alignment vertical="center" shrinkToFit="1"/>
    </xf>
    <xf numFmtId="183" fontId="0" fillId="34" borderId="226" xfId="290" applyNumberFormat="1" applyFont="1" applyFill="1" applyBorder="1" applyAlignment="1" applyProtection="1">
      <alignment horizontal="right" vertical="center" shrinkToFit="1"/>
    </xf>
    <xf numFmtId="202" fontId="0" fillId="34" borderId="28" xfId="290" applyNumberFormat="1" applyFont="1" applyFill="1" applyBorder="1" applyAlignment="1" applyProtection="1">
      <alignment vertical="center" shrinkToFit="1"/>
    </xf>
    <xf numFmtId="38" fontId="0" fillId="34" borderId="28" xfId="290" applyFont="1" applyFill="1" applyBorder="1" applyAlignment="1" applyProtection="1">
      <alignment vertical="center" shrinkToFit="1"/>
    </xf>
    <xf numFmtId="0" fontId="120" fillId="34" borderId="226" xfId="289" applyFont="1" applyFill="1" applyBorder="1" applyAlignment="1">
      <alignment vertical="center" wrapText="1" shrinkToFit="1"/>
    </xf>
    <xf numFmtId="196" fontId="0" fillId="34" borderId="28" xfId="290" applyNumberFormat="1" applyFont="1" applyFill="1" applyBorder="1" applyAlignment="1" applyProtection="1">
      <alignment vertical="center" shrinkToFit="1"/>
    </xf>
    <xf numFmtId="0" fontId="120" fillId="0" borderId="28" xfId="290" applyNumberFormat="1" applyFont="1" applyBorder="1" applyAlignment="1" applyProtection="1">
      <alignment horizontal="center" vertical="center" wrapText="1" shrinkToFit="1"/>
    </xf>
    <xf numFmtId="0" fontId="0" fillId="34" borderId="28" xfId="290" applyNumberFormat="1" applyFont="1" applyFill="1" applyBorder="1" applyAlignment="1" applyProtection="1">
      <alignment horizontal="center" vertical="center" shrinkToFit="1"/>
    </xf>
    <xf numFmtId="0" fontId="16" fillId="0" borderId="54" xfId="289" applyFont="1" applyBorder="1" applyAlignment="1">
      <alignment horizontal="center" vertical="center" shrinkToFit="1"/>
    </xf>
    <xf numFmtId="202" fontId="0" fillId="0" borderId="226" xfId="290" applyNumberFormat="1" applyFont="1" applyBorder="1" applyAlignment="1" applyProtection="1">
      <alignment vertical="center" shrinkToFit="1"/>
    </xf>
    <xf numFmtId="196" fontId="0" fillId="0" borderId="28" xfId="290" applyNumberFormat="1" applyFont="1" applyFill="1" applyBorder="1" applyAlignment="1" applyProtection="1">
      <alignment vertical="center" shrinkToFit="1"/>
    </xf>
    <xf numFmtId="202" fontId="11" fillId="34" borderId="85" xfId="289" applyNumberFormat="1" applyFill="1" applyBorder="1" applyAlignment="1">
      <alignment vertical="center" shrinkToFit="1"/>
    </xf>
    <xf numFmtId="0" fontId="0" fillId="34" borderId="85" xfId="290" applyNumberFormat="1" applyFont="1" applyFill="1" applyBorder="1" applyAlignment="1" applyProtection="1">
      <alignment horizontal="center" vertical="center" shrinkToFit="1"/>
    </xf>
    <xf numFmtId="38" fontId="0" fillId="34" borderId="230" xfId="290" applyFont="1" applyFill="1" applyBorder="1" applyAlignment="1" applyProtection="1">
      <alignment horizontal="right" vertical="center" shrinkToFit="1"/>
    </xf>
    <xf numFmtId="202" fontId="0" fillId="34" borderId="85" xfId="290" applyNumberFormat="1" applyFont="1" applyFill="1" applyBorder="1" applyAlignment="1" applyProtection="1">
      <alignment vertical="center" shrinkToFit="1"/>
    </xf>
    <xf numFmtId="38" fontId="0" fillId="34" borderId="230" xfId="290" applyFont="1" applyFill="1" applyBorder="1" applyAlignment="1" applyProtection="1">
      <alignment vertical="center" shrinkToFit="1"/>
    </xf>
    <xf numFmtId="0" fontId="11" fillId="34" borderId="85" xfId="289" applyFill="1" applyBorder="1" applyAlignment="1">
      <alignment vertical="center" shrinkToFit="1"/>
    </xf>
    <xf numFmtId="202" fontId="0" fillId="34" borderId="230" xfId="290" applyNumberFormat="1" applyFont="1" applyFill="1" applyBorder="1" applyAlignment="1" applyProtection="1">
      <alignment vertical="center" shrinkToFit="1"/>
    </xf>
    <xf numFmtId="196" fontId="0" fillId="34" borderId="230" xfId="290" applyNumberFormat="1" applyFont="1" applyFill="1" applyBorder="1" applyAlignment="1" applyProtection="1">
      <alignment vertical="center" shrinkToFit="1"/>
    </xf>
    <xf numFmtId="0" fontId="0" fillId="34" borderId="230" xfId="290" applyNumberFormat="1" applyFont="1" applyFill="1" applyBorder="1" applyAlignment="1" applyProtection="1">
      <alignment vertical="center" shrinkToFit="1"/>
    </xf>
    <xf numFmtId="196" fontId="0" fillId="34" borderId="85" xfId="290" applyNumberFormat="1" applyFont="1" applyFill="1" applyBorder="1" applyAlignment="1" applyProtection="1">
      <alignment vertical="center" shrinkToFit="1"/>
    </xf>
    <xf numFmtId="202" fontId="11" fillId="34" borderId="321" xfId="289" applyNumberFormat="1" applyFill="1" applyBorder="1" applyAlignment="1">
      <alignment vertical="center" shrinkToFit="1"/>
    </xf>
    <xf numFmtId="0" fontId="0" fillId="34" borderId="321" xfId="290" applyNumberFormat="1" applyFont="1" applyFill="1" applyBorder="1" applyAlignment="1" applyProtection="1">
      <alignment horizontal="center" vertical="center" shrinkToFit="1"/>
    </xf>
    <xf numFmtId="202" fontId="11" fillId="34" borderId="321" xfId="289" applyNumberFormat="1" applyFill="1" applyBorder="1" applyAlignment="1">
      <alignment horizontal="right" vertical="center" shrinkToFit="1"/>
    </xf>
    <xf numFmtId="202" fontId="14" fillId="34" borderId="288" xfId="290" applyNumberFormat="1" applyFont="1" applyFill="1" applyBorder="1" applyAlignment="1" applyProtection="1">
      <alignment vertical="center" shrinkToFit="1"/>
    </xf>
    <xf numFmtId="38" fontId="14" fillId="34" borderId="321" xfId="290" applyFont="1" applyFill="1" applyBorder="1" applyAlignment="1" applyProtection="1">
      <alignment horizontal="center" vertical="center" shrinkToFit="1"/>
    </xf>
    <xf numFmtId="0" fontId="14" fillId="34" borderId="321" xfId="290" applyNumberFormat="1" applyFont="1" applyFill="1" applyBorder="1" applyAlignment="1" applyProtection="1">
      <alignment horizontal="center" vertical="center" shrinkToFit="1"/>
    </xf>
    <xf numFmtId="202" fontId="14" fillId="34" borderId="321" xfId="290" applyNumberFormat="1" applyFont="1" applyFill="1" applyBorder="1" applyAlignment="1" applyProtection="1">
      <alignment horizontal="center" vertical="center" shrinkToFit="1"/>
    </xf>
    <xf numFmtId="38" fontId="14" fillId="34" borderId="288" xfId="290" applyFont="1" applyFill="1" applyBorder="1" applyAlignment="1" applyProtection="1">
      <alignment horizontal="center" vertical="center" shrinkToFit="1"/>
    </xf>
    <xf numFmtId="196" fontId="14" fillId="34" borderId="288" xfId="290" applyNumberFormat="1" applyFont="1" applyFill="1" applyBorder="1" applyAlignment="1" applyProtection="1">
      <alignment vertical="center" shrinkToFit="1"/>
    </xf>
    <xf numFmtId="0" fontId="72" fillId="0" borderId="0" xfId="289" applyFont="1">
      <alignment vertical="center"/>
    </xf>
    <xf numFmtId="0" fontId="72" fillId="0" borderId="0" xfId="289" applyFont="1" applyAlignment="1">
      <alignment horizontal="center" vertical="center"/>
    </xf>
    <xf numFmtId="0" fontId="72" fillId="0" borderId="0" xfId="289" applyFont="1" applyAlignment="1">
      <alignment vertical="center" shrinkToFit="1"/>
    </xf>
    <xf numFmtId="210" fontId="202" fillId="0" borderId="0" xfId="289" applyNumberFormat="1" applyFont="1">
      <alignment vertical="center"/>
    </xf>
    <xf numFmtId="210" fontId="72" fillId="0" borderId="0" xfId="289" applyNumberFormat="1" applyFont="1">
      <alignment vertical="center"/>
    </xf>
    <xf numFmtId="210" fontId="72" fillId="0" borderId="0" xfId="289" applyNumberFormat="1" applyFont="1" applyAlignment="1">
      <alignment vertical="center" shrinkToFit="1"/>
    </xf>
    <xf numFmtId="38" fontId="106" fillId="0" borderId="0" xfId="290" applyFont="1" applyFill="1" applyBorder="1" applyAlignment="1" applyProtection="1">
      <alignment vertical="center"/>
    </xf>
    <xf numFmtId="0" fontId="11" fillId="0" borderId="25" xfId="289" applyBorder="1" applyAlignment="1">
      <alignment horizontal="left" vertical="center" shrinkToFit="1"/>
    </xf>
    <xf numFmtId="0" fontId="73" fillId="34" borderId="83" xfId="289" applyFont="1" applyFill="1" applyBorder="1" applyAlignment="1">
      <alignment horizontal="center" vertical="center" textRotation="255" shrinkToFit="1"/>
    </xf>
    <xf numFmtId="0" fontId="11" fillId="34" borderId="29" xfId="289" applyFill="1" applyBorder="1" applyAlignment="1">
      <alignment horizontal="right" vertical="center"/>
    </xf>
    <xf numFmtId="0" fontId="11" fillId="34" borderId="60" xfId="289" applyFill="1" applyBorder="1" applyAlignment="1">
      <alignment horizontal="right" vertical="center"/>
    </xf>
    <xf numFmtId="0" fontId="11" fillId="34" borderId="54" xfId="289" applyFill="1" applyBorder="1" applyAlignment="1">
      <alignment horizontal="right" vertical="center"/>
    </xf>
    <xf numFmtId="183" fontId="0" fillId="34" borderId="28" xfId="290" applyNumberFormat="1" applyFont="1" applyFill="1" applyBorder="1" applyAlignment="1" applyProtection="1">
      <alignment horizontal="right" vertical="center" shrinkToFit="1"/>
    </xf>
    <xf numFmtId="0" fontId="11" fillId="34" borderId="28" xfId="289" applyFill="1" applyBorder="1" applyAlignment="1">
      <alignment vertical="center" shrinkToFit="1"/>
    </xf>
    <xf numFmtId="0" fontId="120" fillId="34" borderId="28" xfId="289" applyFont="1" applyFill="1" applyBorder="1" applyAlignment="1">
      <alignment vertical="center" wrapText="1" shrinkToFit="1"/>
    </xf>
    <xf numFmtId="177" fontId="0" fillId="0" borderId="85" xfId="290" applyNumberFormat="1" applyFont="1" applyBorder="1" applyAlignment="1" applyProtection="1">
      <alignment horizontal="right" vertical="center" shrinkToFit="1"/>
    </xf>
    <xf numFmtId="202" fontId="0" fillId="0" borderId="230" xfId="290" applyNumberFormat="1" applyFont="1" applyBorder="1" applyAlignment="1" applyProtection="1">
      <alignment vertical="center" shrinkToFit="1"/>
    </xf>
    <xf numFmtId="196" fontId="0" fillId="0" borderId="85" xfId="290" applyNumberFormat="1" applyFont="1" applyBorder="1" applyAlignment="1" applyProtection="1">
      <alignment vertical="center" shrinkToFit="1"/>
    </xf>
    <xf numFmtId="0" fontId="120" fillId="0" borderId="85" xfId="290" applyNumberFormat="1" applyFont="1" applyBorder="1" applyAlignment="1" applyProtection="1">
      <alignment horizontal="center" vertical="center" wrapText="1" shrinkToFit="1"/>
    </xf>
    <xf numFmtId="0" fontId="0" fillId="0" borderId="28" xfId="290" applyNumberFormat="1" applyFont="1" applyFill="1" applyBorder="1" applyAlignment="1" applyProtection="1">
      <alignment vertical="center" shrinkToFit="1"/>
    </xf>
    <xf numFmtId="202" fontId="0" fillId="0" borderId="28" xfId="290" applyNumberFormat="1" applyFont="1" applyFill="1" applyBorder="1" applyAlignment="1" applyProtection="1">
      <alignment vertical="center" shrinkToFit="1"/>
    </xf>
    <xf numFmtId="0" fontId="0" fillId="0" borderId="28" xfId="290" applyNumberFormat="1" applyFont="1" applyFill="1" applyBorder="1" applyAlignment="1" applyProtection="1">
      <alignment horizontal="right" vertical="center" shrinkToFit="1"/>
    </xf>
    <xf numFmtId="177" fontId="0" fillId="34" borderId="28" xfId="290" applyNumberFormat="1" applyFont="1" applyFill="1" applyBorder="1" applyAlignment="1" applyProtection="1">
      <alignment horizontal="right" vertical="center" shrinkToFit="1"/>
    </xf>
    <xf numFmtId="209" fontId="0" fillId="34" borderId="28" xfId="290" applyNumberFormat="1" applyFont="1" applyFill="1" applyBorder="1" applyAlignment="1" applyProtection="1">
      <alignment vertical="center" shrinkToFit="1"/>
    </xf>
    <xf numFmtId="202" fontId="0" fillId="34" borderId="226" xfId="290" applyNumberFormat="1" applyFont="1" applyFill="1" applyBorder="1" applyAlignment="1" applyProtection="1">
      <alignment vertical="center" shrinkToFit="1"/>
    </xf>
    <xf numFmtId="195" fontId="0" fillId="34" borderId="28" xfId="290" applyNumberFormat="1" applyFont="1" applyFill="1" applyBorder="1" applyAlignment="1" applyProtection="1">
      <alignment vertical="center" shrinkToFit="1"/>
    </xf>
    <xf numFmtId="0" fontId="120" fillId="34" borderId="28" xfId="290" applyNumberFormat="1" applyFont="1" applyFill="1" applyBorder="1" applyAlignment="1" applyProtection="1">
      <alignment horizontal="center" vertical="center" wrapText="1" shrinkToFit="1"/>
    </xf>
    <xf numFmtId="0" fontId="0" fillId="0" borderId="28" xfId="290" applyNumberFormat="1" applyFont="1" applyBorder="1" applyAlignment="1" applyProtection="1">
      <alignment vertical="center" shrinkToFit="1"/>
    </xf>
    <xf numFmtId="0" fontId="0" fillId="34" borderId="28" xfId="290" applyNumberFormat="1" applyFont="1" applyFill="1" applyBorder="1" applyAlignment="1" applyProtection="1">
      <alignment vertical="center" shrinkToFit="1"/>
    </xf>
    <xf numFmtId="0" fontId="11" fillId="33" borderId="242" xfId="284" applyFont="1" applyFill="1" applyBorder="1">
      <alignment vertical="center"/>
    </xf>
    <xf numFmtId="0" fontId="112" fillId="0" borderId="0" xfId="289" applyFont="1" applyAlignment="1">
      <alignment vertical="center" shrinkToFit="1"/>
    </xf>
    <xf numFmtId="0" fontId="112" fillId="0" borderId="0" xfId="289" applyFont="1" applyAlignment="1">
      <alignment horizontal="left" vertical="center" shrinkToFit="1"/>
    </xf>
    <xf numFmtId="183" fontId="0" fillId="25" borderId="28" xfId="281" applyNumberFormat="1" applyFont="1" applyFill="1" applyBorder="1" applyAlignment="1" applyProtection="1">
      <alignment horizontal="right" vertical="center" shrinkToFit="1"/>
      <protection locked="0"/>
    </xf>
    <xf numFmtId="177" fontId="0" fillId="25" borderId="28" xfId="281" applyNumberFormat="1" applyFont="1" applyFill="1" applyBorder="1" applyAlignment="1" applyProtection="1">
      <alignment horizontal="right" vertical="center" shrinkToFit="1"/>
      <protection locked="0"/>
    </xf>
    <xf numFmtId="0" fontId="0" fillId="25" borderId="84" xfId="281" applyNumberFormat="1" applyFont="1" applyFill="1" applyBorder="1" applyAlignment="1" applyProtection="1">
      <alignment horizontal="center" vertical="center" shrinkToFit="1"/>
      <protection locked="0"/>
    </xf>
    <xf numFmtId="194" fontId="0" fillId="25" borderId="84" xfId="281" applyNumberFormat="1" applyFont="1" applyFill="1" applyBorder="1" applyAlignment="1" applyProtection="1">
      <alignment vertical="center" shrinkToFit="1"/>
      <protection locked="0"/>
    </xf>
    <xf numFmtId="194" fontId="0" fillId="25" borderId="28" xfId="281" applyNumberFormat="1" applyFont="1" applyFill="1" applyBorder="1" applyAlignment="1" applyProtection="1">
      <alignment vertical="center" shrinkToFit="1"/>
      <protection locked="0"/>
    </xf>
    <xf numFmtId="188" fontId="0" fillId="25" borderId="28" xfId="281" applyNumberFormat="1" applyFont="1" applyFill="1" applyBorder="1" applyAlignment="1" applyProtection="1">
      <alignment vertical="center" shrinkToFit="1"/>
      <protection locked="0"/>
    </xf>
    <xf numFmtId="188" fontId="0" fillId="25" borderId="84" xfId="281" applyNumberFormat="1" applyFont="1" applyFill="1" applyBorder="1" applyAlignment="1" applyProtection="1">
      <alignment vertical="center" shrinkToFit="1"/>
      <protection locked="0"/>
    </xf>
    <xf numFmtId="194" fontId="0" fillId="26" borderId="84" xfId="281" applyNumberFormat="1" applyFont="1" applyFill="1" applyBorder="1" applyAlignment="1" applyProtection="1">
      <alignment vertical="center" shrinkToFit="1"/>
      <protection locked="0"/>
    </xf>
    <xf numFmtId="2" fontId="118" fillId="26" borderId="28" xfId="281" applyNumberFormat="1" applyFont="1" applyFill="1" applyBorder="1" applyAlignment="1" applyProtection="1">
      <alignment horizontal="center" vertical="center" wrapText="1" shrinkToFit="1"/>
      <protection locked="0"/>
    </xf>
    <xf numFmtId="0" fontId="12" fillId="0" borderId="0" xfId="284" applyProtection="1">
      <alignment vertical="center"/>
      <protection locked="0"/>
    </xf>
    <xf numFmtId="0" fontId="125" fillId="33" borderId="0" xfId="284" applyFont="1" applyFill="1" applyAlignment="1" applyProtection="1">
      <alignment horizontal="center" vertical="center" shrinkToFit="1"/>
      <protection locked="0"/>
    </xf>
    <xf numFmtId="0" fontId="125" fillId="33" borderId="60" xfId="284" applyFont="1" applyFill="1" applyBorder="1" applyAlignment="1" applyProtection="1">
      <alignment vertical="center" shrinkToFit="1"/>
      <protection locked="0"/>
    </xf>
    <xf numFmtId="0" fontId="125" fillId="33" borderId="29" xfId="284" applyFont="1" applyFill="1" applyBorder="1" applyProtection="1">
      <alignment vertical="center"/>
      <protection locked="0"/>
    </xf>
    <xf numFmtId="0" fontId="16" fillId="32" borderId="0" xfId="0" applyFont="1" applyFill="1" applyAlignment="1">
      <alignment vertical="center" wrapText="1"/>
    </xf>
    <xf numFmtId="0" fontId="0" fillId="26" borderId="0" xfId="0" applyFill="1">
      <alignment vertical="center"/>
    </xf>
    <xf numFmtId="38" fontId="0" fillId="0" borderId="0" xfId="0" applyNumberFormat="1">
      <alignment vertical="center"/>
    </xf>
    <xf numFmtId="0" fontId="0" fillId="32" borderId="19" xfId="0" applyFill="1" applyBorder="1">
      <alignment vertical="center"/>
    </xf>
    <xf numFmtId="0" fontId="12" fillId="35" borderId="33" xfId="284" applyFill="1" applyBorder="1" applyAlignment="1">
      <alignment horizontal="right" vertical="center"/>
    </xf>
    <xf numFmtId="0" fontId="125" fillId="36" borderId="231" xfId="284" applyFont="1" applyFill="1" applyBorder="1" applyAlignment="1" applyProtection="1">
      <alignment horizontal="right" vertical="center" shrinkToFit="1"/>
      <protection locked="0"/>
    </xf>
    <xf numFmtId="0" fontId="125" fillId="36" borderId="232" xfId="284" applyFont="1" applyFill="1" applyBorder="1" applyAlignment="1" applyProtection="1">
      <alignment horizontal="right" vertical="center" shrinkToFit="1"/>
      <protection locked="0"/>
    </xf>
    <xf numFmtId="0" fontId="125" fillId="36" borderId="233" xfId="284" applyFont="1" applyFill="1" applyBorder="1" applyAlignment="1" applyProtection="1">
      <alignment horizontal="right" vertical="center" shrinkToFit="1"/>
      <protection locked="0"/>
    </xf>
    <xf numFmtId="0" fontId="124" fillId="0" borderId="248" xfId="284" applyFont="1" applyBorder="1" applyAlignment="1">
      <alignment horizontal="center" vertical="center" shrinkToFit="1"/>
    </xf>
    <xf numFmtId="9" fontId="129" fillId="0" borderId="28" xfId="280" applyFont="1" applyFill="1" applyBorder="1" applyAlignment="1">
      <alignment vertical="center" shrinkToFit="1"/>
    </xf>
    <xf numFmtId="0" fontId="125" fillId="26" borderId="256" xfId="284" applyFont="1" applyFill="1" applyBorder="1" applyAlignment="1" applyProtection="1">
      <alignment horizontal="center" vertical="center" shrinkToFit="1"/>
      <protection locked="0"/>
    </xf>
    <xf numFmtId="0" fontId="125" fillId="26" borderId="246" xfId="284" applyFont="1" applyFill="1" applyBorder="1" applyAlignment="1" applyProtection="1">
      <alignment horizontal="center" vertical="center" shrinkToFit="1"/>
      <protection locked="0"/>
    </xf>
    <xf numFmtId="0" fontId="12" fillId="33" borderId="239" xfId="284" applyFill="1" applyBorder="1">
      <alignment vertical="center"/>
    </xf>
    <xf numFmtId="0" fontId="12" fillId="33" borderId="240" xfId="284" applyFill="1" applyBorder="1">
      <alignment vertical="center"/>
    </xf>
    <xf numFmtId="0" fontId="12" fillId="33" borderId="241" xfId="284" applyFill="1" applyBorder="1">
      <alignment vertical="center"/>
    </xf>
    <xf numFmtId="0" fontId="204" fillId="33" borderId="25" xfId="284" applyFont="1" applyFill="1" applyBorder="1" applyAlignment="1">
      <alignment horizontal="left" vertical="center" wrapText="1"/>
    </xf>
    <xf numFmtId="0" fontId="12" fillId="33" borderId="257" xfId="284" applyFill="1" applyBorder="1">
      <alignment vertical="center"/>
    </xf>
    <xf numFmtId="0" fontId="12" fillId="33" borderId="258" xfId="284" applyFill="1" applyBorder="1">
      <alignment vertical="center"/>
    </xf>
    <xf numFmtId="0" fontId="12" fillId="33" borderId="258" xfId="284" applyFill="1" applyBorder="1" applyAlignment="1">
      <alignment horizontal="center" vertical="center"/>
    </xf>
    <xf numFmtId="0" fontId="12" fillId="33" borderId="256" xfId="284" applyFill="1" applyBorder="1" applyAlignment="1">
      <alignment horizontal="center" vertical="center"/>
    </xf>
    <xf numFmtId="0" fontId="12" fillId="33" borderId="25" xfId="284" applyFill="1" applyBorder="1">
      <alignment vertical="center"/>
    </xf>
    <xf numFmtId="0" fontId="12" fillId="33" borderId="59" xfId="284" applyFill="1" applyBorder="1">
      <alignment vertical="center"/>
    </xf>
    <xf numFmtId="0" fontId="12" fillId="33" borderId="54" xfId="284" applyFill="1" applyBorder="1">
      <alignment vertical="center"/>
    </xf>
    <xf numFmtId="0" fontId="125" fillId="33" borderId="258" xfId="284" applyFont="1" applyFill="1" applyBorder="1" applyAlignment="1" applyProtection="1">
      <alignment vertical="center" shrinkToFit="1"/>
      <protection locked="0"/>
    </xf>
    <xf numFmtId="0" fontId="125" fillId="33" borderId="256" xfId="284" applyFont="1" applyFill="1" applyBorder="1" applyAlignment="1" applyProtection="1">
      <alignment vertical="center" shrinkToFit="1"/>
      <protection locked="0"/>
    </xf>
    <xf numFmtId="0" fontId="125" fillId="33" borderId="257" xfId="284" applyFont="1" applyFill="1" applyBorder="1" applyProtection="1">
      <alignment vertical="center"/>
      <protection locked="0"/>
    </xf>
    <xf numFmtId="0" fontId="126" fillId="36" borderId="243" xfId="284" applyFont="1" applyFill="1" applyBorder="1" applyAlignment="1" applyProtection="1">
      <alignment horizontal="center" vertical="center" wrapText="1" shrinkToFit="1"/>
      <protection locked="0"/>
    </xf>
    <xf numFmtId="0" fontId="126" fillId="36" borderId="247" xfId="284" applyFont="1" applyFill="1" applyBorder="1" applyAlignment="1" applyProtection="1">
      <alignment horizontal="center" vertical="center" wrapText="1" shrinkToFit="1"/>
      <protection locked="0"/>
    </xf>
    <xf numFmtId="0" fontId="126" fillId="36" borderId="274" xfId="284" applyFont="1" applyFill="1" applyBorder="1" applyAlignment="1" applyProtection="1">
      <alignment horizontal="center" vertical="center" wrapText="1" shrinkToFit="1"/>
      <protection locked="0"/>
    </xf>
    <xf numFmtId="0" fontId="126" fillId="36" borderId="252" xfId="284" applyFont="1" applyFill="1" applyBorder="1" applyAlignment="1" applyProtection="1">
      <alignment horizontal="center" vertical="center" wrapText="1" shrinkToFit="1"/>
      <protection locked="0"/>
    </xf>
    <xf numFmtId="0" fontId="160" fillId="0" borderId="59" xfId="0" applyFont="1" applyBorder="1" applyAlignment="1">
      <alignment horizontal="center" vertical="center" shrinkToFit="1"/>
    </xf>
    <xf numFmtId="0" fontId="160" fillId="0" borderId="60" xfId="0" applyFont="1" applyBorder="1" applyAlignment="1">
      <alignment horizontal="center" vertical="center" shrinkToFit="1"/>
    </xf>
    <xf numFmtId="0" fontId="160" fillId="0" borderId="62" xfId="0" applyFont="1" applyBorder="1" applyAlignment="1">
      <alignment horizontal="center" vertical="center" shrinkToFit="1"/>
    </xf>
    <xf numFmtId="0" fontId="160" fillId="0" borderId="279" xfId="0" applyFont="1" applyBorder="1" applyAlignment="1">
      <alignment horizontal="center" vertical="center" shrinkToFit="1"/>
    </xf>
    <xf numFmtId="0" fontId="9" fillId="33" borderId="85" xfId="284" applyFont="1" applyFill="1" applyBorder="1" applyAlignment="1">
      <alignment vertical="center" wrapText="1"/>
    </xf>
    <xf numFmtId="0" fontId="12" fillId="35" borderId="25" xfId="284" applyFill="1" applyBorder="1" applyAlignment="1">
      <alignment horizontal="center" vertical="center"/>
    </xf>
    <xf numFmtId="0" fontId="203" fillId="0" borderId="0" xfId="292" applyFont="1" applyAlignment="1">
      <alignment vertical="top"/>
    </xf>
    <xf numFmtId="179" fontId="90" fillId="0" borderId="0" xfId="292" applyNumberFormat="1" applyFont="1" applyAlignment="1">
      <alignment vertical="top" wrapText="1"/>
    </xf>
    <xf numFmtId="0" fontId="90" fillId="0" borderId="0" xfId="292" applyFont="1">
      <alignment vertical="center"/>
    </xf>
    <xf numFmtId="0" fontId="90" fillId="0" borderId="169" xfId="292" applyFont="1" applyBorder="1" applyAlignment="1">
      <alignment horizontal="left" vertical="top" wrapText="1"/>
    </xf>
    <xf numFmtId="179" fontId="90" fillId="0" borderId="165" xfId="292" applyNumberFormat="1" applyFont="1" applyBorder="1" applyAlignment="1">
      <alignment vertical="center" shrinkToFit="1"/>
    </xf>
    <xf numFmtId="0" fontId="92" fillId="29" borderId="166" xfId="292" applyFont="1" applyFill="1" applyBorder="1" applyAlignment="1">
      <alignment horizontal="left" vertical="top" wrapText="1"/>
    </xf>
    <xf numFmtId="0" fontId="92" fillId="29" borderId="169" xfId="292" applyFont="1" applyFill="1" applyBorder="1" applyAlignment="1">
      <alignment horizontal="left" vertical="top" wrapText="1"/>
    </xf>
    <xf numFmtId="179" fontId="92" fillId="29" borderId="166" xfId="292" applyNumberFormat="1" applyFont="1" applyFill="1" applyBorder="1" applyAlignment="1">
      <alignment horizontal="left" vertical="top" wrapText="1"/>
    </xf>
    <xf numFmtId="0" fontId="92" fillId="26" borderId="169" xfId="292" applyFont="1" applyFill="1" applyBorder="1" applyAlignment="1">
      <alignment horizontal="left" vertical="top" wrapText="1"/>
    </xf>
    <xf numFmtId="179" fontId="92" fillId="0" borderId="166" xfId="292" applyNumberFormat="1" applyFont="1" applyBorder="1" applyAlignment="1">
      <alignment horizontal="left" vertical="top" wrapText="1"/>
    </xf>
    <xf numFmtId="0" fontId="36" fillId="35" borderId="0" xfId="43" applyFont="1" applyFill="1" applyAlignment="1">
      <alignment horizontal="left" vertical="top"/>
    </xf>
    <xf numFmtId="0" fontId="82" fillId="35" borderId="0" xfId="43" applyFont="1" applyFill="1" applyAlignment="1">
      <alignment horizontal="left" vertical="top"/>
    </xf>
    <xf numFmtId="183" fontId="0" fillId="0" borderId="28" xfId="281" applyNumberFormat="1" applyFont="1" applyFill="1" applyBorder="1" applyAlignment="1" applyProtection="1">
      <alignment horizontal="right" vertical="center" shrinkToFit="1"/>
    </xf>
    <xf numFmtId="0" fontId="209" fillId="0" borderId="0" xfId="0" applyFont="1">
      <alignment vertical="center"/>
    </xf>
    <xf numFmtId="179" fontId="96" fillId="29" borderId="0" xfId="0" applyNumberFormat="1" applyFont="1" applyFill="1" applyAlignment="1">
      <alignment horizontal="left" vertical="top" wrapText="1"/>
    </xf>
    <xf numFmtId="0" fontId="128" fillId="0" borderId="0" xfId="0" applyFont="1" applyAlignment="1">
      <alignment horizontal="right"/>
    </xf>
    <xf numFmtId="0" fontId="36" fillId="39" borderId="0" xfId="43" applyFont="1" applyFill="1" applyAlignment="1">
      <alignment horizontal="right" vertical="top"/>
    </xf>
    <xf numFmtId="0" fontId="36" fillId="0" borderId="0" xfId="43" applyFont="1" applyAlignment="1">
      <alignment horizontal="right" vertical="top"/>
    </xf>
    <xf numFmtId="0" fontId="12" fillId="30" borderId="292" xfId="284" applyFill="1" applyBorder="1" applyAlignment="1">
      <alignment horizontal="center" vertical="center" shrinkToFit="1"/>
    </xf>
    <xf numFmtId="0" fontId="12" fillId="30" borderId="60" xfId="284" applyFill="1" applyBorder="1" applyAlignment="1">
      <alignment horizontal="right" vertical="center"/>
    </xf>
    <xf numFmtId="0" fontId="12" fillId="30" borderId="54" xfId="284" applyFill="1" applyBorder="1" applyAlignment="1">
      <alignment horizontal="right" vertical="center"/>
    </xf>
    <xf numFmtId="0" fontId="12" fillId="30" borderId="59" xfId="284" applyFill="1" applyBorder="1" applyAlignment="1">
      <alignment horizontal="center" vertical="center"/>
    </xf>
    <xf numFmtId="0" fontId="12" fillId="30" borderId="60" xfId="284" applyFill="1" applyBorder="1" applyAlignment="1">
      <alignment horizontal="center" vertical="center"/>
    </xf>
    <xf numFmtId="0" fontId="12" fillId="30" borderId="247" xfId="284" applyFill="1" applyBorder="1">
      <alignment vertical="center"/>
    </xf>
    <xf numFmtId="0" fontId="12" fillId="30" borderId="28" xfId="284" applyFill="1" applyBorder="1">
      <alignment vertical="center"/>
    </xf>
    <xf numFmtId="0" fontId="12" fillId="30" borderId="248" xfId="284" applyFill="1" applyBorder="1">
      <alignment vertical="center"/>
    </xf>
    <xf numFmtId="0" fontId="12" fillId="30" borderId="54" xfId="284" applyFill="1" applyBorder="1">
      <alignment vertical="center"/>
    </xf>
    <xf numFmtId="0" fontId="12" fillId="30" borderId="0" xfId="284" applyFill="1" applyAlignment="1">
      <alignment horizontal="center" vertical="center"/>
    </xf>
    <xf numFmtId="0" fontId="12" fillId="30" borderId="274" xfId="284" applyFill="1" applyBorder="1">
      <alignment vertical="center"/>
    </xf>
    <xf numFmtId="0" fontId="12" fillId="30" borderId="85" xfId="284" applyFill="1" applyBorder="1">
      <alignment vertical="center"/>
    </xf>
    <xf numFmtId="0" fontId="12" fillId="30" borderId="275" xfId="284" applyFill="1" applyBorder="1">
      <alignment vertical="center"/>
    </xf>
    <xf numFmtId="0" fontId="12" fillId="30" borderId="61" xfId="284" applyFill="1" applyBorder="1">
      <alignment vertical="center"/>
    </xf>
    <xf numFmtId="0" fontId="73" fillId="30" borderId="83" xfId="284" applyFont="1" applyFill="1" applyBorder="1" applyAlignment="1">
      <alignment horizontal="center" vertical="center" textRotation="255" shrinkToFit="1"/>
    </xf>
    <xf numFmtId="0" fontId="73" fillId="30" borderId="29" xfId="284" applyFont="1" applyFill="1" applyBorder="1" applyAlignment="1">
      <alignment horizontal="center" vertical="center" textRotation="255" shrinkToFit="1"/>
    </xf>
    <xf numFmtId="0" fontId="12" fillId="30" borderId="62" xfId="284" applyFill="1" applyBorder="1" applyAlignment="1">
      <alignment horizontal="center" vertical="center"/>
    </xf>
    <xf numFmtId="0" fontId="12" fillId="30" borderId="29" xfId="284" applyFill="1" applyBorder="1">
      <alignment vertical="center"/>
    </xf>
    <xf numFmtId="0" fontId="12" fillId="30" borderId="60" xfId="284" applyFill="1" applyBorder="1">
      <alignment vertical="center"/>
    </xf>
    <xf numFmtId="0" fontId="12" fillId="30" borderId="32" xfId="284" applyFill="1" applyBorder="1">
      <alignment vertical="center"/>
    </xf>
    <xf numFmtId="0" fontId="12" fillId="30" borderId="0" xfId="284" applyFill="1">
      <alignment vertical="center"/>
    </xf>
    <xf numFmtId="0" fontId="12" fillId="30" borderId="33" xfId="284" applyFill="1" applyBorder="1">
      <alignment vertical="center"/>
    </xf>
    <xf numFmtId="0" fontId="12" fillId="30" borderId="83" xfId="284" applyFill="1" applyBorder="1">
      <alignment vertical="center"/>
    </xf>
    <xf numFmtId="0" fontId="102" fillId="30" borderId="84" xfId="284" applyFont="1" applyFill="1" applyBorder="1" applyAlignment="1">
      <alignment vertical="center" shrinkToFit="1"/>
    </xf>
    <xf numFmtId="0" fontId="102" fillId="30" borderId="28" xfId="284" applyFont="1" applyFill="1" applyBorder="1" applyAlignment="1">
      <alignment vertical="center" shrinkToFit="1"/>
    </xf>
    <xf numFmtId="0" fontId="102" fillId="49" borderId="28" xfId="284" applyFont="1" applyFill="1" applyBorder="1" applyAlignment="1">
      <alignment vertical="center" shrinkToFit="1"/>
    </xf>
    <xf numFmtId="0" fontId="73" fillId="30" borderId="32" xfId="284" applyFont="1" applyFill="1" applyBorder="1" applyAlignment="1">
      <alignment horizontal="center" vertical="center" textRotation="255" shrinkToFit="1"/>
    </xf>
    <xf numFmtId="183" fontId="14" fillId="30" borderId="1" xfId="286" applyNumberFormat="1" applyFont="1" applyFill="1" applyBorder="1" applyAlignment="1" applyProtection="1">
      <alignment horizontal="right" vertical="center" shrinkToFit="1"/>
    </xf>
    <xf numFmtId="0" fontId="12" fillId="30" borderId="249" xfId="284" applyFill="1" applyBorder="1">
      <alignment vertical="center"/>
    </xf>
    <xf numFmtId="0" fontId="12" fillId="30" borderId="226" xfId="284" applyFill="1" applyBorder="1">
      <alignment vertical="center"/>
    </xf>
    <xf numFmtId="0" fontId="12" fillId="30" borderId="250" xfId="284" applyFill="1" applyBorder="1">
      <alignment vertical="center"/>
    </xf>
    <xf numFmtId="0" fontId="133" fillId="30" borderId="249" xfId="284" applyFont="1" applyFill="1" applyBorder="1">
      <alignment vertical="center"/>
    </xf>
    <xf numFmtId="0" fontId="133" fillId="30" borderId="226" xfId="284" applyFont="1" applyFill="1" applyBorder="1">
      <alignment vertical="center"/>
    </xf>
    <xf numFmtId="0" fontId="12" fillId="30" borderId="25" xfId="284" applyFill="1" applyBorder="1" applyAlignment="1">
      <alignment horizontal="center" vertical="center"/>
    </xf>
    <xf numFmtId="0" fontId="12" fillId="30" borderId="28" xfId="284" applyFill="1" applyBorder="1" applyAlignment="1">
      <alignment horizontal="center" vertical="center" shrinkToFit="1"/>
    </xf>
    <xf numFmtId="0" fontId="12" fillId="30" borderId="244" xfId="284" applyFill="1" applyBorder="1">
      <alignment vertical="center"/>
    </xf>
    <xf numFmtId="0" fontId="16" fillId="30" borderId="28" xfId="284" applyFont="1" applyFill="1" applyBorder="1" applyAlignment="1">
      <alignment horizontal="center" vertical="center" shrinkToFit="1"/>
    </xf>
    <xf numFmtId="0" fontId="16" fillId="30" borderId="54" xfId="284" applyFont="1" applyFill="1" applyBorder="1" applyAlignment="1">
      <alignment horizontal="center" vertical="center" shrinkToFit="1"/>
    </xf>
    <xf numFmtId="0" fontId="16" fillId="30" borderId="33" xfId="284" applyFont="1" applyFill="1" applyBorder="1" applyAlignment="1">
      <alignment horizontal="center" vertical="center" shrinkToFit="1"/>
    </xf>
    <xf numFmtId="198" fontId="12" fillId="30" borderId="28" xfId="284" applyNumberFormat="1" applyFill="1" applyBorder="1" applyAlignment="1">
      <alignment horizontal="center" vertical="center" shrinkToFit="1"/>
    </xf>
    <xf numFmtId="198" fontId="12" fillId="0" borderId="28" xfId="284" applyNumberFormat="1" applyBorder="1" applyAlignment="1">
      <alignment vertical="center" shrinkToFit="1"/>
    </xf>
    <xf numFmtId="0" fontId="118" fillId="0" borderId="25" xfId="284" applyFont="1" applyBorder="1" applyAlignment="1">
      <alignment horizontal="left" vertical="center" wrapText="1" shrinkToFit="1"/>
    </xf>
    <xf numFmtId="0" fontId="118" fillId="0" borderId="59" xfId="284" applyFont="1" applyBorder="1" applyAlignment="1">
      <alignment horizontal="left" vertical="center" wrapText="1" shrinkToFit="1"/>
    </xf>
    <xf numFmtId="0" fontId="118" fillId="0" borderId="59" xfId="284" applyFont="1" applyBorder="1" applyAlignment="1" applyProtection="1">
      <alignment horizontal="center" vertical="center" wrapText="1" shrinkToFit="1"/>
      <protection locked="0"/>
    </xf>
    <xf numFmtId="198" fontId="120" fillId="0" borderId="59" xfId="284" applyNumberFormat="1" applyFont="1" applyBorder="1" applyAlignment="1">
      <alignment vertical="center" shrinkToFit="1"/>
    </xf>
    <xf numFmtId="198" fontId="120" fillId="0" borderId="54" xfId="284" applyNumberFormat="1" applyFont="1" applyBorder="1" applyAlignment="1">
      <alignment horizontal="center" vertical="center" shrinkToFit="1"/>
    </xf>
    <xf numFmtId="198" fontId="12" fillId="30" borderId="304" xfId="284" applyNumberFormat="1" applyFill="1" applyBorder="1" applyAlignment="1" applyProtection="1">
      <alignment shrinkToFit="1"/>
      <protection locked="0"/>
    </xf>
    <xf numFmtId="0" fontId="12" fillId="30" borderId="59" xfId="284" applyFill="1" applyBorder="1" applyAlignment="1">
      <alignment horizontal="center" vertical="center" shrinkToFit="1"/>
    </xf>
    <xf numFmtId="0" fontId="16" fillId="30" borderId="25" xfId="284" applyFont="1" applyFill="1" applyBorder="1" applyAlignment="1">
      <alignment horizontal="center" vertical="center" shrinkToFit="1"/>
    </xf>
    <xf numFmtId="0" fontId="125" fillId="30" borderId="247" xfId="284" applyFont="1" applyFill="1" applyBorder="1" applyAlignment="1" applyProtection="1">
      <alignment horizontal="center" vertical="center" shrinkToFit="1"/>
      <protection locked="0"/>
    </xf>
    <xf numFmtId="0" fontId="125" fillId="30" borderId="28" xfId="284" applyFont="1" applyFill="1" applyBorder="1" applyAlignment="1" applyProtection="1">
      <alignment horizontal="center" vertical="center" shrinkToFit="1"/>
      <protection locked="0"/>
    </xf>
    <xf numFmtId="0" fontId="125" fillId="30" borderId="248" xfId="284" applyFont="1" applyFill="1" applyBorder="1" applyAlignment="1" applyProtection="1">
      <alignment horizontal="center" vertical="center" shrinkToFit="1"/>
      <protection locked="0"/>
    </xf>
    <xf numFmtId="0" fontId="126" fillId="30" borderId="54" xfId="284" applyFont="1" applyFill="1" applyBorder="1" applyAlignment="1" applyProtection="1">
      <alignment horizontal="center" vertical="center" wrapText="1" shrinkToFit="1"/>
      <protection locked="0"/>
    </xf>
    <xf numFmtId="0" fontId="126" fillId="30" borderId="28" xfId="284" applyFont="1" applyFill="1" applyBorder="1" applyAlignment="1" applyProtection="1">
      <alignment horizontal="center" vertical="center" wrapText="1" shrinkToFit="1"/>
      <protection locked="0"/>
    </xf>
    <xf numFmtId="0" fontId="126" fillId="30" borderId="248" xfId="284" applyFont="1" applyFill="1" applyBorder="1" applyAlignment="1" applyProtection="1">
      <alignment horizontal="center" vertical="center" wrapText="1" shrinkToFit="1"/>
      <protection locked="0"/>
    </xf>
    <xf numFmtId="0" fontId="16" fillId="30" borderId="33" xfId="284" applyFont="1" applyFill="1" applyBorder="1" applyAlignment="1">
      <alignment vertical="center" shrinkToFit="1"/>
    </xf>
    <xf numFmtId="198" fontId="12" fillId="25" borderId="244" xfId="284" applyNumberFormat="1" applyFill="1" applyBorder="1" applyAlignment="1" applyProtection="1">
      <alignment vertical="center" shrinkToFit="1"/>
      <protection locked="0"/>
    </xf>
    <xf numFmtId="198" fontId="12" fillId="25" borderId="245" xfId="284" applyNumberFormat="1" applyFill="1" applyBorder="1" applyAlignment="1" applyProtection="1">
      <alignment vertical="center" shrinkToFit="1"/>
      <protection locked="0"/>
    </xf>
    <xf numFmtId="198" fontId="12" fillId="25" borderId="28" xfId="284" applyNumberFormat="1" applyFill="1" applyBorder="1" applyAlignment="1" applyProtection="1">
      <alignment vertical="center" shrinkToFit="1"/>
      <protection locked="0"/>
    </xf>
    <xf numFmtId="198" fontId="12" fillId="25" borderId="248" xfId="284" applyNumberFormat="1" applyFill="1" applyBorder="1" applyAlignment="1" applyProtection="1">
      <alignment vertical="center" shrinkToFit="1"/>
      <protection locked="0"/>
    </xf>
    <xf numFmtId="198" fontId="12" fillId="25" borderId="235" xfId="284" applyNumberFormat="1" applyFill="1" applyBorder="1" applyAlignment="1" applyProtection="1">
      <alignment vertical="center" shrinkToFit="1"/>
      <protection locked="0"/>
    </xf>
    <xf numFmtId="198" fontId="12" fillId="25" borderId="253" xfId="284" applyNumberFormat="1" applyFill="1" applyBorder="1" applyAlignment="1" applyProtection="1">
      <alignment vertical="center" shrinkToFit="1"/>
      <protection locked="0"/>
    </xf>
    <xf numFmtId="0" fontId="134" fillId="30" borderId="263" xfId="43" applyFont="1" applyFill="1" applyBorder="1" applyAlignment="1">
      <alignment horizontal="center" vertical="center"/>
    </xf>
    <xf numFmtId="0" fontId="134" fillId="30" borderId="263" xfId="43" applyFont="1" applyFill="1" applyBorder="1" applyAlignment="1">
      <alignment horizontal="center" vertical="top" wrapText="1"/>
    </xf>
    <xf numFmtId="0" fontId="124" fillId="30" borderId="0" xfId="0" applyFont="1" applyFill="1" applyAlignment="1">
      <alignment vertical="center" textRotation="255"/>
    </xf>
    <xf numFmtId="0" fontId="114" fillId="0" borderId="0" xfId="0" applyFont="1">
      <alignment vertical="center"/>
    </xf>
    <xf numFmtId="179" fontId="35" fillId="24" borderId="0" xfId="44" applyNumberFormat="1" applyFont="1" applyFill="1" applyAlignment="1" applyProtection="1">
      <alignment vertical="center" shrinkToFit="1"/>
      <protection locked="0"/>
    </xf>
    <xf numFmtId="183" fontId="35" fillId="24" borderId="0" xfId="44" applyNumberFormat="1" applyFont="1" applyFill="1" applyAlignment="1" applyProtection="1">
      <alignment vertical="center" shrinkToFit="1"/>
      <protection locked="0"/>
    </xf>
    <xf numFmtId="0" fontId="36" fillId="48" borderId="0" xfId="0" applyFont="1" applyFill="1">
      <alignment vertical="center"/>
    </xf>
    <xf numFmtId="0" fontId="82" fillId="48" borderId="0" xfId="0" applyFont="1" applyFill="1">
      <alignment vertical="center"/>
    </xf>
    <xf numFmtId="0" fontId="35" fillId="48" borderId="0" xfId="44" applyFont="1" applyFill="1"/>
    <xf numFmtId="0" fontId="36" fillId="48" borderId="0" xfId="0" applyFont="1" applyFill="1" applyAlignment="1">
      <alignment horizontal="distributed"/>
    </xf>
    <xf numFmtId="0" fontId="36" fillId="48" borderId="62" xfId="0" applyFont="1" applyFill="1" applyBorder="1" applyProtection="1">
      <alignment vertical="center"/>
      <protection locked="0"/>
    </xf>
    <xf numFmtId="0" fontId="35" fillId="48" borderId="0" xfId="44" applyFont="1" applyFill="1" applyAlignment="1">
      <alignment vertical="top" shrinkToFit="1"/>
    </xf>
    <xf numFmtId="0" fontId="36" fillId="48" borderId="28" xfId="0" applyFont="1" applyFill="1" applyBorder="1" applyProtection="1">
      <alignment vertical="center"/>
      <protection locked="0"/>
    </xf>
    <xf numFmtId="0" fontId="35" fillId="48" borderId="0" xfId="44" applyFont="1" applyFill="1" applyAlignment="1">
      <alignment horizontal="center" vertical="top" shrinkToFit="1"/>
    </xf>
    <xf numFmtId="0" fontId="75" fillId="48" borderId="0" xfId="0" applyFont="1" applyFill="1">
      <alignment vertical="center"/>
    </xf>
    <xf numFmtId="0" fontId="36" fillId="48" borderId="0" xfId="0" applyFont="1" applyFill="1" applyAlignment="1">
      <alignment vertical="top" wrapText="1"/>
    </xf>
    <xf numFmtId="0" fontId="75" fillId="48" borderId="0" xfId="0" applyFont="1" applyFill="1" applyAlignment="1">
      <alignment vertical="top" wrapText="1"/>
    </xf>
    <xf numFmtId="0" fontId="36" fillId="48" borderId="0" xfId="0" applyFont="1" applyFill="1" applyAlignment="1" applyProtection="1">
      <alignment horizontal="distributed"/>
      <protection locked="0"/>
    </xf>
    <xf numFmtId="0" fontId="35" fillId="48" borderId="0" xfId="44" applyFont="1" applyFill="1" applyAlignment="1">
      <alignment horizontal="distributed" vertical="center"/>
    </xf>
    <xf numFmtId="179" fontId="35" fillId="48" borderId="0" xfId="44" applyNumberFormat="1" applyFont="1" applyFill="1" applyAlignment="1" applyProtection="1">
      <alignment horizontal="right" vertical="center" shrinkToFit="1"/>
      <protection locked="0"/>
    </xf>
    <xf numFmtId="0" fontId="35" fillId="48" borderId="0" xfId="44" applyFont="1" applyFill="1" applyAlignment="1">
      <alignment horizontal="center" vertical="center"/>
    </xf>
    <xf numFmtId="0" fontId="35" fillId="48" borderId="0" xfId="44" applyFont="1" applyFill="1" applyAlignment="1">
      <alignment vertical="top" wrapText="1"/>
    </xf>
    <xf numFmtId="0" fontId="35" fillId="48" borderId="28" xfId="44" applyFont="1" applyFill="1" applyBorder="1" applyAlignment="1">
      <alignment horizontal="center" vertical="center" wrapText="1"/>
    </xf>
    <xf numFmtId="0" fontId="35" fillId="48" borderId="0" xfId="44" applyFont="1" applyFill="1" applyAlignment="1">
      <alignment horizontal="right" vertical="center"/>
    </xf>
    <xf numFmtId="0" fontId="35" fillId="48" borderId="0" xfId="44" applyFont="1" applyFill="1" applyAlignment="1">
      <alignment vertical="center"/>
    </xf>
    <xf numFmtId="0" fontId="36" fillId="48" borderId="0" xfId="0" applyFont="1" applyFill="1" applyProtection="1">
      <alignment vertical="center"/>
      <protection locked="0"/>
    </xf>
    <xf numFmtId="0" fontId="35" fillId="48" borderId="0" xfId="0" applyFont="1" applyFill="1">
      <alignment vertical="center"/>
    </xf>
    <xf numFmtId="0" fontId="35" fillId="48" borderId="17" xfId="0" applyFont="1" applyFill="1" applyBorder="1">
      <alignment vertical="center"/>
    </xf>
    <xf numFmtId="0" fontId="59" fillId="48" borderId="0" xfId="0" applyFont="1" applyFill="1">
      <alignment vertical="center"/>
    </xf>
    <xf numFmtId="0" fontId="35" fillId="48" borderId="0" xfId="0" applyFont="1" applyFill="1" applyProtection="1">
      <alignment vertical="center"/>
      <protection locked="0"/>
    </xf>
    <xf numFmtId="0" fontId="35" fillId="48" borderId="0" xfId="0" applyFont="1" applyFill="1" applyAlignment="1">
      <alignment horizontal="left" vertical="top"/>
    </xf>
    <xf numFmtId="0" fontId="35" fillId="48" borderId="28" xfId="0" applyFont="1" applyFill="1" applyBorder="1" applyProtection="1">
      <alignment vertical="center"/>
      <protection locked="0"/>
    </xf>
    <xf numFmtId="0" fontId="106" fillId="26" borderId="224" xfId="284" applyFont="1" applyFill="1" applyBorder="1" applyAlignment="1" applyProtection="1">
      <alignment horizontal="right" vertical="center" shrinkToFit="1"/>
      <protection locked="0"/>
    </xf>
    <xf numFmtId="199" fontId="0" fillId="0" borderId="28" xfId="288" applyNumberFormat="1" applyFont="1" applyFill="1" applyBorder="1">
      <alignment vertical="center"/>
    </xf>
    <xf numFmtId="9" fontId="0" fillId="0" borderId="28" xfId="280" applyFont="1" applyFill="1" applyBorder="1" applyAlignment="1">
      <alignment vertical="center" shrinkToFit="1"/>
    </xf>
    <xf numFmtId="2" fontId="124" fillId="0" borderId="84" xfId="284" applyNumberFormat="1" applyFont="1" applyBorder="1" applyAlignment="1">
      <alignment horizontal="center" vertical="center" shrinkToFit="1"/>
    </xf>
    <xf numFmtId="0" fontId="124" fillId="0" borderId="84" xfId="284" applyFont="1" applyBorder="1">
      <alignment vertical="center"/>
    </xf>
    <xf numFmtId="2" fontId="124" fillId="0" borderId="85" xfId="284" applyNumberFormat="1" applyFont="1" applyBorder="1" applyAlignment="1">
      <alignment horizontal="center" vertical="center" shrinkToFit="1"/>
    </xf>
    <xf numFmtId="0" fontId="124" fillId="0" borderId="83" xfId="284" applyFont="1" applyBorder="1">
      <alignment vertical="center"/>
    </xf>
    <xf numFmtId="0" fontId="124" fillId="0" borderId="85" xfId="284" applyFont="1" applyBorder="1">
      <alignment vertical="center"/>
    </xf>
    <xf numFmtId="0" fontId="125" fillId="36" borderId="54" xfId="284" applyFont="1" applyFill="1" applyBorder="1" applyAlignment="1" applyProtection="1">
      <alignment horizontal="right" vertical="center" shrinkToFit="1"/>
      <protection locked="0"/>
    </xf>
    <xf numFmtId="0" fontId="125" fillId="36" borderId="28" xfId="284" applyFont="1" applyFill="1" applyBorder="1" applyAlignment="1" applyProtection="1">
      <alignment horizontal="right" vertical="center" shrinkToFit="1"/>
      <protection locked="0"/>
    </xf>
    <xf numFmtId="0" fontId="125" fillId="36" borderId="248" xfId="284" applyFont="1" applyFill="1" applyBorder="1" applyAlignment="1" applyProtection="1">
      <alignment horizontal="right" vertical="center" shrinkToFit="1"/>
      <protection locked="0"/>
    </xf>
    <xf numFmtId="2" fontId="12" fillId="0" borderId="28" xfId="280" applyNumberFormat="1" applyFont="1" applyFill="1" applyBorder="1" applyAlignment="1" applyProtection="1">
      <alignment horizontal="right" vertical="center" shrinkToFit="1"/>
    </xf>
    <xf numFmtId="0" fontId="0" fillId="0" borderId="28" xfId="280" applyNumberFormat="1" applyFont="1" applyFill="1" applyBorder="1" applyAlignment="1">
      <alignment vertical="center" shrinkToFit="1"/>
    </xf>
    <xf numFmtId="2" fontId="0" fillId="0" borderId="28" xfId="280" applyNumberFormat="1" applyFont="1" applyFill="1" applyBorder="1" applyAlignment="1">
      <alignment vertical="center" shrinkToFit="1"/>
    </xf>
    <xf numFmtId="0" fontId="124" fillId="36" borderId="248" xfId="284" applyFont="1" applyFill="1" applyBorder="1" applyAlignment="1">
      <alignment horizontal="center" vertical="center" shrinkToFit="1"/>
    </xf>
    <xf numFmtId="0" fontId="106" fillId="0" borderId="25" xfId="284" applyFont="1" applyBorder="1" applyAlignment="1">
      <alignment horizontal="left" vertical="center" indent="1"/>
    </xf>
    <xf numFmtId="0" fontId="106" fillId="0" borderId="59" xfId="284" applyFont="1" applyBorder="1" applyAlignment="1">
      <alignment horizontal="center" vertical="center" wrapText="1" shrinkToFit="1"/>
    </xf>
    <xf numFmtId="0" fontId="106" fillId="0" borderId="59" xfId="284" applyFont="1" applyBorder="1" applyAlignment="1">
      <alignment horizontal="center" vertical="center" shrinkToFit="1"/>
    </xf>
    <xf numFmtId="2" fontId="12" fillId="0" borderId="60" xfId="284" applyNumberFormat="1" applyBorder="1" applyAlignment="1">
      <alignment horizontal="center" vertical="center" shrinkToFit="1"/>
    </xf>
    <xf numFmtId="0" fontId="12" fillId="0" borderId="60" xfId="284" applyBorder="1">
      <alignment vertical="center"/>
    </xf>
    <xf numFmtId="0" fontId="12" fillId="0" borderId="61" xfId="284" applyBorder="1">
      <alignment vertical="center"/>
    </xf>
    <xf numFmtId="2" fontId="0" fillId="0" borderId="28" xfId="0" applyNumberFormat="1" applyBorder="1">
      <alignment vertical="center"/>
    </xf>
    <xf numFmtId="9" fontId="49" fillId="0" borderId="0" xfId="280" applyFont="1" applyAlignment="1" applyProtection="1">
      <alignment vertical="center"/>
    </xf>
    <xf numFmtId="0" fontId="157" fillId="0" borderId="0" xfId="0" applyFont="1" applyAlignment="1">
      <alignment horizontal="right" vertical="top"/>
    </xf>
    <xf numFmtId="0" fontId="49" fillId="0" borderId="0" xfId="0" applyFont="1" applyAlignment="1">
      <alignment vertical="top" wrapText="1"/>
    </xf>
    <xf numFmtId="0" fontId="49" fillId="0" borderId="0" xfId="0" applyFont="1" applyAlignment="1">
      <alignment vertical="center" wrapText="1"/>
    </xf>
    <xf numFmtId="9" fontId="49" fillId="0" borderId="28" xfId="280" applyFont="1" applyBorder="1" applyAlignment="1" applyProtection="1">
      <alignment vertical="center"/>
    </xf>
    <xf numFmtId="0" fontId="49" fillId="30" borderId="28" xfId="0" applyFont="1" applyFill="1" applyBorder="1" applyAlignment="1">
      <alignment vertical="top" wrapText="1"/>
    </xf>
    <xf numFmtId="0" fontId="49" fillId="30" borderId="28" xfId="0" applyFont="1" applyFill="1" applyBorder="1" applyAlignment="1">
      <alignment vertical="center" wrapText="1"/>
    </xf>
    <xf numFmtId="0" fontId="49" fillId="0" borderId="59" xfId="0" applyFont="1" applyBorder="1" applyAlignment="1">
      <alignment horizontal="center" vertical="center"/>
    </xf>
    <xf numFmtId="0" fontId="162" fillId="0" borderId="59" xfId="0" applyFont="1" applyBorder="1" applyAlignment="1">
      <alignment vertical="top"/>
    </xf>
    <xf numFmtId="0" fontId="49" fillId="0" borderId="59" xfId="0" applyFont="1" applyBorder="1">
      <alignment vertical="center"/>
    </xf>
    <xf numFmtId="0" fontId="143" fillId="0" borderId="59" xfId="0" applyFont="1" applyBorder="1" applyAlignment="1">
      <alignment vertical="top" wrapText="1"/>
    </xf>
    <xf numFmtId="0" fontId="209" fillId="0" borderId="59" xfId="0" applyFont="1" applyBorder="1">
      <alignment vertical="center"/>
    </xf>
    <xf numFmtId="0" fontId="143" fillId="0" borderId="54" xfId="0" applyFont="1" applyBorder="1" applyAlignment="1">
      <alignment vertical="top" wrapText="1"/>
    </xf>
    <xf numFmtId="0" fontId="49" fillId="0" borderId="54" xfId="0" applyFont="1" applyBorder="1">
      <alignment vertical="center"/>
    </xf>
    <xf numFmtId="0" fontId="124" fillId="0" borderId="25" xfId="0" applyFont="1" applyBorder="1" applyAlignment="1">
      <alignment vertical="top"/>
    </xf>
    <xf numFmtId="0" fontId="124" fillId="0" borderId="25" xfId="0" applyFont="1" applyBorder="1" applyAlignment="1">
      <alignment horizontal="left" vertical="center"/>
    </xf>
    <xf numFmtId="0" fontId="9" fillId="25" borderId="25" xfId="284" applyFont="1" applyFill="1" applyBorder="1" applyAlignment="1">
      <alignment vertical="center" shrinkToFit="1"/>
    </xf>
    <xf numFmtId="0" fontId="159" fillId="0" borderId="0" xfId="0" applyFont="1">
      <alignment vertical="center"/>
    </xf>
    <xf numFmtId="0" fontId="124" fillId="0" borderId="28" xfId="280" applyNumberFormat="1" applyFont="1" applyBorder="1" applyAlignment="1" applyProtection="1">
      <alignment vertical="center"/>
    </xf>
    <xf numFmtId="0" fontId="35" fillId="0" borderId="0" xfId="0" applyFont="1" applyAlignment="1">
      <alignment horizontal="left" vertical="top" wrapText="1"/>
    </xf>
    <xf numFmtId="0" fontId="35" fillId="0" borderId="0" xfId="0" applyFont="1" applyAlignment="1">
      <alignment horizontal="center" vertical="center" wrapText="1" shrinkToFit="1"/>
    </xf>
    <xf numFmtId="0" fontId="35" fillId="24" borderId="28" xfId="0" applyFont="1" applyFill="1" applyBorder="1" applyAlignment="1">
      <alignment horizontal="center" vertical="center" shrinkToFit="1"/>
    </xf>
    <xf numFmtId="0" fontId="35" fillId="0" borderId="28" xfId="0" applyFont="1" applyBorder="1" applyAlignment="1">
      <alignment horizontal="center" vertical="center" wrapText="1"/>
    </xf>
    <xf numFmtId="0" fontId="37" fillId="24" borderId="83" xfId="43" applyFont="1" applyFill="1" applyBorder="1">
      <alignment vertical="center"/>
    </xf>
    <xf numFmtId="0" fontId="0" fillId="24" borderId="0" xfId="0" applyFill="1" applyAlignment="1">
      <alignment horizontal="left" vertical="center" indent="1"/>
    </xf>
    <xf numFmtId="0" fontId="12" fillId="24" borderId="0" xfId="284" applyFill="1">
      <alignment vertical="center"/>
    </xf>
    <xf numFmtId="0" fontId="159" fillId="0" borderId="0" xfId="0" applyFont="1" applyProtection="1">
      <alignment vertical="center"/>
      <protection locked="0"/>
    </xf>
    <xf numFmtId="0" fontId="139" fillId="24" borderId="0" xfId="0" applyFont="1" applyFill="1">
      <alignment vertical="center"/>
    </xf>
    <xf numFmtId="0" fontId="125" fillId="25" borderId="54" xfId="284" applyFont="1" applyFill="1" applyBorder="1" applyAlignment="1" applyProtection="1">
      <alignment horizontal="right" vertical="center" shrinkToFit="1"/>
      <protection locked="0"/>
    </xf>
    <xf numFmtId="0" fontId="0" fillId="0" borderId="0" xfId="0" applyAlignment="1">
      <alignment vertical="top" wrapText="1"/>
    </xf>
    <xf numFmtId="0" fontId="36" fillId="48" borderId="17" xfId="0" applyFont="1" applyFill="1" applyBorder="1" applyProtection="1">
      <alignment vertical="center"/>
      <protection locked="0"/>
    </xf>
    <xf numFmtId="14" fontId="0" fillId="48" borderId="0" xfId="0" applyNumberFormat="1" applyFill="1" applyAlignment="1">
      <alignment horizontal="center" vertical="center"/>
    </xf>
    <xf numFmtId="0" fontId="35" fillId="48" borderId="0" xfId="0" applyFont="1" applyFill="1" applyAlignment="1">
      <alignment horizontal="center" vertical="center"/>
    </xf>
    <xf numFmtId="0" fontId="71" fillId="48" borderId="0" xfId="0" applyFont="1" applyFill="1">
      <alignment vertical="center"/>
    </xf>
    <xf numFmtId="0" fontId="35" fillId="27" borderId="85" xfId="0" applyFont="1" applyFill="1" applyBorder="1" applyAlignment="1" applyProtection="1">
      <alignment horizontal="left" vertical="center" wrapText="1"/>
      <protection locked="0"/>
    </xf>
    <xf numFmtId="0" fontId="35" fillId="27" borderId="84" xfId="0" applyFont="1" applyFill="1" applyBorder="1" applyAlignment="1" applyProtection="1">
      <alignment horizontal="left" vertical="center" wrapText="1"/>
      <protection locked="0"/>
    </xf>
    <xf numFmtId="179" fontId="35" fillId="0" borderId="32" xfId="44" applyNumberFormat="1" applyFont="1" applyBorder="1" applyAlignment="1">
      <alignment horizontal="right" vertical="center" shrinkToFit="1"/>
    </xf>
    <xf numFmtId="179" fontId="35" fillId="0" borderId="29" xfId="44" applyNumberFormat="1" applyFont="1" applyBorder="1" applyAlignment="1">
      <alignment horizontal="right" vertical="center" shrinkToFit="1"/>
    </xf>
    <xf numFmtId="0" fontId="35" fillId="0" borderId="66" xfId="0" applyFont="1" applyBorder="1" applyAlignment="1">
      <alignment vertical="center" shrinkToFit="1"/>
    </xf>
    <xf numFmtId="0" fontId="35" fillId="0" borderId="87" xfId="0" applyFont="1" applyBorder="1" applyAlignment="1">
      <alignment vertical="center" shrinkToFit="1"/>
    </xf>
    <xf numFmtId="0" fontId="35" fillId="0" borderId="78" xfId="0" applyFont="1" applyBorder="1" applyAlignment="1">
      <alignment vertical="center" shrinkToFit="1"/>
    </xf>
    <xf numFmtId="0" fontId="107" fillId="50" borderId="0" xfId="0" applyFont="1" applyFill="1">
      <alignment vertical="center"/>
    </xf>
    <xf numFmtId="0" fontId="103" fillId="50" borderId="0" xfId="0" applyFont="1" applyFill="1">
      <alignment vertical="center"/>
    </xf>
    <xf numFmtId="0" fontId="103" fillId="50" borderId="0" xfId="0" applyFont="1" applyFill="1" applyAlignment="1">
      <alignment horizontal="center" vertical="center"/>
    </xf>
    <xf numFmtId="0" fontId="12" fillId="50" borderId="0" xfId="283" applyFill="1">
      <alignment vertical="center"/>
    </xf>
    <xf numFmtId="0" fontId="73" fillId="34" borderId="60" xfId="0" applyFont="1" applyFill="1" applyBorder="1">
      <alignment vertical="center"/>
    </xf>
    <xf numFmtId="0" fontId="73" fillId="34" borderId="61" xfId="0" applyFont="1" applyFill="1" applyBorder="1">
      <alignment vertical="center"/>
    </xf>
    <xf numFmtId="183" fontId="0" fillId="25" borderId="84" xfId="281" applyNumberFormat="1" applyFont="1" applyFill="1" applyBorder="1" applyAlignment="1" applyProtection="1">
      <alignment horizontal="right" vertical="center" shrinkToFit="1"/>
      <protection locked="0"/>
    </xf>
    <xf numFmtId="0" fontId="15" fillId="0" borderId="84" xfId="281" applyNumberFormat="1" applyFont="1" applyBorder="1" applyAlignment="1" applyProtection="1">
      <alignment horizontal="center" vertical="center" wrapText="1" shrinkToFit="1"/>
    </xf>
    <xf numFmtId="2" fontId="118" fillId="0" borderId="84" xfId="281" applyNumberFormat="1" applyFont="1" applyBorder="1" applyAlignment="1" applyProtection="1">
      <alignment horizontal="center" vertical="center" wrapText="1" shrinkToFit="1"/>
    </xf>
    <xf numFmtId="0" fontId="14" fillId="0" borderId="67" xfId="0" applyFont="1" applyBorder="1">
      <alignment vertical="center"/>
    </xf>
    <xf numFmtId="0" fontId="115" fillId="34" borderId="60" xfId="0" applyFont="1" applyFill="1" applyBorder="1" applyAlignment="1">
      <alignment horizontal="center" vertical="center" shrinkToFit="1"/>
    </xf>
    <xf numFmtId="0" fontId="115" fillId="34" borderId="61" xfId="0" applyFont="1" applyFill="1" applyBorder="1" applyAlignment="1">
      <alignment horizontal="center" vertical="center" shrinkToFit="1"/>
    </xf>
    <xf numFmtId="0" fontId="114" fillId="34" borderId="61" xfId="0" applyFont="1" applyFill="1" applyBorder="1" applyAlignment="1">
      <alignment horizontal="center" vertical="center" wrapText="1" shrinkToFit="1"/>
    </xf>
    <xf numFmtId="0" fontId="73" fillId="34" borderId="28" xfId="0" applyFont="1" applyFill="1" applyBorder="1" applyAlignment="1">
      <alignment vertical="center" shrinkToFit="1"/>
    </xf>
    <xf numFmtId="0" fontId="118" fillId="0" borderId="0" xfId="0" applyFont="1" applyAlignment="1">
      <alignment vertical="top" wrapText="1"/>
    </xf>
    <xf numFmtId="0" fontId="106" fillId="30" borderId="25" xfId="284" applyFont="1" applyFill="1" applyBorder="1" applyAlignment="1">
      <alignment vertical="center" wrapText="1"/>
    </xf>
    <xf numFmtId="0" fontId="106" fillId="30" borderId="25" xfId="284" applyFont="1" applyFill="1" applyBorder="1" applyAlignment="1">
      <alignment vertical="center" wrapText="1" shrinkToFit="1"/>
    </xf>
    <xf numFmtId="0" fontId="106" fillId="30" borderId="59" xfId="284" applyFont="1" applyFill="1" applyBorder="1" applyAlignment="1">
      <alignment vertical="center" wrapText="1" shrinkToFit="1"/>
    </xf>
    <xf numFmtId="179" fontId="106" fillId="30" borderId="25" xfId="284" applyNumberFormat="1" applyFont="1" applyFill="1" applyBorder="1" applyAlignment="1">
      <alignment vertical="center" shrinkToFit="1"/>
    </xf>
    <xf numFmtId="0" fontId="106" fillId="0" borderId="28" xfId="284" applyFont="1" applyBorder="1" applyAlignment="1">
      <alignment horizontal="right" vertical="center" shrinkToFit="1"/>
    </xf>
    <xf numFmtId="0" fontId="0" fillId="0" borderId="0" xfId="0" applyAlignment="1">
      <alignment vertical="top"/>
    </xf>
    <xf numFmtId="0" fontId="101" fillId="0" borderId="0" xfId="0" applyFont="1" applyAlignment="1"/>
    <xf numFmtId="179" fontId="35" fillId="0" borderId="13" xfId="0" applyNumberFormat="1" applyFont="1" applyBorder="1" applyAlignment="1">
      <alignment horizontal="right" vertical="center" shrinkToFit="1"/>
    </xf>
    <xf numFmtId="179" fontId="35" fillId="0" borderId="11" xfId="44" applyNumberFormat="1" applyFont="1" applyBorder="1" applyAlignment="1">
      <alignment horizontal="right" vertical="center" shrinkToFit="1"/>
    </xf>
    <xf numFmtId="177" fontId="35" fillId="0" borderId="11" xfId="44" applyNumberFormat="1" applyFont="1" applyBorder="1" applyAlignment="1">
      <alignment vertical="center" shrinkToFit="1"/>
    </xf>
    <xf numFmtId="0" fontId="35" fillId="0" borderId="77" xfId="0" applyFont="1" applyBorder="1" applyAlignment="1">
      <alignment horizontal="left" vertical="center" shrinkToFit="1"/>
    </xf>
    <xf numFmtId="177" fontId="35" fillId="0" borderId="90" xfId="44" applyNumberFormat="1" applyFont="1" applyBorder="1" applyAlignment="1">
      <alignment horizontal="right" vertical="center" shrinkToFit="1"/>
    </xf>
    <xf numFmtId="0" fontId="35" fillId="0" borderId="102" xfId="0" applyFont="1" applyBorder="1" applyAlignment="1">
      <alignment horizontal="left" vertical="center" shrinkToFit="1"/>
    </xf>
    <xf numFmtId="184" fontId="35" fillId="0" borderId="69" xfId="44" applyNumberFormat="1" applyFont="1" applyBorder="1" applyAlignment="1">
      <alignment vertical="center" shrinkToFit="1"/>
    </xf>
    <xf numFmtId="177" fontId="35" fillId="0" borderId="113" xfId="44" applyNumberFormat="1" applyFont="1" applyBorder="1" applyAlignment="1">
      <alignment horizontal="right" vertical="center" shrinkToFit="1"/>
    </xf>
    <xf numFmtId="184" fontId="35" fillId="0" borderId="135" xfId="44" applyNumberFormat="1" applyFont="1" applyBorder="1" applyAlignment="1">
      <alignment vertical="center" shrinkToFit="1"/>
    </xf>
    <xf numFmtId="177" fontId="35" fillId="0" borderId="116" xfId="44" applyNumberFormat="1" applyFont="1" applyBorder="1" applyAlignment="1">
      <alignment horizontal="right" vertical="center" shrinkToFit="1"/>
    </xf>
    <xf numFmtId="0" fontId="35" fillId="0" borderId="66" xfId="44" applyFont="1" applyBorder="1" applyAlignment="1">
      <alignment vertical="center" shrinkToFit="1"/>
    </xf>
    <xf numFmtId="0" fontId="35" fillId="0" borderId="77" xfId="0" applyFont="1" applyBorder="1" applyAlignment="1">
      <alignment vertical="center" shrinkToFit="1"/>
    </xf>
    <xf numFmtId="177" fontId="35" fillId="0" borderId="11" xfId="44" applyNumberFormat="1" applyFont="1" applyBorder="1" applyAlignment="1">
      <alignment horizontal="right" vertical="center" shrinkToFit="1"/>
    </xf>
    <xf numFmtId="0" fontId="0" fillId="0" borderId="85" xfId="0" applyBorder="1">
      <alignment vertical="center"/>
    </xf>
    <xf numFmtId="0" fontId="0" fillId="0" borderId="83" xfId="0" applyBorder="1">
      <alignment vertical="center"/>
    </xf>
    <xf numFmtId="0" fontId="0" fillId="0" borderId="84" xfId="0" applyBorder="1">
      <alignment vertical="center"/>
    </xf>
    <xf numFmtId="0" fontId="0" fillId="0" borderId="60" xfId="0" applyBorder="1">
      <alignment vertical="center"/>
    </xf>
    <xf numFmtId="0" fontId="0" fillId="0" borderId="21" xfId="0" applyBorder="1">
      <alignment vertical="center"/>
    </xf>
    <xf numFmtId="0" fontId="0" fillId="0" borderId="62" xfId="0" applyBorder="1" applyAlignment="1">
      <alignment horizontal="center" vertical="center"/>
    </xf>
    <xf numFmtId="0" fontId="0" fillId="25" borderId="0" xfId="0" applyFill="1">
      <alignment vertical="center"/>
    </xf>
    <xf numFmtId="0" fontId="77" fillId="0" borderId="0" xfId="0" applyFont="1" applyAlignment="1">
      <alignment horizontal="left"/>
    </xf>
    <xf numFmtId="0" fontId="0" fillId="51" borderId="0" xfId="0" applyFill="1">
      <alignment vertical="center"/>
    </xf>
    <xf numFmtId="0" fontId="0" fillId="51" borderId="0" xfId="0" applyFill="1" applyAlignment="1">
      <alignment horizontal="right" vertical="center"/>
    </xf>
    <xf numFmtId="0" fontId="77" fillId="0" borderId="0" xfId="0" applyFont="1" applyAlignment="1">
      <alignment vertical="top" wrapText="1"/>
    </xf>
    <xf numFmtId="0" fontId="72" fillId="51" borderId="0" xfId="0" applyFont="1" applyFill="1">
      <alignment vertical="center"/>
    </xf>
    <xf numFmtId="0" fontId="72" fillId="51" borderId="0" xfId="0" applyFont="1" applyFill="1" applyAlignment="1">
      <alignment horizontal="right" vertical="center"/>
    </xf>
    <xf numFmtId="0" fontId="72" fillId="47" borderId="0" xfId="293" applyFont="1" applyFill="1" applyAlignment="1">
      <alignment horizontal="center"/>
    </xf>
    <xf numFmtId="0" fontId="72" fillId="28" borderId="0" xfId="293" applyFont="1" applyFill="1" applyAlignment="1">
      <alignment horizontal="center"/>
    </xf>
    <xf numFmtId="0" fontId="73" fillId="51" borderId="0" xfId="0" applyFont="1" applyFill="1" applyAlignment="1">
      <alignment horizontal="center" vertical="center"/>
    </xf>
    <xf numFmtId="190" fontId="0" fillId="51" borderId="0" xfId="0" applyNumberFormat="1" applyFill="1">
      <alignment vertical="center"/>
    </xf>
    <xf numFmtId="190" fontId="0" fillId="51" borderId="0" xfId="0" applyNumberFormat="1" applyFill="1" applyAlignment="1">
      <alignment horizontal="right" vertical="center"/>
    </xf>
    <xf numFmtId="0" fontId="0" fillId="0" borderId="29" xfId="0" applyBorder="1">
      <alignment vertical="center"/>
    </xf>
    <xf numFmtId="0" fontId="0" fillId="0" borderId="61" xfId="0" applyBorder="1">
      <alignment vertical="center"/>
    </xf>
    <xf numFmtId="0" fontId="0" fillId="0" borderId="50" xfId="0" applyBorder="1">
      <alignment vertical="center"/>
    </xf>
    <xf numFmtId="14" fontId="0" fillId="0" borderId="60" xfId="0" applyNumberFormat="1" applyBorder="1" applyAlignment="1">
      <alignment horizontal="center" vertical="center"/>
    </xf>
    <xf numFmtId="0" fontId="0" fillId="0" borderId="32" xfId="0" applyBorder="1">
      <alignment vertical="center"/>
    </xf>
    <xf numFmtId="0" fontId="0" fillId="0" borderId="33" xfId="0" applyBorder="1">
      <alignment vertical="center"/>
    </xf>
    <xf numFmtId="0" fontId="0" fillId="0" borderId="85" xfId="0" applyBorder="1" applyAlignment="1">
      <alignment horizontal="center" vertical="center"/>
    </xf>
    <xf numFmtId="0" fontId="0" fillId="0" borderId="84" xfId="0" applyBorder="1" applyAlignment="1">
      <alignment horizontal="center" vertical="center"/>
    </xf>
    <xf numFmtId="185" fontId="0" fillId="0" borderId="85" xfId="0" applyNumberFormat="1" applyBorder="1" applyAlignment="1">
      <alignment horizontal="center" vertical="center"/>
    </xf>
    <xf numFmtId="185" fontId="0" fillId="0" borderId="84" xfId="0" applyNumberFormat="1" applyBorder="1" applyAlignment="1">
      <alignment horizontal="center" vertical="center"/>
    </xf>
    <xf numFmtId="185" fontId="0" fillId="0" borderId="83" xfId="0" applyNumberFormat="1" applyBorder="1" applyAlignment="1">
      <alignment horizontal="center" vertical="center"/>
    </xf>
    <xf numFmtId="0" fontId="0" fillId="25" borderId="0" xfId="0" applyFill="1" applyProtection="1">
      <alignment vertical="center"/>
      <protection locked="0"/>
    </xf>
    <xf numFmtId="0" fontId="72" fillId="0" borderId="0" xfId="0" applyFont="1" applyAlignment="1">
      <alignment vertical="top"/>
    </xf>
    <xf numFmtId="0" fontId="212" fillId="51" borderId="0" xfId="0" applyFont="1" applyFill="1" applyAlignment="1">
      <alignment horizontal="center" vertical="center"/>
    </xf>
    <xf numFmtId="0" fontId="72" fillId="51" borderId="0" xfId="0" applyFont="1" applyFill="1" applyAlignment="1">
      <alignment vertical="center" wrapText="1"/>
    </xf>
    <xf numFmtId="0" fontId="72" fillId="0" borderId="0" xfId="0" applyFont="1" applyAlignment="1">
      <alignment horizontal="left" vertical="top"/>
    </xf>
    <xf numFmtId="0" fontId="77" fillId="0" borderId="0" xfId="0" applyFont="1" applyAlignment="1"/>
    <xf numFmtId="0" fontId="106" fillId="26" borderId="224" xfId="0" applyFont="1" applyFill="1" applyBorder="1" applyAlignment="1" applyProtection="1">
      <alignment vertical="center" wrapText="1"/>
      <protection locked="0"/>
    </xf>
    <xf numFmtId="0" fontId="101" fillId="0" borderId="0" xfId="0" applyFont="1" applyAlignment="1">
      <alignment vertical="top"/>
    </xf>
    <xf numFmtId="191" fontId="0" fillId="25" borderId="163" xfId="0" applyNumberFormat="1" applyFill="1" applyBorder="1" applyAlignment="1" applyProtection="1">
      <alignment horizontal="center" vertical="center"/>
      <protection locked="0"/>
    </xf>
    <xf numFmtId="14" fontId="0" fillId="0" borderId="0" xfId="0" applyNumberFormat="1" applyAlignment="1">
      <alignment horizontal="center" vertical="center"/>
    </xf>
    <xf numFmtId="0" fontId="0" fillId="0" borderId="337" xfId="0" applyBorder="1" applyAlignment="1">
      <alignment horizontal="center" vertical="center"/>
    </xf>
    <xf numFmtId="0" fontId="0" fillId="0" borderId="336" xfId="0" applyBorder="1">
      <alignment vertical="center"/>
    </xf>
    <xf numFmtId="0" fontId="0" fillId="0" borderId="338" xfId="0" applyBorder="1">
      <alignment vertical="center"/>
    </xf>
    <xf numFmtId="0" fontId="0" fillId="0" borderId="339" xfId="0" applyBorder="1">
      <alignment vertical="center"/>
    </xf>
    <xf numFmtId="0" fontId="151" fillId="0" borderId="0" xfId="284" applyFont="1" applyAlignment="1">
      <alignment horizontal="left" vertical="center" wrapText="1"/>
    </xf>
    <xf numFmtId="0" fontId="36" fillId="52" borderId="0" xfId="0" applyFont="1" applyFill="1">
      <alignment vertical="center"/>
    </xf>
    <xf numFmtId="0" fontId="35" fillId="52" borderId="0" xfId="44" applyFont="1" applyFill="1"/>
    <xf numFmtId="0" fontId="214" fillId="52" borderId="0" xfId="44" applyFont="1" applyFill="1" applyAlignment="1">
      <alignment horizontal="left" vertical="center"/>
    </xf>
    <xf numFmtId="14" fontId="0" fillId="0" borderId="11" xfId="0" applyNumberFormat="1" applyBorder="1" applyAlignment="1">
      <alignment horizontal="center" vertical="center"/>
    </xf>
    <xf numFmtId="0" fontId="0" fillId="0" borderId="117" xfId="0" applyBorder="1">
      <alignment vertical="center"/>
    </xf>
    <xf numFmtId="0" fontId="0" fillId="0" borderId="77" xfId="0" applyBorder="1">
      <alignment vertical="center"/>
    </xf>
    <xf numFmtId="0" fontId="0" fillId="0" borderId="33" xfId="0" applyBorder="1" applyAlignment="1">
      <alignment vertical="center" wrapText="1"/>
    </xf>
    <xf numFmtId="0" fontId="36" fillId="24" borderId="0" xfId="0" applyFont="1" applyFill="1" applyAlignment="1">
      <alignment horizontal="center" vertical="center"/>
    </xf>
    <xf numFmtId="0" fontId="217" fillId="24" borderId="0" xfId="0" applyFont="1" applyFill="1" applyAlignment="1">
      <alignment horizontal="center" vertical="center"/>
    </xf>
    <xf numFmtId="211" fontId="216" fillId="24" borderId="0" xfId="0" applyNumberFormat="1" applyFont="1" applyFill="1" applyAlignment="1">
      <alignment horizontal="center" vertical="center"/>
    </xf>
    <xf numFmtId="0" fontId="35" fillId="0" borderId="0" xfId="44" applyFont="1" applyAlignment="1">
      <alignment vertical="top" wrapText="1"/>
    </xf>
    <xf numFmtId="0" fontId="35" fillId="0" borderId="0" xfId="44" applyFont="1" applyAlignment="1">
      <alignment horizontal="left" vertical="center" wrapText="1"/>
    </xf>
    <xf numFmtId="0" fontId="35" fillId="0" borderId="0" xfId="44" applyFont="1" applyAlignment="1">
      <alignment horizontal="left" vertical="top" wrapText="1"/>
    </xf>
    <xf numFmtId="0" fontId="35" fillId="0" borderId="0" xfId="44" applyFont="1" applyAlignment="1">
      <alignment horizontal="right"/>
    </xf>
    <xf numFmtId="179" fontId="35" fillId="0" borderId="0" xfId="0" applyNumberFormat="1" applyFont="1" applyAlignment="1">
      <alignment horizontal="center" vertical="center" shrinkToFit="1"/>
    </xf>
    <xf numFmtId="176" fontId="35" fillId="0" borderId="0" xfId="279" applyFont="1" applyFill="1" applyBorder="1" applyAlignment="1" applyProtection="1">
      <alignment horizontal="left" vertical="top"/>
    </xf>
    <xf numFmtId="0" fontId="59" fillId="0" borderId="0" xfId="0" applyFont="1" applyAlignment="1">
      <alignment horizontal="center" wrapText="1"/>
    </xf>
    <xf numFmtId="0" fontId="35" fillId="0" borderId="0" xfId="0" applyFont="1" applyAlignment="1">
      <alignment horizontal="left" wrapText="1"/>
    </xf>
    <xf numFmtId="0" fontId="35" fillId="0" borderId="0" xfId="0" applyFont="1" applyAlignment="1">
      <alignment wrapText="1"/>
    </xf>
    <xf numFmtId="0" fontId="62" fillId="0" borderId="0" xfId="280" applyNumberFormat="1" applyFont="1" applyFill="1" applyBorder="1" applyAlignment="1" applyProtection="1">
      <alignment horizontal="center"/>
    </xf>
    <xf numFmtId="9" fontId="62" fillId="0" borderId="0" xfId="280" applyFont="1" applyFill="1" applyBorder="1" applyAlignment="1" applyProtection="1">
      <alignment horizontal="center"/>
    </xf>
    <xf numFmtId="0" fontId="0" fillId="0" borderId="86" xfId="0" applyBorder="1">
      <alignment vertical="center"/>
    </xf>
    <xf numFmtId="0" fontId="0" fillId="0" borderId="90" xfId="0" applyBorder="1" applyAlignment="1">
      <alignment horizontal="center" vertical="center"/>
    </xf>
    <xf numFmtId="0" fontId="0" fillId="0" borderId="81" xfId="0" applyBorder="1">
      <alignment vertical="center"/>
    </xf>
    <xf numFmtId="0" fontId="0" fillId="0" borderId="102" xfId="0" applyBorder="1">
      <alignment vertical="center"/>
    </xf>
    <xf numFmtId="0" fontId="37" fillId="52" borderId="25" xfId="0" applyFont="1" applyFill="1" applyBorder="1" applyAlignment="1">
      <alignment horizontal="right" vertical="center"/>
    </xf>
    <xf numFmtId="0" fontId="37" fillId="52" borderId="54" xfId="0" applyFont="1" applyFill="1" applyBorder="1" applyAlignment="1">
      <alignment horizontal="center" vertical="center"/>
    </xf>
    <xf numFmtId="0" fontId="90" fillId="0" borderId="0" xfId="0" applyFont="1" applyAlignment="1">
      <alignment horizontal="left" vertical="top" wrapText="1"/>
    </xf>
    <xf numFmtId="49" fontId="90" fillId="0" borderId="0" xfId="0" applyNumberFormat="1" applyFont="1" applyAlignment="1">
      <alignment horizontal="center" vertical="top" wrapText="1"/>
    </xf>
    <xf numFmtId="49" fontId="218" fillId="0" borderId="0" xfId="0" applyNumberFormat="1" applyFont="1">
      <alignment vertical="center"/>
    </xf>
    <xf numFmtId="14" fontId="90" fillId="0" borderId="0" xfId="0" applyNumberFormat="1" applyFont="1" applyAlignment="1">
      <alignment horizontal="left" vertical="center"/>
    </xf>
    <xf numFmtId="0" fontId="90" fillId="0" borderId="0" xfId="0" applyFont="1" applyAlignment="1">
      <alignment horizontal="center" vertical="center"/>
    </xf>
    <xf numFmtId="0" fontId="90" fillId="0" borderId="0" xfId="0" applyFont="1">
      <alignment vertical="center"/>
    </xf>
    <xf numFmtId="0" fontId="100" fillId="53" borderId="340" xfId="0" applyFont="1" applyFill="1" applyBorder="1">
      <alignment vertical="center"/>
    </xf>
    <xf numFmtId="0" fontId="100" fillId="53" borderId="59" xfId="0" applyFont="1" applyFill="1" applyBorder="1">
      <alignment vertical="center"/>
    </xf>
    <xf numFmtId="0" fontId="100" fillId="53" borderId="137" xfId="0" applyFont="1" applyFill="1" applyBorder="1">
      <alignment vertical="center"/>
    </xf>
    <xf numFmtId="0" fontId="100" fillId="53" borderId="55" xfId="0" applyFont="1" applyFill="1" applyBorder="1">
      <alignment vertical="center"/>
    </xf>
    <xf numFmtId="0" fontId="100" fillId="53" borderId="54" xfId="0" applyFont="1" applyFill="1" applyBorder="1">
      <alignment vertical="center"/>
    </xf>
    <xf numFmtId="0" fontId="219" fillId="0" borderId="0" xfId="0" applyFont="1" applyAlignment="1">
      <alignment vertical="top"/>
    </xf>
    <xf numFmtId="179" fontId="90" fillId="0" borderId="0" xfId="0" applyNumberFormat="1" applyFont="1" applyAlignment="1">
      <alignment vertical="top"/>
    </xf>
    <xf numFmtId="178" fontId="90" fillId="0" borderId="0" xfId="0" applyNumberFormat="1" applyFont="1" applyAlignment="1">
      <alignment vertical="top" wrapText="1"/>
    </xf>
    <xf numFmtId="182" fontId="90" fillId="0" borderId="0" xfId="0" applyNumberFormat="1" applyFont="1" applyAlignment="1">
      <alignment vertical="top"/>
    </xf>
    <xf numFmtId="0" fontId="100" fillId="0" borderId="0" xfId="0" applyFont="1" applyAlignment="1">
      <alignment horizontal="right" vertical="center"/>
    </xf>
    <xf numFmtId="0" fontId="100" fillId="53" borderId="342" xfId="0" applyFont="1" applyFill="1" applyBorder="1">
      <alignment vertical="center"/>
    </xf>
    <xf numFmtId="179" fontId="100" fillId="53" borderId="342" xfId="0" applyNumberFormat="1" applyFont="1" applyFill="1" applyBorder="1">
      <alignment vertical="center"/>
    </xf>
    <xf numFmtId="0" fontId="100" fillId="53" borderId="340" xfId="0" applyFont="1" applyFill="1" applyBorder="1" applyAlignment="1">
      <alignment horizontal="centerContinuous" vertical="center" wrapText="1"/>
    </xf>
    <xf numFmtId="0" fontId="100" fillId="53" borderId="342" xfId="0" applyFont="1" applyFill="1" applyBorder="1" applyAlignment="1">
      <alignment horizontal="centerContinuous" vertical="center" wrapText="1"/>
    </xf>
    <xf numFmtId="0" fontId="100" fillId="53" borderId="343" xfId="0" applyFont="1" applyFill="1" applyBorder="1">
      <alignment vertical="center"/>
    </xf>
    <xf numFmtId="178" fontId="100" fillId="53" borderId="342" xfId="0" applyNumberFormat="1" applyFont="1" applyFill="1" applyBorder="1">
      <alignment vertical="center"/>
    </xf>
    <xf numFmtId="182" fontId="100" fillId="53" borderId="342" xfId="0" applyNumberFormat="1" applyFont="1" applyFill="1" applyBorder="1">
      <alignment vertical="center"/>
    </xf>
    <xf numFmtId="178" fontId="100" fillId="53" borderId="60" xfId="0" applyNumberFormat="1" applyFont="1" applyFill="1" applyBorder="1">
      <alignment vertical="center"/>
    </xf>
    <xf numFmtId="179" fontId="100" fillId="53" borderId="340" xfId="0" applyNumberFormat="1" applyFont="1" applyFill="1" applyBorder="1">
      <alignment vertical="center"/>
    </xf>
    <xf numFmtId="49" fontId="100" fillId="54" borderId="29" xfId="0" applyNumberFormat="1" applyFont="1" applyFill="1" applyBorder="1" applyAlignment="1">
      <alignment horizontal="centerContinuous" vertical="center" wrapText="1"/>
    </xf>
    <xf numFmtId="0" fontId="100" fillId="54" borderId="60" xfId="0" applyFont="1" applyFill="1" applyBorder="1" applyAlignment="1">
      <alignment horizontal="centerContinuous" vertical="center" wrapText="1"/>
    </xf>
    <xf numFmtId="0" fontId="100" fillId="54" borderId="60" xfId="0" applyFont="1" applyFill="1" applyBorder="1" applyAlignment="1">
      <alignment horizontal="center" vertical="center"/>
    </xf>
    <xf numFmtId="0" fontId="100" fillId="54" borderId="156" xfId="0" applyFont="1" applyFill="1" applyBorder="1" applyAlignment="1">
      <alignment horizontal="centerContinuous" vertical="center" wrapText="1"/>
    </xf>
    <xf numFmtId="0" fontId="100" fillId="54" borderId="0" xfId="0" applyFont="1" applyFill="1" applyAlignment="1">
      <alignment horizontal="centerContinuous" vertical="center" wrapText="1"/>
    </xf>
    <xf numFmtId="0" fontId="100" fillId="54" borderId="32" xfId="0" applyFont="1" applyFill="1" applyBorder="1" applyAlignment="1">
      <alignment horizontal="centerContinuous" vertical="center" wrapText="1"/>
    </xf>
    <xf numFmtId="0" fontId="100" fillId="54" borderId="347" xfId="0" applyFont="1" applyFill="1" applyBorder="1" applyAlignment="1">
      <alignment horizontal="centerContinuous" vertical="center" wrapText="1"/>
    </xf>
    <xf numFmtId="0" fontId="100" fillId="54" borderId="348" xfId="0" applyFont="1" applyFill="1" applyBorder="1" applyAlignment="1">
      <alignment horizontal="centerContinuous" vertical="center" wrapText="1"/>
    </xf>
    <xf numFmtId="0" fontId="100" fillId="54" borderId="349" xfId="0" applyFont="1" applyFill="1" applyBorder="1" applyAlignment="1">
      <alignment horizontal="centerContinuous" vertical="center" wrapText="1"/>
    </xf>
    <xf numFmtId="179" fontId="100" fillId="54" borderId="0" xfId="0" applyNumberFormat="1" applyFont="1" applyFill="1" applyAlignment="1">
      <alignment horizontal="centerContinuous" vertical="center" wrapText="1"/>
    </xf>
    <xf numFmtId="0" fontId="100" fillId="54" borderId="187" xfId="0" applyFont="1" applyFill="1" applyBorder="1" applyAlignment="1">
      <alignment horizontal="center" vertical="center" wrapText="1"/>
    </xf>
    <xf numFmtId="0" fontId="100" fillId="54" borderId="187" xfId="0" applyFont="1" applyFill="1" applyBorder="1" applyAlignment="1">
      <alignment horizontal="centerContinuous" vertical="center" wrapText="1"/>
    </xf>
    <xf numFmtId="0" fontId="100" fillId="54" borderId="158" xfId="0" applyFont="1" applyFill="1" applyBorder="1" applyAlignment="1">
      <alignment horizontal="centerContinuous" vertical="center" wrapText="1"/>
    </xf>
    <xf numFmtId="0" fontId="100" fillId="54" borderId="351" xfId="0" applyFont="1" applyFill="1" applyBorder="1" applyAlignment="1">
      <alignment horizontal="centerContinuous" vertical="center" wrapText="1"/>
    </xf>
    <xf numFmtId="179" fontId="100" fillId="54" borderId="351" xfId="0" applyNumberFormat="1" applyFont="1" applyFill="1" applyBorder="1" applyAlignment="1">
      <alignment horizontal="centerContinuous" vertical="center" wrapText="1"/>
    </xf>
    <xf numFmtId="178" fontId="100" fillId="54" borderId="351" xfId="0" applyNumberFormat="1" applyFont="1" applyFill="1" applyBorder="1" applyAlignment="1">
      <alignment horizontal="centerContinuous" vertical="center" wrapText="1"/>
    </xf>
    <xf numFmtId="0" fontId="100" fillId="54" borderId="352" xfId="0" applyFont="1" applyFill="1" applyBorder="1" applyAlignment="1">
      <alignment horizontal="centerContinuous" vertical="center" wrapText="1"/>
    </xf>
    <xf numFmtId="182" fontId="100" fillId="54" borderId="351" xfId="0" applyNumberFormat="1" applyFont="1" applyFill="1" applyBorder="1" applyAlignment="1">
      <alignment horizontal="centerContinuous" vertical="center" wrapText="1"/>
    </xf>
    <xf numFmtId="178" fontId="100" fillId="54" borderId="353" xfId="0" applyNumberFormat="1" applyFont="1" applyFill="1" applyBorder="1" applyAlignment="1">
      <alignment horizontal="centerContinuous" vertical="center" wrapText="1"/>
    </xf>
    <xf numFmtId="178" fontId="100" fillId="54" borderId="28" xfId="0" applyNumberFormat="1" applyFont="1" applyFill="1" applyBorder="1" applyAlignment="1">
      <alignment vertical="center" wrapText="1"/>
    </xf>
    <xf numFmtId="0" fontId="100" fillId="54" borderId="201" xfId="0" applyFont="1" applyFill="1" applyBorder="1" applyAlignment="1">
      <alignment horizontal="centerContinuous" vertical="center" wrapText="1"/>
    </xf>
    <xf numFmtId="0" fontId="100" fillId="54" borderId="354" xfId="0" applyFont="1" applyFill="1" applyBorder="1" applyAlignment="1">
      <alignment horizontal="centerContinuous" vertical="center"/>
    </xf>
    <xf numFmtId="179" fontId="100" fillId="54" borderId="0" xfId="0" applyNumberFormat="1" applyFont="1" applyFill="1" applyAlignment="1">
      <alignment horizontal="centerContinuous" vertical="center"/>
    </xf>
    <xf numFmtId="0" fontId="100" fillId="54" borderId="0" xfId="0" applyFont="1" applyFill="1" applyAlignment="1">
      <alignment horizontal="centerContinuous" vertical="center"/>
    </xf>
    <xf numFmtId="0" fontId="100" fillId="54" borderId="355" xfId="0" applyFont="1" applyFill="1" applyBorder="1" applyAlignment="1">
      <alignment horizontal="centerContinuous" vertical="center"/>
    </xf>
    <xf numFmtId="179" fontId="100" fillId="54" borderId="352" xfId="0" applyNumberFormat="1" applyFont="1" applyFill="1" applyBorder="1" applyAlignment="1">
      <alignment horizontal="center" vertical="center" wrapText="1"/>
    </xf>
    <xf numFmtId="0" fontId="100" fillId="54" borderId="356" xfId="0" applyFont="1" applyFill="1" applyBorder="1" applyAlignment="1">
      <alignment horizontal="centerContinuous" vertical="center"/>
    </xf>
    <xf numFmtId="0" fontId="100" fillId="54" borderId="352" xfId="0" applyFont="1" applyFill="1" applyBorder="1" applyAlignment="1">
      <alignment horizontal="centerContinuous" vertical="center"/>
    </xf>
    <xf numFmtId="179" fontId="100" fillId="54" borderId="156" xfId="0" applyNumberFormat="1" applyFont="1" applyFill="1" applyBorder="1" applyAlignment="1">
      <alignment horizontal="centerContinuous" vertical="center" wrapText="1"/>
    </xf>
    <xf numFmtId="179" fontId="100" fillId="54" borderId="183" xfId="0" applyNumberFormat="1" applyFont="1" applyFill="1" applyBorder="1" applyAlignment="1">
      <alignment horizontal="centerContinuous" vertical="center" wrapText="1"/>
    </xf>
    <xf numFmtId="179" fontId="100" fillId="54" borderId="348" xfId="0" applyNumberFormat="1" applyFont="1" applyFill="1" applyBorder="1" applyAlignment="1">
      <alignment horizontal="centerContinuous" vertical="center" wrapText="1"/>
    </xf>
    <xf numFmtId="179" fontId="100" fillId="54" borderId="355" xfId="0" applyNumberFormat="1" applyFont="1" applyFill="1" applyBorder="1" applyAlignment="1">
      <alignment horizontal="centerContinuous" vertical="center" wrapText="1"/>
    </xf>
    <xf numFmtId="0" fontId="100" fillId="54" borderId="354" xfId="0" applyFont="1" applyFill="1" applyBorder="1" applyAlignment="1">
      <alignment horizontal="centerContinuous" vertical="top" wrapText="1"/>
    </xf>
    <xf numFmtId="0" fontId="100" fillId="54" borderId="348" xfId="0" applyFont="1" applyFill="1" applyBorder="1" applyAlignment="1">
      <alignment horizontal="centerContinuous" vertical="top" wrapText="1"/>
    </xf>
    <xf numFmtId="0" fontId="100" fillId="54" borderId="183" xfId="0" applyFont="1" applyFill="1" applyBorder="1" applyAlignment="1">
      <alignment horizontal="centerContinuous" vertical="top" wrapText="1"/>
    </xf>
    <xf numFmtId="179" fontId="100" fillId="54" borderId="357" xfId="0" applyNumberFormat="1" applyFont="1" applyFill="1" applyBorder="1" applyAlignment="1">
      <alignment horizontal="centerContinuous" vertical="center" wrapText="1"/>
    </xf>
    <xf numFmtId="0" fontId="100" fillId="54" borderId="183" xfId="0" applyFont="1" applyFill="1" applyBorder="1" applyAlignment="1">
      <alignment horizontal="centerContinuous" vertical="center" wrapText="1"/>
    </xf>
    <xf numFmtId="182" fontId="100" fillId="54" borderId="349" xfId="0" applyNumberFormat="1" applyFont="1" applyFill="1" applyBorder="1" applyAlignment="1">
      <alignment horizontal="centerContinuous" vertical="center" wrapText="1"/>
    </xf>
    <xf numFmtId="0" fontId="221" fillId="0" borderId="0" xfId="0" applyFont="1" applyAlignment="1">
      <alignment horizontal="center" vertical="top" wrapText="1"/>
    </xf>
    <xf numFmtId="49" fontId="100" fillId="54" borderId="366" xfId="0" applyNumberFormat="1" applyFont="1" applyFill="1" applyBorder="1" applyAlignment="1">
      <alignment horizontal="center" vertical="center" wrapText="1"/>
    </xf>
    <xf numFmtId="0" fontId="100" fillId="54" borderId="367" xfId="0" applyFont="1" applyFill="1" applyBorder="1" applyAlignment="1">
      <alignment horizontal="center" vertical="center" wrapText="1"/>
    </xf>
    <xf numFmtId="0" fontId="100" fillId="54" borderId="368" xfId="0" applyFont="1" applyFill="1" applyBorder="1" applyAlignment="1">
      <alignment horizontal="center" vertical="center" wrapText="1"/>
    </xf>
    <xf numFmtId="0" fontId="100" fillId="54" borderId="355" xfId="0" applyFont="1" applyFill="1" applyBorder="1" applyAlignment="1">
      <alignment horizontal="center" vertical="center" wrapText="1"/>
    </xf>
    <xf numFmtId="0" fontId="100" fillId="54" borderId="369" xfId="0" applyFont="1" applyFill="1" applyBorder="1" applyAlignment="1">
      <alignment horizontal="center" vertical="center" wrapText="1"/>
    </xf>
    <xf numFmtId="0" fontId="100" fillId="54" borderId="366" xfId="0" applyFont="1" applyFill="1" applyBorder="1" applyAlignment="1">
      <alignment horizontal="center" vertical="center" wrapText="1"/>
    </xf>
    <xf numFmtId="0" fontId="99" fillId="56" borderId="368" xfId="0" applyFont="1" applyFill="1" applyBorder="1" applyAlignment="1">
      <alignment horizontal="center" vertical="center" wrapText="1"/>
    </xf>
    <xf numFmtId="0" fontId="99" fillId="56" borderId="351" xfId="0" applyFont="1" applyFill="1" applyBorder="1" applyAlignment="1">
      <alignment horizontal="center" vertical="center" wrapText="1"/>
    </xf>
    <xf numFmtId="0" fontId="100" fillId="54" borderId="370" xfId="0" applyFont="1" applyFill="1" applyBorder="1" applyAlignment="1">
      <alignment horizontal="center" vertical="center" wrapText="1"/>
    </xf>
    <xf numFmtId="0" fontId="100" fillId="54" borderId="371" xfId="0" applyFont="1" applyFill="1" applyBorder="1" applyAlignment="1">
      <alignment horizontal="center" vertical="center" wrapText="1"/>
    </xf>
    <xf numFmtId="179" fontId="99" fillId="57" borderId="370" xfId="0" applyNumberFormat="1" applyFont="1" applyFill="1" applyBorder="1" applyAlignment="1">
      <alignment horizontal="center" vertical="center" wrapText="1"/>
    </xf>
    <xf numFmtId="179" fontId="100" fillId="57" borderId="368" xfId="0" applyNumberFormat="1" applyFont="1" applyFill="1" applyBorder="1" applyAlignment="1">
      <alignment horizontal="center" vertical="center" wrapText="1"/>
    </xf>
    <xf numFmtId="179" fontId="98" fillId="57" borderId="368" xfId="0" applyNumberFormat="1" applyFont="1" applyFill="1" applyBorder="1" applyAlignment="1">
      <alignment horizontal="center" vertical="center" wrapText="1"/>
    </xf>
    <xf numFmtId="179" fontId="100" fillId="57" borderId="367" xfId="0" applyNumberFormat="1" applyFont="1" applyFill="1" applyBorder="1" applyAlignment="1">
      <alignment horizontal="center" vertical="center" wrapText="1"/>
    </xf>
    <xf numFmtId="0" fontId="100" fillId="54" borderId="361" xfId="0" applyFont="1" applyFill="1" applyBorder="1" applyAlignment="1">
      <alignment horizontal="center" vertical="center" wrapText="1"/>
    </xf>
    <xf numFmtId="0" fontId="99" fillId="54" borderId="368" xfId="0" applyFont="1" applyFill="1" applyBorder="1" applyAlignment="1">
      <alignment horizontal="center" vertical="center" wrapText="1"/>
    </xf>
    <xf numFmtId="0" fontId="99" fillId="54" borderId="367" xfId="0" applyFont="1" applyFill="1" applyBorder="1" applyAlignment="1">
      <alignment horizontal="center" vertical="center" wrapText="1"/>
    </xf>
    <xf numFmtId="0" fontId="100" fillId="54" borderId="373" xfId="0" applyFont="1" applyFill="1" applyBorder="1" applyAlignment="1">
      <alignment horizontal="center" vertical="center" wrapText="1"/>
    </xf>
    <xf numFmtId="0" fontId="100" fillId="54" borderId="374" xfId="0" applyFont="1" applyFill="1" applyBorder="1" applyAlignment="1">
      <alignment horizontal="center" vertical="center" wrapText="1"/>
    </xf>
    <xf numFmtId="0" fontId="100" fillId="54" borderId="375" xfId="0" applyFont="1" applyFill="1" applyBorder="1" applyAlignment="1">
      <alignment horizontal="center" vertical="center" wrapText="1"/>
    </xf>
    <xf numFmtId="0" fontId="100" fillId="54" borderId="362" xfId="0" applyFont="1" applyFill="1" applyBorder="1" applyAlignment="1">
      <alignment horizontal="center" vertical="center" wrapText="1"/>
    </xf>
    <xf numFmtId="0" fontId="100" fillId="54" borderId="363" xfId="0" applyFont="1" applyFill="1" applyBorder="1" applyAlignment="1">
      <alignment horizontal="center" vertical="center" wrapText="1"/>
    </xf>
    <xf numFmtId="0" fontId="100" fillId="54" borderId="364" xfId="0" applyFont="1" applyFill="1" applyBorder="1" applyAlignment="1">
      <alignment horizontal="center" vertical="center" wrapText="1"/>
    </xf>
    <xf numFmtId="0" fontId="100" fillId="54" borderId="365" xfId="0" applyFont="1" applyFill="1" applyBorder="1" applyAlignment="1">
      <alignment horizontal="center" vertical="center" wrapText="1"/>
    </xf>
    <xf numFmtId="179" fontId="222" fillId="54" borderId="368" xfId="0" applyNumberFormat="1" applyFont="1" applyFill="1" applyBorder="1" applyAlignment="1">
      <alignment horizontal="center" vertical="center" wrapText="1"/>
    </xf>
    <xf numFmtId="179" fontId="222" fillId="54" borderId="352" xfId="0" applyNumberFormat="1" applyFont="1" applyFill="1" applyBorder="1" applyAlignment="1">
      <alignment horizontal="center" vertical="center" wrapText="1"/>
    </xf>
    <xf numFmtId="0" fontId="100" fillId="54" borderId="376" xfId="0" applyFont="1" applyFill="1" applyBorder="1" applyAlignment="1">
      <alignment horizontal="center" vertical="top" wrapText="1"/>
    </xf>
    <xf numFmtId="0" fontId="100" fillId="54" borderId="375" xfId="0" applyFont="1" applyFill="1" applyBorder="1" applyAlignment="1">
      <alignment horizontal="center" vertical="top" wrapText="1"/>
    </xf>
    <xf numFmtId="0" fontId="100" fillId="54" borderId="368" xfId="0" applyFont="1" applyFill="1" applyBorder="1" applyAlignment="1">
      <alignment horizontal="center" vertical="top" wrapText="1"/>
    </xf>
    <xf numFmtId="0" fontId="100" fillId="54" borderId="377" xfId="0" applyFont="1" applyFill="1" applyBorder="1" applyAlignment="1">
      <alignment horizontal="center" vertical="top" wrapText="1"/>
    </xf>
    <xf numFmtId="0" fontId="100" fillId="54" borderId="378" xfId="0" applyFont="1" applyFill="1" applyBorder="1" applyAlignment="1">
      <alignment horizontal="center" vertical="top" wrapText="1"/>
    </xf>
    <xf numFmtId="179" fontId="100" fillId="54" borderId="369" xfId="0" applyNumberFormat="1" applyFont="1" applyFill="1" applyBorder="1" applyAlignment="1">
      <alignment horizontal="center" vertical="center" wrapText="1"/>
    </xf>
    <xf numFmtId="0" fontId="100" fillId="54" borderId="379" xfId="0" applyFont="1" applyFill="1" applyBorder="1" applyAlignment="1">
      <alignment horizontal="center" vertical="center" wrapText="1"/>
    </xf>
    <xf numFmtId="0" fontId="90" fillId="0" borderId="0" xfId="0" applyFont="1" applyAlignment="1">
      <alignment horizontal="center" vertical="top"/>
    </xf>
    <xf numFmtId="0" fontId="90" fillId="0" borderId="0" xfId="0" applyFont="1" applyAlignment="1">
      <alignment vertical="top" wrapText="1"/>
    </xf>
    <xf numFmtId="0" fontId="224" fillId="0" borderId="0" xfId="0" applyFont="1">
      <alignment vertical="center"/>
    </xf>
    <xf numFmtId="14" fontId="90" fillId="0" borderId="0" xfId="0" applyNumberFormat="1" applyFont="1" applyAlignment="1">
      <alignment horizontal="right" vertical="center"/>
    </xf>
    <xf numFmtId="0" fontId="90" fillId="0" borderId="0" xfId="0" applyFont="1" applyAlignment="1">
      <alignment horizontal="right" vertical="center"/>
    </xf>
    <xf numFmtId="0" fontId="100" fillId="54" borderId="342" xfId="0" applyFont="1" applyFill="1" applyBorder="1" applyAlignment="1">
      <alignment horizontal="centerContinuous" vertical="center" wrapText="1"/>
    </xf>
    <xf numFmtId="0" fontId="100" fillId="54" borderId="345" xfId="0" applyFont="1" applyFill="1" applyBorder="1" applyAlignment="1">
      <alignment horizontal="centerContinuous" vertical="center" wrapText="1"/>
    </xf>
    <xf numFmtId="0" fontId="100" fillId="54" borderId="346" xfId="0" applyFont="1" applyFill="1" applyBorder="1" applyAlignment="1">
      <alignment horizontal="centerContinuous" vertical="center" wrapText="1"/>
    </xf>
    <xf numFmtId="0" fontId="100" fillId="55" borderId="371" xfId="0" applyFont="1" applyFill="1" applyBorder="1" applyAlignment="1">
      <alignment horizontal="center" vertical="center" wrapText="1"/>
    </xf>
    <xf numFmtId="0" fontId="91" fillId="0" borderId="0" xfId="0" applyFont="1" applyAlignment="1">
      <alignment horizontal="center" vertical="top"/>
    </xf>
    <xf numFmtId="179" fontId="90" fillId="0" borderId="0" xfId="0" applyNumberFormat="1" applyFont="1" applyAlignment="1">
      <alignment vertical="top" wrapText="1"/>
    </xf>
    <xf numFmtId="0" fontId="90" fillId="0" borderId="0" xfId="0" applyFont="1" applyAlignment="1">
      <alignment horizontal="left" vertical="top" shrinkToFit="1"/>
    </xf>
    <xf numFmtId="0" fontId="219" fillId="0" borderId="0" xfId="0" applyFont="1">
      <alignment vertical="center"/>
    </xf>
    <xf numFmtId="0" fontId="100" fillId="53" borderId="344" xfId="0" applyFont="1" applyFill="1" applyBorder="1">
      <alignment vertical="center"/>
    </xf>
    <xf numFmtId="0" fontId="100" fillId="53" borderId="60" xfId="0" applyFont="1" applyFill="1" applyBorder="1">
      <alignment vertical="center"/>
    </xf>
    <xf numFmtId="179" fontId="100" fillId="53" borderId="60" xfId="0" applyNumberFormat="1" applyFont="1" applyFill="1" applyBorder="1">
      <alignment vertical="center"/>
    </xf>
    <xf numFmtId="0" fontId="100" fillId="53" borderId="357" xfId="0" applyFont="1" applyFill="1" applyBorder="1">
      <alignment vertical="center"/>
    </xf>
    <xf numFmtId="0" fontId="100" fillId="53" borderId="348" xfId="0" applyFont="1" applyFill="1" applyBorder="1">
      <alignment vertical="center"/>
    </xf>
    <xf numFmtId="179" fontId="100" fillId="53" borderId="348" xfId="0" applyNumberFormat="1" applyFont="1" applyFill="1" applyBorder="1">
      <alignment vertical="center"/>
    </xf>
    <xf numFmtId="0" fontId="100" fillId="53" borderId="380" xfId="0" applyFont="1" applyFill="1" applyBorder="1">
      <alignment vertical="center"/>
    </xf>
    <xf numFmtId="0" fontId="100" fillId="54" borderId="356" xfId="0" applyFont="1" applyFill="1" applyBorder="1" applyAlignment="1">
      <alignment horizontal="centerContinuous" vertical="center" wrapText="1"/>
    </xf>
    <xf numFmtId="179" fontId="99" fillId="54" borderId="370" xfId="0" applyNumberFormat="1" applyFont="1" applyFill="1" applyBorder="1" applyAlignment="1">
      <alignment horizontal="center" vertical="center" wrapText="1"/>
    </xf>
    <xf numFmtId="179" fontId="100" fillId="54" borderId="368" xfId="0" applyNumberFormat="1" applyFont="1" applyFill="1" applyBorder="1" applyAlignment="1">
      <alignment horizontal="center" vertical="center" wrapText="1"/>
    </xf>
    <xf numFmtId="0" fontId="221" fillId="0" borderId="0" xfId="0" applyFont="1" applyAlignment="1">
      <alignment vertical="top"/>
    </xf>
    <xf numFmtId="0" fontId="90" fillId="0" borderId="0" xfId="0" applyFont="1" applyAlignment="1">
      <alignment horizontal="left" vertical="top"/>
    </xf>
    <xf numFmtId="0" fontId="90" fillId="0" borderId="0" xfId="0" applyFont="1" applyAlignment="1">
      <alignment horizontal="center" vertical="top" wrapText="1"/>
    </xf>
    <xf numFmtId="179" fontId="90" fillId="0" borderId="0" xfId="0" applyNumberFormat="1" applyFont="1" applyAlignment="1">
      <alignment vertical="top" shrinkToFit="1"/>
    </xf>
    <xf numFmtId="0" fontId="90" fillId="0" borderId="0" xfId="0" applyFont="1" applyAlignment="1">
      <alignment vertical="top"/>
    </xf>
    <xf numFmtId="179" fontId="90" fillId="0" borderId="0" xfId="0" applyNumberFormat="1" applyFont="1" applyAlignment="1">
      <alignment horizontal="left" vertical="top"/>
    </xf>
    <xf numFmtId="179" fontId="90" fillId="0" borderId="0" xfId="0" applyNumberFormat="1" applyFont="1" applyAlignment="1">
      <alignment horizontal="left" vertical="top" wrapText="1"/>
    </xf>
    <xf numFmtId="179" fontId="219" fillId="0" borderId="0" xfId="0" applyNumberFormat="1" applyFont="1" applyAlignment="1">
      <alignment horizontal="left" vertical="top"/>
    </xf>
    <xf numFmtId="179" fontId="90" fillId="0" borderId="0" xfId="0" applyNumberFormat="1" applyFont="1">
      <alignment vertical="center"/>
    </xf>
    <xf numFmtId="179" fontId="90" fillId="0" borderId="0" xfId="0" applyNumberFormat="1" applyFont="1" applyAlignment="1">
      <alignment vertical="center" shrinkToFit="1"/>
    </xf>
    <xf numFmtId="179" fontId="100" fillId="53" borderId="383" xfId="0" applyNumberFormat="1" applyFont="1" applyFill="1" applyBorder="1">
      <alignment vertical="center"/>
    </xf>
    <xf numFmtId="0" fontId="100" fillId="54" borderId="384" xfId="0" applyFont="1" applyFill="1" applyBorder="1" applyAlignment="1">
      <alignment horizontal="centerContinuous" vertical="center" wrapText="1"/>
    </xf>
    <xf numFmtId="0" fontId="100" fillId="54" borderId="200" xfId="0" applyFont="1" applyFill="1" applyBorder="1" applyAlignment="1">
      <alignment horizontal="centerContinuous" vertical="center" wrapText="1"/>
    </xf>
    <xf numFmtId="0" fontId="100" fillId="54" borderId="381" xfId="0" applyFont="1" applyFill="1" applyBorder="1" applyAlignment="1">
      <alignment horizontal="centerContinuous" vertical="top" wrapText="1"/>
    </xf>
    <xf numFmtId="0" fontId="100" fillId="56" borderId="369" xfId="0" applyFont="1" applyFill="1" applyBorder="1" applyAlignment="1">
      <alignment horizontal="center" vertical="center" wrapText="1"/>
    </xf>
    <xf numFmtId="0" fontId="100" fillId="56" borderId="351" xfId="0" applyFont="1" applyFill="1" applyBorder="1" applyAlignment="1">
      <alignment horizontal="center" vertical="center" wrapText="1"/>
    </xf>
    <xf numFmtId="0" fontId="98" fillId="54" borderId="386" xfId="0" applyFont="1" applyFill="1" applyBorder="1" applyAlignment="1">
      <alignment horizontal="center" vertical="center" wrapText="1"/>
    </xf>
    <xf numFmtId="0" fontId="98" fillId="54" borderId="361" xfId="0" applyFont="1" applyFill="1" applyBorder="1" applyAlignment="1">
      <alignment horizontal="center" vertical="center" wrapText="1"/>
    </xf>
    <xf numFmtId="0" fontId="98" fillId="54" borderId="387" xfId="0" applyFont="1" applyFill="1" applyBorder="1" applyAlignment="1">
      <alignment horizontal="center" vertical="center" wrapText="1"/>
    </xf>
    <xf numFmtId="0" fontId="98" fillId="54" borderId="388" xfId="0" applyFont="1" applyFill="1" applyBorder="1" applyAlignment="1">
      <alignment horizontal="center" vertical="center" wrapText="1"/>
    </xf>
    <xf numFmtId="0" fontId="98" fillId="54" borderId="389" xfId="0" applyFont="1" applyFill="1" applyBorder="1" applyAlignment="1">
      <alignment horizontal="center" vertical="center" wrapText="1"/>
    </xf>
    <xf numFmtId="0" fontId="98" fillId="54" borderId="370" xfId="0" applyFont="1" applyFill="1" applyBorder="1" applyAlignment="1">
      <alignment horizontal="center" vertical="center" wrapText="1"/>
    </xf>
    <xf numFmtId="0" fontId="98" fillId="54" borderId="366" xfId="0" applyFont="1" applyFill="1" applyBorder="1" applyAlignment="1">
      <alignment horizontal="center" vertical="center" wrapText="1"/>
    </xf>
    <xf numFmtId="0" fontId="219" fillId="0" borderId="0" xfId="0" applyFont="1" applyAlignment="1">
      <alignment horizontal="left" vertical="top"/>
    </xf>
    <xf numFmtId="0" fontId="225" fillId="0" borderId="0" xfId="0" applyFont="1" applyAlignment="1">
      <alignment vertical="top"/>
    </xf>
    <xf numFmtId="178" fontId="219" fillId="0" borderId="0" xfId="0" applyNumberFormat="1" applyFont="1" applyAlignment="1">
      <alignment vertical="top"/>
    </xf>
    <xf numFmtId="0" fontId="100" fillId="53" borderId="346" xfId="0" applyFont="1" applyFill="1" applyBorder="1">
      <alignment vertical="center"/>
    </xf>
    <xf numFmtId="0" fontId="99" fillId="54" borderId="368" xfId="0" applyFont="1" applyFill="1" applyBorder="1" applyAlignment="1">
      <alignment vertical="center" wrapText="1"/>
    </xf>
    <xf numFmtId="178" fontId="100" fillId="54" borderId="85" xfId="0" applyNumberFormat="1" applyFont="1" applyFill="1" applyBorder="1">
      <alignment vertical="center"/>
    </xf>
    <xf numFmtId="0" fontId="100" fillId="54" borderId="85" xfId="0" applyFont="1" applyFill="1" applyBorder="1" applyAlignment="1">
      <alignment horizontal="center" vertical="center" wrapText="1"/>
    </xf>
    <xf numFmtId="0" fontId="0" fillId="0" borderId="17" xfId="0" applyBorder="1">
      <alignment vertical="center"/>
    </xf>
    <xf numFmtId="49" fontId="100" fillId="54" borderId="341" xfId="0" applyNumberFormat="1" applyFont="1" applyFill="1" applyBorder="1" applyAlignment="1">
      <alignment horizontal="center" vertical="center" wrapText="1"/>
    </xf>
    <xf numFmtId="0" fontId="100" fillId="54" borderId="315" xfId="0" applyFont="1" applyFill="1" applyBorder="1" applyAlignment="1">
      <alignment horizontal="center" vertical="center" wrapText="1"/>
    </xf>
    <xf numFmtId="0" fontId="100" fillId="54" borderId="314" xfId="0" applyFont="1" applyFill="1" applyBorder="1" applyAlignment="1">
      <alignment horizontal="center" vertical="center" wrapText="1"/>
    </xf>
    <xf numFmtId="0" fontId="100" fillId="54" borderId="394" xfId="0" applyFont="1" applyFill="1" applyBorder="1" applyAlignment="1">
      <alignment horizontal="center" vertical="center" wrapText="1"/>
    </xf>
    <xf numFmtId="0" fontId="100" fillId="54" borderId="341" xfId="0" applyFont="1" applyFill="1" applyBorder="1" applyAlignment="1">
      <alignment horizontal="center" vertical="center" wrapText="1"/>
    </xf>
    <xf numFmtId="0" fontId="100" fillId="54" borderId="395" xfId="0" applyFont="1" applyFill="1" applyBorder="1" applyAlignment="1">
      <alignment horizontal="center" vertical="center" wrapText="1"/>
    </xf>
    <xf numFmtId="179" fontId="99" fillId="54" borderId="313" xfId="0" applyNumberFormat="1" applyFont="1" applyFill="1" applyBorder="1" applyAlignment="1">
      <alignment horizontal="center" vertical="center" wrapText="1"/>
    </xf>
    <xf numFmtId="179" fontId="100" fillId="54" borderId="314" xfId="0" applyNumberFormat="1" applyFont="1" applyFill="1" applyBorder="1" applyAlignment="1">
      <alignment horizontal="center" vertical="center" wrapText="1"/>
    </xf>
    <xf numFmtId="0" fontId="100" fillId="54" borderId="396" xfId="0" applyFont="1" applyFill="1" applyBorder="1" applyAlignment="1">
      <alignment horizontal="center" vertical="center" wrapText="1"/>
    </xf>
    <xf numFmtId="0" fontId="99" fillId="54" borderId="314" xfId="0" applyFont="1" applyFill="1" applyBorder="1" applyAlignment="1">
      <alignment horizontal="center" vertical="center" wrapText="1"/>
    </xf>
    <xf numFmtId="0" fontId="100" fillId="54" borderId="317" xfId="0" applyFont="1" applyFill="1" applyBorder="1" applyAlignment="1">
      <alignment horizontal="center" vertical="center" wrapText="1"/>
    </xf>
    <xf numFmtId="0" fontId="100" fillId="54" borderId="318" xfId="0" applyFont="1" applyFill="1" applyBorder="1" applyAlignment="1">
      <alignment horizontal="center" vertical="center" wrapText="1"/>
    </xf>
    <xf numFmtId="0" fontId="100" fillId="54" borderId="393" xfId="0" applyFont="1" applyFill="1" applyBorder="1" applyAlignment="1">
      <alignment horizontal="centerContinuous" vertical="center" wrapText="1"/>
    </xf>
    <xf numFmtId="0" fontId="100" fillId="54" borderId="85" xfId="0" applyFont="1" applyFill="1" applyBorder="1" applyAlignment="1">
      <alignment horizontal="centerContinuous" vertical="center" wrapText="1"/>
    </xf>
    <xf numFmtId="0" fontId="100" fillId="54" borderId="225" xfId="0" applyFont="1" applyFill="1" applyBorder="1" applyAlignment="1">
      <alignment horizontal="centerContinuous" vertical="center" wrapText="1"/>
    </xf>
    <xf numFmtId="0" fontId="100" fillId="54" borderId="350" xfId="0" applyFont="1" applyFill="1" applyBorder="1" applyAlignment="1">
      <alignment horizontal="center" vertical="center" wrapText="1"/>
    </xf>
    <xf numFmtId="0" fontId="100" fillId="54" borderId="370" xfId="0" applyFont="1" applyFill="1" applyBorder="1" applyAlignment="1">
      <alignment horizontal="center" vertical="top" textRotation="255"/>
    </xf>
    <xf numFmtId="0" fontId="100" fillId="54" borderId="368" xfId="0" applyFont="1" applyFill="1" applyBorder="1" applyAlignment="1">
      <alignment horizontal="center" vertical="top" textRotation="255"/>
    </xf>
    <xf numFmtId="0" fontId="100" fillId="54" borderId="367" xfId="0" applyFont="1" applyFill="1" applyBorder="1" applyAlignment="1">
      <alignment horizontal="center" vertical="top" textRotation="255"/>
    </xf>
    <xf numFmtId="0" fontId="100" fillId="54" borderId="371" xfId="0" applyFont="1" applyFill="1" applyBorder="1" applyAlignment="1">
      <alignment horizontal="center" vertical="top" textRotation="255"/>
    </xf>
    <xf numFmtId="14" fontId="0" fillId="0" borderId="17" xfId="0" applyNumberFormat="1" applyBorder="1">
      <alignment vertical="center"/>
    </xf>
    <xf numFmtId="0" fontId="0" fillId="0" borderId="17" xfId="0" applyBorder="1" applyAlignment="1">
      <alignment horizontal="center" vertical="center"/>
    </xf>
    <xf numFmtId="38" fontId="0" fillId="0" borderId="17" xfId="281" applyFont="1" applyBorder="1">
      <alignment vertical="center"/>
    </xf>
    <xf numFmtId="38" fontId="0" fillId="0" borderId="17" xfId="0" applyNumberFormat="1" applyBorder="1">
      <alignment vertical="center"/>
    </xf>
    <xf numFmtId="0" fontId="36" fillId="24" borderId="140" xfId="0" applyFont="1" applyFill="1" applyBorder="1" applyProtection="1">
      <alignment vertical="center"/>
      <protection locked="0"/>
    </xf>
    <xf numFmtId="0" fontId="0" fillId="0" borderId="83" xfId="0" applyBorder="1">
      <alignment vertical="center"/>
    </xf>
    <xf numFmtId="0" fontId="0" fillId="0" borderId="84" xfId="0" applyBorder="1">
      <alignment vertical="center"/>
    </xf>
    <xf numFmtId="0" fontId="36" fillId="0" borderId="0" xfId="43" applyFont="1" applyAlignment="1">
      <alignment horizontal="right" vertical="center"/>
    </xf>
    <xf numFmtId="0" fontId="226" fillId="0" borderId="0" xfId="0" applyFont="1">
      <alignment vertical="center"/>
    </xf>
    <xf numFmtId="0" fontId="0" fillId="0" borderId="28" xfId="0" applyBorder="1" applyAlignment="1">
      <alignment vertical="center"/>
    </xf>
    <xf numFmtId="0" fontId="0" fillId="0" borderId="0" xfId="0" applyAlignment="1">
      <alignment vertical="center"/>
    </xf>
    <xf numFmtId="0" fontId="0" fillId="48" borderId="28" xfId="0" applyFill="1" applyBorder="1" applyAlignment="1">
      <alignment vertical="center"/>
    </xf>
    <xf numFmtId="49" fontId="218" fillId="0" borderId="0" xfId="0" applyNumberFormat="1" applyFont="1" applyAlignment="1">
      <alignment vertical="center"/>
    </xf>
    <xf numFmtId="40" fontId="0" fillId="0" borderId="28" xfId="0" applyNumberFormat="1" applyBorder="1">
      <alignment vertical="center"/>
    </xf>
    <xf numFmtId="0" fontId="0" fillId="0" borderId="85" xfId="0" applyBorder="1">
      <alignment vertical="center"/>
    </xf>
    <xf numFmtId="0" fontId="0" fillId="0" borderId="83" xfId="0" applyBorder="1">
      <alignment vertical="center"/>
    </xf>
    <xf numFmtId="0" fontId="0" fillId="0" borderId="84" xfId="0" applyBorder="1">
      <alignment vertical="center"/>
    </xf>
    <xf numFmtId="0" fontId="0" fillId="0" borderId="83" xfId="0" applyBorder="1">
      <alignment vertical="center"/>
    </xf>
    <xf numFmtId="14" fontId="0" fillId="0" borderId="85" xfId="0" applyNumberFormat="1" applyBorder="1" applyAlignment="1">
      <alignment horizontal="center" vertical="center"/>
    </xf>
    <xf numFmtId="0" fontId="0" fillId="0" borderId="85" xfId="0" applyBorder="1" applyAlignment="1">
      <alignment vertical="center" wrapText="1"/>
    </xf>
    <xf numFmtId="0" fontId="0" fillId="0" borderId="83" xfId="0" applyBorder="1" applyAlignment="1">
      <alignment horizontal="center" vertical="center"/>
    </xf>
    <xf numFmtId="0" fontId="0" fillId="0" borderId="83" xfId="0" applyBorder="1">
      <alignment vertical="center"/>
    </xf>
    <xf numFmtId="0" fontId="36" fillId="0" borderId="83" xfId="43" applyFont="1" applyFill="1" applyBorder="1" applyAlignment="1">
      <alignment horizontal="left" vertical="center"/>
    </xf>
    <xf numFmtId="179" fontId="35" fillId="26" borderId="62" xfId="0" applyNumberFormat="1" applyFont="1" applyFill="1" applyBorder="1" applyAlignment="1" applyProtection="1">
      <alignment horizontal="right" vertical="center" shrinkToFit="1"/>
      <protection locked="0"/>
    </xf>
    <xf numFmtId="0" fontId="0" fillId="0" borderId="84" xfId="0" applyBorder="1">
      <alignment vertical="center"/>
    </xf>
    <xf numFmtId="0" fontId="0" fillId="0" borderId="83" xfId="0" applyBorder="1">
      <alignment vertical="center"/>
    </xf>
    <xf numFmtId="0" fontId="0" fillId="0" borderId="84" xfId="0" applyBorder="1">
      <alignment vertical="center"/>
    </xf>
    <xf numFmtId="0" fontId="0" fillId="0" borderId="61" xfId="0" applyBorder="1" applyAlignment="1">
      <alignment vertical="center" wrapText="1"/>
    </xf>
    <xf numFmtId="0" fontId="0" fillId="0" borderId="0" xfId="0" applyBorder="1" applyAlignment="1">
      <alignment horizontal="center" vertical="center"/>
    </xf>
    <xf numFmtId="0" fontId="0" fillId="0" borderId="85" xfId="0" applyBorder="1">
      <alignment vertical="center"/>
    </xf>
    <xf numFmtId="0" fontId="0" fillId="0" borderId="83" xfId="0" applyBorder="1">
      <alignment vertical="center"/>
    </xf>
    <xf numFmtId="0" fontId="0" fillId="0" borderId="148" xfId="0" applyBorder="1">
      <alignment vertical="center"/>
    </xf>
    <xf numFmtId="185" fontId="0" fillId="0" borderId="147" xfId="0" applyNumberFormat="1" applyBorder="1" applyAlignment="1">
      <alignment horizontal="center" vertical="center"/>
    </xf>
    <xf numFmtId="0" fontId="0" fillId="0" borderId="140" xfId="0" applyBorder="1" applyAlignment="1">
      <alignment horizontal="center" vertical="center"/>
    </xf>
    <xf numFmtId="0" fontId="0" fillId="0" borderId="147" xfId="0" applyBorder="1">
      <alignment vertical="center"/>
    </xf>
    <xf numFmtId="0" fontId="36" fillId="0" borderId="146" xfId="43" applyFont="1" applyFill="1" applyBorder="1" applyAlignment="1">
      <alignment horizontal="left" vertical="center"/>
    </xf>
    <xf numFmtId="0" fontId="0" fillId="0" borderId="118" xfId="0" applyBorder="1" applyAlignment="1">
      <alignment vertical="center"/>
    </xf>
    <xf numFmtId="0" fontId="0" fillId="0" borderId="118" xfId="0" applyBorder="1" applyAlignment="1">
      <alignment horizontal="center" vertical="center"/>
    </xf>
    <xf numFmtId="14" fontId="0" fillId="0" borderId="118" xfId="0" applyNumberFormat="1" applyBorder="1" applyAlignment="1">
      <alignment horizontal="center" vertical="center"/>
    </xf>
    <xf numFmtId="0" fontId="0" fillId="0" borderId="118" xfId="0" applyBorder="1" applyAlignment="1">
      <alignment vertical="center" wrapText="1"/>
    </xf>
    <xf numFmtId="0" fontId="0" fillId="0" borderId="118" xfId="0" applyBorder="1" applyAlignment="1">
      <alignment horizontal="center" vertical="center" wrapText="1"/>
    </xf>
    <xf numFmtId="0" fontId="35" fillId="0" borderId="0" xfId="294" applyFont="1" applyAlignment="1">
      <alignment horizontal="left"/>
    </xf>
    <xf numFmtId="0" fontId="35" fillId="0" borderId="0" xfId="294" applyFont="1">
      <alignment vertical="center"/>
    </xf>
    <xf numFmtId="0" fontId="36" fillId="24" borderId="0" xfId="294" applyFont="1" applyFill="1">
      <alignment vertical="center"/>
    </xf>
    <xf numFmtId="0" fontId="36" fillId="52" borderId="0" xfId="294" applyFont="1" applyFill="1">
      <alignment vertical="center"/>
    </xf>
    <xf numFmtId="0" fontId="36" fillId="0" borderId="0" xfId="294" applyFont="1">
      <alignment vertical="center"/>
    </xf>
    <xf numFmtId="0" fontId="35" fillId="0" borderId="0" xfId="294" applyFont="1" applyAlignment="1">
      <alignment vertical="top"/>
    </xf>
    <xf numFmtId="0" fontId="35" fillId="0" borderId="0" xfId="294" applyFont="1" applyAlignment="1">
      <alignment vertical="top" wrapText="1"/>
    </xf>
    <xf numFmtId="0" fontId="35" fillId="26" borderId="25" xfId="294" applyFont="1" applyFill="1" applyBorder="1">
      <alignment vertical="center"/>
    </xf>
    <xf numFmtId="0" fontId="35" fillId="0" borderId="28" xfId="294" applyFont="1" applyBorder="1" applyAlignment="1">
      <alignment horizontal="center" vertical="center"/>
    </xf>
    <xf numFmtId="0" fontId="36" fillId="24" borderId="0" xfId="294" applyFont="1" applyFill="1" applyProtection="1">
      <alignment vertical="center"/>
      <protection locked="0"/>
    </xf>
    <xf numFmtId="0" fontId="6" fillId="0" borderId="0" xfId="294">
      <alignment vertical="center"/>
    </xf>
    <xf numFmtId="0" fontId="35" fillId="0" borderId="60" xfId="294" applyFont="1" applyBorder="1" applyAlignment="1">
      <alignment horizontal="left" vertical="center"/>
    </xf>
    <xf numFmtId="0" fontId="35" fillId="0" borderId="61" xfId="294" applyFont="1" applyBorder="1" applyAlignment="1">
      <alignment horizontal="left" vertical="center"/>
    </xf>
    <xf numFmtId="0" fontId="35" fillId="0" borderId="0" xfId="294" applyFont="1" applyAlignment="1">
      <alignment vertical="center"/>
    </xf>
    <xf numFmtId="0" fontId="35" fillId="0" borderId="33" xfId="294" applyFont="1" applyBorder="1" applyAlignment="1">
      <alignment vertical="center"/>
    </xf>
    <xf numFmtId="0" fontId="35" fillId="0" borderId="62" xfId="294" applyFont="1" applyBorder="1" applyAlignment="1">
      <alignment horizontal="left" vertical="center"/>
    </xf>
    <xf numFmtId="0" fontId="35" fillId="0" borderId="50" xfId="294" applyFont="1" applyBorder="1" applyAlignment="1">
      <alignment horizontal="left" vertical="center"/>
    </xf>
    <xf numFmtId="0" fontId="35" fillId="0" borderId="129" xfId="294" applyFont="1" applyBorder="1" applyAlignment="1">
      <alignment horizontal="distributed" vertical="center" wrapText="1"/>
    </xf>
    <xf numFmtId="184" fontId="35" fillId="0" borderId="69" xfId="294" applyNumberFormat="1" applyFont="1" applyBorder="1" applyAlignment="1">
      <alignment horizontal="center" vertical="center" wrapText="1"/>
    </xf>
    <xf numFmtId="0" fontId="35" fillId="0" borderId="129" xfId="294" applyFont="1" applyBorder="1" applyAlignment="1">
      <alignment horizontal="center" vertical="center" wrapText="1"/>
    </xf>
    <xf numFmtId="0" fontId="35" fillId="0" borderId="69" xfId="0" applyFont="1" applyBorder="1" applyAlignment="1">
      <alignment horizontal="distributed" vertical="center" wrapText="1"/>
    </xf>
    <xf numFmtId="0" fontId="35" fillId="0" borderId="68" xfId="0" applyFont="1" applyBorder="1" applyAlignment="1">
      <alignment horizontal="center" vertical="center" wrapText="1"/>
    </xf>
    <xf numFmtId="0" fontId="73" fillId="30" borderId="277" xfId="284" applyFont="1" applyFill="1" applyBorder="1" applyAlignment="1">
      <alignment horizontal="center" vertical="center" textRotation="255" shrinkToFit="1"/>
    </xf>
    <xf numFmtId="204" fontId="152" fillId="0" borderId="54" xfId="281" applyNumberFormat="1" applyFont="1" applyBorder="1" applyAlignment="1" applyProtection="1">
      <alignment vertical="center" shrinkToFit="1"/>
    </xf>
    <xf numFmtId="195" fontId="35" fillId="27" borderId="110" xfId="0" applyNumberFormat="1" applyFont="1" applyFill="1" applyBorder="1" applyAlignment="1" applyProtection="1">
      <alignment horizontal="right" vertical="center" shrinkToFit="1"/>
      <protection locked="0"/>
    </xf>
    <xf numFmtId="195" fontId="35" fillId="27" borderId="42" xfId="0" applyNumberFormat="1" applyFont="1" applyFill="1" applyBorder="1" applyAlignment="1" applyProtection="1">
      <alignment horizontal="right" vertical="center" shrinkToFit="1"/>
      <protection locked="0"/>
    </xf>
    <xf numFmtId="195" fontId="35" fillId="27" borderId="108" xfId="0" applyNumberFormat="1" applyFont="1" applyFill="1" applyBorder="1" applyAlignment="1" applyProtection="1">
      <alignment horizontal="right" vertical="center" shrinkToFit="1"/>
      <protection locked="0"/>
    </xf>
    <xf numFmtId="195" fontId="35" fillId="27" borderId="43" xfId="0" applyNumberFormat="1" applyFont="1" applyFill="1" applyBorder="1" applyAlignment="1" applyProtection="1">
      <alignment horizontal="right" vertical="center" shrinkToFit="1"/>
      <protection locked="0"/>
    </xf>
    <xf numFmtId="195" fontId="35" fillId="27" borderId="107" xfId="0" applyNumberFormat="1" applyFont="1" applyFill="1" applyBorder="1" applyAlignment="1" applyProtection="1">
      <alignment horizontal="right" vertical="center" shrinkToFit="1"/>
      <protection locked="0"/>
    </xf>
    <xf numFmtId="195" fontId="35" fillId="27" borderId="45" xfId="0" applyNumberFormat="1" applyFont="1" applyFill="1" applyBorder="1" applyAlignment="1" applyProtection="1">
      <alignment horizontal="right" vertical="center" shrinkToFit="1"/>
      <protection locked="0"/>
    </xf>
    <xf numFmtId="0" fontId="227" fillId="29" borderId="169" xfId="0" applyNumberFormat="1" applyFont="1" applyFill="1" applyBorder="1" applyAlignment="1">
      <alignment horizontal="left" vertical="top" wrapText="1"/>
    </xf>
    <xf numFmtId="0" fontId="227" fillId="29" borderId="165" xfId="0" applyNumberFormat="1" applyFont="1" applyFill="1" applyBorder="1" applyAlignment="1">
      <alignment horizontal="left" vertical="top" wrapText="1"/>
    </xf>
    <xf numFmtId="0" fontId="227" fillId="29" borderId="168" xfId="0" applyNumberFormat="1" applyFont="1" applyFill="1" applyBorder="1" applyAlignment="1">
      <alignment horizontal="left" vertical="top" wrapText="1"/>
    </xf>
    <xf numFmtId="38" fontId="12" fillId="0" borderId="288" xfId="284" applyNumberFormat="1" applyBorder="1">
      <alignment vertical="center"/>
    </xf>
    <xf numFmtId="0" fontId="12" fillId="30" borderId="29" xfId="284" applyFill="1" applyBorder="1" applyAlignment="1">
      <alignment horizontal="center" vertical="center" shrinkToFit="1"/>
    </xf>
    <xf numFmtId="0" fontId="12" fillId="30" borderId="85" xfId="284" applyFill="1" applyBorder="1" applyAlignment="1">
      <alignment horizontal="center" vertical="center" shrinkToFit="1"/>
    </xf>
    <xf numFmtId="0" fontId="12" fillId="30" borderId="401" xfId="284" applyFill="1" applyBorder="1">
      <alignment vertical="center"/>
    </xf>
    <xf numFmtId="0" fontId="12" fillId="30" borderId="402" xfId="284" applyFill="1" applyBorder="1">
      <alignment vertical="center"/>
    </xf>
    <xf numFmtId="0" fontId="12" fillId="30" borderId="279" xfId="284" applyFill="1" applyBorder="1" applyAlignment="1">
      <alignment horizontal="right" vertical="center"/>
    </xf>
    <xf numFmtId="0" fontId="12" fillId="30" borderId="279" xfId="284" applyFill="1" applyBorder="1" applyAlignment="1">
      <alignment horizontal="center" vertical="center" shrinkToFit="1"/>
    </xf>
    <xf numFmtId="0" fontId="12" fillId="30" borderId="278" xfId="284" applyFill="1" applyBorder="1">
      <alignment vertical="center"/>
    </xf>
    <xf numFmtId="0" fontId="12" fillId="30" borderId="292" xfId="284" applyFill="1" applyBorder="1">
      <alignment vertical="center"/>
    </xf>
    <xf numFmtId="0" fontId="5" fillId="30" borderId="279" xfId="284" applyFont="1" applyFill="1" applyBorder="1" applyAlignment="1">
      <alignment horizontal="left" vertical="center"/>
    </xf>
    <xf numFmtId="0" fontId="35" fillId="48" borderId="0" xfId="44" applyFont="1" applyFill="1" applyAlignment="1">
      <alignment horizontal="left" vertical="center"/>
    </xf>
    <xf numFmtId="0" fontId="36" fillId="48" borderId="28" xfId="0" applyFont="1" applyFill="1" applyBorder="1">
      <alignment vertical="center"/>
    </xf>
    <xf numFmtId="0" fontId="75" fillId="48" borderId="28" xfId="0" applyFont="1" applyFill="1" applyBorder="1">
      <alignment vertical="center"/>
    </xf>
    <xf numFmtId="0" fontId="82" fillId="48" borderId="28" xfId="0" applyFont="1" applyFill="1" applyBorder="1">
      <alignment vertical="center"/>
    </xf>
    <xf numFmtId="0" fontId="0" fillId="0" borderId="28" xfId="0" applyFill="1" applyBorder="1">
      <alignment vertical="center"/>
    </xf>
    <xf numFmtId="0" fontId="0" fillId="0" borderId="85" xfId="0" applyFont="1" applyBorder="1" applyAlignment="1">
      <alignment vertical="center" wrapText="1"/>
    </xf>
    <xf numFmtId="0" fontId="202" fillId="0" borderId="84" xfId="0" applyFont="1" applyBorder="1">
      <alignment vertical="center"/>
    </xf>
    <xf numFmtId="0" fontId="202" fillId="0" borderId="84" xfId="0" applyFont="1" applyBorder="1" applyAlignment="1">
      <alignment horizontal="center" vertical="center"/>
    </xf>
    <xf numFmtId="0" fontId="0" fillId="0" borderId="84" xfId="0" applyFont="1" applyBorder="1">
      <alignment vertical="center"/>
    </xf>
    <xf numFmtId="0" fontId="0" fillId="0" borderId="85" xfId="0" applyFont="1" applyFill="1" applyBorder="1" applyAlignment="1">
      <alignment vertical="center" wrapText="1"/>
    </xf>
    <xf numFmtId="0" fontId="0" fillId="0" borderId="84" xfId="0" applyFont="1" applyFill="1" applyBorder="1">
      <alignment vertical="center"/>
    </xf>
    <xf numFmtId="14" fontId="0" fillId="0" borderId="85" xfId="0" applyNumberFormat="1" applyFont="1" applyBorder="1" applyAlignment="1">
      <alignment horizontal="center" vertical="center"/>
    </xf>
    <xf numFmtId="0" fontId="0" fillId="0" borderId="85" xfId="0" applyFont="1" applyBorder="1">
      <alignment vertical="center"/>
    </xf>
    <xf numFmtId="0" fontId="0" fillId="0" borderId="84" xfId="0" applyFont="1" applyBorder="1" applyAlignment="1">
      <alignment horizontal="center" vertical="center"/>
    </xf>
    <xf numFmtId="0" fontId="0" fillId="0" borderId="0" xfId="0" applyFill="1" applyAlignment="1">
      <alignment vertical="center" wrapText="1"/>
    </xf>
    <xf numFmtId="0" fontId="0" fillId="0" borderId="0" xfId="0" applyFill="1">
      <alignment vertical="center"/>
    </xf>
    <xf numFmtId="0" fontId="0" fillId="0" borderId="85" xfId="0" applyBorder="1">
      <alignment vertical="center"/>
    </xf>
    <xf numFmtId="0" fontId="0" fillId="0" borderId="83" xfId="0" applyBorder="1">
      <alignment vertical="center"/>
    </xf>
    <xf numFmtId="0" fontId="0" fillId="0" borderId="84" xfId="0" applyBorder="1">
      <alignment vertical="center"/>
    </xf>
    <xf numFmtId="0" fontId="0" fillId="0" borderId="28" xfId="0" applyBorder="1" applyAlignment="1">
      <alignment horizontal="center" vertical="center"/>
    </xf>
    <xf numFmtId="0" fontId="0" fillId="0" borderId="84" xfId="0" quotePrefix="1" applyFont="1" applyBorder="1" applyAlignment="1">
      <alignment vertical="center" wrapText="1"/>
    </xf>
    <xf numFmtId="0" fontId="36" fillId="26" borderId="17" xfId="0" applyFont="1" applyFill="1" applyBorder="1" applyProtection="1">
      <alignment vertical="center"/>
      <protection locked="0"/>
    </xf>
    <xf numFmtId="0" fontId="228" fillId="0" borderId="84" xfId="0" applyFont="1" applyBorder="1">
      <alignment vertical="center"/>
    </xf>
    <xf numFmtId="0" fontId="180" fillId="0" borderId="84" xfId="0" applyFont="1" applyBorder="1" applyAlignment="1">
      <alignment horizontal="center" vertical="center"/>
    </xf>
    <xf numFmtId="0" fontId="180" fillId="0" borderId="84" xfId="0" applyFont="1" applyBorder="1">
      <alignment vertical="center"/>
    </xf>
    <xf numFmtId="0" fontId="0" fillId="36" borderId="0" xfId="0" applyFont="1" applyFill="1" applyProtection="1">
      <alignment vertical="center"/>
      <protection locked="0"/>
    </xf>
    <xf numFmtId="0" fontId="0" fillId="36" borderId="0" xfId="0" applyFont="1" applyFill="1">
      <alignment vertical="center"/>
    </xf>
    <xf numFmtId="0" fontId="36" fillId="36" borderId="0" xfId="0" applyFont="1" applyFill="1">
      <alignment vertical="center"/>
    </xf>
    <xf numFmtId="0" fontId="0" fillId="0" borderId="85" xfId="0" quotePrefix="1" applyBorder="1">
      <alignment vertical="center"/>
    </xf>
    <xf numFmtId="0" fontId="0" fillId="0" borderId="28" xfId="0" quotePrefix="1" applyBorder="1" applyAlignment="1">
      <alignment vertical="center" wrapText="1"/>
    </xf>
    <xf numFmtId="0" fontId="0" fillId="0" borderId="28" xfId="0" quotePrefix="1" applyFill="1" applyBorder="1" applyAlignment="1">
      <alignment vertical="center" wrapText="1"/>
    </xf>
    <xf numFmtId="0" fontId="0" fillId="0" borderId="83" xfId="0" applyFont="1" applyBorder="1" applyAlignment="1">
      <alignment horizontal="center" vertical="center"/>
    </xf>
    <xf numFmtId="0" fontId="0" fillId="0" borderId="28" xfId="0" applyFont="1" applyBorder="1">
      <alignment vertical="center"/>
    </xf>
    <xf numFmtId="0" fontId="0" fillId="0" borderId="28" xfId="0" applyFont="1" applyBorder="1" applyAlignment="1">
      <alignment vertical="center" wrapText="1"/>
    </xf>
    <xf numFmtId="0" fontId="0" fillId="0" borderId="83" xfId="0" applyFont="1" applyBorder="1">
      <alignment vertical="center"/>
    </xf>
    <xf numFmtId="14" fontId="0" fillId="0" borderId="83" xfId="0" applyNumberFormat="1" applyFont="1" applyBorder="1" applyAlignment="1">
      <alignment horizontal="center" vertical="center"/>
    </xf>
    <xf numFmtId="14" fontId="0" fillId="0" borderId="28" xfId="0" applyNumberFormat="1" applyFont="1" applyBorder="1" applyAlignment="1">
      <alignment horizontal="center" vertical="center"/>
    </xf>
    <xf numFmtId="0" fontId="0" fillId="0" borderId="28" xfId="0" applyFont="1" applyBorder="1" applyAlignment="1">
      <alignment horizontal="center" vertical="center"/>
    </xf>
    <xf numFmtId="0" fontId="0" fillId="0" borderId="28" xfId="0" quotePrefix="1" applyFont="1" applyBorder="1" applyAlignment="1">
      <alignment vertical="center" wrapText="1"/>
    </xf>
    <xf numFmtId="0" fontId="129" fillId="0" borderId="0" xfId="284" applyFont="1" applyProtection="1">
      <alignment vertical="center"/>
      <protection locked="0" hidden="1"/>
    </xf>
    <xf numFmtId="0" fontId="4" fillId="0" borderId="0" xfId="284" applyFont="1">
      <alignment vertical="center"/>
    </xf>
    <xf numFmtId="0" fontId="0" fillId="0" borderId="84" xfId="0" applyFont="1" applyBorder="1" applyAlignment="1">
      <alignment vertical="center" wrapText="1"/>
    </xf>
    <xf numFmtId="0" fontId="0" fillId="0" borderId="0" xfId="0" applyFont="1">
      <alignment vertical="center"/>
    </xf>
    <xf numFmtId="0" fontId="0" fillId="0" borderId="28" xfId="0" quotePrefix="1" applyFont="1" applyFill="1" applyBorder="1" applyAlignment="1">
      <alignment vertical="center" wrapText="1"/>
    </xf>
    <xf numFmtId="0" fontId="36" fillId="0" borderId="0" xfId="43" applyFont="1" applyFill="1" applyBorder="1" applyAlignment="1" applyProtection="1">
      <alignment horizontal="left" vertical="center"/>
      <protection locked="0"/>
    </xf>
    <xf numFmtId="0" fontId="36" fillId="0" borderId="0" xfId="43" applyFont="1" applyFill="1" applyBorder="1" applyAlignment="1">
      <alignment horizontal="left" vertical="top"/>
    </xf>
    <xf numFmtId="201" fontId="36" fillId="0" borderId="0" xfId="43" applyNumberFormat="1" applyFont="1" applyFill="1" applyBorder="1" applyAlignment="1">
      <alignment horizontal="center" vertical="top"/>
    </xf>
    <xf numFmtId="0" fontId="36" fillId="0" borderId="0" xfId="43" applyFont="1" applyFill="1" applyBorder="1" applyAlignment="1">
      <alignment horizontal="center" vertical="top"/>
    </xf>
    <xf numFmtId="0" fontId="36" fillId="0" borderId="28" xfId="0" applyFont="1" applyBorder="1">
      <alignment vertical="center"/>
    </xf>
    <xf numFmtId="0" fontId="0" fillId="0" borderId="85" xfId="0" quotePrefix="1" applyFont="1" applyBorder="1" applyAlignment="1">
      <alignment vertical="center" wrapText="1"/>
    </xf>
    <xf numFmtId="14" fontId="0" fillId="0" borderId="29" xfId="0" applyNumberFormat="1" applyFont="1" applyBorder="1" applyAlignment="1">
      <alignment horizontal="center" vertical="center"/>
    </xf>
    <xf numFmtId="0" fontId="0" fillId="0" borderId="21" xfId="0" applyFont="1" applyBorder="1" applyAlignment="1">
      <alignment horizontal="center" vertical="center"/>
    </xf>
    <xf numFmtId="0" fontId="0" fillId="0" borderId="85" xfId="0" applyBorder="1" applyAlignment="1">
      <alignment horizontal="center" vertical="center" wrapText="1"/>
    </xf>
    <xf numFmtId="0" fontId="0" fillId="0" borderId="29" xfId="0" applyFont="1" applyBorder="1" applyAlignment="1">
      <alignment vertical="center" wrapText="1"/>
    </xf>
    <xf numFmtId="0" fontId="0" fillId="0" borderId="21" xfId="0" applyFont="1" applyBorder="1">
      <alignment vertical="center"/>
    </xf>
    <xf numFmtId="0" fontId="0" fillId="0" borderId="84" xfId="0" quotePrefix="1" applyBorder="1">
      <alignment vertical="center"/>
    </xf>
    <xf numFmtId="0" fontId="16" fillId="0" borderId="28" xfId="0" applyFont="1" applyFill="1" applyBorder="1" applyAlignment="1">
      <alignment vertical="center" wrapText="1"/>
    </xf>
    <xf numFmtId="0" fontId="36" fillId="25" borderId="268" xfId="43" applyFont="1" applyFill="1" applyBorder="1" applyAlignment="1" applyProtection="1">
      <alignment horizontal="left" vertical="center"/>
      <protection locked="0"/>
    </xf>
    <xf numFmtId="0" fontId="0" fillId="0" borderId="85" xfId="0" applyFont="1" applyBorder="1" applyAlignment="1">
      <alignment horizontal="center" vertical="center" wrapText="1"/>
    </xf>
    <xf numFmtId="0" fontId="0" fillId="0" borderId="85" xfId="0" applyFont="1" applyFill="1" applyBorder="1">
      <alignment vertical="center"/>
    </xf>
    <xf numFmtId="14" fontId="0" fillId="0" borderId="29" xfId="0" applyNumberFormat="1" applyFont="1" applyFill="1" applyBorder="1" applyAlignment="1">
      <alignment horizontal="center" vertical="center"/>
    </xf>
    <xf numFmtId="0" fontId="0" fillId="0" borderId="85" xfId="0" applyFont="1" applyFill="1" applyBorder="1" applyAlignment="1">
      <alignment horizontal="center" vertical="center" wrapText="1"/>
    </xf>
    <xf numFmtId="0" fontId="0" fillId="0" borderId="29" xfId="0" applyFont="1" applyFill="1" applyBorder="1" applyAlignment="1">
      <alignment vertical="center" wrapText="1"/>
    </xf>
    <xf numFmtId="0" fontId="0" fillId="0" borderId="21" xfId="0" applyFont="1" applyFill="1" applyBorder="1" applyAlignment="1">
      <alignment horizontal="center" vertical="center"/>
    </xf>
    <xf numFmtId="0" fontId="0" fillId="0" borderId="84" xfId="0" applyFont="1" applyFill="1" applyBorder="1" applyAlignment="1">
      <alignment horizontal="center" vertical="center"/>
    </xf>
    <xf numFmtId="0" fontId="0" fillId="0" borderId="21" xfId="0" applyFont="1" applyFill="1" applyBorder="1">
      <alignment vertical="center"/>
    </xf>
    <xf numFmtId="0" fontId="0" fillId="0" borderId="84" xfId="0" quotePrefix="1" applyFont="1" applyFill="1" applyBorder="1" applyAlignment="1">
      <alignment vertical="center" wrapText="1"/>
    </xf>
    <xf numFmtId="0" fontId="0" fillId="0" borderId="0" xfId="0" applyFont="1" applyAlignment="1">
      <alignment horizontal="center" vertical="center"/>
    </xf>
    <xf numFmtId="0" fontId="0" fillId="0" borderId="81" xfId="0" applyBorder="1" applyAlignment="1">
      <alignment horizontal="center" vertical="center"/>
    </xf>
    <xf numFmtId="14" fontId="0" fillId="0" borderId="81" xfId="0" applyNumberFormat="1" applyBorder="1" applyAlignment="1">
      <alignment horizontal="center" vertical="center"/>
    </xf>
    <xf numFmtId="0" fontId="0" fillId="0" borderId="81" xfId="0" applyBorder="1" applyAlignment="1">
      <alignment vertical="center" wrapText="1"/>
    </xf>
    <xf numFmtId="0" fontId="0" fillId="0" borderId="74" xfId="0" applyBorder="1" applyAlignment="1">
      <alignment horizontal="center" vertical="center"/>
    </xf>
    <xf numFmtId="0" fontId="0" fillId="0" borderId="286" xfId="0" applyBorder="1" applyAlignment="1">
      <alignment horizontal="center" vertical="center" wrapText="1"/>
    </xf>
    <xf numFmtId="0" fontId="0" fillId="0" borderId="286" xfId="0" applyBorder="1" applyAlignment="1">
      <alignment horizontal="center" vertical="center"/>
    </xf>
    <xf numFmtId="0" fontId="0" fillId="0" borderId="73" xfId="0" applyBorder="1" applyAlignment="1">
      <alignment horizontal="center" vertical="center"/>
    </xf>
    <xf numFmtId="0" fontId="0" fillId="0" borderId="83" xfId="0" applyFont="1" applyBorder="1" applyAlignment="1">
      <alignment vertical="center" wrapText="1"/>
    </xf>
    <xf numFmtId="14" fontId="0" fillId="0" borderId="28" xfId="0" applyNumberFormat="1" applyFont="1" applyBorder="1" applyAlignment="1">
      <alignment horizontal="center" vertical="center" wrapText="1"/>
    </xf>
    <xf numFmtId="0" fontId="0" fillId="0" borderId="28" xfId="0" applyFont="1" applyBorder="1" applyAlignment="1">
      <alignment horizontal="center" vertical="center" wrapText="1"/>
    </xf>
    <xf numFmtId="0" fontId="0" fillId="0" borderId="28" xfId="0" applyBorder="1" applyAlignment="1">
      <alignment horizontal="center" vertical="center"/>
    </xf>
    <xf numFmtId="0" fontId="0" fillId="0" borderId="28" xfId="0" applyBorder="1" applyAlignment="1">
      <alignment horizontal="center" vertical="center"/>
    </xf>
    <xf numFmtId="0" fontId="0" fillId="0" borderId="28" xfId="0" applyBorder="1" applyAlignment="1">
      <alignment horizontal="center" vertical="center" wrapText="1"/>
    </xf>
    <xf numFmtId="0" fontId="0" fillId="0" borderId="0" xfId="0">
      <alignment vertical="center"/>
    </xf>
    <xf numFmtId="0" fontId="211" fillId="0" borderId="0" xfId="0" applyFont="1" applyAlignment="1">
      <alignment vertical="center" wrapText="1"/>
    </xf>
    <xf numFmtId="0" fontId="0" fillId="0" borderId="0" xfId="0" applyAlignment="1">
      <alignment horizontal="center" vertical="center"/>
    </xf>
    <xf numFmtId="49" fontId="93" fillId="0" borderId="28" xfId="0" applyNumberFormat="1" applyFont="1" applyBorder="1" applyAlignment="1">
      <alignment horizontal="center" vertical="center" wrapText="1"/>
    </xf>
    <xf numFmtId="0" fontId="93" fillId="0" borderId="28" xfId="0" applyFont="1" applyBorder="1" applyAlignment="1">
      <alignment horizontal="left" vertical="center" wrapText="1"/>
    </xf>
    <xf numFmtId="49" fontId="90" fillId="0" borderId="28" xfId="0" applyNumberFormat="1" applyFont="1" applyBorder="1" applyAlignment="1">
      <alignment horizontal="center" vertical="center" wrapText="1"/>
    </xf>
    <xf numFmtId="0" fontId="90" fillId="0" borderId="28" xfId="0" applyFont="1" applyBorder="1" applyAlignment="1">
      <alignment horizontal="left" vertical="center" wrapText="1"/>
    </xf>
    <xf numFmtId="0" fontId="0" fillId="0" borderId="28" xfId="0" applyBorder="1" applyAlignment="1">
      <alignment vertical="center" wrapText="1"/>
    </xf>
    <xf numFmtId="0" fontId="37" fillId="24" borderId="80" xfId="43" applyFont="1" applyFill="1" applyBorder="1" applyAlignment="1">
      <alignment horizontal="center" vertical="center" wrapText="1"/>
    </xf>
    <xf numFmtId="0" fontId="37" fillId="24" borderId="51" xfId="43" applyFont="1" applyFill="1" applyBorder="1" applyAlignment="1">
      <alignment horizontal="center" vertical="center"/>
    </xf>
    <xf numFmtId="0" fontId="37" fillId="24" borderId="55" xfId="43" applyFont="1" applyFill="1" applyBorder="1" applyAlignment="1">
      <alignment horizontal="center" vertical="center"/>
    </xf>
    <xf numFmtId="0" fontId="35" fillId="0" borderId="17" xfId="0" applyFont="1" applyBorder="1" applyAlignment="1">
      <alignment horizontal="center" vertical="center" wrapText="1"/>
    </xf>
    <xf numFmtId="0" fontId="35" fillId="24" borderId="17" xfId="0" applyFont="1" applyFill="1" applyBorder="1" applyAlignment="1">
      <alignment horizontal="center" vertical="center"/>
    </xf>
    <xf numFmtId="0" fontId="0" fillId="0" borderId="28" xfId="0" applyBorder="1" applyAlignment="1">
      <alignment horizontal="center" vertical="center"/>
    </xf>
    <xf numFmtId="49" fontId="90" fillId="0" borderId="181" xfId="0" applyNumberFormat="1" applyFont="1" applyBorder="1" applyAlignment="1">
      <alignment horizontal="center" vertical="center" wrapText="1"/>
    </xf>
    <xf numFmtId="0" fontId="90" fillId="0" borderId="186" xfId="0" applyFont="1" applyBorder="1" applyAlignment="1">
      <alignment horizontal="left" vertical="top" wrapText="1"/>
    </xf>
    <xf numFmtId="0" fontId="90" fillId="0" borderId="183" xfId="0" applyFont="1" applyBorder="1" applyAlignment="1">
      <alignment vertical="center" wrapText="1"/>
    </xf>
    <xf numFmtId="0" fontId="90" fillId="0" borderId="181" xfId="0" applyFont="1" applyBorder="1" applyAlignment="1">
      <alignment horizontal="left" vertical="top" wrapText="1"/>
    </xf>
    <xf numFmtId="0" fontId="90" fillId="0" borderId="185" xfId="0" applyFont="1" applyBorder="1" applyAlignment="1">
      <alignment horizontal="left" vertical="top" wrapText="1"/>
    </xf>
    <xf numFmtId="0" fontId="90" fillId="0" borderId="200" xfId="0" applyFont="1" applyBorder="1" applyAlignment="1">
      <alignment horizontal="left" vertical="top" wrapText="1"/>
    </xf>
    <xf numFmtId="0" fontId="90" fillId="0" borderId="182" xfId="0" applyFont="1" applyBorder="1" applyAlignment="1">
      <alignment horizontal="left" vertical="top" wrapText="1"/>
    </xf>
    <xf numFmtId="0" fontId="90" fillId="0" borderId="200" xfId="0" applyFont="1" applyBorder="1" applyAlignment="1">
      <alignment horizontal="left" vertical="center" shrinkToFit="1"/>
    </xf>
    <xf numFmtId="0" fontId="90" fillId="0" borderId="201" xfId="0" applyFont="1" applyBorder="1" applyAlignment="1">
      <alignment horizontal="left" vertical="top" wrapText="1"/>
    </xf>
    <xf numFmtId="0" fontId="90" fillId="0" borderId="189" xfId="0" applyFont="1" applyBorder="1" applyAlignment="1">
      <alignment vertical="center" wrapText="1" shrinkToFit="1"/>
    </xf>
    <xf numFmtId="0" fontId="90" fillId="0" borderId="202" xfId="0" applyFont="1" applyBorder="1" applyAlignment="1">
      <alignment horizontal="left" vertical="top" wrapText="1"/>
    </xf>
    <xf numFmtId="202" fontId="90" fillId="0" borderId="195" xfId="0" applyNumberFormat="1" applyFont="1" applyBorder="1" applyAlignment="1">
      <alignment vertical="center" shrinkToFit="1"/>
    </xf>
    <xf numFmtId="202" fontId="90" fillId="0" borderId="182" xfId="0" applyNumberFormat="1" applyFont="1" applyBorder="1" applyAlignment="1">
      <alignment vertical="center" shrinkToFit="1"/>
    </xf>
    <xf numFmtId="202" fontId="90" fillId="0" borderId="181" xfId="0" applyNumberFormat="1" applyFont="1" applyBorder="1" applyAlignment="1">
      <alignment vertical="center" shrinkToFit="1"/>
    </xf>
    <xf numFmtId="49" fontId="90" fillId="0" borderId="181" xfId="0" applyNumberFormat="1" applyFont="1" applyBorder="1" applyAlignment="1">
      <alignment horizontal="center" vertical="top" wrapText="1"/>
    </xf>
    <xf numFmtId="0" fontId="90" fillId="0" borderId="183" xfId="0" applyFont="1" applyBorder="1" applyAlignment="1">
      <alignment horizontal="center" vertical="top" wrapText="1"/>
    </xf>
    <xf numFmtId="0" fontId="90" fillId="0" borderId="184" xfId="0" applyFont="1" applyBorder="1" applyAlignment="1">
      <alignment horizontal="center" vertical="center" wrapText="1" shrinkToFit="1"/>
    </xf>
    <xf numFmtId="0" fontId="90" fillId="0" borderId="187" xfId="0" applyFont="1" applyBorder="1" applyAlignment="1">
      <alignment horizontal="center" vertical="center" shrinkToFit="1"/>
    </xf>
    <xf numFmtId="184" fontId="90" fillId="0" borderId="192" xfId="0" applyNumberFormat="1" applyFont="1" applyBorder="1" applyAlignment="1">
      <alignment vertical="center" shrinkToFit="1"/>
    </xf>
    <xf numFmtId="184" fontId="91" fillId="0" borderId="193" xfId="0" applyNumberFormat="1" applyFont="1" applyBorder="1" applyAlignment="1">
      <alignment vertical="top" wrapText="1"/>
    </xf>
    <xf numFmtId="184" fontId="90" fillId="0" borderId="194" xfId="0" applyNumberFormat="1" applyFont="1" applyBorder="1" applyAlignment="1">
      <alignment vertical="center" shrinkToFit="1"/>
    </xf>
    <xf numFmtId="184" fontId="90" fillId="0" borderId="193" xfId="0" applyNumberFormat="1" applyFont="1" applyBorder="1" applyAlignment="1">
      <alignment vertical="center" shrinkToFit="1"/>
    </xf>
    <xf numFmtId="0" fontId="90" fillId="0" borderId="195" xfId="0" applyFont="1" applyBorder="1" applyAlignment="1">
      <alignment vertical="center" shrinkToFit="1"/>
    </xf>
    <xf numFmtId="202" fontId="90" fillId="0" borderId="186" xfId="0" applyNumberFormat="1" applyFont="1" applyBorder="1" applyAlignment="1">
      <alignment vertical="center" shrinkToFit="1"/>
    </xf>
    <xf numFmtId="38" fontId="36" fillId="0" borderId="28" xfId="0" applyNumberFormat="1" applyFont="1" applyBorder="1">
      <alignment vertical="center"/>
    </xf>
    <xf numFmtId="0" fontId="0" fillId="0" borderId="28" xfId="0" applyNumberFormat="1" applyBorder="1">
      <alignment vertical="center"/>
    </xf>
    <xf numFmtId="0" fontId="0" fillId="0" borderId="0" xfId="0">
      <alignment vertical="center"/>
    </xf>
    <xf numFmtId="14" fontId="0" fillId="0" borderId="28" xfId="0" applyNumberFormat="1" applyBorder="1" applyAlignment="1">
      <alignment horizontal="center" vertical="center" wrapText="1"/>
    </xf>
    <xf numFmtId="0" fontId="0" fillId="0" borderId="0" xfId="0">
      <alignment vertical="center"/>
    </xf>
    <xf numFmtId="0" fontId="2" fillId="30" borderId="62" xfId="284" applyFont="1" applyFill="1" applyBorder="1" applyAlignment="1">
      <alignment horizontal="center" vertical="center"/>
    </xf>
    <xf numFmtId="38" fontId="106" fillId="0" borderId="403" xfId="284" applyNumberFormat="1" applyFont="1" applyBorder="1" applyAlignment="1">
      <alignment horizontal="right" vertical="center" wrapText="1" shrinkToFit="1"/>
    </xf>
    <xf numFmtId="38" fontId="106" fillId="0" borderId="28" xfId="284" applyNumberFormat="1" applyFont="1" applyBorder="1" applyAlignment="1">
      <alignment horizontal="right" vertical="center" wrapText="1" shrinkToFit="1"/>
    </xf>
    <xf numFmtId="0" fontId="218" fillId="53" borderId="84" xfId="0" applyFont="1" applyFill="1" applyBorder="1">
      <alignment vertical="center"/>
    </xf>
    <xf numFmtId="0" fontId="100" fillId="54" borderId="28" xfId="0" applyFont="1" applyFill="1" applyBorder="1" applyAlignment="1">
      <alignment horizontal="center" vertical="center" wrapText="1"/>
    </xf>
    <xf numFmtId="0" fontId="231" fillId="53" borderId="85" xfId="0" applyFont="1" applyFill="1" applyBorder="1">
      <alignment vertical="center"/>
    </xf>
    <xf numFmtId="0" fontId="0" fillId="0" borderId="0" xfId="0">
      <alignment vertical="center"/>
    </xf>
    <xf numFmtId="0" fontId="0" fillId="0" borderId="0" xfId="0">
      <alignment vertical="center"/>
    </xf>
    <xf numFmtId="0" fontId="0" fillId="0" borderId="28" xfId="0" applyBorder="1" applyAlignment="1">
      <alignment horizontal="center" vertical="center"/>
    </xf>
    <xf numFmtId="0" fontId="0" fillId="0" borderId="0" xfId="0">
      <alignment vertical="center"/>
    </xf>
    <xf numFmtId="0" fontId="0" fillId="0" borderId="28" xfId="0" applyBorder="1" applyAlignment="1">
      <alignment horizontal="center" vertical="center"/>
    </xf>
    <xf numFmtId="0" fontId="0" fillId="0" borderId="19" xfId="0" applyBorder="1" applyAlignment="1">
      <alignment vertical="center"/>
    </xf>
    <xf numFmtId="0" fontId="0" fillId="0" borderId="141" xfId="0" applyBorder="1" applyAlignment="1">
      <alignment vertical="center"/>
    </xf>
    <xf numFmtId="0" fontId="0" fillId="0" borderId="82" xfId="0" applyBorder="1" applyAlignment="1">
      <alignment vertical="center"/>
    </xf>
    <xf numFmtId="0" fontId="0" fillId="0" borderId="89" xfId="0" applyBorder="1" applyAlignment="1">
      <alignment vertical="center"/>
    </xf>
    <xf numFmtId="0" fontId="0" fillId="0" borderId="140" xfId="0" applyBorder="1" applyAlignment="1">
      <alignment vertical="center"/>
    </xf>
    <xf numFmtId="0" fontId="0" fillId="0" borderId="149" xfId="0" applyBorder="1" applyAlignment="1">
      <alignment vertical="center"/>
    </xf>
    <xf numFmtId="0" fontId="100" fillId="53" borderId="100" xfId="0" applyFont="1" applyFill="1" applyBorder="1" applyAlignment="1">
      <alignment horizontal="center" vertical="top" wrapText="1"/>
    </xf>
    <xf numFmtId="0" fontId="100" fillId="53" borderId="96" xfId="0" applyFont="1" applyFill="1" applyBorder="1" applyAlignment="1">
      <alignment horizontal="center" vertical="top" wrapText="1"/>
    </xf>
    <xf numFmtId="0" fontId="98" fillId="54" borderId="359" xfId="0" applyFont="1" applyFill="1" applyBorder="1" applyAlignment="1">
      <alignment horizontal="center" vertical="top" wrapText="1"/>
    </xf>
    <xf numFmtId="0" fontId="98" fillId="54" borderId="391" xfId="0" applyFont="1" applyFill="1" applyBorder="1" applyAlignment="1">
      <alignment horizontal="center" vertical="top" wrapText="1"/>
    </xf>
    <xf numFmtId="49" fontId="218" fillId="0" borderId="0" xfId="0" applyNumberFormat="1" applyFont="1" applyAlignment="1">
      <alignment horizontal="center" vertical="center"/>
    </xf>
    <xf numFmtId="0" fontId="99" fillId="53" borderId="360" xfId="0" applyFont="1" applyFill="1" applyBorder="1" applyAlignment="1">
      <alignment horizontal="center" vertical="top" wrapText="1"/>
    </xf>
    <xf numFmtId="0" fontId="99" fillId="53" borderId="392" xfId="0" applyFont="1" applyFill="1" applyBorder="1" applyAlignment="1">
      <alignment horizontal="center" vertical="top" wrapText="1"/>
    </xf>
    <xf numFmtId="0" fontId="100" fillId="54" borderId="350" xfId="0" applyFont="1" applyFill="1" applyBorder="1" applyAlignment="1">
      <alignment horizontal="center" vertical="center" wrapText="1"/>
    </xf>
    <xf numFmtId="0" fontId="100" fillId="54" borderId="372" xfId="0" applyFont="1" applyFill="1" applyBorder="1" applyAlignment="1">
      <alignment horizontal="center" vertical="center" wrapText="1"/>
    </xf>
    <xf numFmtId="0" fontId="98" fillId="54" borderId="358" xfId="0" applyFont="1" applyFill="1" applyBorder="1" applyAlignment="1">
      <alignment horizontal="center" vertical="top" wrapText="1"/>
    </xf>
    <xf numFmtId="0" fontId="98" fillId="54" borderId="390" xfId="0" applyFont="1" applyFill="1" applyBorder="1" applyAlignment="1">
      <alignment horizontal="center" vertical="top" wrapText="1"/>
    </xf>
    <xf numFmtId="0" fontId="100" fillId="53" borderId="344" xfId="0" applyFont="1" applyFill="1" applyBorder="1" applyAlignment="1">
      <alignment horizontal="center" vertical="center" wrapText="1"/>
    </xf>
    <xf numFmtId="0" fontId="100" fillId="53" borderId="60" xfId="0" applyFont="1" applyFill="1" applyBorder="1" applyAlignment="1">
      <alignment horizontal="center" vertical="center" wrapText="1"/>
    </xf>
    <xf numFmtId="0" fontId="100" fillId="53" borderId="225" xfId="0" applyFont="1" applyFill="1" applyBorder="1" applyAlignment="1">
      <alignment horizontal="center" vertical="center" wrapText="1"/>
    </xf>
    <xf numFmtId="0" fontId="100" fillId="53" borderId="25" xfId="0" applyFont="1" applyFill="1" applyBorder="1" applyAlignment="1">
      <alignment horizontal="center" vertical="center"/>
    </xf>
    <xf numFmtId="0" fontId="100" fillId="53" borderId="59" xfId="0" applyFont="1" applyFill="1" applyBorder="1" applyAlignment="1">
      <alignment horizontal="center" vertical="center"/>
    </xf>
    <xf numFmtId="0" fontId="100" fillId="53" borderId="54" xfId="0" applyFont="1" applyFill="1" applyBorder="1" applyAlignment="1">
      <alignment horizontal="center" vertical="center"/>
    </xf>
    <xf numFmtId="0" fontId="100" fillId="54" borderId="29" xfId="0" applyFont="1" applyFill="1" applyBorder="1" applyAlignment="1">
      <alignment horizontal="center" vertical="center" wrapText="1"/>
    </xf>
    <xf numFmtId="0" fontId="100" fillId="54" borderId="61" xfId="0" applyFont="1" applyFill="1" applyBorder="1" applyAlignment="1">
      <alignment horizontal="center" vertical="center" wrapText="1"/>
    </xf>
    <xf numFmtId="0" fontId="100" fillId="54" borderId="25" xfId="0" applyFont="1" applyFill="1" applyBorder="1" applyAlignment="1">
      <alignment horizontal="center" vertical="center" wrapText="1"/>
    </xf>
    <xf numFmtId="0" fontId="100" fillId="54" borderId="59" xfId="0" applyFont="1" applyFill="1" applyBorder="1" applyAlignment="1">
      <alignment horizontal="center" vertical="center" wrapText="1"/>
    </xf>
    <xf numFmtId="0" fontId="100" fillId="54" borderId="54" xfId="0" applyFont="1" applyFill="1" applyBorder="1" applyAlignment="1">
      <alignment horizontal="center" vertical="center" wrapText="1"/>
    </xf>
    <xf numFmtId="0" fontId="100" fillId="53" borderId="28" xfId="0" applyFont="1" applyFill="1" applyBorder="1" applyAlignment="1">
      <alignment horizontal="left" vertical="top"/>
    </xf>
    <xf numFmtId="49" fontId="100" fillId="54" borderId="29" xfId="0" applyNumberFormat="1" applyFont="1" applyFill="1" applyBorder="1" applyAlignment="1">
      <alignment horizontal="center" vertical="center" wrapText="1"/>
    </xf>
    <xf numFmtId="49" fontId="100" fillId="54" borderId="60" xfId="0" applyNumberFormat="1" applyFont="1" applyFill="1" applyBorder="1" applyAlignment="1">
      <alignment horizontal="center" vertical="center" wrapText="1"/>
    </xf>
    <xf numFmtId="0" fontId="90" fillId="0" borderId="62" xfId="0" applyFont="1" applyBorder="1" applyAlignment="1">
      <alignment vertical="center" wrapText="1"/>
    </xf>
    <xf numFmtId="0" fontId="90" fillId="0" borderId="62" xfId="0" applyFont="1" applyBorder="1">
      <alignment vertical="center"/>
    </xf>
    <xf numFmtId="0" fontId="99" fillId="53" borderId="382" xfId="0" applyFont="1" applyFill="1" applyBorder="1" applyAlignment="1">
      <alignment horizontal="left" vertical="top" wrapText="1"/>
    </xf>
    <xf numFmtId="0" fontId="99" fillId="53" borderId="71" xfId="0" applyFont="1" applyFill="1" applyBorder="1" applyAlignment="1">
      <alignment horizontal="left" vertical="top" wrapText="1"/>
    </xf>
    <xf numFmtId="0" fontId="100" fillId="53" borderId="340" xfId="0" applyFont="1" applyFill="1" applyBorder="1" applyAlignment="1">
      <alignment horizontal="center" vertical="center" wrapText="1"/>
    </xf>
    <xf numFmtId="0" fontId="100" fillId="53" borderId="342" xfId="0" applyFont="1" applyFill="1" applyBorder="1" applyAlignment="1">
      <alignment horizontal="center" vertical="center" wrapText="1"/>
    </xf>
    <xf numFmtId="0" fontId="100" fillId="53" borderId="346" xfId="0" applyFont="1" applyFill="1" applyBorder="1" applyAlignment="1">
      <alignment horizontal="center" vertical="center" wrapText="1"/>
    </xf>
    <xf numFmtId="0" fontId="99" fillId="54" borderId="350" xfId="0" applyFont="1" applyFill="1" applyBorder="1" applyAlignment="1">
      <alignment horizontal="left" vertical="top" wrapText="1"/>
    </xf>
    <xf numFmtId="0" fontId="99" fillId="54" borderId="372" xfId="0" applyFont="1" applyFill="1" applyBorder="1" applyAlignment="1">
      <alignment horizontal="left" vertical="top" wrapText="1"/>
    </xf>
    <xf numFmtId="0" fontId="98" fillId="54" borderId="385" xfId="0" applyFont="1" applyFill="1" applyBorder="1" applyAlignment="1">
      <alignment horizontal="center" vertical="top" wrapText="1"/>
    </xf>
    <xf numFmtId="0" fontId="98" fillId="54" borderId="96" xfId="0" applyFont="1" applyFill="1" applyBorder="1" applyAlignment="1">
      <alignment horizontal="center" vertical="top" wrapText="1"/>
    </xf>
    <xf numFmtId="0" fontId="0" fillId="0" borderId="0" xfId="0" applyAlignment="1" applyProtection="1">
      <alignment vertical="center"/>
      <protection locked="0"/>
    </xf>
    <xf numFmtId="0" fontId="0" fillId="0" borderId="0" xfId="0" applyAlignment="1">
      <alignment vertical="top" wrapText="1"/>
    </xf>
    <xf numFmtId="0" fontId="0" fillId="0" borderId="0" xfId="0">
      <alignment vertical="center"/>
    </xf>
    <xf numFmtId="0" fontId="0" fillId="0" borderId="0" xfId="0" applyAlignment="1">
      <alignment horizontal="center" vertical="center"/>
    </xf>
    <xf numFmtId="0" fontId="0" fillId="0" borderId="0" xfId="0" applyAlignment="1">
      <alignment horizontal="left" vertical="top" wrapText="1"/>
    </xf>
    <xf numFmtId="0" fontId="44" fillId="0" borderId="0" xfId="282" applyAlignment="1">
      <alignment horizontal="left" vertical="center" wrapText="1"/>
    </xf>
    <xf numFmtId="0" fontId="0" fillId="0" borderId="0" xfId="0" applyAlignment="1">
      <alignment horizontal="left" vertical="center"/>
    </xf>
    <xf numFmtId="0" fontId="0" fillId="0" borderId="80"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25" borderId="80" xfId="0" applyFill="1" applyBorder="1" applyAlignment="1" applyProtection="1">
      <alignment horizontal="center" vertical="center"/>
      <protection locked="0"/>
    </xf>
    <xf numFmtId="0" fontId="0" fillId="25" borderId="16" xfId="0" applyFill="1" applyBorder="1" applyAlignment="1" applyProtection="1">
      <alignment horizontal="center" vertical="center"/>
      <protection locked="0"/>
    </xf>
    <xf numFmtId="0" fontId="0" fillId="25" borderId="15" xfId="0" applyFill="1" applyBorder="1" applyAlignment="1" applyProtection="1">
      <alignment horizontal="center" vertical="center"/>
      <protection locked="0"/>
    </xf>
    <xf numFmtId="0" fontId="0" fillId="0" borderId="156" xfId="0" applyBorder="1" applyAlignment="1">
      <alignment vertical="center" wrapText="1"/>
    </xf>
    <xf numFmtId="0" fontId="211" fillId="0" borderId="0" xfId="0" applyFont="1" applyAlignment="1">
      <alignment vertical="center" wrapText="1"/>
    </xf>
    <xf numFmtId="0" fontId="0" fillId="0" borderId="0" xfId="0" applyAlignment="1">
      <alignment vertical="center"/>
    </xf>
    <xf numFmtId="0" fontId="103" fillId="0" borderId="0" xfId="0" applyFont="1" applyAlignment="1">
      <alignment horizontal="center" vertical="center"/>
    </xf>
    <xf numFmtId="0" fontId="0" fillId="0" borderId="0" xfId="0" applyAlignment="1">
      <alignment horizontal="left" vertical="center" wrapText="1"/>
    </xf>
    <xf numFmtId="0" fontId="106" fillId="30" borderId="59" xfId="284" applyFont="1" applyFill="1" applyBorder="1" applyAlignment="1" applyProtection="1">
      <alignment horizontal="center" vertical="center" wrapText="1"/>
      <protection locked="0"/>
    </xf>
    <xf numFmtId="0" fontId="106" fillId="30" borderId="54" xfId="284" applyFont="1" applyFill="1" applyBorder="1" applyAlignment="1" applyProtection="1">
      <alignment horizontal="center" vertical="center" wrapText="1"/>
      <protection locked="0"/>
    </xf>
    <xf numFmtId="179" fontId="106" fillId="30" borderId="59" xfId="284" applyNumberFormat="1" applyFont="1" applyFill="1" applyBorder="1" applyAlignment="1" applyProtection="1">
      <alignment horizontal="center" vertical="center" shrinkToFit="1"/>
      <protection locked="0"/>
    </xf>
    <xf numFmtId="179" fontId="106" fillId="30" borderId="54" xfId="284" applyNumberFormat="1" applyFont="1" applyFill="1" applyBorder="1" applyAlignment="1" applyProtection="1">
      <alignment horizontal="center" vertical="center" shrinkToFit="1"/>
      <protection locked="0"/>
    </xf>
    <xf numFmtId="0" fontId="118" fillId="0" borderId="303" xfId="0" applyFont="1" applyBorder="1" applyAlignment="1">
      <alignment horizontal="center" vertical="center" wrapText="1" shrinkToFit="1"/>
    </xf>
    <xf numFmtId="0" fontId="12" fillId="30" borderId="232" xfId="284" applyFill="1" applyBorder="1" applyAlignment="1" applyProtection="1">
      <alignment horizontal="left" shrinkToFit="1"/>
      <protection locked="0"/>
    </xf>
    <xf numFmtId="0" fontId="12" fillId="30" borderId="304" xfId="284" applyFill="1" applyBorder="1" applyAlignment="1" applyProtection="1">
      <alignment horizontal="left" shrinkToFit="1"/>
      <protection locked="0"/>
    </xf>
    <xf numFmtId="0" fontId="73" fillId="30" borderId="25" xfId="284" applyFont="1" applyFill="1" applyBorder="1" applyAlignment="1">
      <alignment horizontal="left" vertical="center" wrapText="1" indent="2" shrinkToFit="1"/>
    </xf>
    <xf numFmtId="0" fontId="73" fillId="30" borderId="59" xfId="284" applyFont="1" applyFill="1" applyBorder="1" applyAlignment="1">
      <alignment horizontal="left" vertical="center" wrapText="1" indent="2" shrinkToFit="1"/>
    </xf>
    <xf numFmtId="0" fontId="73" fillId="30" borderId="54" xfId="284" applyFont="1" applyFill="1" applyBorder="1" applyAlignment="1">
      <alignment horizontal="left" vertical="center" wrapText="1" indent="2" shrinkToFit="1"/>
    </xf>
    <xf numFmtId="0" fontId="106" fillId="30" borderId="28" xfId="284" applyFont="1" applyFill="1" applyBorder="1" applyAlignment="1">
      <alignment horizontal="center" vertical="center" shrinkToFit="1"/>
    </xf>
    <xf numFmtId="0" fontId="12" fillId="33" borderId="25" xfId="284" applyFill="1" applyBorder="1" applyAlignment="1">
      <alignment horizontal="left" vertical="center" shrinkToFit="1"/>
    </xf>
    <xf numFmtId="0" fontId="12" fillId="33" borderId="59" xfId="284" applyFill="1" applyBorder="1" applyAlignment="1">
      <alignment horizontal="left" vertical="center" shrinkToFit="1"/>
    </xf>
    <xf numFmtId="0" fontId="12" fillId="25" borderId="247" xfId="284" applyFill="1" applyBorder="1" applyAlignment="1" applyProtection="1">
      <alignment horizontal="left" vertical="center" shrinkToFit="1"/>
      <protection locked="0"/>
    </xf>
    <xf numFmtId="0" fontId="12" fillId="25" borderId="28" xfId="284" applyFill="1" applyBorder="1" applyAlignment="1" applyProtection="1">
      <alignment horizontal="left" vertical="center" shrinkToFit="1"/>
      <protection locked="0"/>
    </xf>
    <xf numFmtId="0" fontId="12" fillId="25" borderId="252" xfId="284" applyFill="1" applyBorder="1" applyAlignment="1" applyProtection="1">
      <alignment horizontal="left" vertical="center" shrinkToFit="1"/>
      <protection locked="0"/>
    </xf>
    <xf numFmtId="0" fontId="12" fillId="25" borderId="235" xfId="284" applyFill="1" applyBorder="1" applyAlignment="1" applyProtection="1">
      <alignment horizontal="left" vertical="center" shrinkToFit="1"/>
      <protection locked="0"/>
    </xf>
    <xf numFmtId="0" fontId="73" fillId="30" borderId="25" xfId="284" applyFont="1" applyFill="1" applyBorder="1" applyAlignment="1">
      <alignment horizontal="left" vertical="center" wrapText="1" indent="1" shrinkToFit="1"/>
    </xf>
    <xf numFmtId="0" fontId="73" fillId="30" borderId="59" xfId="284" applyFont="1" applyFill="1" applyBorder="1" applyAlignment="1">
      <alignment horizontal="left" vertical="center" wrapText="1" indent="1" shrinkToFit="1"/>
    </xf>
    <xf numFmtId="0" fontId="73" fillId="30" borderId="54" xfId="284" applyFont="1" applyFill="1" applyBorder="1" applyAlignment="1">
      <alignment horizontal="left" vertical="center" wrapText="1" indent="1" shrinkToFit="1"/>
    </xf>
    <xf numFmtId="0" fontId="106" fillId="30" borderId="25" xfId="284" applyFont="1" applyFill="1" applyBorder="1" applyAlignment="1">
      <alignment horizontal="center" vertical="center" shrinkToFit="1"/>
    </xf>
    <xf numFmtId="0" fontId="106" fillId="30" borderId="59" xfId="284" applyFont="1" applyFill="1" applyBorder="1" applyAlignment="1">
      <alignment horizontal="center" vertical="center" shrinkToFit="1"/>
    </xf>
    <xf numFmtId="0" fontId="73" fillId="30" borderId="59" xfId="284" applyFont="1" applyFill="1" applyBorder="1" applyAlignment="1">
      <alignment horizontal="left" vertical="center" indent="2" shrinkToFit="1"/>
    </xf>
    <xf numFmtId="0" fontId="73" fillId="30" borderId="54" xfId="284" applyFont="1" applyFill="1" applyBorder="1" applyAlignment="1">
      <alignment horizontal="left" vertical="center" indent="2" shrinkToFit="1"/>
    </xf>
    <xf numFmtId="0" fontId="102" fillId="30" borderId="84" xfId="284" applyFont="1" applyFill="1" applyBorder="1" applyAlignment="1">
      <alignment horizontal="left" vertical="center" indent="1"/>
    </xf>
    <xf numFmtId="0" fontId="73" fillId="30" borderId="29" xfId="284" applyFont="1" applyFill="1" applyBorder="1" applyAlignment="1">
      <alignment horizontal="left" vertical="center" wrapText="1" indent="1" shrinkToFit="1"/>
    </xf>
    <xf numFmtId="0" fontId="73" fillId="30" borderId="60" xfId="284" applyFont="1" applyFill="1" applyBorder="1" applyAlignment="1">
      <alignment horizontal="left" vertical="center" wrapText="1" indent="1" shrinkToFit="1"/>
    </xf>
    <xf numFmtId="0" fontId="73" fillId="30" borderId="61" xfId="284" applyFont="1" applyFill="1" applyBorder="1" applyAlignment="1">
      <alignment horizontal="left" vertical="center" wrapText="1" indent="1" shrinkToFit="1"/>
    </xf>
    <xf numFmtId="0" fontId="106" fillId="30" borderId="25" xfId="284" applyFont="1" applyFill="1" applyBorder="1" applyAlignment="1">
      <alignment horizontal="left" vertical="center" shrinkToFit="1"/>
    </xf>
    <xf numFmtId="0" fontId="106" fillId="30" borderId="59" xfId="284" applyFont="1" applyFill="1" applyBorder="1" applyAlignment="1">
      <alignment horizontal="left" vertical="center" shrinkToFit="1"/>
    </xf>
    <xf numFmtId="0" fontId="106" fillId="30" borderId="54" xfId="284" applyFont="1" applyFill="1" applyBorder="1" applyAlignment="1">
      <alignment horizontal="left" vertical="center" shrinkToFit="1"/>
    </xf>
    <xf numFmtId="0" fontId="16" fillId="30" borderId="32" xfId="284" applyFont="1" applyFill="1" applyBorder="1" applyAlignment="1">
      <alignment horizontal="center" vertical="center" wrapText="1" shrinkToFit="1"/>
    </xf>
    <xf numFmtId="0" fontId="16" fillId="30" borderId="0" xfId="284" applyFont="1" applyFill="1" applyAlignment="1">
      <alignment horizontal="center" vertical="center" wrapText="1" shrinkToFit="1"/>
    </xf>
    <xf numFmtId="0" fontId="16" fillId="30" borderId="33" xfId="284" applyFont="1" applyFill="1" applyBorder="1" applyAlignment="1">
      <alignment horizontal="center" vertical="center" wrapText="1" shrinkToFit="1"/>
    </xf>
    <xf numFmtId="0" fontId="106" fillId="30" borderId="29" xfId="284" applyFont="1" applyFill="1" applyBorder="1" applyAlignment="1">
      <alignment horizontal="center" vertical="center" shrinkToFit="1"/>
    </xf>
    <xf numFmtId="0" fontId="106" fillId="30" borderId="60" xfId="284" applyFont="1" applyFill="1" applyBorder="1" applyAlignment="1">
      <alignment horizontal="center" vertical="center" shrinkToFit="1"/>
    </xf>
    <xf numFmtId="0" fontId="106" fillId="30" borderId="61" xfId="284" applyFont="1" applyFill="1" applyBorder="1" applyAlignment="1">
      <alignment horizontal="center" vertical="center" shrinkToFit="1"/>
    </xf>
    <xf numFmtId="0" fontId="106" fillId="30" borderId="85" xfId="284" applyFont="1" applyFill="1" applyBorder="1" applyAlignment="1">
      <alignment horizontal="left" vertical="center" indent="1"/>
    </xf>
    <xf numFmtId="0" fontId="106" fillId="30" borderId="83" xfId="284" applyFont="1" applyFill="1" applyBorder="1" applyAlignment="1">
      <alignment horizontal="left" vertical="center" indent="1"/>
    </xf>
    <xf numFmtId="0" fontId="118" fillId="25" borderId="227" xfId="0" applyFont="1" applyFill="1" applyBorder="1" applyAlignment="1" applyProtection="1">
      <alignment horizontal="center" vertical="center" wrapText="1" shrinkToFit="1"/>
      <protection locked="0"/>
    </xf>
    <xf numFmtId="0" fontId="118" fillId="25" borderId="259" xfId="0" applyFont="1" applyFill="1" applyBorder="1" applyAlignment="1" applyProtection="1">
      <alignment horizontal="center" vertical="center" wrapText="1" shrinkToFit="1"/>
      <protection locked="0"/>
    </xf>
    <xf numFmtId="0" fontId="118" fillId="25" borderId="271" xfId="0" applyFont="1" applyFill="1" applyBorder="1" applyAlignment="1" applyProtection="1">
      <alignment horizontal="center" vertical="center" wrapText="1" shrinkToFit="1"/>
      <protection locked="0"/>
    </xf>
    <xf numFmtId="0" fontId="118" fillId="25" borderId="273" xfId="0" applyFont="1" applyFill="1" applyBorder="1" applyAlignment="1" applyProtection="1">
      <alignment horizontal="center" vertical="center" wrapText="1" shrinkToFit="1"/>
      <protection locked="0"/>
    </xf>
    <xf numFmtId="0" fontId="106" fillId="30" borderId="280" xfId="284" applyFont="1" applyFill="1" applyBorder="1" applyAlignment="1">
      <alignment horizontal="left" vertical="center" wrapText="1" shrinkToFit="1"/>
    </xf>
    <xf numFmtId="0" fontId="106" fillId="30" borderId="281" xfId="284" applyFont="1" applyFill="1" applyBorder="1" applyAlignment="1">
      <alignment horizontal="left" vertical="center" wrapText="1" shrinkToFit="1"/>
    </xf>
    <xf numFmtId="0" fontId="16" fillId="30" borderId="21" xfId="284" applyFont="1" applyFill="1" applyBorder="1" applyAlignment="1">
      <alignment horizontal="left" vertical="center" wrapText="1" indent="1" shrinkToFit="1"/>
    </xf>
    <xf numFmtId="0" fontId="16" fillId="30" borderId="62" xfId="284" applyFont="1" applyFill="1" applyBorder="1" applyAlignment="1">
      <alignment horizontal="left" vertical="center" wrapText="1" indent="1" shrinkToFit="1"/>
    </xf>
    <xf numFmtId="0" fontId="16" fillId="30" borderId="50" xfId="284" applyFont="1" applyFill="1" applyBorder="1" applyAlignment="1">
      <alignment horizontal="left" vertical="center" wrapText="1" indent="1" shrinkToFit="1"/>
    </xf>
    <xf numFmtId="0" fontId="12" fillId="25" borderId="243" xfId="284" applyFill="1" applyBorder="1" applyAlignment="1" applyProtection="1">
      <alignment horizontal="left" vertical="center" shrinkToFit="1"/>
      <protection locked="0"/>
    </xf>
    <xf numFmtId="0" fontId="12" fillId="25" borderId="244" xfId="284" applyFill="1" applyBorder="1" applyAlignment="1" applyProtection="1">
      <alignment horizontal="left" vertical="center" shrinkToFit="1"/>
      <protection locked="0"/>
    </xf>
    <xf numFmtId="0" fontId="12" fillId="30" borderId="83" xfId="284" applyFill="1" applyBorder="1" applyAlignment="1">
      <alignment horizontal="right" vertical="center"/>
    </xf>
    <xf numFmtId="0" fontId="73" fillId="30" borderId="29" xfId="284" applyFont="1" applyFill="1" applyBorder="1" applyAlignment="1">
      <alignment horizontal="center" vertical="center" textRotation="255" shrinkToFit="1"/>
    </xf>
    <xf numFmtId="0" fontId="73" fillId="30" borderId="32" xfId="284" applyFont="1" applyFill="1" applyBorder="1" applyAlignment="1">
      <alignment horizontal="center" vertical="center" textRotation="255" shrinkToFit="1"/>
    </xf>
    <xf numFmtId="0" fontId="73" fillId="30" borderId="83" xfId="284" applyFont="1" applyFill="1" applyBorder="1" applyAlignment="1">
      <alignment horizontal="center" vertical="center" textRotation="255" shrinkToFit="1"/>
    </xf>
    <xf numFmtId="0" fontId="118" fillId="0" borderId="247" xfId="0" applyFont="1" applyBorder="1" applyAlignment="1">
      <alignment horizontal="center" vertical="center" wrapText="1" shrinkToFit="1"/>
    </xf>
    <xf numFmtId="0" fontId="0" fillId="0" borderId="28" xfId="0" applyBorder="1" applyAlignment="1">
      <alignment horizontal="left" vertical="center" shrinkToFit="1"/>
    </xf>
    <xf numFmtId="0" fontId="0" fillId="0" borderId="84" xfId="0" applyBorder="1" applyAlignment="1">
      <alignment horizontal="left" vertical="center" shrinkToFit="1"/>
    </xf>
    <xf numFmtId="0" fontId="73" fillId="30" borderId="85" xfId="284" applyFont="1" applyFill="1" applyBorder="1" applyAlignment="1">
      <alignment horizontal="center" vertical="center" textRotation="255" shrinkToFit="1"/>
    </xf>
    <xf numFmtId="0" fontId="12" fillId="0" borderId="25" xfId="284" applyBorder="1">
      <alignment vertical="center"/>
    </xf>
    <xf numFmtId="0" fontId="12" fillId="0" borderId="59" xfId="284" applyBorder="1">
      <alignment vertical="center"/>
    </xf>
    <xf numFmtId="0" fontId="12" fillId="0" borderId="54" xfId="284" applyBorder="1">
      <alignment vertical="center"/>
    </xf>
    <xf numFmtId="0" fontId="12" fillId="30" borderId="32" xfId="284" applyFill="1" applyBorder="1" applyAlignment="1">
      <alignment horizontal="right" vertical="center"/>
    </xf>
    <xf numFmtId="0" fontId="12" fillId="30" borderId="0" xfId="284" applyFill="1" applyAlignment="1">
      <alignment horizontal="right" vertical="center"/>
    </xf>
    <xf numFmtId="0" fontId="12" fillId="30" borderId="33" xfId="284" applyFill="1" applyBorder="1" applyAlignment="1">
      <alignment horizontal="right" vertical="center"/>
    </xf>
    <xf numFmtId="0" fontId="12" fillId="30" borderId="50" xfId="284" applyFill="1" applyBorder="1" applyAlignment="1">
      <alignment horizontal="right" vertical="center"/>
    </xf>
    <xf numFmtId="0" fontId="113" fillId="0" borderId="0" xfId="284" applyFont="1" applyAlignment="1">
      <alignment horizontal="left" vertical="center" shrinkToFit="1"/>
    </xf>
    <xf numFmtId="0" fontId="12" fillId="30" borderId="85" xfId="284" applyFill="1" applyBorder="1" applyAlignment="1">
      <alignment horizontal="center" vertical="center" wrapText="1"/>
    </xf>
    <xf numFmtId="0" fontId="12" fillId="30" borderId="84" xfId="284" applyFill="1" applyBorder="1" applyAlignment="1">
      <alignment horizontal="center" vertical="center" wrapText="1"/>
    </xf>
    <xf numFmtId="0" fontId="8" fillId="33" borderId="59" xfId="284" applyFont="1" applyFill="1" applyBorder="1" applyAlignment="1">
      <alignment horizontal="left" vertical="center" shrinkToFit="1"/>
    </xf>
    <xf numFmtId="0" fontId="8" fillId="33" borderId="54" xfId="284" applyFont="1" applyFill="1" applyBorder="1" applyAlignment="1">
      <alignment horizontal="left" vertical="center" shrinkToFit="1"/>
    </xf>
    <xf numFmtId="0" fontId="127" fillId="33" borderId="29" xfId="284" applyFont="1" applyFill="1" applyBorder="1" applyAlignment="1">
      <alignment horizontal="center" vertical="center" wrapText="1"/>
    </xf>
    <xf numFmtId="0" fontId="127" fillId="33" borderId="60" xfId="284" applyFont="1" applyFill="1" applyBorder="1" applyAlignment="1">
      <alignment horizontal="center" vertical="center" wrapText="1"/>
    </xf>
    <xf numFmtId="0" fontId="127" fillId="33" borderId="61" xfId="284" applyFont="1" applyFill="1" applyBorder="1" applyAlignment="1">
      <alignment horizontal="center" vertical="center" wrapText="1"/>
    </xf>
    <xf numFmtId="0" fontId="127" fillId="33" borderId="32" xfId="284" applyFont="1" applyFill="1" applyBorder="1" applyAlignment="1">
      <alignment horizontal="center" vertical="center" wrapText="1"/>
    </xf>
    <xf numFmtId="0" fontId="127" fillId="33" borderId="0" xfId="284" applyFont="1" applyFill="1" applyAlignment="1">
      <alignment horizontal="center" vertical="center" wrapText="1"/>
    </xf>
    <xf numFmtId="0" fontId="127" fillId="33" borderId="33" xfId="284" applyFont="1" applyFill="1" applyBorder="1" applyAlignment="1">
      <alignment horizontal="center" vertical="center" wrapText="1"/>
    </xf>
    <xf numFmtId="0" fontId="127" fillId="33" borderId="332" xfId="284" applyFont="1" applyFill="1" applyBorder="1" applyAlignment="1">
      <alignment horizontal="center" vertical="center" wrapText="1"/>
    </xf>
    <xf numFmtId="0" fontId="127" fillId="33" borderId="272" xfId="284" applyFont="1" applyFill="1" applyBorder="1" applyAlignment="1">
      <alignment horizontal="center" vertical="center" wrapText="1"/>
    </xf>
    <xf numFmtId="0" fontId="127" fillId="33" borderId="333" xfId="284" applyFont="1" applyFill="1" applyBorder="1" applyAlignment="1">
      <alignment horizontal="center" vertical="center" wrapText="1"/>
    </xf>
    <xf numFmtId="0" fontId="12" fillId="0" borderId="25" xfId="284" applyBorder="1" applyAlignment="1">
      <alignment vertical="center" shrinkToFit="1"/>
    </xf>
    <xf numFmtId="0" fontId="12" fillId="0" borderId="59" xfId="284" applyBorder="1" applyAlignment="1">
      <alignment vertical="center" shrinkToFit="1"/>
    </xf>
    <xf numFmtId="0" fontId="12" fillId="0" borderId="54" xfId="284" applyBorder="1" applyAlignment="1">
      <alignment vertical="center" shrinkToFit="1"/>
    </xf>
    <xf numFmtId="0" fontId="12" fillId="33" borderId="25" xfId="284" applyFill="1" applyBorder="1" applyAlignment="1">
      <alignment horizontal="center" vertical="center" shrinkToFit="1"/>
    </xf>
    <xf numFmtId="0" fontId="12" fillId="33" borderId="59" xfId="284" applyFill="1" applyBorder="1" applyAlignment="1">
      <alignment horizontal="center" vertical="center" shrinkToFit="1"/>
    </xf>
    <xf numFmtId="0" fontId="12" fillId="0" borderId="85" xfId="284" applyBorder="1" applyAlignment="1">
      <alignment vertical="center" shrinkToFit="1"/>
    </xf>
    <xf numFmtId="0" fontId="12" fillId="0" borderId="84" xfId="284" applyBorder="1" applyAlignment="1">
      <alignment vertical="center" shrinkToFit="1"/>
    </xf>
    <xf numFmtId="0" fontId="12" fillId="0" borderId="28" xfId="284" applyBorder="1" applyAlignment="1">
      <alignment horizontal="left" vertical="center" shrinkToFit="1"/>
    </xf>
    <xf numFmtId="0" fontId="102" fillId="30" borderId="21" xfId="284" applyFont="1" applyFill="1" applyBorder="1" applyAlignment="1">
      <alignment horizontal="center" vertical="center"/>
    </xf>
    <xf numFmtId="0" fontId="102" fillId="30" borderId="62" xfId="284" applyFont="1" applyFill="1" applyBorder="1" applyAlignment="1">
      <alignment horizontal="center" vertical="center"/>
    </xf>
    <xf numFmtId="0" fontId="102" fillId="30" borderId="50" xfId="284" applyFont="1" applyFill="1" applyBorder="1" applyAlignment="1">
      <alignment horizontal="center" vertical="center"/>
    </xf>
    <xf numFmtId="0" fontId="7" fillId="33" borderId="25" xfId="284" applyFont="1" applyFill="1" applyBorder="1" applyAlignment="1">
      <alignment horizontal="center" vertical="center"/>
    </xf>
    <xf numFmtId="0" fontId="0" fillId="0" borderId="59" xfId="0" applyBorder="1">
      <alignment vertical="center"/>
    </xf>
    <xf numFmtId="0" fontId="5" fillId="33" borderId="59" xfId="284" applyFont="1" applyFill="1" applyBorder="1" applyAlignment="1">
      <alignment horizontal="left" vertical="center" shrinkToFit="1"/>
    </xf>
    <xf numFmtId="0" fontId="108" fillId="31" borderId="0" xfId="284" applyFont="1" applyFill="1" applyAlignment="1">
      <alignment horizontal="left" vertical="center" wrapText="1"/>
    </xf>
    <xf numFmtId="0" fontId="12" fillId="0" borderId="60" xfId="284" applyBorder="1">
      <alignment vertical="center"/>
    </xf>
    <xf numFmtId="0" fontId="12" fillId="0" borderId="61" xfId="284" applyBorder="1">
      <alignment vertical="center"/>
    </xf>
    <xf numFmtId="0" fontId="12" fillId="0" borderId="25" xfId="284" applyBorder="1" applyAlignment="1">
      <alignment horizontal="right" vertical="center" shrinkToFit="1"/>
    </xf>
    <xf numFmtId="0" fontId="12" fillId="0" borderId="59" xfId="284" applyBorder="1" applyAlignment="1">
      <alignment horizontal="right" vertical="center" shrinkToFit="1"/>
    </xf>
    <xf numFmtId="197" fontId="12" fillId="25" borderId="221" xfId="284" applyNumberFormat="1" applyFill="1" applyBorder="1" applyAlignment="1" applyProtection="1">
      <alignment horizontal="right" vertical="center" shrinkToFit="1"/>
      <protection locked="0"/>
    </xf>
    <xf numFmtId="197" fontId="12" fillId="25" borderId="223" xfId="284" applyNumberFormat="1" applyFill="1" applyBorder="1" applyAlignment="1" applyProtection="1">
      <alignment horizontal="right" vertical="center" shrinkToFit="1"/>
      <protection locked="0"/>
    </xf>
    <xf numFmtId="0" fontId="12" fillId="0" borderId="85" xfId="284" applyBorder="1" applyAlignment="1">
      <alignment vertical="center" wrapText="1" shrinkToFit="1"/>
    </xf>
    <xf numFmtId="0" fontId="12" fillId="0" borderId="85" xfId="284" applyBorder="1">
      <alignment vertical="center"/>
    </xf>
    <xf numFmtId="0" fontId="12" fillId="0" borderId="83" xfId="284" applyBorder="1">
      <alignment vertical="center"/>
    </xf>
    <xf numFmtId="0" fontId="12" fillId="0" borderId="84" xfId="284" applyBorder="1">
      <alignment vertical="center"/>
    </xf>
    <xf numFmtId="0" fontId="0" fillId="0" borderId="85" xfId="0" applyBorder="1">
      <alignment vertical="center"/>
    </xf>
    <xf numFmtId="0" fontId="0" fillId="0" borderId="83" xfId="0" applyBorder="1">
      <alignment vertical="center"/>
    </xf>
    <xf numFmtId="0" fontId="0" fillId="0" borderId="84" xfId="0" applyBorder="1">
      <alignment vertical="center"/>
    </xf>
    <xf numFmtId="204" fontId="152" fillId="0" borderId="29" xfId="281" applyNumberFormat="1" applyFont="1" applyBorder="1" applyAlignment="1" applyProtection="1">
      <alignment horizontal="right" vertical="center" shrinkToFit="1"/>
    </xf>
    <xf numFmtId="204" fontId="152" fillId="0" borderId="60" xfId="281" applyNumberFormat="1" applyFont="1" applyBorder="1" applyAlignment="1" applyProtection="1">
      <alignment horizontal="right" vertical="center" shrinkToFit="1"/>
    </xf>
    <xf numFmtId="204" fontId="152" fillId="0" borderId="21" xfId="281" applyNumberFormat="1" applyFont="1" applyBorder="1" applyAlignment="1" applyProtection="1">
      <alignment horizontal="right" vertical="center" shrinkToFit="1"/>
    </xf>
    <xf numFmtId="204" fontId="152" fillId="0" borderId="62" xfId="281" applyNumberFormat="1" applyFont="1" applyBorder="1" applyAlignment="1" applyProtection="1">
      <alignment horizontal="right" vertical="center" shrinkToFit="1"/>
    </xf>
    <xf numFmtId="204" fontId="152" fillId="0" borderId="61" xfId="281" applyNumberFormat="1" applyFont="1" applyBorder="1" applyAlignment="1" applyProtection="1">
      <alignment horizontal="center" vertical="center" shrinkToFit="1"/>
    </xf>
    <xf numFmtId="204" fontId="152" fillId="0" borderId="50" xfId="281" applyNumberFormat="1" applyFont="1" applyBorder="1" applyAlignment="1" applyProtection="1">
      <alignment horizontal="center" vertical="center" shrinkToFit="1"/>
    </xf>
    <xf numFmtId="0" fontId="139" fillId="0" borderId="25" xfId="0" applyFont="1" applyBorder="1" applyAlignment="1">
      <alignment horizontal="left" vertical="center"/>
    </xf>
    <xf numFmtId="0" fontId="139" fillId="0" borderId="59" xfId="0" applyFont="1" applyBorder="1" applyAlignment="1">
      <alignment horizontal="left" vertical="center"/>
    </xf>
    <xf numFmtId="203" fontId="139" fillId="25" borderId="303" xfId="281" applyNumberFormat="1" applyFont="1" applyFill="1" applyBorder="1" applyAlignment="1" applyProtection="1">
      <alignment horizontal="center" vertical="center" shrinkToFit="1"/>
      <protection locked="0"/>
    </xf>
    <xf numFmtId="203" fontId="139" fillId="25" borderId="59" xfId="281" applyNumberFormat="1" applyFont="1" applyFill="1" applyBorder="1" applyAlignment="1" applyProtection="1">
      <alignment horizontal="center" vertical="center" shrinkToFit="1"/>
      <protection locked="0"/>
    </xf>
    <xf numFmtId="203" fontId="139" fillId="25" borderId="236" xfId="281" applyNumberFormat="1" applyFont="1" applyFill="1" applyBorder="1" applyAlignment="1" applyProtection="1">
      <alignment horizontal="center" vertical="center" shrinkToFit="1"/>
      <protection locked="0"/>
    </xf>
    <xf numFmtId="203" fontId="139" fillId="25" borderId="330" xfId="281" applyNumberFormat="1" applyFont="1" applyFill="1" applyBorder="1" applyAlignment="1" applyProtection="1">
      <alignment horizontal="center" vertical="center" shrinkToFit="1"/>
      <protection locked="0"/>
    </xf>
    <xf numFmtId="203" fontId="139" fillId="25" borderId="258" xfId="281" applyNumberFormat="1" applyFont="1" applyFill="1" applyBorder="1" applyAlignment="1" applyProtection="1">
      <alignment horizontal="center" vertical="center" shrinkToFit="1"/>
      <protection locked="0"/>
    </xf>
    <xf numFmtId="203" fontId="139" fillId="25" borderId="331" xfId="281" applyNumberFormat="1" applyFont="1" applyFill="1" applyBorder="1" applyAlignment="1" applyProtection="1">
      <alignment horizontal="center" vertical="center" shrinkToFit="1"/>
      <protection locked="0"/>
    </xf>
    <xf numFmtId="0" fontId="139" fillId="0" borderId="29" xfId="0" applyFont="1" applyBorder="1" applyAlignment="1">
      <alignment horizontal="center" vertical="center" textRotation="255" shrinkToFit="1"/>
    </xf>
    <xf numFmtId="0" fontId="139" fillId="0" borderId="32" xfId="0" applyFont="1" applyBorder="1" applyAlignment="1">
      <alignment horizontal="center" vertical="center" textRotation="255" shrinkToFit="1"/>
    </xf>
    <xf numFmtId="0" fontId="139" fillId="0" borderId="322" xfId="0" applyFont="1" applyBorder="1" applyAlignment="1">
      <alignment horizontal="center" vertical="center" textRotation="255" shrinkToFit="1"/>
    </xf>
    <xf numFmtId="203" fontId="139" fillId="25" borderId="302" xfId="281" applyNumberFormat="1" applyFont="1" applyFill="1" applyBorder="1" applyAlignment="1" applyProtection="1">
      <alignment horizontal="center" vertical="center" shrinkToFit="1"/>
      <protection locked="0"/>
    </xf>
    <xf numFmtId="203" fontId="139" fillId="25" borderId="60" xfId="281" applyNumberFormat="1" applyFont="1" applyFill="1" applyBorder="1" applyAlignment="1" applyProtection="1">
      <alignment horizontal="center" vertical="center" shrinkToFit="1"/>
      <protection locked="0"/>
    </xf>
    <xf numFmtId="203" fontId="139" fillId="25" borderId="328" xfId="281" applyNumberFormat="1" applyFont="1" applyFill="1" applyBorder="1" applyAlignment="1" applyProtection="1">
      <alignment horizontal="center" vertical="center" shrinkToFit="1"/>
      <protection locked="0"/>
    </xf>
    <xf numFmtId="203" fontId="139" fillId="25" borderId="229" xfId="281" applyNumberFormat="1" applyFont="1" applyFill="1" applyBorder="1" applyAlignment="1" applyProtection="1">
      <alignment horizontal="center" vertical="center" shrinkToFit="1"/>
      <protection locked="0"/>
    </xf>
    <xf numFmtId="203" fontId="139" fillId="25" borderId="62" xfId="281" applyNumberFormat="1" applyFont="1" applyFill="1" applyBorder="1" applyAlignment="1" applyProtection="1">
      <alignment horizontal="center" vertical="center" shrinkToFit="1"/>
      <protection locked="0"/>
    </xf>
    <xf numFmtId="203" fontId="139" fillId="25" borderId="329" xfId="281" applyNumberFormat="1" applyFont="1" applyFill="1" applyBorder="1" applyAlignment="1" applyProtection="1">
      <alignment horizontal="center" vertical="center" shrinkToFit="1"/>
      <protection locked="0"/>
    </xf>
    <xf numFmtId="203" fontId="139" fillId="25" borderId="324" xfId="281" applyNumberFormat="1" applyFont="1" applyFill="1" applyBorder="1" applyAlignment="1" applyProtection="1">
      <alignment horizontal="center" vertical="center" shrinkToFit="1"/>
      <protection locked="0"/>
    </xf>
    <xf numFmtId="203" fontId="139" fillId="25" borderId="334" xfId="281" applyNumberFormat="1" applyFont="1" applyFill="1" applyBorder="1" applyAlignment="1" applyProtection="1">
      <alignment horizontal="center" vertical="center" shrinkToFit="1"/>
      <protection locked="0"/>
    </xf>
    <xf numFmtId="203" fontId="139" fillId="25" borderId="325" xfId="281" applyNumberFormat="1" applyFont="1" applyFill="1" applyBorder="1" applyAlignment="1" applyProtection="1">
      <alignment horizontal="center" vertical="center" shrinkToFit="1"/>
      <protection locked="0"/>
    </xf>
    <xf numFmtId="180" fontId="173" fillId="0" borderId="28" xfId="0" applyNumberFormat="1" applyFont="1" applyBorder="1" applyAlignment="1">
      <alignment horizontal="center" vertical="center"/>
    </xf>
    <xf numFmtId="0" fontId="143" fillId="30" borderId="28" xfId="0" applyFont="1" applyFill="1" applyBorder="1" applyAlignment="1">
      <alignment horizontal="center" vertical="top" wrapText="1"/>
    </xf>
    <xf numFmtId="0" fontId="143" fillId="30" borderId="85" xfId="0" applyFont="1" applyFill="1" applyBorder="1" applyAlignment="1">
      <alignment horizontal="center" vertical="top" wrapText="1"/>
    </xf>
    <xf numFmtId="0" fontId="143" fillId="30" borderId="85" xfId="0" applyFont="1" applyFill="1" applyBorder="1" applyAlignment="1">
      <alignment horizontal="center" vertical="top"/>
    </xf>
    <xf numFmtId="0" fontId="143" fillId="30" borderId="84" xfId="0" applyFont="1" applyFill="1" applyBorder="1" applyAlignment="1">
      <alignment horizontal="center" vertical="top"/>
    </xf>
    <xf numFmtId="0" fontId="143" fillId="30" borderId="28" xfId="0" applyFont="1" applyFill="1" applyBorder="1" applyAlignment="1">
      <alignment horizontal="center" vertical="top"/>
    </xf>
    <xf numFmtId="203" fontId="139" fillId="25" borderId="271" xfId="281" applyNumberFormat="1" applyFont="1" applyFill="1" applyBorder="1" applyAlignment="1" applyProtection="1">
      <alignment horizontal="center" vertical="center" shrinkToFit="1"/>
      <protection locked="0"/>
    </xf>
    <xf numFmtId="203" fontId="139" fillId="25" borderId="272" xfId="281" applyNumberFormat="1" applyFont="1" applyFill="1" applyBorder="1" applyAlignment="1" applyProtection="1">
      <alignment horizontal="center" vertical="center" shrinkToFit="1"/>
      <protection locked="0"/>
    </xf>
    <xf numFmtId="203" fontId="139" fillId="25" borderId="273" xfId="281" applyNumberFormat="1" applyFont="1" applyFill="1" applyBorder="1" applyAlignment="1" applyProtection="1">
      <alignment horizontal="center" vertical="center" shrinkToFit="1"/>
      <protection locked="0"/>
    </xf>
    <xf numFmtId="0" fontId="49" fillId="0" borderId="28" xfId="0" applyFont="1" applyBorder="1" applyAlignment="1">
      <alignment horizontal="center" vertical="center"/>
    </xf>
    <xf numFmtId="0" fontId="173" fillId="25" borderId="28" xfId="0" applyFont="1" applyFill="1" applyBorder="1" applyAlignment="1" applyProtection="1">
      <alignment horizontal="center" vertical="center"/>
      <protection locked="0"/>
    </xf>
    <xf numFmtId="0" fontId="173" fillId="36" borderId="28" xfId="0" applyFont="1" applyFill="1" applyBorder="1" applyAlignment="1" applyProtection="1">
      <alignment horizontal="center" vertical="center"/>
      <protection locked="0"/>
    </xf>
    <xf numFmtId="204" fontId="159" fillId="0" borderId="1" xfId="281" applyNumberFormat="1" applyFont="1" applyFill="1" applyBorder="1" applyAlignment="1" applyProtection="1">
      <alignment horizontal="center" vertical="center" shrinkToFit="1"/>
    </xf>
    <xf numFmtId="204" fontId="159" fillId="0" borderId="276" xfId="281" applyNumberFormat="1" applyFont="1" applyFill="1" applyBorder="1" applyAlignment="1" applyProtection="1">
      <alignment horizontal="center" vertical="center" shrinkToFit="1"/>
    </xf>
    <xf numFmtId="204" fontId="159" fillId="0" borderId="251" xfId="281" applyNumberFormat="1" applyFont="1" applyFill="1" applyBorder="1" applyAlignment="1" applyProtection="1">
      <alignment horizontal="center" vertical="center" shrinkToFit="1"/>
    </xf>
    <xf numFmtId="204" fontId="152" fillId="0" borderId="25" xfId="281" applyNumberFormat="1" applyFont="1" applyBorder="1" applyAlignment="1" applyProtection="1">
      <alignment horizontal="right" vertical="center" shrinkToFit="1"/>
    </xf>
    <xf numFmtId="204" fontId="152" fillId="0" borderId="59" xfId="281" applyNumberFormat="1" applyFont="1" applyBorder="1" applyAlignment="1" applyProtection="1">
      <alignment horizontal="right" vertical="center" shrinkToFit="1"/>
    </xf>
    <xf numFmtId="0" fontId="124" fillId="40" borderId="28" xfId="0" applyFont="1" applyFill="1" applyBorder="1" applyAlignment="1">
      <alignment horizontal="center" vertical="center"/>
    </xf>
    <xf numFmtId="179" fontId="168" fillId="38" borderId="28" xfId="0" applyNumberFormat="1" applyFont="1" applyFill="1" applyBorder="1" applyAlignment="1">
      <alignment horizontal="center" vertical="center" shrinkToFit="1"/>
    </xf>
    <xf numFmtId="179" fontId="173" fillId="0" borderId="28" xfId="0" applyNumberFormat="1" applyFont="1" applyBorder="1" applyAlignment="1">
      <alignment horizontal="center" vertical="center" shrinkToFit="1"/>
    </xf>
    <xf numFmtId="203" fontId="173" fillId="0" borderId="28" xfId="0" applyNumberFormat="1" applyFont="1" applyBorder="1" applyAlignment="1">
      <alignment horizontal="center" vertical="center"/>
    </xf>
    <xf numFmtId="0" fontId="173" fillId="0" borderId="28" xfId="0" applyFont="1" applyBorder="1" applyAlignment="1">
      <alignment horizontal="center" vertical="center"/>
    </xf>
    <xf numFmtId="203" fontId="152" fillId="0" borderId="397" xfId="281" applyNumberFormat="1" applyFont="1" applyFill="1" applyBorder="1" applyAlignment="1" applyProtection="1">
      <alignment horizontal="right" vertical="center" shrinkToFit="1"/>
    </xf>
    <xf numFmtId="203" fontId="152" fillId="0" borderId="334" xfId="281" applyNumberFormat="1" applyFont="1" applyFill="1" applyBorder="1" applyAlignment="1" applyProtection="1">
      <alignment horizontal="right" vertical="center" shrinkToFit="1"/>
    </xf>
    <xf numFmtId="0" fontId="0" fillId="0" borderId="334" xfId="0" applyBorder="1" applyAlignment="1">
      <alignment horizontal="right" vertical="center" shrinkToFit="1"/>
    </xf>
    <xf numFmtId="0" fontId="0" fillId="0" borderId="246" xfId="0" applyBorder="1" applyAlignment="1">
      <alignment horizontal="right" vertical="center" shrinkToFit="1"/>
    </xf>
    <xf numFmtId="203" fontId="160" fillId="0" borderId="132" xfId="281" applyNumberFormat="1" applyFont="1" applyFill="1" applyBorder="1" applyAlignment="1" applyProtection="1">
      <alignment horizontal="center" vertical="center" shrinkToFit="1"/>
    </xf>
    <xf numFmtId="203" fontId="160" fillId="0" borderId="133" xfId="281" applyNumberFormat="1" applyFont="1" applyFill="1" applyBorder="1" applyAlignment="1" applyProtection="1">
      <alignment horizontal="center" vertical="center" shrinkToFit="1"/>
    </xf>
    <xf numFmtId="203" fontId="160" fillId="0" borderId="284" xfId="281" applyNumberFormat="1" applyFont="1" applyFill="1" applyBorder="1" applyAlignment="1" applyProtection="1">
      <alignment horizontal="center" vertical="center" shrinkToFit="1"/>
    </xf>
    <xf numFmtId="203" fontId="160" fillId="0" borderId="283" xfId="281" applyNumberFormat="1" applyFont="1" applyFill="1" applyBorder="1" applyAlignment="1" applyProtection="1">
      <alignment horizontal="right" vertical="center" shrinkToFit="1"/>
    </xf>
    <xf numFmtId="203" fontId="160" fillId="0" borderId="284" xfId="281" applyNumberFormat="1" applyFont="1" applyFill="1" applyBorder="1" applyAlignment="1" applyProtection="1">
      <alignment horizontal="right" vertical="center" shrinkToFit="1"/>
    </xf>
    <xf numFmtId="180" fontId="168" fillId="38" borderId="28" xfId="0" applyNumberFormat="1" applyFont="1" applyFill="1" applyBorder="1" applyAlignment="1">
      <alignment horizontal="center" vertical="center"/>
    </xf>
    <xf numFmtId="0" fontId="157" fillId="30" borderId="84" xfId="0" applyFont="1" applyFill="1" applyBorder="1" applyAlignment="1">
      <alignment horizontal="right" wrapText="1"/>
    </xf>
    <xf numFmtId="0" fontId="157" fillId="30" borderId="83" xfId="0" applyFont="1" applyFill="1" applyBorder="1" applyAlignment="1">
      <alignment horizontal="right" wrapText="1"/>
    </xf>
    <xf numFmtId="0" fontId="143" fillId="30" borderId="28" xfId="0" applyFont="1" applyFill="1" applyBorder="1" applyAlignment="1">
      <alignment horizontal="center" vertical="center"/>
    </xf>
    <xf numFmtId="0" fontId="143" fillId="30" borderId="25" xfId="0" applyFont="1" applyFill="1" applyBorder="1" applyAlignment="1">
      <alignment horizontal="center" vertical="center"/>
    </xf>
    <xf numFmtId="0" fontId="143" fillId="25" borderId="231" xfId="0" applyFont="1" applyFill="1" applyBorder="1" applyAlignment="1" applyProtection="1">
      <alignment horizontal="center" vertical="center" shrinkToFit="1"/>
      <protection locked="0"/>
    </xf>
    <xf numFmtId="0" fontId="143" fillId="25" borderId="232" xfId="0" applyFont="1" applyFill="1" applyBorder="1" applyAlignment="1" applyProtection="1">
      <alignment horizontal="center" vertical="center" shrinkToFit="1"/>
      <protection locked="0"/>
    </xf>
    <xf numFmtId="0" fontId="143" fillId="25" borderId="233" xfId="0" applyFont="1" applyFill="1" applyBorder="1" applyAlignment="1" applyProtection="1">
      <alignment horizontal="center" vertical="center" shrinkToFit="1"/>
      <protection locked="0"/>
    </xf>
    <xf numFmtId="0" fontId="143" fillId="30" borderId="60" xfId="0" applyFont="1" applyFill="1" applyBorder="1" applyAlignment="1">
      <alignment horizontal="center" vertical="top"/>
    </xf>
    <xf numFmtId="0" fontId="143" fillId="30" borderId="61" xfId="0" applyFont="1" applyFill="1" applyBorder="1" applyAlignment="1">
      <alignment horizontal="center" vertical="top"/>
    </xf>
    <xf numFmtId="0" fontId="143" fillId="30" borderId="62" xfId="0" applyFont="1" applyFill="1" applyBorder="1" applyAlignment="1">
      <alignment horizontal="center" vertical="top"/>
    </xf>
    <xf numFmtId="0" fontId="143" fillId="30" borderId="50" xfId="0" applyFont="1" applyFill="1" applyBorder="1" applyAlignment="1">
      <alignment horizontal="center" vertical="top"/>
    </xf>
    <xf numFmtId="180" fontId="168" fillId="0" borderId="25" xfId="0" applyNumberFormat="1" applyFont="1" applyBorder="1" applyAlignment="1">
      <alignment horizontal="center" vertical="center"/>
    </xf>
    <xf numFmtId="180" fontId="168" fillId="0" borderId="59" xfId="0" applyNumberFormat="1" applyFont="1" applyBorder="1" applyAlignment="1">
      <alignment horizontal="center" vertical="center"/>
    </xf>
    <xf numFmtId="180" fontId="168" fillId="0" borderId="54" xfId="0" applyNumberFormat="1" applyFont="1" applyBorder="1" applyAlignment="1">
      <alignment horizontal="center" vertical="center"/>
    </xf>
    <xf numFmtId="0" fontId="168" fillId="0" borderId="28" xfId="0" applyFont="1" applyBorder="1" applyAlignment="1">
      <alignment horizontal="center" vertical="center" shrinkToFit="1"/>
    </xf>
    <xf numFmtId="0" fontId="143" fillId="30" borderId="28" xfId="0" applyFont="1" applyFill="1" applyBorder="1" applyAlignment="1">
      <alignment horizontal="left" vertical="center"/>
    </xf>
    <xf numFmtId="0" fontId="152" fillId="30" borderId="280" xfId="0" applyFont="1" applyFill="1" applyBorder="1" applyAlignment="1">
      <alignment horizontal="center" vertical="center" shrinkToFit="1"/>
    </xf>
    <xf numFmtId="0" fontId="152" fillId="30" borderId="281" xfId="0" applyFont="1" applyFill="1" applyBorder="1" applyAlignment="1">
      <alignment horizontal="center" vertical="center" shrinkToFit="1"/>
    </xf>
    <xf numFmtId="0" fontId="152" fillId="30" borderId="282" xfId="0" applyFont="1" applyFill="1" applyBorder="1" applyAlignment="1">
      <alignment horizontal="center" vertical="center" shrinkToFit="1"/>
    </xf>
    <xf numFmtId="0" fontId="49" fillId="30" borderId="21" xfId="0" applyFont="1" applyFill="1" applyBorder="1" applyAlignment="1">
      <alignment horizontal="center" vertical="center" shrinkToFit="1"/>
    </xf>
    <xf numFmtId="0" fontId="49" fillId="30" borderId="62" xfId="0" applyFont="1" applyFill="1" applyBorder="1" applyAlignment="1">
      <alignment horizontal="center" vertical="center" shrinkToFit="1"/>
    </xf>
    <xf numFmtId="0" fontId="49" fillId="30" borderId="50" xfId="0" applyFont="1" applyFill="1" applyBorder="1" applyAlignment="1">
      <alignment horizontal="center" vertical="center" shrinkToFit="1"/>
    </xf>
    <xf numFmtId="203" fontId="160" fillId="0" borderId="283" xfId="281" applyNumberFormat="1" applyFont="1" applyFill="1" applyBorder="1" applyAlignment="1" applyProtection="1">
      <alignment horizontal="center" vertical="center" shrinkToFit="1"/>
    </xf>
    <xf numFmtId="203" fontId="160" fillId="0" borderId="134" xfId="281" applyNumberFormat="1" applyFont="1" applyFill="1" applyBorder="1" applyAlignment="1" applyProtection="1">
      <alignment horizontal="center" vertical="center" shrinkToFit="1"/>
    </xf>
    <xf numFmtId="203" fontId="160" fillId="0" borderId="335" xfId="281" applyNumberFormat="1" applyFont="1" applyFill="1" applyBorder="1" applyAlignment="1" applyProtection="1">
      <alignment horizontal="center" vertical="center" shrinkToFit="1"/>
    </xf>
    <xf numFmtId="203" fontId="160" fillId="0" borderId="130" xfId="281" applyNumberFormat="1" applyFont="1" applyFill="1" applyBorder="1" applyAlignment="1" applyProtection="1">
      <alignment horizontal="center" vertical="center" shrinkToFit="1"/>
    </xf>
    <xf numFmtId="203" fontId="160" fillId="0" borderId="131" xfId="281" applyNumberFormat="1" applyFont="1" applyFill="1" applyBorder="1" applyAlignment="1" applyProtection="1">
      <alignment horizontal="center" vertical="center" shrinkToFit="1"/>
    </xf>
    <xf numFmtId="203" fontId="139" fillId="0" borderId="397" xfId="281" applyNumberFormat="1" applyFont="1" applyFill="1" applyBorder="1" applyAlignment="1" applyProtection="1">
      <alignment horizontal="right" vertical="center" shrinkToFit="1"/>
    </xf>
    <xf numFmtId="203" fontId="139" fillId="0" borderId="334" xfId="281" applyNumberFormat="1" applyFont="1" applyFill="1" applyBorder="1" applyAlignment="1" applyProtection="1">
      <alignment horizontal="right" vertical="center" shrinkToFit="1"/>
    </xf>
    <xf numFmtId="203" fontId="49" fillId="0" borderId="25" xfId="0" applyNumberFormat="1" applyFont="1" applyBorder="1" applyAlignment="1">
      <alignment horizontal="right" vertical="center" shrinkToFit="1"/>
    </xf>
    <xf numFmtId="203" fontId="49" fillId="0" borderId="59" xfId="0" applyNumberFormat="1" applyFont="1" applyBorder="1" applyAlignment="1">
      <alignment horizontal="right" vertical="center" shrinkToFit="1"/>
    </xf>
    <xf numFmtId="0" fontId="0" fillId="0" borderId="59" xfId="0" applyBorder="1" applyAlignment="1">
      <alignment horizontal="right" vertical="center" shrinkToFit="1"/>
    </xf>
    <xf numFmtId="0" fontId="0" fillId="0" borderId="54" xfId="0" applyBorder="1" applyAlignment="1">
      <alignment horizontal="right" vertical="center" shrinkToFit="1"/>
    </xf>
    <xf numFmtId="0" fontId="165" fillId="0" borderId="62" xfId="0" applyFont="1" applyBorder="1" applyAlignment="1">
      <alignment horizontal="left" vertical="top" wrapText="1"/>
    </xf>
    <xf numFmtId="0" fontId="49" fillId="30" borderId="29" xfId="0" applyFont="1" applyFill="1" applyBorder="1" applyAlignment="1">
      <alignment horizontal="center" vertical="top" wrapText="1"/>
    </xf>
    <xf numFmtId="0" fontId="49" fillId="30" borderId="60" xfId="0" applyFont="1" applyFill="1" applyBorder="1" applyAlignment="1">
      <alignment horizontal="center" vertical="top" wrapText="1"/>
    </xf>
    <xf numFmtId="0" fontId="49" fillId="30" borderId="61" xfId="0" applyFont="1" applyFill="1" applyBorder="1" applyAlignment="1">
      <alignment horizontal="center" vertical="top" wrapText="1"/>
    </xf>
    <xf numFmtId="0" fontId="49" fillId="30" borderId="21" xfId="0" applyFont="1" applyFill="1" applyBorder="1" applyAlignment="1">
      <alignment horizontal="center" vertical="top" wrapText="1"/>
    </xf>
    <xf numFmtId="0" fontId="49" fillId="30" borderId="62" xfId="0" applyFont="1" applyFill="1" applyBorder="1" applyAlignment="1">
      <alignment horizontal="center" vertical="top" wrapText="1"/>
    </xf>
    <xf numFmtId="0" fontId="49" fillId="30" borderId="50" xfId="0" applyFont="1" applyFill="1" applyBorder="1" applyAlignment="1">
      <alignment horizontal="center" vertical="top" wrapText="1"/>
    </xf>
    <xf numFmtId="179" fontId="152" fillId="32" borderId="221" xfId="0" applyNumberFormat="1" applyFont="1" applyFill="1" applyBorder="1" applyAlignment="1" applyProtection="1">
      <alignment horizontal="right" vertical="center"/>
      <protection locked="0"/>
    </xf>
    <xf numFmtId="179" fontId="152" fillId="32" borderId="222" xfId="0" applyNumberFormat="1" applyFont="1" applyFill="1" applyBorder="1" applyAlignment="1" applyProtection="1">
      <alignment horizontal="right" vertical="center"/>
      <protection locked="0"/>
    </xf>
    <xf numFmtId="179" fontId="152" fillId="32" borderId="221" xfId="0" applyNumberFormat="1" applyFont="1" applyFill="1" applyBorder="1" applyAlignment="1" applyProtection="1">
      <alignment horizontal="right" vertical="center" shrinkToFit="1"/>
      <protection locked="0"/>
    </xf>
    <xf numFmtId="179" fontId="152" fillId="32" borderId="222" xfId="0" applyNumberFormat="1" applyFont="1" applyFill="1" applyBorder="1" applyAlignment="1" applyProtection="1">
      <alignment horizontal="right" vertical="center" shrinkToFit="1"/>
      <protection locked="0"/>
    </xf>
    <xf numFmtId="179" fontId="152" fillId="28" borderId="25" xfId="0" applyNumberFormat="1" applyFont="1" applyFill="1" applyBorder="1" applyAlignment="1">
      <alignment horizontal="right" vertical="center"/>
    </xf>
    <xf numFmtId="179" fontId="152" fillId="28" borderId="59" xfId="0" applyNumberFormat="1" applyFont="1" applyFill="1" applyBorder="1" applyAlignment="1">
      <alignment horizontal="right" vertical="center"/>
    </xf>
    <xf numFmtId="0" fontId="139" fillId="40" borderId="0" xfId="0" applyFont="1" applyFill="1" applyAlignment="1">
      <alignment horizontal="center" vertical="top" shrinkToFit="1"/>
    </xf>
    <xf numFmtId="0" fontId="139" fillId="40" borderId="0" xfId="0" applyFont="1" applyFill="1" applyAlignment="1">
      <alignment horizontal="center" vertical="center" textRotation="255"/>
    </xf>
    <xf numFmtId="0" fontId="161" fillId="31" borderId="235" xfId="0" applyFont="1" applyFill="1" applyBorder="1" applyAlignment="1">
      <alignment horizontal="center" vertical="center" shrinkToFit="1"/>
    </xf>
    <xf numFmtId="0" fontId="151" fillId="31" borderId="28" xfId="0" applyFont="1" applyFill="1" applyBorder="1" applyAlignment="1">
      <alignment horizontal="center" vertical="center" shrinkToFit="1"/>
    </xf>
    <xf numFmtId="0" fontId="151" fillId="31" borderId="25" xfId="0" applyFont="1" applyFill="1" applyBorder="1" applyAlignment="1">
      <alignment horizontal="center" vertical="center"/>
    </xf>
    <xf numFmtId="0" fontId="151" fillId="31" borderId="59" xfId="0" applyFont="1" applyFill="1" applyBorder="1" applyAlignment="1">
      <alignment horizontal="center" vertical="center"/>
    </xf>
    <xf numFmtId="0" fontId="151" fillId="31" borderId="54" xfId="0" applyFont="1" applyFill="1" applyBorder="1" applyAlignment="1">
      <alignment horizontal="center" vertical="center"/>
    </xf>
    <xf numFmtId="0" fontId="151" fillId="31" borderId="54" xfId="0" applyFont="1" applyFill="1" applyBorder="1" applyAlignment="1">
      <alignment horizontal="center" vertical="center" shrinkToFit="1"/>
    </xf>
    <xf numFmtId="179" fontId="152" fillId="0" borderId="32" xfId="0" applyNumberFormat="1" applyFont="1" applyBorder="1" applyAlignment="1">
      <alignment horizontal="right" vertical="center" shrinkToFit="1"/>
    </xf>
    <xf numFmtId="179" fontId="152" fillId="0" borderId="0" xfId="0" applyNumberFormat="1" applyFont="1" applyAlignment="1">
      <alignment horizontal="right" vertical="center" shrinkToFit="1"/>
    </xf>
    <xf numFmtId="179" fontId="152" fillId="0" borderId="21" xfId="0" applyNumberFormat="1" applyFont="1" applyBorder="1" applyAlignment="1">
      <alignment horizontal="right" vertical="center" shrinkToFit="1"/>
    </xf>
    <xf numFmtId="179" fontId="152" fillId="0" borderId="62" xfId="0" applyNumberFormat="1" applyFont="1" applyBorder="1" applyAlignment="1">
      <alignment horizontal="right" vertical="center" shrinkToFit="1"/>
    </xf>
    <xf numFmtId="0" fontId="152" fillId="0" borderId="33" xfId="0" applyFont="1" applyBorder="1" applyAlignment="1">
      <alignment horizontal="left" vertical="center"/>
    </xf>
    <xf numFmtId="0" fontId="152" fillId="0" borderId="50" xfId="0" applyFont="1" applyBorder="1" applyAlignment="1">
      <alignment horizontal="left" vertical="center"/>
    </xf>
    <xf numFmtId="179" fontId="152" fillId="0" borderId="25" xfId="0" applyNumberFormat="1" applyFont="1" applyBorder="1" applyAlignment="1">
      <alignment horizontal="right" vertical="center" shrinkToFit="1"/>
    </xf>
    <xf numFmtId="179" fontId="152" fillId="0" borderId="59" xfId="0" applyNumberFormat="1" applyFont="1" applyBorder="1" applyAlignment="1">
      <alignment horizontal="right" vertical="center" shrinkToFit="1"/>
    </xf>
    <xf numFmtId="0" fontId="151" fillId="31" borderId="28" xfId="0" applyFont="1" applyFill="1" applyBorder="1" applyAlignment="1">
      <alignment horizontal="center" vertical="center"/>
    </xf>
    <xf numFmtId="0" fontId="124" fillId="30" borderId="29" xfId="0" applyFont="1" applyFill="1" applyBorder="1" applyAlignment="1">
      <alignment horizontal="center" vertical="top" wrapText="1"/>
    </xf>
    <xf numFmtId="0" fontId="124" fillId="30" borderId="60" xfId="0" applyFont="1" applyFill="1" applyBorder="1" applyAlignment="1">
      <alignment horizontal="center" vertical="top" wrapText="1"/>
    </xf>
    <xf numFmtId="0" fontId="124" fillId="30" borderId="61" xfId="0" applyFont="1" applyFill="1" applyBorder="1" applyAlignment="1">
      <alignment horizontal="center" vertical="top" wrapText="1"/>
    </xf>
    <xf numFmtId="0" fontId="124" fillId="30" borderId="332" xfId="0" applyFont="1" applyFill="1" applyBorder="1" applyAlignment="1">
      <alignment horizontal="center" vertical="top" wrapText="1"/>
    </xf>
    <xf numFmtId="0" fontId="124" fillId="30" borderId="272" xfId="0" applyFont="1" applyFill="1" applyBorder="1" applyAlignment="1">
      <alignment horizontal="center" vertical="top" wrapText="1"/>
    </xf>
    <xf numFmtId="0" fontId="124" fillId="30" borderId="333" xfId="0" applyFont="1" applyFill="1" applyBorder="1" applyAlignment="1">
      <alignment horizontal="center" vertical="top" wrapText="1"/>
    </xf>
    <xf numFmtId="0" fontId="139" fillId="34" borderId="0" xfId="0" applyFont="1" applyFill="1" applyAlignment="1">
      <alignment horizontal="center" vertical="top" shrinkToFit="1"/>
    </xf>
    <xf numFmtId="179" fontId="154" fillId="32" borderId="227" xfId="0" applyNumberFormat="1" applyFont="1" applyFill="1" applyBorder="1" applyAlignment="1" applyProtection="1">
      <alignment horizontal="right" vertical="center" shrinkToFit="1"/>
      <protection locked="0"/>
    </xf>
    <xf numFmtId="179" fontId="154" fillId="32" borderId="228" xfId="0" applyNumberFormat="1" applyFont="1" applyFill="1" applyBorder="1" applyAlignment="1" applyProtection="1">
      <alignment horizontal="right" vertical="center" shrinkToFit="1"/>
      <protection locked="0"/>
    </xf>
    <xf numFmtId="179" fontId="154" fillId="32" borderId="237" xfId="0" applyNumberFormat="1" applyFont="1" applyFill="1" applyBorder="1" applyAlignment="1" applyProtection="1">
      <alignment horizontal="right" vertical="center" shrinkToFit="1"/>
      <protection locked="0"/>
    </xf>
    <xf numFmtId="179" fontId="154" fillId="32" borderId="0" xfId="0" applyNumberFormat="1" applyFont="1" applyFill="1" applyAlignment="1" applyProtection="1">
      <alignment horizontal="right" vertical="center" shrinkToFit="1"/>
      <protection locked="0"/>
    </xf>
    <xf numFmtId="0" fontId="152" fillId="0" borderId="259" xfId="0" applyFont="1" applyBorder="1" applyAlignment="1">
      <alignment horizontal="left" vertical="center"/>
    </xf>
    <xf numFmtId="0" fontId="152" fillId="0" borderId="234" xfId="0" applyFont="1" applyBorder="1" applyAlignment="1">
      <alignment horizontal="left" vertical="center"/>
    </xf>
    <xf numFmtId="0" fontId="124" fillId="30" borderId="32" xfId="0" applyFont="1" applyFill="1" applyBorder="1" applyAlignment="1">
      <alignment horizontal="center" vertical="top" wrapText="1"/>
    </xf>
    <xf numFmtId="0" fontId="124" fillId="30" borderId="0" xfId="0" applyFont="1" applyFill="1" applyAlignment="1">
      <alignment horizontal="center" vertical="top" wrapText="1"/>
    </xf>
    <xf numFmtId="0" fontId="124" fillId="30" borderId="33" xfId="0" applyFont="1" applyFill="1" applyBorder="1" applyAlignment="1">
      <alignment horizontal="center" vertical="top" wrapText="1"/>
    </xf>
    <xf numFmtId="38" fontId="124" fillId="30" borderId="29" xfId="281" applyFont="1" applyFill="1" applyBorder="1" applyAlignment="1" applyProtection="1">
      <alignment horizontal="center" vertical="top" wrapText="1"/>
    </xf>
    <xf numFmtId="38" fontId="124" fillId="30" borderId="60" xfId="281" applyFont="1" applyFill="1" applyBorder="1" applyAlignment="1" applyProtection="1">
      <alignment horizontal="center" vertical="top" wrapText="1"/>
    </xf>
    <xf numFmtId="38" fontId="124" fillId="30" borderId="61" xfId="281" applyFont="1" applyFill="1" applyBorder="1" applyAlignment="1" applyProtection="1">
      <alignment horizontal="center" vertical="top" wrapText="1"/>
    </xf>
    <xf numFmtId="38" fontId="124" fillId="30" borderId="21" xfId="281" applyFont="1" applyFill="1" applyBorder="1" applyAlignment="1" applyProtection="1">
      <alignment horizontal="center" vertical="top" wrapText="1"/>
    </xf>
    <xf numFmtId="38" fontId="124" fillId="30" borderId="62" xfId="281" applyFont="1" applyFill="1" applyBorder="1" applyAlignment="1" applyProtection="1">
      <alignment horizontal="center" vertical="top" wrapText="1"/>
    </xf>
    <xf numFmtId="38" fontId="124" fillId="30" borderId="50" xfId="281" applyFont="1" applyFill="1" applyBorder="1" applyAlignment="1" applyProtection="1">
      <alignment horizontal="center" vertical="top" wrapText="1"/>
    </xf>
    <xf numFmtId="179" fontId="154" fillId="38" borderId="227" xfId="0" applyNumberFormat="1" applyFont="1" applyFill="1" applyBorder="1" applyAlignment="1">
      <alignment horizontal="right" vertical="center" shrinkToFit="1"/>
    </xf>
    <xf numFmtId="179" fontId="154" fillId="38" borderId="228" xfId="0" applyNumberFormat="1" applyFont="1" applyFill="1" applyBorder="1" applyAlignment="1">
      <alignment horizontal="right" vertical="center" shrinkToFit="1"/>
    </xf>
    <xf numFmtId="179" fontId="154" fillId="38" borderId="237" xfId="0" applyNumberFormat="1" applyFont="1" applyFill="1" applyBorder="1" applyAlignment="1">
      <alignment horizontal="right" vertical="center" shrinkToFit="1"/>
    </xf>
    <xf numFmtId="179" fontId="154" fillId="38" borderId="0" xfId="0" applyNumberFormat="1" applyFont="1" applyFill="1" applyAlignment="1">
      <alignment horizontal="right" vertical="center" shrinkToFit="1"/>
    </xf>
    <xf numFmtId="0" fontId="162" fillId="40" borderId="228" xfId="0" applyFont="1" applyFill="1" applyBorder="1" applyAlignment="1">
      <alignment horizontal="left" vertical="top" wrapText="1"/>
    </xf>
    <xf numFmtId="0" fontId="162" fillId="40" borderId="0" xfId="0" applyFont="1" applyFill="1" applyAlignment="1">
      <alignment horizontal="left" vertical="top" wrapText="1"/>
    </xf>
    <xf numFmtId="0" fontId="151" fillId="31" borderId="85" xfId="0" applyFont="1" applyFill="1" applyBorder="1" applyAlignment="1">
      <alignment horizontal="center" vertical="center" shrinkToFit="1"/>
    </xf>
    <xf numFmtId="0" fontId="162" fillId="40" borderId="62" xfId="0" applyFont="1" applyFill="1" applyBorder="1" applyAlignment="1">
      <alignment horizontal="left" vertical="top" wrapText="1"/>
    </xf>
    <xf numFmtId="0" fontId="124" fillId="35" borderId="85" xfId="0" applyFont="1" applyFill="1" applyBorder="1" applyAlignment="1">
      <alignment horizontal="center" vertical="center"/>
    </xf>
    <xf numFmtId="0" fontId="124" fillId="35" borderId="28" xfId="0" applyFont="1" applyFill="1" applyBorder="1" applyAlignment="1">
      <alignment horizontal="center" vertical="center" shrinkToFit="1"/>
    </xf>
    <xf numFmtId="0" fontId="124" fillId="35" borderId="29" xfId="0" applyFont="1" applyFill="1" applyBorder="1" applyAlignment="1">
      <alignment horizontal="center" vertical="center"/>
    </xf>
    <xf numFmtId="0" fontId="124" fillId="35" borderId="60" xfId="0" applyFont="1" applyFill="1" applyBorder="1" applyAlignment="1">
      <alignment horizontal="center" vertical="center"/>
    </xf>
    <xf numFmtId="0" fontId="124" fillId="35" borderId="61" xfId="0" applyFont="1" applyFill="1" applyBorder="1" applyAlignment="1">
      <alignment horizontal="center" vertical="center"/>
    </xf>
    <xf numFmtId="0" fontId="124" fillId="35" borderId="54" xfId="0" applyFont="1" applyFill="1" applyBorder="1" applyAlignment="1">
      <alignment horizontal="center" vertical="center" shrinkToFit="1"/>
    </xf>
    <xf numFmtId="0" fontId="162" fillId="34" borderId="228" xfId="0" applyFont="1" applyFill="1" applyBorder="1" applyAlignment="1">
      <alignment horizontal="left" vertical="top" wrapText="1"/>
    </xf>
    <xf numFmtId="0" fontId="162" fillId="34" borderId="0" xfId="0" applyFont="1" applyFill="1" applyAlignment="1">
      <alignment horizontal="left" vertical="top" wrapText="1"/>
    </xf>
    <xf numFmtId="0" fontId="124" fillId="35" borderId="85" xfId="0" applyFont="1" applyFill="1" applyBorder="1" applyAlignment="1">
      <alignment horizontal="center" vertical="center" shrinkToFit="1"/>
    </xf>
    <xf numFmtId="0" fontId="162" fillId="34" borderId="62" xfId="0" applyFont="1" applyFill="1" applyBorder="1" applyAlignment="1">
      <alignment horizontal="left" vertical="top" wrapText="1"/>
    </xf>
    <xf numFmtId="179" fontId="152" fillId="25" borderId="221" xfId="0" applyNumberFormat="1" applyFont="1" applyFill="1" applyBorder="1" applyAlignment="1" applyProtection="1">
      <alignment horizontal="right" vertical="center"/>
      <protection locked="0"/>
    </xf>
    <xf numFmtId="179" fontId="152" fillId="25" borderId="222" xfId="0" applyNumberFormat="1" applyFont="1" applyFill="1" applyBorder="1" applyAlignment="1" applyProtection="1">
      <alignment horizontal="right" vertical="center"/>
      <protection locked="0"/>
    </xf>
    <xf numFmtId="179" fontId="152" fillId="25" borderId="221" xfId="0" applyNumberFormat="1" applyFont="1" applyFill="1" applyBorder="1" applyAlignment="1" applyProtection="1">
      <alignment horizontal="right" vertical="center" shrinkToFit="1"/>
      <protection locked="0"/>
    </xf>
    <xf numFmtId="179" fontId="152" fillId="25" borderId="222" xfId="0" applyNumberFormat="1" applyFont="1" applyFill="1" applyBorder="1" applyAlignment="1" applyProtection="1">
      <alignment horizontal="right" vertical="center" shrinkToFit="1"/>
      <protection locked="0"/>
    </xf>
    <xf numFmtId="179" fontId="152" fillId="0" borderId="29" xfId="0" applyNumberFormat="1" applyFont="1" applyBorder="1" applyAlignment="1">
      <alignment horizontal="right" vertical="center" shrinkToFit="1"/>
    </xf>
    <xf numFmtId="179" fontId="152" fillId="0" borderId="60" xfId="0" applyNumberFormat="1" applyFont="1" applyBorder="1" applyAlignment="1">
      <alignment horizontal="right" vertical="center" shrinkToFit="1"/>
    </xf>
    <xf numFmtId="0" fontId="152" fillId="0" borderId="61" xfId="0" applyFont="1" applyBorder="1" applyAlignment="1">
      <alignment horizontal="left" vertical="center"/>
    </xf>
    <xf numFmtId="0" fontId="152" fillId="34" borderId="0" xfId="0" applyFont="1" applyFill="1" applyAlignment="1">
      <alignment horizontal="center" vertical="center" textRotation="255"/>
    </xf>
    <xf numFmtId="0" fontId="207" fillId="35" borderId="235" xfId="0" applyFont="1" applyFill="1" applyBorder="1" applyAlignment="1">
      <alignment horizontal="center" vertical="center" shrinkToFit="1"/>
    </xf>
    <xf numFmtId="179" fontId="154" fillId="26" borderId="227" xfId="0" applyNumberFormat="1" applyFont="1" applyFill="1" applyBorder="1" applyAlignment="1" applyProtection="1">
      <alignment horizontal="right" vertical="center" shrinkToFit="1"/>
      <protection locked="0"/>
    </xf>
    <xf numFmtId="179" fontId="154" fillId="26" borderId="228" xfId="0" applyNumberFormat="1" applyFont="1" applyFill="1" applyBorder="1" applyAlignment="1" applyProtection="1">
      <alignment horizontal="right" vertical="center" shrinkToFit="1"/>
      <protection locked="0"/>
    </xf>
    <xf numFmtId="179" fontId="154" fillId="26" borderId="237" xfId="0" applyNumberFormat="1" applyFont="1" applyFill="1" applyBorder="1" applyAlignment="1" applyProtection="1">
      <alignment horizontal="right" vertical="center" shrinkToFit="1"/>
      <protection locked="0"/>
    </xf>
    <xf numFmtId="179" fontId="154" fillId="26" borderId="0" xfId="0" applyNumberFormat="1" applyFont="1" applyFill="1" applyAlignment="1" applyProtection="1">
      <alignment horizontal="right" vertical="center" shrinkToFit="1"/>
      <protection locked="0"/>
    </xf>
    <xf numFmtId="179" fontId="154" fillId="0" borderId="227" xfId="0" applyNumberFormat="1" applyFont="1" applyBorder="1" applyAlignment="1">
      <alignment horizontal="right" vertical="center" shrinkToFit="1"/>
    </xf>
    <xf numFmtId="179" fontId="154" fillId="0" borderId="228" xfId="0" applyNumberFormat="1" applyFont="1" applyBorder="1" applyAlignment="1">
      <alignment horizontal="right" vertical="center" shrinkToFit="1"/>
    </xf>
    <xf numFmtId="179" fontId="154" fillId="0" borderId="271" xfId="0" applyNumberFormat="1" applyFont="1" applyBorder="1" applyAlignment="1">
      <alignment horizontal="right" vertical="center" shrinkToFit="1"/>
    </xf>
    <xf numFmtId="179" fontId="154" fillId="0" borderId="272" xfId="0" applyNumberFormat="1" applyFont="1" applyBorder="1" applyAlignment="1">
      <alignment horizontal="right" vertical="center" shrinkToFit="1"/>
    </xf>
    <xf numFmtId="0" fontId="152" fillId="0" borderId="273" xfId="0" applyFont="1" applyBorder="1" applyAlignment="1">
      <alignment horizontal="left" vertical="center"/>
    </xf>
    <xf numFmtId="0" fontId="144" fillId="0" borderId="0" xfId="0" applyFont="1" applyAlignment="1">
      <alignment horizontal="left" vertical="top" wrapText="1"/>
    </xf>
    <xf numFmtId="0" fontId="49" fillId="0" borderId="0" xfId="0" applyFont="1" applyAlignment="1">
      <alignment horizontal="left" vertical="top" wrapText="1"/>
    </xf>
    <xf numFmtId="0" fontId="168" fillId="30" borderId="237" xfId="0" applyFont="1" applyFill="1" applyBorder="1" applyAlignment="1">
      <alignment horizontal="center" vertical="center" wrapText="1"/>
    </xf>
    <xf numFmtId="0" fontId="168" fillId="30" borderId="0" xfId="0" applyFont="1" applyFill="1" applyAlignment="1">
      <alignment horizontal="center" vertical="center" wrapText="1"/>
    </xf>
    <xf numFmtId="0" fontId="168" fillId="30" borderId="234" xfId="0" applyFont="1" applyFill="1" applyBorder="1" applyAlignment="1">
      <alignment horizontal="center" vertical="center" wrapText="1"/>
    </xf>
    <xf numFmtId="0" fontId="168" fillId="30" borderId="237" xfId="0" applyFont="1" applyFill="1" applyBorder="1" applyAlignment="1">
      <alignment horizontal="center" vertical="center" wrapText="1" shrinkToFit="1"/>
    </xf>
    <xf numFmtId="0" fontId="168" fillId="30" borderId="0" xfId="0" applyFont="1" applyFill="1" applyAlignment="1">
      <alignment horizontal="center" vertical="center" wrapText="1" shrinkToFit="1"/>
    </xf>
    <xf numFmtId="0" fontId="168" fillId="30" borderId="234" xfId="0" applyFont="1" applyFill="1" applyBorder="1" applyAlignment="1">
      <alignment horizontal="center" vertical="center" wrapText="1" shrinkToFit="1"/>
    </xf>
    <xf numFmtId="0" fontId="9" fillId="33" borderId="59" xfId="284" applyFont="1" applyFill="1" applyBorder="1" applyAlignment="1">
      <alignment horizontal="left" vertical="center" shrinkToFit="1"/>
    </xf>
    <xf numFmtId="0" fontId="9" fillId="33" borderId="54" xfId="284" applyFont="1" applyFill="1" applyBorder="1" applyAlignment="1">
      <alignment horizontal="left" vertical="center" shrinkToFit="1"/>
    </xf>
    <xf numFmtId="0" fontId="49" fillId="30" borderId="28" xfId="0" applyFont="1" applyFill="1" applyBorder="1" applyAlignment="1">
      <alignment horizontal="center" vertical="center" wrapText="1"/>
    </xf>
    <xf numFmtId="0" fontId="49" fillId="25" borderId="244" xfId="0" applyFont="1" applyFill="1" applyBorder="1" applyAlignment="1" applyProtection="1">
      <alignment horizontal="center" vertical="center"/>
      <protection locked="0"/>
    </xf>
    <xf numFmtId="0" fontId="49" fillId="25" borderId="245" xfId="0" applyFont="1" applyFill="1" applyBorder="1" applyAlignment="1" applyProtection="1">
      <alignment horizontal="center" vertical="center"/>
      <protection locked="0"/>
    </xf>
    <xf numFmtId="0" fontId="124" fillId="30" borderId="28" xfId="0" applyFont="1" applyFill="1" applyBorder="1" applyAlignment="1">
      <alignment horizontal="center" vertical="top"/>
    </xf>
    <xf numFmtId="0" fontId="49" fillId="25" borderId="28" xfId="0" applyFont="1" applyFill="1" applyBorder="1" applyAlignment="1" applyProtection="1">
      <alignment horizontal="center" vertical="center"/>
      <protection locked="0"/>
    </xf>
    <xf numFmtId="0" fontId="49" fillId="25" borderId="248" xfId="0" applyFont="1" applyFill="1" applyBorder="1" applyAlignment="1" applyProtection="1">
      <alignment horizontal="center" vertical="center"/>
      <protection locked="0"/>
    </xf>
    <xf numFmtId="180" fontId="124" fillId="0" borderId="54" xfId="0" applyNumberFormat="1" applyFont="1" applyBorder="1" applyAlignment="1">
      <alignment horizontal="center" vertical="center"/>
    </xf>
    <xf numFmtId="180" fontId="124" fillId="0" borderId="28" xfId="0" applyNumberFormat="1" applyFont="1" applyBorder="1" applyAlignment="1">
      <alignment horizontal="center" vertical="center"/>
    </xf>
    <xf numFmtId="180" fontId="124" fillId="0" borderId="25" xfId="0" applyNumberFormat="1" applyFont="1" applyBorder="1" applyAlignment="1">
      <alignment horizontal="center" vertical="center"/>
    </xf>
    <xf numFmtId="0" fontId="124" fillId="25" borderId="247" xfId="0" applyFont="1" applyFill="1" applyBorder="1" applyAlignment="1">
      <alignment horizontal="center" vertical="center"/>
    </xf>
    <xf numFmtId="0" fontId="124" fillId="25" borderId="28" xfId="0" applyFont="1" applyFill="1" applyBorder="1" applyAlignment="1">
      <alignment horizontal="center" vertical="center"/>
    </xf>
    <xf numFmtId="0" fontId="124" fillId="25" borderId="248" xfId="0" applyFont="1" applyFill="1" applyBorder="1" applyAlignment="1">
      <alignment horizontal="center" vertical="center"/>
    </xf>
    <xf numFmtId="0" fontId="118" fillId="25" borderId="324" xfId="0" applyFont="1" applyFill="1" applyBorder="1" applyAlignment="1" applyProtection="1">
      <alignment horizontal="center" vertical="center" wrapText="1" shrinkToFit="1"/>
      <protection locked="0"/>
    </xf>
    <xf numFmtId="0" fontId="118" fillId="25" borderId="325" xfId="0" applyFont="1" applyFill="1" applyBorder="1" applyAlignment="1" applyProtection="1">
      <alignment horizontal="center" vertical="center" wrapText="1" shrinkToFit="1"/>
      <protection locked="0"/>
    </xf>
    <xf numFmtId="0" fontId="118" fillId="25" borderId="303" xfId="0" applyFont="1" applyFill="1" applyBorder="1" applyAlignment="1" applyProtection="1">
      <alignment horizontal="center" vertical="center" wrapText="1" shrinkToFit="1"/>
      <protection locked="0"/>
    </xf>
    <xf numFmtId="0" fontId="118" fillId="25" borderId="236" xfId="0" applyFont="1" applyFill="1" applyBorder="1" applyAlignment="1" applyProtection="1">
      <alignment horizontal="center" vertical="center" wrapText="1" shrinkToFit="1"/>
      <protection locked="0"/>
    </xf>
    <xf numFmtId="0" fontId="164" fillId="25" borderId="303" xfId="0" applyFont="1" applyFill="1" applyBorder="1" applyAlignment="1" applyProtection="1">
      <alignment horizontal="center" vertical="center" wrapText="1" shrinkToFit="1"/>
      <protection locked="0"/>
    </xf>
    <xf numFmtId="0" fontId="164" fillId="25" borderId="236" xfId="0" applyFont="1" applyFill="1" applyBorder="1" applyAlignment="1" applyProtection="1">
      <alignment horizontal="center" vertical="center" wrapText="1" shrinkToFit="1"/>
      <protection locked="0"/>
    </xf>
    <xf numFmtId="0" fontId="164" fillId="25" borderId="326" xfId="0" applyFont="1" applyFill="1" applyBorder="1" applyAlignment="1" applyProtection="1">
      <alignment horizontal="center" vertical="center" wrapText="1" shrinkToFit="1"/>
      <protection locked="0"/>
    </xf>
    <xf numFmtId="0" fontId="164" fillId="25" borderId="327" xfId="0" applyFont="1" applyFill="1" applyBorder="1" applyAlignment="1" applyProtection="1">
      <alignment horizontal="center" vertical="center" wrapText="1" shrinkToFit="1"/>
      <protection locked="0"/>
    </xf>
    <xf numFmtId="0" fontId="118" fillId="0" borderId="302" xfId="0" applyFont="1" applyBorder="1" applyAlignment="1">
      <alignment horizontal="left" vertical="top" wrapText="1" shrinkToFit="1"/>
    </xf>
    <xf numFmtId="0" fontId="118" fillId="0" borderId="229" xfId="0" applyFont="1" applyBorder="1" applyAlignment="1">
      <alignment horizontal="left" vertical="top" wrapText="1" shrinkToFit="1"/>
    </xf>
    <xf numFmtId="0" fontId="118" fillId="0" borderId="323" xfId="0" applyFont="1" applyBorder="1" applyAlignment="1">
      <alignment horizontal="left" vertical="top" wrapText="1" shrinkToFit="1"/>
    </xf>
    <xf numFmtId="0" fontId="49" fillId="30" borderId="28" xfId="0" applyFont="1" applyFill="1" applyBorder="1" applyAlignment="1">
      <alignment horizontal="center" vertical="center"/>
    </xf>
    <xf numFmtId="0" fontId="124" fillId="30" borderId="28" xfId="0" applyFont="1" applyFill="1" applyBorder="1" applyAlignment="1">
      <alignment horizontal="center" vertical="top" wrapText="1"/>
    </xf>
    <xf numFmtId="0" fontId="124" fillId="30" borderId="28" xfId="0" applyFont="1" applyFill="1" applyBorder="1" applyAlignment="1">
      <alignment horizontal="left" vertical="top" wrapText="1"/>
    </xf>
    <xf numFmtId="0" fontId="124" fillId="25" borderId="243" xfId="0" applyFont="1" applyFill="1" applyBorder="1" applyAlignment="1">
      <alignment horizontal="center" vertical="center"/>
    </xf>
    <xf numFmtId="0" fontId="124" fillId="25" borderId="244" xfId="0" applyFont="1" applyFill="1" applyBorder="1" applyAlignment="1">
      <alignment horizontal="center" vertical="center"/>
    </xf>
    <xf numFmtId="0" fontId="124" fillId="25" borderId="245" xfId="0" applyFont="1" applyFill="1" applyBorder="1" applyAlignment="1">
      <alignment horizontal="center" vertical="center"/>
    </xf>
    <xf numFmtId="0" fontId="124" fillId="30" borderId="85" xfId="0" applyFont="1" applyFill="1" applyBorder="1" applyAlignment="1">
      <alignment horizontal="center" vertical="top"/>
    </xf>
    <xf numFmtId="0" fontId="124" fillId="30" borderId="85" xfId="0" applyFont="1" applyFill="1" applyBorder="1" applyAlignment="1">
      <alignment horizontal="center" vertical="top" wrapText="1"/>
    </xf>
    <xf numFmtId="0" fontId="49" fillId="0" borderId="25" xfId="280" applyNumberFormat="1" applyFont="1" applyBorder="1" applyAlignment="1" applyProtection="1">
      <alignment horizontal="center" vertical="center"/>
    </xf>
    <xf numFmtId="0" fontId="49" fillId="0" borderId="54" xfId="280" applyNumberFormat="1" applyFont="1" applyBorder="1" applyAlignment="1" applyProtection="1">
      <alignment horizontal="center" vertical="center"/>
    </xf>
    <xf numFmtId="0" fontId="49" fillId="25" borderId="235" xfId="0" applyFont="1" applyFill="1" applyBorder="1" applyAlignment="1" applyProtection="1">
      <alignment horizontal="center" vertical="center"/>
      <protection locked="0"/>
    </xf>
    <xf numFmtId="0" fontId="49" fillId="25" borderId="253" xfId="0" applyFont="1" applyFill="1" applyBorder="1" applyAlignment="1" applyProtection="1">
      <alignment horizontal="center" vertical="center"/>
      <protection locked="0"/>
    </xf>
    <xf numFmtId="0" fontId="124" fillId="25" borderId="252" xfId="0" applyFont="1" applyFill="1" applyBorder="1" applyAlignment="1">
      <alignment horizontal="center" vertical="center"/>
    </xf>
    <xf numFmtId="0" fontId="124" fillId="25" borderId="235" xfId="0" applyFont="1" applyFill="1" applyBorder="1" applyAlignment="1">
      <alignment horizontal="center" vertical="center"/>
    </xf>
    <xf numFmtId="0" fontId="124" fillId="25" borderId="253" xfId="0" applyFont="1" applyFill="1" applyBorder="1" applyAlignment="1">
      <alignment horizontal="center" vertical="center"/>
    </xf>
    <xf numFmtId="0" fontId="49" fillId="0" borderId="84" xfId="0" applyFont="1" applyBorder="1" applyAlignment="1" applyProtection="1">
      <alignment horizontal="center" vertical="center"/>
      <protection locked="0"/>
    </xf>
    <xf numFmtId="180" fontId="124" fillId="0" borderId="84" xfId="0" applyNumberFormat="1" applyFont="1" applyBorder="1" applyAlignment="1">
      <alignment horizontal="center" vertical="center"/>
    </xf>
    <xf numFmtId="0" fontId="124" fillId="25" borderId="252" xfId="0" applyFont="1" applyFill="1" applyBorder="1" applyAlignment="1">
      <alignment horizontal="center" vertical="center" shrinkToFit="1"/>
    </xf>
    <xf numFmtId="0" fontId="124" fillId="25" borderId="235" xfId="0" applyFont="1" applyFill="1" applyBorder="1" applyAlignment="1">
      <alignment horizontal="center" vertical="center" shrinkToFit="1"/>
    </xf>
    <xf numFmtId="0" fontId="124" fillId="0" borderId="84" xfId="0" applyFont="1" applyBorder="1" applyAlignment="1">
      <alignment horizontal="center" vertical="center" shrinkToFit="1"/>
    </xf>
    <xf numFmtId="9" fontId="49" fillId="0" borderId="54" xfId="280" applyFont="1" applyBorder="1" applyAlignment="1" applyProtection="1">
      <alignment horizontal="center" vertical="center"/>
    </xf>
    <xf numFmtId="9" fontId="49" fillId="0" borderId="28" xfId="280" applyFont="1" applyBorder="1" applyAlignment="1" applyProtection="1">
      <alignment horizontal="center" vertical="center"/>
    </xf>
    <xf numFmtId="9" fontId="49" fillId="0" borderId="28" xfId="280" applyFont="1" applyBorder="1" applyAlignment="1" applyProtection="1">
      <alignment horizontal="right" vertical="center"/>
    </xf>
    <xf numFmtId="0" fontId="124" fillId="25" borderId="243" xfId="0" applyFont="1" applyFill="1" applyBorder="1" applyAlignment="1">
      <alignment horizontal="center" vertical="center" shrinkToFit="1"/>
    </xf>
    <xf numFmtId="0" fontId="124" fillId="25" borderId="244" xfId="0" applyFont="1" applyFill="1" applyBorder="1" applyAlignment="1">
      <alignment horizontal="center" vertical="center" shrinkToFit="1"/>
    </xf>
    <xf numFmtId="0" fontId="124" fillId="25" borderId="247" xfId="0" applyFont="1" applyFill="1" applyBorder="1" applyAlignment="1">
      <alignment horizontal="center" vertical="center" shrinkToFit="1"/>
    </xf>
    <xf numFmtId="0" fontId="124" fillId="25" borderId="28" xfId="0" applyFont="1" applyFill="1" applyBorder="1" applyAlignment="1">
      <alignment horizontal="center" vertical="center" shrinkToFit="1"/>
    </xf>
    <xf numFmtId="9" fontId="49" fillId="0" borderId="25" xfId="280" applyFont="1" applyBorder="1" applyAlignment="1" applyProtection="1">
      <alignment horizontal="right" vertical="center"/>
    </xf>
    <xf numFmtId="0" fontId="49" fillId="0" borderId="25" xfId="0" applyFont="1" applyBorder="1" applyAlignment="1">
      <alignment horizontal="center" vertical="center"/>
    </xf>
    <xf numFmtId="0" fontId="49" fillId="30" borderId="28" xfId="0" applyFont="1" applyFill="1" applyBorder="1" applyAlignment="1">
      <alignment horizontal="left" vertical="top" wrapText="1"/>
    </xf>
    <xf numFmtId="0" fontId="124" fillId="0" borderId="28" xfId="280" applyNumberFormat="1" applyFont="1" applyBorder="1" applyAlignment="1" applyProtection="1">
      <alignment horizontal="right" vertical="center"/>
    </xf>
    <xf numFmtId="0" fontId="49" fillId="30" borderId="28" xfId="0" applyFont="1" applyFill="1" applyBorder="1" applyAlignment="1">
      <alignment horizontal="left" vertical="center" wrapText="1"/>
    </xf>
    <xf numFmtId="9" fontId="49" fillId="0" borderId="25" xfId="280" applyFont="1" applyBorder="1" applyAlignment="1" applyProtection="1">
      <alignment horizontal="center" vertical="center"/>
    </xf>
    <xf numFmtId="0" fontId="73" fillId="27" borderId="260" xfId="43" applyFont="1" applyFill="1" applyBorder="1" applyAlignment="1">
      <alignment horizontal="left" vertical="top" wrapText="1"/>
    </xf>
    <xf numFmtId="0" fontId="36" fillId="27" borderId="260" xfId="43" applyFont="1" applyFill="1" applyBorder="1" applyAlignment="1">
      <alignment horizontal="left" vertical="top" wrapText="1"/>
    </xf>
    <xf numFmtId="0" fontId="12" fillId="30" borderId="84" xfId="284" applyFill="1" applyBorder="1" applyAlignment="1">
      <alignment horizontal="right" vertical="center"/>
    </xf>
    <xf numFmtId="0" fontId="118" fillId="0" borderId="28" xfId="284" applyFont="1" applyBorder="1" applyAlignment="1">
      <alignment horizontal="left" vertical="center" wrapText="1" shrinkToFit="1"/>
    </xf>
    <xf numFmtId="0" fontId="118" fillId="0" borderId="28" xfId="284" applyFont="1" applyBorder="1" applyAlignment="1" applyProtection="1">
      <alignment horizontal="center" vertical="center" wrapText="1" shrinkToFit="1"/>
      <protection locked="0"/>
    </xf>
    <xf numFmtId="0" fontId="73" fillId="30" borderId="84" xfId="284" applyFont="1" applyFill="1" applyBorder="1" applyAlignment="1">
      <alignment horizontal="center" vertical="center" textRotation="255" shrinkToFit="1"/>
    </xf>
    <xf numFmtId="0" fontId="12" fillId="30" borderId="25" xfId="284" applyFill="1" applyBorder="1" applyAlignment="1">
      <alignment horizontal="right" vertical="center"/>
    </xf>
    <xf numFmtId="0" fontId="12" fillId="30" borderId="59" xfId="284" applyFill="1" applyBorder="1" applyAlignment="1">
      <alignment horizontal="right" vertical="center"/>
    </xf>
    <xf numFmtId="0" fontId="12" fillId="30" borderId="62" xfId="284" applyFill="1" applyBorder="1" applyAlignment="1">
      <alignment horizontal="right" vertical="center"/>
    </xf>
    <xf numFmtId="197" fontId="12" fillId="0" borderId="221" xfId="284" applyNumberFormat="1" applyBorder="1" applyAlignment="1">
      <alignment horizontal="right" vertical="center" shrinkToFit="1"/>
    </xf>
    <xf numFmtId="197" fontId="12" fillId="0" borderId="223" xfId="284" applyNumberFormat="1" applyBorder="1" applyAlignment="1">
      <alignment horizontal="right" vertical="center" shrinkToFit="1"/>
    </xf>
    <xf numFmtId="0" fontId="12" fillId="0" borderId="25" xfId="284" applyBorder="1" applyAlignment="1">
      <alignment horizontal="left" vertical="center" shrinkToFit="1"/>
    </xf>
    <xf numFmtId="0" fontId="12" fillId="0" borderId="59" xfId="284" applyBorder="1" applyAlignment="1">
      <alignment horizontal="left" vertical="center" shrinkToFit="1"/>
    </xf>
    <xf numFmtId="0" fontId="12" fillId="0" borderId="54" xfId="284" applyBorder="1" applyAlignment="1">
      <alignment horizontal="left" vertical="center" shrinkToFit="1"/>
    </xf>
    <xf numFmtId="0" fontId="9" fillId="33" borderId="85" xfId="284" applyFont="1" applyFill="1" applyBorder="1" applyAlignment="1">
      <alignment horizontal="center" vertical="center" wrapText="1"/>
    </xf>
    <xf numFmtId="0" fontId="9" fillId="33" borderId="84" xfId="284" applyFont="1" applyFill="1" applyBorder="1" applyAlignment="1">
      <alignment horizontal="center" vertical="center" wrapText="1"/>
    </xf>
    <xf numFmtId="0" fontId="102" fillId="30" borderId="84" xfId="284" applyFont="1" applyFill="1" applyBorder="1" applyAlignment="1">
      <alignment horizontal="center" vertical="center"/>
    </xf>
    <xf numFmtId="0" fontId="105" fillId="0" borderId="0" xfId="289" applyFont="1" applyAlignment="1">
      <alignment horizontal="left" vertical="top" shrinkToFit="1"/>
    </xf>
    <xf numFmtId="0" fontId="112" fillId="0" borderId="0" xfId="289" applyFont="1" applyAlignment="1">
      <alignment horizontal="right" vertical="center"/>
    </xf>
    <xf numFmtId="0" fontId="112" fillId="0" borderId="0" xfId="289" applyFont="1" applyAlignment="1">
      <alignment horizontal="left" vertical="center"/>
    </xf>
    <xf numFmtId="202" fontId="112" fillId="38" borderId="17" xfId="289" applyNumberFormat="1" applyFont="1" applyFill="1" applyBorder="1" applyAlignment="1">
      <alignment horizontal="center" wrapText="1"/>
    </xf>
    <xf numFmtId="0" fontId="104" fillId="46" borderId="89" xfId="289" applyFont="1" applyFill="1" applyBorder="1" applyAlignment="1">
      <alignment horizontal="center" vertical="top" wrapText="1" shrinkToFit="1"/>
    </xf>
    <xf numFmtId="0" fontId="104" fillId="46" borderId="140" xfId="289" applyFont="1" applyFill="1" applyBorder="1" applyAlignment="1">
      <alignment horizontal="center" vertical="top" wrapText="1" shrinkToFit="1"/>
    </xf>
    <xf numFmtId="0" fontId="104" fillId="46" borderId="149" xfId="289" applyFont="1" applyFill="1" applyBorder="1" applyAlignment="1">
      <alignment horizontal="center" vertical="top" wrapText="1" shrinkToFit="1"/>
    </xf>
    <xf numFmtId="0" fontId="73" fillId="34" borderId="85" xfId="289" applyFont="1" applyFill="1" applyBorder="1" applyAlignment="1">
      <alignment horizontal="center" vertical="center" wrapText="1"/>
    </xf>
    <xf numFmtId="0" fontId="73" fillId="34" borderId="84" xfId="289" applyFont="1" applyFill="1" applyBorder="1" applyAlignment="1">
      <alignment horizontal="center" vertical="center" wrapText="1"/>
    </xf>
    <xf numFmtId="0" fontId="115" fillId="34" borderId="28" xfId="289" applyFont="1" applyFill="1" applyBorder="1" applyAlignment="1">
      <alignment horizontal="center" vertical="center" shrinkToFit="1"/>
    </xf>
    <xf numFmtId="0" fontId="73" fillId="34" borderId="28" xfId="289" applyFont="1" applyFill="1" applyBorder="1" applyAlignment="1">
      <alignment horizontal="center" vertical="center" wrapText="1" shrinkToFit="1"/>
    </xf>
    <xf numFmtId="0" fontId="73" fillId="34" borderId="28" xfId="289" applyFont="1" applyFill="1" applyBorder="1" applyAlignment="1">
      <alignment horizontal="center" vertical="center" shrinkToFit="1"/>
    </xf>
    <xf numFmtId="0" fontId="73" fillId="34" borderId="85" xfId="289" applyFont="1" applyFill="1" applyBorder="1" applyAlignment="1">
      <alignment horizontal="center" vertical="center" wrapText="1" shrinkToFit="1"/>
    </xf>
    <xf numFmtId="0" fontId="73" fillId="34" borderId="84" xfId="289" applyFont="1" applyFill="1" applyBorder="1" applyAlignment="1">
      <alignment horizontal="center" vertical="center" wrapText="1" shrinkToFit="1"/>
    </xf>
    <xf numFmtId="0" fontId="73" fillId="34" borderId="25" xfId="289" applyFont="1" applyFill="1" applyBorder="1" applyAlignment="1">
      <alignment horizontal="center" vertical="center" shrinkToFit="1"/>
    </xf>
    <xf numFmtId="0" fontId="73" fillId="34" borderId="59" xfId="289" applyFont="1" applyFill="1" applyBorder="1" applyAlignment="1">
      <alignment horizontal="center" vertical="center" shrinkToFit="1"/>
    </xf>
    <xf numFmtId="0" fontId="73" fillId="34" borderId="54" xfId="289" applyFont="1" applyFill="1" applyBorder="1" applyAlignment="1">
      <alignment horizontal="center" vertical="center" shrinkToFit="1"/>
    </xf>
    <xf numFmtId="0" fontId="115" fillId="34" borderId="28" xfId="289" applyFont="1" applyFill="1" applyBorder="1" applyAlignment="1">
      <alignment vertical="center" wrapText="1"/>
    </xf>
    <xf numFmtId="0" fontId="73" fillId="34" borderId="28" xfId="289" applyFont="1" applyFill="1" applyBorder="1" applyAlignment="1">
      <alignment horizontal="center" vertical="center" wrapText="1"/>
    </xf>
    <xf numFmtId="0" fontId="112" fillId="0" borderId="0" xfId="289" applyFont="1" applyAlignment="1">
      <alignment horizontal="center" vertical="center" shrinkToFit="1"/>
    </xf>
    <xf numFmtId="0" fontId="73" fillId="34" borderId="85" xfId="289" applyFont="1" applyFill="1" applyBorder="1" applyAlignment="1">
      <alignment horizontal="center" vertical="center" textRotation="255" shrinkToFit="1"/>
    </xf>
    <xf numFmtId="0" fontId="73" fillId="34" borderId="83" xfId="289" applyFont="1" applyFill="1" applyBorder="1" applyAlignment="1">
      <alignment horizontal="center" vertical="center" textRotation="255" shrinkToFit="1"/>
    </xf>
    <xf numFmtId="0" fontId="11" fillId="0" borderId="25" xfId="289" applyBorder="1" applyAlignment="1">
      <alignment vertical="center" shrinkToFit="1"/>
    </xf>
    <xf numFmtId="0" fontId="11" fillId="0" borderId="59" xfId="289" applyBorder="1" applyAlignment="1">
      <alignment vertical="center" shrinkToFit="1"/>
    </xf>
    <xf numFmtId="0" fontId="11" fillId="0" borderId="54" xfId="289" applyBorder="1" applyAlignment="1">
      <alignment vertical="center" shrinkToFit="1"/>
    </xf>
    <xf numFmtId="0" fontId="114" fillId="34" borderId="85" xfId="289" applyFont="1" applyFill="1" applyBorder="1" applyAlignment="1">
      <alignment horizontal="center" vertical="center" wrapText="1" shrinkToFit="1"/>
    </xf>
    <xf numFmtId="0" fontId="114" fillId="34" borderId="84" xfId="289" applyFont="1" applyFill="1" applyBorder="1" applyAlignment="1">
      <alignment horizontal="center" vertical="center" wrapText="1" shrinkToFit="1"/>
    </xf>
    <xf numFmtId="0" fontId="73" fillId="34" borderId="29" xfId="289" applyFont="1" applyFill="1" applyBorder="1" applyAlignment="1">
      <alignment horizontal="center" vertical="center"/>
    </xf>
    <xf numFmtId="0" fontId="73" fillId="34" borderId="60" xfId="289" applyFont="1" applyFill="1" applyBorder="1" applyAlignment="1">
      <alignment horizontal="center" vertical="center"/>
    </xf>
    <xf numFmtId="0" fontId="73" fillId="34" borderId="61" xfId="289" applyFont="1" applyFill="1" applyBorder="1" applyAlignment="1">
      <alignment horizontal="center" vertical="center"/>
    </xf>
    <xf numFmtId="0" fontId="73" fillId="34" borderId="32" xfId="289" applyFont="1" applyFill="1" applyBorder="1" applyAlignment="1">
      <alignment horizontal="center" vertical="center"/>
    </xf>
    <xf numFmtId="0" fontId="73" fillId="34" borderId="0" xfId="289" applyFont="1" applyFill="1" applyAlignment="1">
      <alignment horizontal="center" vertical="center"/>
    </xf>
    <xf numFmtId="0" fontId="73" fillId="34" borderId="33" xfId="289" applyFont="1" applyFill="1" applyBorder="1" applyAlignment="1">
      <alignment horizontal="center" vertical="center"/>
    </xf>
    <xf numFmtId="0" fontId="73" fillId="34" borderId="21" xfId="289" applyFont="1" applyFill="1" applyBorder="1" applyAlignment="1">
      <alignment horizontal="center" vertical="center"/>
    </xf>
    <xf numFmtId="0" fontId="73" fillId="34" borderId="62" xfId="289" applyFont="1" applyFill="1" applyBorder="1" applyAlignment="1">
      <alignment horizontal="center" vertical="center"/>
    </xf>
    <xf numFmtId="0" fontId="73" fillId="34" borderId="50" xfId="289" applyFont="1" applyFill="1" applyBorder="1" applyAlignment="1">
      <alignment horizontal="center" vertical="center"/>
    </xf>
    <xf numFmtId="0" fontId="73" fillId="34" borderId="25" xfId="289" applyFont="1" applyFill="1" applyBorder="1" applyAlignment="1">
      <alignment horizontal="center" vertical="center"/>
    </xf>
    <xf numFmtId="0" fontId="73" fillId="34" borderId="59" xfId="289" applyFont="1" applyFill="1" applyBorder="1" applyAlignment="1">
      <alignment horizontal="center" vertical="center"/>
    </xf>
    <xf numFmtId="0" fontId="73" fillId="34" borderId="54" xfId="289" applyFont="1" applyFill="1" applyBorder="1" applyAlignment="1">
      <alignment horizontal="center" vertical="center"/>
    </xf>
    <xf numFmtId="0" fontId="11" fillId="0" borderId="85" xfId="289" applyBorder="1" applyAlignment="1">
      <alignment vertical="center" wrapText="1" shrinkToFit="1"/>
    </xf>
    <xf numFmtId="0" fontId="11" fillId="0" borderId="84" xfId="289" applyBorder="1" applyAlignment="1">
      <alignment vertical="center" shrinkToFit="1"/>
    </xf>
    <xf numFmtId="0" fontId="11" fillId="0" borderId="28" xfId="289" applyBorder="1" applyAlignment="1">
      <alignment horizontal="left" vertical="center" shrinkToFit="1"/>
    </xf>
    <xf numFmtId="0" fontId="11" fillId="0" borderId="85" xfId="289" applyBorder="1">
      <alignment vertical="center"/>
    </xf>
    <xf numFmtId="0" fontId="11" fillId="0" borderId="83" xfId="289" applyBorder="1">
      <alignment vertical="center"/>
    </xf>
    <xf numFmtId="0" fontId="11" fillId="0" borderId="84" xfId="289" applyBorder="1">
      <alignment vertical="center"/>
    </xf>
    <xf numFmtId="0" fontId="11" fillId="0" borderId="85" xfId="289" applyBorder="1" applyAlignment="1">
      <alignment vertical="center" shrinkToFit="1"/>
    </xf>
    <xf numFmtId="0" fontId="11" fillId="0" borderId="25" xfId="289" applyBorder="1">
      <alignment vertical="center"/>
    </xf>
    <xf numFmtId="0" fontId="11" fillId="0" borderId="59" xfId="289" applyBorder="1">
      <alignment vertical="center"/>
    </xf>
    <xf numFmtId="0" fontId="11" fillId="0" borderId="54" xfId="289" applyBorder="1">
      <alignment vertical="center"/>
    </xf>
    <xf numFmtId="0" fontId="11" fillId="34" borderId="25" xfId="289" applyFill="1" applyBorder="1" applyAlignment="1">
      <alignment horizontal="right" vertical="center"/>
    </xf>
    <xf numFmtId="0" fontId="11" fillId="34" borderId="59" xfId="289" applyFill="1" applyBorder="1" applyAlignment="1">
      <alignment horizontal="right" vertical="center"/>
    </xf>
    <xf numFmtId="0" fontId="11" fillId="34" borderId="54" xfId="289" applyFill="1" applyBorder="1" applyAlignment="1">
      <alignment horizontal="right" vertical="center"/>
    </xf>
    <xf numFmtId="0" fontId="11" fillId="0" borderId="25" xfId="289" applyBorder="1" applyAlignment="1">
      <alignment horizontal="left" vertical="center" shrinkToFit="1"/>
    </xf>
    <xf numFmtId="0" fontId="11" fillId="0" borderId="59" xfId="289" applyBorder="1" applyAlignment="1">
      <alignment horizontal="left" vertical="center" shrinkToFit="1"/>
    </xf>
    <xf numFmtId="0" fontId="11" fillId="0" borderId="54" xfId="289" applyBorder="1" applyAlignment="1">
      <alignment horizontal="left" vertical="center" shrinkToFit="1"/>
    </xf>
    <xf numFmtId="0" fontId="11" fillId="34" borderId="85" xfId="289" applyFill="1" applyBorder="1" applyAlignment="1">
      <alignment horizontal="right" vertical="center"/>
    </xf>
    <xf numFmtId="0" fontId="106" fillId="34" borderId="280" xfId="289" applyFont="1" applyFill="1" applyBorder="1" applyAlignment="1">
      <alignment horizontal="center" vertical="center" shrinkToFit="1"/>
    </xf>
    <xf numFmtId="0" fontId="106" fillId="34" borderId="281" xfId="289" applyFont="1" applyFill="1" applyBorder="1" applyAlignment="1">
      <alignment horizontal="center" vertical="center" shrinkToFit="1"/>
    </xf>
    <xf numFmtId="0" fontId="106" fillId="34" borderId="282" xfId="289" applyFont="1" applyFill="1" applyBorder="1" applyAlignment="1">
      <alignment horizontal="center" vertical="center" shrinkToFit="1"/>
    </xf>
    <xf numFmtId="0" fontId="16" fillId="0" borderId="0" xfId="289" applyFont="1" applyAlignment="1">
      <alignment horizontal="left" vertical="center" wrapText="1"/>
    </xf>
    <xf numFmtId="0" fontId="11" fillId="0" borderId="59" xfId="289" applyBorder="1" applyAlignment="1">
      <alignment horizontal="left" vertical="top" shrinkToFit="1"/>
    </xf>
    <xf numFmtId="0" fontId="11" fillId="0" borderId="54" xfId="289" applyBorder="1" applyAlignment="1">
      <alignment horizontal="left" vertical="top" shrinkToFit="1"/>
    </xf>
    <xf numFmtId="0" fontId="11" fillId="0" borderId="21" xfId="289" applyBorder="1" applyAlignment="1">
      <alignment horizontal="left" vertical="top"/>
    </xf>
    <xf numFmtId="0" fontId="11" fillId="0" borderId="62" xfId="289" applyBorder="1" applyAlignment="1">
      <alignment horizontal="left" vertical="top"/>
    </xf>
    <xf numFmtId="0" fontId="11" fillId="0" borderId="50" xfId="289" applyBorder="1" applyAlignment="1">
      <alignment horizontal="left" vertical="top"/>
    </xf>
    <xf numFmtId="0" fontId="114" fillId="0" borderId="29" xfId="289" applyFont="1" applyBorder="1" applyAlignment="1">
      <alignment horizontal="center" vertical="center" wrapText="1" shrinkToFit="1"/>
    </xf>
    <xf numFmtId="0" fontId="114" fillId="0" borderId="21" xfId="289" applyFont="1" applyBorder="1" applyAlignment="1">
      <alignment horizontal="center" vertical="center" wrapText="1" shrinkToFit="1"/>
    </xf>
    <xf numFmtId="0" fontId="201" fillId="0" borderId="60" xfId="289" applyFont="1" applyBorder="1" applyAlignment="1">
      <alignment horizontal="center" vertical="center" wrapText="1" shrinkToFit="1"/>
    </xf>
    <xf numFmtId="0" fontId="201" fillId="0" borderId="61" xfId="289" applyFont="1" applyBorder="1" applyAlignment="1">
      <alignment horizontal="center" vertical="center" wrapText="1" shrinkToFit="1"/>
    </xf>
    <xf numFmtId="0" fontId="201" fillId="0" borderId="62" xfId="289" applyFont="1" applyBorder="1" applyAlignment="1">
      <alignment horizontal="center" vertical="center" wrapText="1" shrinkToFit="1"/>
    </xf>
    <xf numFmtId="0" fontId="201" fillId="0" borderId="50" xfId="289" applyFont="1" applyBorder="1" applyAlignment="1">
      <alignment horizontal="center" vertical="center" wrapText="1" shrinkToFit="1"/>
    </xf>
    <xf numFmtId="0" fontId="73" fillId="34" borderId="84" xfId="289" applyFont="1" applyFill="1" applyBorder="1" applyAlignment="1">
      <alignment horizontal="center" vertical="center" textRotation="255" shrinkToFit="1"/>
    </xf>
    <xf numFmtId="0" fontId="12" fillId="34" borderId="32" xfId="284" applyFill="1" applyBorder="1" applyAlignment="1" applyProtection="1">
      <alignment horizontal="left" shrinkToFit="1"/>
      <protection locked="0"/>
    </xf>
    <xf numFmtId="0" fontId="12" fillId="34" borderId="0" xfId="284" applyFill="1" applyAlignment="1" applyProtection="1">
      <alignment horizontal="left" shrinkToFit="1"/>
      <protection locked="0"/>
    </xf>
    <xf numFmtId="0" fontId="12" fillId="34" borderId="33" xfId="284" applyFill="1" applyBorder="1" applyAlignment="1" applyProtection="1">
      <alignment horizontal="left" shrinkToFit="1"/>
      <protection locked="0"/>
    </xf>
    <xf numFmtId="0" fontId="176" fillId="0" borderId="0" xfId="0" applyFont="1" applyAlignment="1">
      <alignment horizontal="right" vertical="center" shrinkToFit="1"/>
    </xf>
    <xf numFmtId="0" fontId="176" fillId="0" borderId="0" xfId="0" applyFont="1" applyAlignment="1">
      <alignment horizontal="left" vertical="center" shrinkToFit="1"/>
    </xf>
    <xf numFmtId="0" fontId="176" fillId="0" borderId="0" xfId="0" applyFont="1" applyAlignment="1">
      <alignment horizontal="right" vertical="center"/>
    </xf>
    <xf numFmtId="0" fontId="73" fillId="34" borderId="29" xfId="0" applyFont="1" applyFill="1" applyBorder="1" applyAlignment="1">
      <alignment horizontal="center" vertical="center" wrapText="1"/>
    </xf>
    <xf numFmtId="0" fontId="73" fillId="34" borderId="60" xfId="0" applyFont="1" applyFill="1" applyBorder="1" applyAlignment="1">
      <alignment horizontal="center" vertical="center"/>
    </xf>
    <xf numFmtId="0" fontId="73" fillId="34" borderId="61" xfId="0" applyFont="1" applyFill="1" applyBorder="1" applyAlignment="1">
      <alignment horizontal="center" vertical="center"/>
    </xf>
    <xf numFmtId="0" fontId="73" fillId="34" borderId="21" xfId="0" applyFont="1" applyFill="1" applyBorder="1" applyAlignment="1">
      <alignment horizontal="center" vertical="center"/>
    </xf>
    <xf numFmtId="0" fontId="73" fillId="34" borderId="62" xfId="0" applyFont="1" applyFill="1" applyBorder="1" applyAlignment="1">
      <alignment horizontal="center" vertical="center"/>
    </xf>
    <xf numFmtId="0" fontId="73" fillId="34" borderId="50" xfId="0" applyFont="1" applyFill="1" applyBorder="1" applyAlignment="1">
      <alignment horizontal="center" vertical="center"/>
    </xf>
    <xf numFmtId="0" fontId="115" fillId="34" borderId="29" xfId="0" applyFont="1" applyFill="1" applyBorder="1" applyAlignment="1">
      <alignment horizontal="left" vertical="top" wrapText="1"/>
    </xf>
    <xf numFmtId="0" fontId="115" fillId="34" borderId="60" xfId="0" applyFont="1" applyFill="1" applyBorder="1" applyAlignment="1">
      <alignment horizontal="left" vertical="top" wrapText="1"/>
    </xf>
    <xf numFmtId="0" fontId="115" fillId="34" borderId="61" xfId="0" applyFont="1" applyFill="1" applyBorder="1" applyAlignment="1">
      <alignment horizontal="left" vertical="top" wrapText="1"/>
    </xf>
    <xf numFmtId="0" fontId="73" fillId="34" borderId="29" xfId="0" applyFont="1" applyFill="1" applyBorder="1" applyAlignment="1">
      <alignment horizontal="center" vertical="top" wrapText="1"/>
    </xf>
    <xf numFmtId="0" fontId="73" fillId="34" borderId="60" xfId="0" applyFont="1" applyFill="1" applyBorder="1" applyAlignment="1">
      <alignment horizontal="center" vertical="top" wrapText="1"/>
    </xf>
    <xf numFmtId="0" fontId="73" fillId="34" borderId="61" xfId="0" applyFont="1" applyFill="1" applyBorder="1" applyAlignment="1">
      <alignment horizontal="center" vertical="top" wrapText="1"/>
    </xf>
    <xf numFmtId="0" fontId="73" fillId="34" borderId="21" xfId="0" applyFont="1" applyFill="1" applyBorder="1" applyAlignment="1">
      <alignment horizontal="center" vertical="top" wrapText="1"/>
    </xf>
    <xf numFmtId="0" fontId="73" fillId="34" borderId="62" xfId="0" applyFont="1" applyFill="1" applyBorder="1" applyAlignment="1">
      <alignment horizontal="center" vertical="top" wrapText="1"/>
    </xf>
    <xf numFmtId="0" fontId="73" fillId="34" borderId="50" xfId="0" applyFont="1" applyFill="1" applyBorder="1" applyAlignment="1">
      <alignment horizontal="center" vertical="top" wrapText="1"/>
    </xf>
    <xf numFmtId="0" fontId="16" fillId="34" borderId="32" xfId="0" applyFont="1" applyFill="1" applyBorder="1" applyAlignment="1">
      <alignment horizontal="center" vertical="top" wrapText="1"/>
    </xf>
    <xf numFmtId="0" fontId="16" fillId="34" borderId="0" xfId="0" applyFont="1" applyFill="1" applyAlignment="1">
      <alignment horizontal="center" vertical="top" wrapText="1"/>
    </xf>
    <xf numFmtId="0" fontId="16" fillId="34" borderId="33" xfId="0" applyFont="1" applyFill="1" applyBorder="1" applyAlignment="1">
      <alignment horizontal="center" vertical="top" wrapText="1"/>
    </xf>
    <xf numFmtId="0" fontId="16" fillId="40" borderId="29" xfId="0" applyFont="1" applyFill="1" applyBorder="1" applyAlignment="1">
      <alignment horizontal="center" vertical="top" wrapText="1"/>
    </xf>
    <xf numFmtId="0" fontId="16" fillId="40" borderId="60" xfId="0" applyFont="1" applyFill="1" applyBorder="1" applyAlignment="1">
      <alignment horizontal="center" vertical="top" wrapText="1"/>
    </xf>
    <xf numFmtId="0" fontId="16" fillId="40" borderId="61" xfId="0" applyFont="1" applyFill="1" applyBorder="1" applyAlignment="1">
      <alignment horizontal="center" vertical="top" wrapText="1"/>
    </xf>
    <xf numFmtId="202" fontId="104" fillId="41" borderId="290" xfId="0" applyNumberFormat="1" applyFont="1" applyFill="1" applyBorder="1" applyAlignment="1">
      <alignment horizontal="right" vertical="center" shrinkToFit="1"/>
    </xf>
    <xf numFmtId="202" fontId="104" fillId="41" borderId="222" xfId="0" applyNumberFormat="1" applyFont="1" applyFill="1" applyBorder="1" applyAlignment="1">
      <alignment horizontal="right" vertical="center" shrinkToFit="1"/>
    </xf>
    <xf numFmtId="202" fontId="104" fillId="41" borderId="291" xfId="0" applyNumberFormat="1" applyFont="1" applyFill="1" applyBorder="1" applyAlignment="1">
      <alignment horizontal="right" vertical="center" shrinkToFit="1"/>
    </xf>
    <xf numFmtId="202" fontId="14" fillId="0" borderId="25" xfId="0" applyNumberFormat="1" applyFont="1" applyBorder="1" applyAlignment="1">
      <alignment horizontal="right" vertical="center" shrinkToFit="1"/>
    </xf>
    <xf numFmtId="202" fontId="14" fillId="0" borderId="59" xfId="0" applyNumberFormat="1" applyFont="1" applyBorder="1" applyAlignment="1">
      <alignment horizontal="right" vertical="center" shrinkToFit="1"/>
    </xf>
    <xf numFmtId="202" fontId="14" fillId="0" borderId="54" xfId="0" applyNumberFormat="1" applyFont="1" applyBorder="1" applyAlignment="1">
      <alignment horizontal="right" vertical="center" shrinkToFit="1"/>
    </xf>
    <xf numFmtId="0" fontId="14" fillId="34" borderId="29" xfId="0" applyFont="1" applyFill="1" applyBorder="1" applyAlignment="1">
      <alignment horizontal="center" vertical="center" wrapText="1"/>
    </xf>
    <xf numFmtId="0" fontId="14" fillId="34" borderId="60" xfId="0" applyFont="1" applyFill="1" applyBorder="1" applyAlignment="1">
      <alignment horizontal="center" vertical="center" wrapText="1"/>
    </xf>
    <xf numFmtId="0" fontId="14" fillId="34" borderId="61" xfId="0" applyFont="1" applyFill="1" applyBorder="1" applyAlignment="1">
      <alignment horizontal="center" vertical="center" wrapText="1"/>
    </xf>
    <xf numFmtId="202" fontId="14" fillId="0" borderId="28" xfId="281" applyNumberFormat="1" applyFont="1" applyFill="1" applyBorder="1" applyAlignment="1" applyProtection="1">
      <alignment horizontal="right" vertical="center" shrinkToFit="1"/>
    </xf>
    <xf numFmtId="202" fontId="14" fillId="0" borderId="85" xfId="281" applyNumberFormat="1" applyFont="1" applyFill="1" applyBorder="1" applyAlignment="1" applyProtection="1">
      <alignment horizontal="right" vertical="center" shrinkToFit="1"/>
    </xf>
    <xf numFmtId="202" fontId="14" fillId="0" borderId="257" xfId="0" applyNumberFormat="1" applyFont="1" applyBorder="1" applyAlignment="1">
      <alignment horizontal="right" vertical="center" shrinkToFit="1"/>
    </xf>
    <xf numFmtId="202" fontId="14" fillId="0" borderId="258" xfId="0" applyNumberFormat="1" applyFont="1" applyBorder="1" applyAlignment="1">
      <alignment horizontal="right" vertical="center" shrinkToFit="1"/>
    </xf>
    <xf numFmtId="202" fontId="14" fillId="0" borderId="256" xfId="0" applyNumberFormat="1" applyFont="1" applyBorder="1" applyAlignment="1">
      <alignment horizontal="right" vertical="center" shrinkToFit="1"/>
    </xf>
    <xf numFmtId="0" fontId="181" fillId="0" borderId="0" xfId="0" applyFont="1" applyAlignment="1">
      <alignment horizontal="left" vertical="top" wrapText="1"/>
    </xf>
    <xf numFmtId="0" fontId="181" fillId="0" borderId="228" xfId="0" applyFont="1" applyBorder="1" applyAlignment="1">
      <alignment horizontal="left" vertical="top" wrapText="1"/>
    </xf>
    <xf numFmtId="0" fontId="14" fillId="34" borderId="25" xfId="0" applyFont="1" applyFill="1" applyBorder="1" applyAlignment="1">
      <alignment horizontal="center" vertical="center" wrapText="1"/>
    </xf>
    <xf numFmtId="0" fontId="14" fillId="34" borderId="59" xfId="0" applyFont="1" applyFill="1" applyBorder="1" applyAlignment="1">
      <alignment horizontal="center" vertical="center" wrapText="1"/>
    </xf>
    <xf numFmtId="0" fontId="14" fillId="34" borderId="54" xfId="0" applyFont="1" applyFill="1" applyBorder="1" applyAlignment="1">
      <alignment horizontal="center" vertical="center" wrapText="1"/>
    </xf>
    <xf numFmtId="0" fontId="73" fillId="34" borderId="280" xfId="0" applyFont="1" applyFill="1" applyBorder="1" applyAlignment="1">
      <alignment horizontal="center" vertical="center"/>
    </xf>
    <xf numFmtId="0" fontId="73" fillId="34" borderId="281" xfId="0" applyFont="1" applyFill="1" applyBorder="1" applyAlignment="1">
      <alignment horizontal="center" vertical="center"/>
    </xf>
    <xf numFmtId="0" fontId="73" fillId="34" borderId="285" xfId="0" applyFont="1" applyFill="1" applyBorder="1" applyAlignment="1">
      <alignment horizontal="center" vertical="center"/>
    </xf>
    <xf numFmtId="202" fontId="101" fillId="33" borderId="70" xfId="0" applyNumberFormat="1" applyFont="1" applyFill="1" applyBorder="1" applyAlignment="1">
      <alignment horizontal="right" vertical="center" shrinkToFit="1"/>
    </xf>
    <xf numFmtId="202" fontId="101" fillId="33" borderId="286" xfId="0" applyNumberFormat="1" applyFont="1" applyFill="1" applyBorder="1" applyAlignment="1">
      <alignment horizontal="right" vertical="center" shrinkToFit="1"/>
    </xf>
    <xf numFmtId="202" fontId="101" fillId="33" borderId="73" xfId="0" applyNumberFormat="1" applyFont="1" applyFill="1" applyBorder="1" applyAlignment="1">
      <alignment horizontal="right" vertical="center" shrinkToFit="1"/>
    </xf>
    <xf numFmtId="202" fontId="14" fillId="0" borderId="287" xfId="0" applyNumberFormat="1" applyFont="1" applyBorder="1" applyAlignment="1">
      <alignment horizontal="right" vertical="center" shrinkToFit="1"/>
    </xf>
    <xf numFmtId="202" fontId="14" fillId="0" borderId="288" xfId="0" applyNumberFormat="1" applyFont="1" applyBorder="1" applyAlignment="1">
      <alignment horizontal="right" vertical="center" shrinkToFit="1"/>
    </xf>
    <xf numFmtId="202" fontId="180" fillId="0" borderId="288" xfId="0" applyNumberFormat="1" applyFont="1" applyBorder="1" applyAlignment="1">
      <alignment horizontal="right" vertical="center" shrinkToFit="1"/>
    </xf>
    <xf numFmtId="202" fontId="14" fillId="0" borderId="289" xfId="0" applyNumberFormat="1" applyFont="1" applyBorder="1" applyAlignment="1">
      <alignment horizontal="right" vertical="center" shrinkToFit="1"/>
    </xf>
    <xf numFmtId="0" fontId="14" fillId="34" borderId="29" xfId="0" applyFont="1" applyFill="1" applyBorder="1" applyAlignment="1">
      <alignment horizontal="center" vertical="top" wrapText="1"/>
    </xf>
    <xf numFmtId="0" fontId="14" fillId="34" borderId="60" xfId="0" applyFont="1" applyFill="1" applyBorder="1" applyAlignment="1">
      <alignment horizontal="center" vertical="top" wrapText="1"/>
    </xf>
    <xf numFmtId="0" fontId="14" fillId="34" borderId="21" xfId="0" applyFont="1" applyFill="1" applyBorder="1" applyAlignment="1">
      <alignment horizontal="center" vertical="top" wrapText="1"/>
    </xf>
    <xf numFmtId="0" fontId="14" fillId="34" borderId="62" xfId="0" applyFont="1" applyFill="1" applyBorder="1" applyAlignment="1">
      <alignment horizontal="center" vertical="top" wrapText="1"/>
    </xf>
    <xf numFmtId="0" fontId="14" fillId="34" borderId="61" xfId="0" applyFont="1" applyFill="1" applyBorder="1" applyAlignment="1">
      <alignment horizontal="center" vertical="top" wrapText="1"/>
    </xf>
    <xf numFmtId="0" fontId="14" fillId="34" borderId="50" xfId="0" applyFont="1" applyFill="1" applyBorder="1" applyAlignment="1">
      <alignment horizontal="center" vertical="top" wrapText="1"/>
    </xf>
    <xf numFmtId="38" fontId="14" fillId="34" borderId="29" xfId="281" applyFont="1" applyFill="1" applyBorder="1" applyAlignment="1" applyProtection="1">
      <alignment horizontal="center" vertical="top" wrapText="1"/>
    </xf>
    <xf numFmtId="38" fontId="14" fillId="34" borderId="61" xfId="281" applyFont="1" applyFill="1" applyBorder="1" applyAlignment="1" applyProtection="1">
      <alignment horizontal="center" vertical="top" wrapText="1"/>
    </xf>
    <xf numFmtId="0" fontId="14" fillId="34" borderId="25" xfId="0" applyFont="1" applyFill="1" applyBorder="1" applyAlignment="1">
      <alignment horizontal="center" vertical="top" wrapText="1"/>
    </xf>
    <xf numFmtId="0" fontId="14" fillId="34" borderId="59" xfId="0" applyFont="1" applyFill="1" applyBorder="1" applyAlignment="1">
      <alignment horizontal="center" vertical="top" wrapText="1"/>
    </xf>
    <xf numFmtId="0" fontId="14" fillId="34" borderId="54" xfId="0" applyFont="1" applyFill="1" applyBorder="1" applyAlignment="1">
      <alignment horizontal="center" vertical="top" wrapText="1"/>
    </xf>
    <xf numFmtId="0" fontId="14" fillId="34" borderId="28" xfId="0" applyFont="1" applyFill="1" applyBorder="1" applyAlignment="1">
      <alignment horizontal="center" vertical="top" wrapText="1"/>
    </xf>
    <xf numFmtId="0" fontId="14" fillId="34" borderId="21" xfId="0" applyFont="1" applyFill="1" applyBorder="1" applyAlignment="1">
      <alignment horizontal="center" vertical="center" wrapText="1"/>
    </xf>
    <xf numFmtId="0" fontId="14" fillId="34" borderId="62" xfId="0" applyFont="1" applyFill="1" applyBorder="1" applyAlignment="1">
      <alignment horizontal="center" vertical="center" wrapText="1"/>
    </xf>
    <xf numFmtId="0" fontId="14" fillId="34" borderId="50" xfId="0" applyFont="1" applyFill="1" applyBorder="1" applyAlignment="1">
      <alignment horizontal="center" vertical="center" wrapText="1"/>
    </xf>
    <xf numFmtId="38" fontId="14" fillId="34" borderId="21" xfId="281" applyFont="1" applyFill="1" applyBorder="1" applyAlignment="1" applyProtection="1">
      <alignment horizontal="center" vertical="center" wrapText="1"/>
    </xf>
    <xf numFmtId="38" fontId="14" fillId="34" borderId="50" xfId="281" applyFont="1" applyFill="1" applyBorder="1" applyAlignment="1" applyProtection="1">
      <alignment horizontal="center" vertical="center" wrapText="1"/>
    </xf>
    <xf numFmtId="182" fontId="14" fillId="34" borderId="29" xfId="0" applyNumberFormat="1" applyFont="1" applyFill="1" applyBorder="1" applyAlignment="1">
      <alignment horizontal="center" vertical="center" wrapText="1"/>
    </xf>
    <xf numFmtId="182" fontId="14" fillId="34" borderId="61" xfId="0" applyNumberFormat="1" applyFont="1" applyFill="1" applyBorder="1" applyAlignment="1">
      <alignment horizontal="center" vertical="center" wrapText="1"/>
    </xf>
    <xf numFmtId="0" fontId="14" fillId="34" borderId="29" xfId="0" applyFont="1" applyFill="1" applyBorder="1" applyAlignment="1">
      <alignment horizontal="center" vertical="center" shrinkToFit="1"/>
    </xf>
    <xf numFmtId="0" fontId="14" fillId="34" borderId="61" xfId="0" applyFont="1" applyFill="1" applyBorder="1" applyAlignment="1">
      <alignment horizontal="center" vertical="center" shrinkToFit="1"/>
    </xf>
    <xf numFmtId="182" fontId="14" fillId="34" borderId="25" xfId="0" applyNumberFormat="1" applyFont="1" applyFill="1" applyBorder="1" applyAlignment="1">
      <alignment horizontal="center" vertical="center" wrapText="1"/>
    </xf>
    <xf numFmtId="182" fontId="14" fillId="34" borderId="54" xfId="0" applyNumberFormat="1" applyFont="1" applyFill="1" applyBorder="1" applyAlignment="1">
      <alignment horizontal="center" vertical="center" wrapText="1"/>
    </xf>
    <xf numFmtId="0" fontId="14" fillId="0" borderId="25" xfId="0" applyFont="1" applyBorder="1" applyAlignment="1">
      <alignment horizontal="left" vertical="center"/>
    </xf>
    <xf numFmtId="0" fontId="14" fillId="0" borderId="59" xfId="0" applyFont="1" applyBorder="1" applyAlignment="1">
      <alignment horizontal="left" vertical="center"/>
    </xf>
    <xf numFmtId="0" fontId="14" fillId="0" borderId="54" xfId="0" applyFont="1" applyBorder="1" applyAlignment="1">
      <alignment horizontal="left" vertical="center"/>
    </xf>
    <xf numFmtId="203" fontId="14" fillId="0" borderId="25" xfId="281" applyNumberFormat="1" applyFont="1" applyFill="1" applyBorder="1" applyAlignment="1" applyProtection="1">
      <alignment horizontal="right" vertical="center" shrinkToFit="1"/>
    </xf>
    <xf numFmtId="203" fontId="14" fillId="0" borderId="54" xfId="281" applyNumberFormat="1" applyFont="1" applyFill="1" applyBorder="1" applyAlignment="1" applyProtection="1">
      <alignment horizontal="right" vertical="center" shrinkToFit="1"/>
    </xf>
    <xf numFmtId="203" fontId="14" fillId="0" borderId="59" xfId="281" applyNumberFormat="1" applyFont="1" applyFill="1" applyBorder="1" applyAlignment="1" applyProtection="1">
      <alignment horizontal="right" vertical="center" shrinkToFit="1"/>
    </xf>
    <xf numFmtId="204" fontId="14" fillId="0" borderId="25" xfId="281" applyNumberFormat="1" applyFont="1" applyBorder="1" applyAlignment="1" applyProtection="1">
      <alignment horizontal="right" vertical="center" shrinkToFit="1"/>
    </xf>
    <xf numFmtId="204" fontId="14" fillId="0" borderId="54" xfId="281" applyNumberFormat="1" applyFont="1" applyBorder="1" applyAlignment="1" applyProtection="1">
      <alignment horizontal="right" vertical="center" shrinkToFit="1"/>
    </xf>
    <xf numFmtId="205" fontId="14" fillId="0" borderId="28" xfId="281" applyNumberFormat="1" applyFont="1" applyBorder="1" applyAlignment="1" applyProtection="1">
      <alignment horizontal="right" vertical="center" shrinkToFit="1"/>
    </xf>
    <xf numFmtId="203" fontId="14" fillId="0" borderId="25" xfId="281" applyNumberFormat="1" applyFont="1" applyBorder="1" applyAlignment="1" applyProtection="1">
      <alignment horizontal="right" vertical="center" shrinkToFit="1"/>
    </xf>
    <xf numFmtId="203" fontId="14" fillId="0" borderId="54" xfId="281" applyNumberFormat="1" applyFont="1" applyBorder="1" applyAlignment="1" applyProtection="1">
      <alignment horizontal="right" vertical="center" shrinkToFit="1"/>
    </xf>
    <xf numFmtId="203" fontId="16" fillId="0" borderId="1" xfId="281" applyNumberFormat="1" applyFont="1" applyFill="1" applyBorder="1" applyAlignment="1" applyProtection="1">
      <alignment horizontal="center" vertical="center" shrinkToFit="1"/>
    </xf>
    <xf numFmtId="203" fontId="16" fillId="0" borderId="276" xfId="281" applyNumberFormat="1" applyFont="1" applyFill="1" applyBorder="1" applyAlignment="1" applyProtection="1">
      <alignment horizontal="center" vertical="center" shrinkToFit="1"/>
    </xf>
    <xf numFmtId="203" fontId="16" fillId="0" borderId="251" xfId="281" applyNumberFormat="1" applyFont="1" applyFill="1" applyBorder="1" applyAlignment="1" applyProtection="1">
      <alignment horizontal="center" vertical="center" shrinkToFit="1"/>
    </xf>
    <xf numFmtId="204" fontId="16" fillId="0" borderId="1" xfId="281" applyNumberFormat="1" applyFont="1" applyFill="1" applyBorder="1" applyAlignment="1" applyProtection="1">
      <alignment horizontal="right" vertical="center" shrinkToFit="1"/>
    </xf>
    <xf numFmtId="204" fontId="16" fillId="0" borderId="251" xfId="281" applyNumberFormat="1" applyFont="1" applyFill="1" applyBorder="1" applyAlignment="1" applyProtection="1">
      <alignment horizontal="right" vertical="center" shrinkToFit="1"/>
    </xf>
    <xf numFmtId="203" fontId="16" fillId="0" borderId="226" xfId="281" applyNumberFormat="1" applyFont="1" applyFill="1" applyBorder="1" applyAlignment="1" applyProtection="1">
      <alignment horizontal="right" vertical="center" shrinkToFit="1"/>
    </xf>
    <xf numFmtId="203" fontId="16" fillId="0" borderId="1" xfId="281" applyNumberFormat="1" applyFont="1" applyFill="1" applyBorder="1" applyAlignment="1" applyProtection="1">
      <alignment horizontal="right" vertical="center" shrinkToFit="1"/>
    </xf>
    <xf numFmtId="203" fontId="16" fillId="0" borderId="251" xfId="281" applyNumberFormat="1" applyFont="1" applyFill="1" applyBorder="1" applyAlignment="1" applyProtection="1">
      <alignment horizontal="right" vertical="center" shrinkToFit="1"/>
    </xf>
    <xf numFmtId="206" fontId="14" fillId="0" borderId="28" xfId="281" applyNumberFormat="1" applyFont="1" applyFill="1" applyBorder="1" applyAlignment="1" applyProtection="1">
      <alignment horizontal="right" vertical="center" shrinkToFit="1"/>
    </xf>
    <xf numFmtId="206" fontId="14" fillId="0" borderId="85" xfId="281" applyNumberFormat="1" applyFont="1" applyFill="1" applyBorder="1" applyAlignment="1" applyProtection="1">
      <alignment horizontal="right" vertical="center" shrinkToFit="1"/>
    </xf>
    <xf numFmtId="203" fontId="14" fillId="0" borderId="29" xfId="281" applyNumberFormat="1" applyFont="1" applyBorder="1" applyAlignment="1" applyProtection="1">
      <alignment horizontal="right" vertical="center" shrinkToFit="1"/>
    </xf>
    <xf numFmtId="203" fontId="14" fillId="0" borderId="61" xfId="281" applyNumberFormat="1" applyFont="1" applyBorder="1" applyAlignment="1" applyProtection="1">
      <alignment horizontal="right" vertical="center" shrinkToFit="1"/>
    </xf>
    <xf numFmtId="0" fontId="14" fillId="0" borderId="85" xfId="0" applyFont="1" applyBorder="1" applyAlignment="1">
      <alignment horizontal="center" vertical="center" textRotation="255" shrinkToFit="1"/>
    </xf>
    <xf numFmtId="0" fontId="14" fillId="0" borderId="83" xfId="0" applyFont="1" applyBorder="1" applyAlignment="1">
      <alignment horizontal="center" vertical="center" textRotation="255" shrinkToFit="1"/>
    </xf>
    <xf numFmtId="0" fontId="14" fillId="0" borderId="277" xfId="0" applyFont="1" applyBorder="1" applyAlignment="1">
      <alignment horizontal="center" vertical="center" textRotation="255" shrinkToFit="1"/>
    </xf>
    <xf numFmtId="0" fontId="182" fillId="0" borderId="29" xfId="0" applyFont="1" applyBorder="1" applyAlignment="1">
      <alignment horizontal="left" vertical="center" wrapText="1" shrinkToFit="1"/>
    </xf>
    <xf numFmtId="0" fontId="182" fillId="0" borderId="60" xfId="0" applyFont="1" applyBorder="1" applyAlignment="1">
      <alignment horizontal="left" vertical="center" wrapText="1" shrinkToFit="1"/>
    </xf>
    <xf numFmtId="0" fontId="182" fillId="0" borderId="61" xfId="0" applyFont="1" applyBorder="1" applyAlignment="1">
      <alignment horizontal="left" vertical="center" wrapText="1" shrinkToFit="1"/>
    </xf>
    <xf numFmtId="0" fontId="182" fillId="0" borderId="21" xfId="0" applyFont="1" applyBorder="1" applyAlignment="1">
      <alignment horizontal="left" vertical="center" wrapText="1" shrinkToFit="1"/>
    </xf>
    <xf numFmtId="0" fontId="182" fillId="0" borderId="62" xfId="0" applyFont="1" applyBorder="1" applyAlignment="1">
      <alignment horizontal="left" vertical="center" wrapText="1" shrinkToFit="1"/>
    </xf>
    <xf numFmtId="0" fontId="182" fillId="0" borderId="50" xfId="0" applyFont="1" applyBorder="1" applyAlignment="1">
      <alignment horizontal="left" vertical="center" wrapText="1" shrinkToFit="1"/>
    </xf>
    <xf numFmtId="0" fontId="120" fillId="0" borderId="29" xfId="0" applyFont="1" applyBorder="1" applyAlignment="1">
      <alignment horizontal="center" vertical="center" wrapText="1" shrinkToFit="1"/>
    </xf>
    <xf numFmtId="0" fontId="120" fillId="0" borderId="61" xfId="0" applyFont="1" applyBorder="1" applyAlignment="1">
      <alignment horizontal="center" vertical="center" wrapText="1" shrinkToFit="1"/>
    </xf>
    <xf numFmtId="0" fontId="120" fillId="0" borderId="21" xfId="0" applyFont="1" applyBorder="1" applyAlignment="1">
      <alignment horizontal="center" vertical="center" wrapText="1" shrinkToFit="1"/>
    </xf>
    <xf numFmtId="0" fontId="120" fillId="0" borderId="50" xfId="0" applyFont="1" applyBorder="1" applyAlignment="1">
      <alignment horizontal="center" vertical="center" wrapText="1" shrinkToFit="1"/>
    </xf>
    <xf numFmtId="203" fontId="14" fillId="0" borderId="29" xfId="281" applyNumberFormat="1" applyFont="1" applyFill="1" applyBorder="1" applyAlignment="1" applyProtection="1">
      <alignment horizontal="right" vertical="center" shrinkToFit="1"/>
    </xf>
    <xf numFmtId="203" fontId="14" fillId="0" borderId="61" xfId="281" applyNumberFormat="1" applyFont="1" applyFill="1" applyBorder="1" applyAlignment="1" applyProtection="1">
      <alignment horizontal="right" vertical="center" shrinkToFit="1"/>
    </xf>
    <xf numFmtId="203" fontId="14" fillId="0" borderId="21" xfId="281" applyNumberFormat="1" applyFont="1" applyFill="1" applyBorder="1" applyAlignment="1" applyProtection="1">
      <alignment horizontal="right" vertical="center" shrinkToFit="1"/>
    </xf>
    <xf numFmtId="203" fontId="14" fillId="0" borderId="50" xfId="281" applyNumberFormat="1" applyFont="1" applyFill="1" applyBorder="1" applyAlignment="1" applyProtection="1">
      <alignment horizontal="right" vertical="center" shrinkToFit="1"/>
    </xf>
    <xf numFmtId="204" fontId="14" fillId="0" borderId="29" xfId="281" applyNumberFormat="1" applyFont="1" applyBorder="1" applyAlignment="1" applyProtection="1">
      <alignment horizontal="right" vertical="center" shrinkToFit="1"/>
    </xf>
    <xf numFmtId="204" fontId="14" fillId="0" borderId="61" xfId="281" applyNumberFormat="1" applyFont="1" applyBorder="1" applyAlignment="1" applyProtection="1">
      <alignment horizontal="right" vertical="center" shrinkToFit="1"/>
    </xf>
    <xf numFmtId="204" fontId="14" fillId="0" borderId="21" xfId="281" applyNumberFormat="1" applyFont="1" applyBorder="1" applyAlignment="1" applyProtection="1">
      <alignment horizontal="right" vertical="center" shrinkToFit="1"/>
    </xf>
    <xf numFmtId="204" fontId="14" fillId="0" borderId="50" xfId="281" applyNumberFormat="1" applyFont="1" applyBorder="1" applyAlignment="1" applyProtection="1">
      <alignment horizontal="right" vertical="center" shrinkToFit="1"/>
    </xf>
    <xf numFmtId="203" fontId="14" fillId="0" borderId="28" xfId="281" applyNumberFormat="1" applyFont="1" applyBorder="1" applyAlignment="1" applyProtection="1">
      <alignment horizontal="right" vertical="center" shrinkToFit="1"/>
    </xf>
    <xf numFmtId="203" fontId="14" fillId="0" borderId="292" xfId="281" applyNumberFormat="1" applyFont="1" applyBorder="1" applyAlignment="1" applyProtection="1">
      <alignment horizontal="right" vertical="center" shrinkToFit="1"/>
    </xf>
    <xf numFmtId="203" fontId="16" fillId="0" borderId="297" xfId="281" applyNumberFormat="1" applyFont="1" applyFill="1" applyBorder="1" applyAlignment="1" applyProtection="1">
      <alignment horizontal="center" vertical="center" shrinkToFit="1"/>
    </xf>
    <xf numFmtId="203" fontId="16" fillId="0" borderId="298" xfId="281" applyNumberFormat="1" applyFont="1" applyFill="1" applyBorder="1" applyAlignment="1" applyProtection="1">
      <alignment horizontal="center" vertical="center" shrinkToFit="1"/>
    </xf>
    <xf numFmtId="203" fontId="14" fillId="0" borderId="254" xfId="281" applyNumberFormat="1" applyFont="1" applyBorder="1" applyAlignment="1" applyProtection="1">
      <alignment horizontal="right" vertical="center" shrinkToFit="1"/>
    </xf>
    <xf numFmtId="203" fontId="14" fillId="0" borderId="293" xfId="281" applyNumberFormat="1" applyFont="1" applyBorder="1" applyAlignment="1" applyProtection="1">
      <alignment horizontal="right" vertical="center" shrinkToFit="1"/>
    </xf>
    <xf numFmtId="0" fontId="14" fillId="42" borderId="25" xfId="0" applyFont="1" applyFill="1" applyBorder="1" applyAlignment="1">
      <alignment horizontal="center" vertical="center" wrapText="1"/>
    </xf>
    <xf numFmtId="0" fontId="14" fillId="42" borderId="59" xfId="0" applyFont="1" applyFill="1" applyBorder="1" applyAlignment="1">
      <alignment horizontal="center" vertical="center" wrapText="1"/>
    </xf>
    <xf numFmtId="0" fontId="14" fillId="42" borderId="54" xfId="0" applyFont="1" applyFill="1" applyBorder="1" applyAlignment="1">
      <alignment horizontal="center" vertical="center" wrapText="1"/>
    </xf>
    <xf numFmtId="203" fontId="14" fillId="42" borderId="25" xfId="0" applyNumberFormat="1" applyFont="1" applyFill="1" applyBorder="1" applyAlignment="1">
      <alignment horizontal="right" vertical="center" shrinkToFit="1"/>
    </xf>
    <xf numFmtId="203" fontId="14" fillId="42" borderId="54" xfId="0" applyNumberFormat="1" applyFont="1" applyFill="1" applyBorder="1" applyAlignment="1">
      <alignment horizontal="right" vertical="center" shrinkToFit="1"/>
    </xf>
    <xf numFmtId="0" fontId="102" fillId="38" borderId="80" xfId="0" applyFont="1" applyFill="1" applyBorder="1" applyAlignment="1">
      <alignment horizontal="center" vertical="center" wrapText="1"/>
    </xf>
    <xf numFmtId="0" fontId="102" fillId="38" borderId="16" xfId="0" applyFont="1" applyFill="1" applyBorder="1" applyAlignment="1">
      <alignment horizontal="center" vertical="center" wrapText="1"/>
    </xf>
    <xf numFmtId="0" fontId="102" fillId="38" borderId="15" xfId="0" applyFont="1" applyFill="1" applyBorder="1" applyAlignment="1">
      <alignment horizontal="center" vertical="center" wrapText="1"/>
    </xf>
    <xf numFmtId="179" fontId="183" fillId="38" borderId="80" xfId="0" applyNumberFormat="1" applyFont="1" applyFill="1" applyBorder="1" applyAlignment="1">
      <alignment horizontal="right" vertical="center" shrinkToFit="1"/>
    </xf>
    <xf numFmtId="179" fontId="183" fillId="38" borderId="15" xfId="0" applyNumberFormat="1" applyFont="1" applyFill="1" applyBorder="1" applyAlignment="1">
      <alignment horizontal="right" vertical="center" shrinkToFit="1"/>
    </xf>
    <xf numFmtId="179" fontId="184" fillId="0" borderId="59" xfId="0" applyNumberFormat="1" applyFont="1" applyBorder="1" applyAlignment="1">
      <alignment horizontal="right" vertical="center" shrinkToFit="1"/>
    </xf>
    <xf numFmtId="179" fontId="184" fillId="0" borderId="54" xfId="0" applyNumberFormat="1" applyFont="1" applyBorder="1" applyAlignment="1">
      <alignment horizontal="right" vertical="center" shrinkToFit="1"/>
    </xf>
    <xf numFmtId="0" fontId="73" fillId="40" borderId="254" xfId="0" applyFont="1" applyFill="1" applyBorder="1" applyAlignment="1">
      <alignment horizontal="center" vertical="center" shrinkToFit="1"/>
    </xf>
    <xf numFmtId="0" fontId="73" fillId="40" borderId="255" xfId="0" applyFont="1" applyFill="1" applyBorder="1" applyAlignment="1">
      <alignment horizontal="center" vertical="center" shrinkToFit="1"/>
    </xf>
    <xf numFmtId="0" fontId="73" fillId="40" borderId="293" xfId="0" applyFont="1" applyFill="1" applyBorder="1" applyAlignment="1">
      <alignment horizontal="center" vertical="center" shrinkToFit="1"/>
    </xf>
    <xf numFmtId="203" fontId="14" fillId="0" borderId="280" xfId="281" applyNumberFormat="1" applyFont="1" applyFill="1" applyBorder="1" applyAlignment="1" applyProtection="1">
      <alignment horizontal="right" vertical="center" shrinkToFit="1"/>
    </xf>
    <xf numFmtId="203" fontId="14" fillId="0" borderId="282" xfId="281" applyNumberFormat="1" applyFont="1" applyFill="1" applyBorder="1" applyAlignment="1" applyProtection="1">
      <alignment horizontal="right" vertical="center" shrinkToFit="1"/>
    </xf>
    <xf numFmtId="203" fontId="16" fillId="0" borderId="294" xfId="281" applyNumberFormat="1" applyFont="1" applyFill="1" applyBorder="1" applyAlignment="1" applyProtection="1">
      <alignment horizontal="center" vertical="center" shrinkToFit="1"/>
    </xf>
    <xf numFmtId="203" fontId="16" fillId="0" borderId="295" xfId="281" applyNumberFormat="1" applyFont="1" applyFill="1" applyBorder="1" applyAlignment="1" applyProtection="1">
      <alignment horizontal="center" vertical="center" shrinkToFit="1"/>
    </xf>
    <xf numFmtId="203" fontId="16" fillId="0" borderId="296" xfId="281" applyNumberFormat="1" applyFont="1" applyFill="1" applyBorder="1" applyAlignment="1" applyProtection="1">
      <alignment horizontal="center" vertical="center" shrinkToFit="1"/>
    </xf>
    <xf numFmtId="203" fontId="16" fillId="0" borderId="297" xfId="281" applyNumberFormat="1" applyFont="1" applyFill="1" applyBorder="1" applyAlignment="1" applyProtection="1">
      <alignment horizontal="right" vertical="center" shrinkToFit="1"/>
    </xf>
    <xf numFmtId="203" fontId="16" fillId="0" borderId="298" xfId="281" applyNumberFormat="1" applyFont="1" applyFill="1" applyBorder="1" applyAlignment="1" applyProtection="1">
      <alignment horizontal="right" vertical="center" shrinkToFit="1"/>
    </xf>
    <xf numFmtId="179" fontId="187" fillId="0" borderId="300" xfId="0" applyNumberFormat="1" applyFont="1" applyBorder="1" applyAlignment="1">
      <alignment horizontal="left" vertical="top" wrapText="1"/>
    </xf>
    <xf numFmtId="0" fontId="102" fillId="40" borderId="28" xfId="0" applyFont="1" applyFill="1" applyBorder="1" applyAlignment="1">
      <alignment horizontal="center" vertical="top" wrapText="1"/>
    </xf>
    <xf numFmtId="0" fontId="16" fillId="40" borderId="28" xfId="0" applyFont="1" applyFill="1" applyBorder="1" applyAlignment="1">
      <alignment horizontal="center" vertical="center" wrapText="1"/>
    </xf>
    <xf numFmtId="0" fontId="16" fillId="40" borderId="85" xfId="0" applyFont="1" applyFill="1" applyBorder="1" applyAlignment="1">
      <alignment horizontal="center" vertical="center"/>
    </xf>
    <xf numFmtId="0" fontId="16" fillId="40" borderId="84" xfId="0" applyFont="1" applyFill="1" applyBorder="1" applyAlignment="1">
      <alignment horizontal="center" vertical="center" shrinkToFit="1"/>
    </xf>
    <xf numFmtId="0" fontId="77" fillId="0" borderId="0" xfId="0" applyFont="1" applyAlignment="1">
      <alignment horizontal="center" vertical="center" wrapText="1"/>
    </xf>
    <xf numFmtId="0" fontId="160" fillId="0" borderId="0" xfId="0" applyFont="1" applyAlignment="1">
      <alignment horizontal="center" vertical="center" wrapText="1"/>
    </xf>
    <xf numFmtId="0" fontId="164" fillId="0" borderId="0" xfId="0" applyFont="1" applyAlignment="1">
      <alignment horizontal="center" vertical="center" wrapText="1"/>
    </xf>
    <xf numFmtId="0" fontId="16" fillId="40" borderId="85" xfId="0" applyFont="1" applyFill="1" applyBorder="1" applyAlignment="1">
      <alignment horizontal="center" vertical="center" wrapText="1"/>
    </xf>
    <xf numFmtId="179" fontId="102" fillId="0" borderId="28" xfId="0" applyNumberFormat="1" applyFont="1" applyBorder="1" applyAlignment="1">
      <alignment horizontal="right" vertical="center" shrinkToFit="1"/>
    </xf>
    <xf numFmtId="0" fontId="102" fillId="0" borderId="28" xfId="0" applyFont="1" applyBorder="1" applyAlignment="1">
      <alignment horizontal="center" vertical="center" shrinkToFit="1"/>
    </xf>
    <xf numFmtId="0" fontId="102" fillId="0" borderId="25" xfId="0" applyFont="1" applyBorder="1" applyAlignment="1">
      <alignment horizontal="center" vertical="center" shrinkToFit="1"/>
    </xf>
    <xf numFmtId="204" fontId="125" fillId="38" borderId="74" xfId="0" applyNumberFormat="1" applyFont="1" applyFill="1" applyBorder="1" applyAlignment="1">
      <alignment horizontal="right" vertical="center" shrinkToFit="1"/>
    </xf>
    <xf numFmtId="204" fontId="125" fillId="38" borderId="286" xfId="0" applyNumberFormat="1" applyFont="1" applyFill="1" applyBorder="1" applyAlignment="1">
      <alignment horizontal="right" vertical="center" shrinkToFit="1"/>
    </xf>
    <xf numFmtId="204" fontId="125" fillId="38" borderId="73" xfId="0" applyNumberFormat="1" applyFont="1" applyFill="1" applyBorder="1" applyAlignment="1">
      <alignment horizontal="right" vertical="center" shrinkToFit="1"/>
    </xf>
    <xf numFmtId="204" fontId="125" fillId="0" borderId="54" xfId="0" applyNumberFormat="1" applyFont="1" applyBorder="1" applyAlignment="1">
      <alignment horizontal="right" vertical="center" shrinkToFit="1"/>
    </xf>
    <xf numFmtId="204" fontId="125" fillId="0" borderId="28" xfId="0" applyNumberFormat="1" applyFont="1" applyBorder="1" applyAlignment="1">
      <alignment horizontal="right" vertical="center" shrinkToFit="1"/>
    </xf>
    <xf numFmtId="0" fontId="102" fillId="0" borderId="59" xfId="0" applyFont="1" applyBorder="1" applyAlignment="1">
      <alignment horizontal="center" vertical="center" shrinkToFit="1"/>
    </xf>
    <xf numFmtId="0" fontId="102" fillId="0" borderId="54" xfId="0" applyFont="1" applyBorder="1" applyAlignment="1">
      <alignment horizontal="center" vertical="center" shrinkToFit="1"/>
    </xf>
    <xf numFmtId="207" fontId="125" fillId="0" borderId="55" xfId="0" applyNumberFormat="1" applyFont="1" applyBorder="1" applyAlignment="1">
      <alignment horizontal="right" vertical="center" shrinkToFit="1"/>
    </xf>
    <xf numFmtId="207" fontId="125" fillId="0" borderId="59" xfId="0" applyNumberFormat="1" applyFont="1" applyBorder="1" applyAlignment="1">
      <alignment horizontal="right" vertical="center" shrinkToFit="1"/>
    </xf>
    <xf numFmtId="207" fontId="125" fillId="0" borderId="54" xfId="0" applyNumberFormat="1" applyFont="1" applyBorder="1" applyAlignment="1">
      <alignment horizontal="right" vertical="center" shrinkToFit="1"/>
    </xf>
    <xf numFmtId="14" fontId="0" fillId="24" borderId="25" xfId="0" applyNumberFormat="1" applyFill="1" applyBorder="1" applyAlignment="1">
      <alignment horizontal="center" vertical="center"/>
    </xf>
    <xf numFmtId="14" fontId="0" fillId="24" borderId="59" xfId="0" applyNumberFormat="1" applyFill="1" applyBorder="1" applyAlignment="1">
      <alignment horizontal="center" vertical="center"/>
    </xf>
    <xf numFmtId="14" fontId="0" fillId="24" borderId="54" xfId="0" applyNumberFormat="1" applyFill="1" applyBorder="1" applyAlignment="1">
      <alignment horizontal="center" vertical="center"/>
    </xf>
    <xf numFmtId="0" fontId="35" fillId="0" borderId="59" xfId="0" applyFont="1" applyBorder="1" applyAlignment="1">
      <alignment horizontal="left" vertical="center"/>
    </xf>
    <xf numFmtId="0" fontId="35" fillId="0" borderId="54" xfId="0" applyFont="1" applyBorder="1" applyAlignment="1">
      <alignment horizontal="left" vertical="center"/>
    </xf>
    <xf numFmtId="0" fontId="35" fillId="26" borderId="25" xfId="0" applyFont="1" applyFill="1" applyBorder="1" applyAlignment="1" applyProtection="1">
      <alignment horizontal="left" vertical="center" wrapText="1"/>
      <protection locked="0"/>
    </xf>
    <xf numFmtId="0" fontId="35" fillId="26" borderId="59" xfId="0" applyFont="1" applyFill="1" applyBorder="1" applyAlignment="1" applyProtection="1">
      <alignment horizontal="left" vertical="center" wrapText="1"/>
      <protection locked="0"/>
    </xf>
    <xf numFmtId="0" fontId="35" fillId="26" borderId="54" xfId="0" applyFont="1" applyFill="1" applyBorder="1" applyAlignment="1" applyProtection="1">
      <alignment horizontal="left" vertical="center" wrapText="1"/>
      <protection locked="0"/>
    </xf>
    <xf numFmtId="0" fontId="35" fillId="0" borderId="25" xfId="0" applyFont="1" applyBorder="1" applyAlignment="1">
      <alignment horizontal="center" vertical="center"/>
    </xf>
    <xf numFmtId="0" fontId="35" fillId="0" borderId="54" xfId="0" applyFont="1" applyBorder="1" applyAlignment="1">
      <alignment horizontal="center" vertical="center"/>
    </xf>
    <xf numFmtId="0" fontId="77" fillId="26" borderId="25" xfId="282" applyNumberFormat="1" applyFont="1" applyFill="1" applyBorder="1" applyAlignment="1" applyProtection="1">
      <alignment horizontal="left" vertical="center" wrapText="1"/>
      <protection locked="0"/>
    </xf>
    <xf numFmtId="0" fontId="77" fillId="26" borderId="59" xfId="0" applyFont="1" applyFill="1" applyBorder="1" applyAlignment="1" applyProtection="1">
      <alignment horizontal="left" vertical="center" wrapText="1"/>
      <protection locked="0"/>
    </xf>
    <xf numFmtId="0" fontId="77" fillId="26" borderId="54" xfId="0" applyFont="1" applyFill="1" applyBorder="1" applyAlignment="1" applyProtection="1">
      <alignment horizontal="left" vertical="center" wrapText="1"/>
      <protection locked="0"/>
    </xf>
    <xf numFmtId="0" fontId="35" fillId="26" borderId="29" xfId="0" applyFont="1" applyFill="1" applyBorder="1" applyAlignment="1">
      <alignment horizontal="center" vertical="center"/>
    </xf>
    <xf numFmtId="0" fontId="35" fillId="26" borderId="32" xfId="0" applyFont="1" applyFill="1" applyBorder="1" applyAlignment="1">
      <alignment horizontal="center" vertical="center"/>
    </xf>
    <xf numFmtId="0" fontId="35" fillId="26" borderId="21" xfId="0" applyFont="1" applyFill="1" applyBorder="1" applyAlignment="1">
      <alignment horizontal="center" vertical="center"/>
    </xf>
    <xf numFmtId="0" fontId="35" fillId="0" borderId="60" xfId="0" applyFont="1" applyBorder="1" applyAlignment="1">
      <alignment horizontal="left" vertical="center"/>
    </xf>
    <xf numFmtId="0" fontId="35" fillId="0" borderId="61" xfId="0" applyFont="1" applyBorder="1" applyAlignment="1">
      <alignment horizontal="left" vertical="center"/>
    </xf>
    <xf numFmtId="0" fontId="35" fillId="0" borderId="0" xfId="0" applyFont="1" applyAlignment="1">
      <alignment horizontal="left" vertical="center"/>
    </xf>
    <xf numFmtId="0" fontId="35" fillId="0" borderId="33" xfId="0" applyFont="1" applyBorder="1" applyAlignment="1">
      <alignment horizontal="left" vertical="center"/>
    </xf>
    <xf numFmtId="0" fontId="35" fillId="0" borderId="62" xfId="0" applyFont="1" applyBorder="1" applyAlignment="1">
      <alignment horizontal="left" vertical="center"/>
    </xf>
    <xf numFmtId="0" fontId="35" fillId="0" borderId="50" xfId="0" applyFont="1" applyBorder="1" applyAlignment="1">
      <alignment horizontal="left" vertical="center"/>
    </xf>
    <xf numFmtId="0" fontId="35" fillId="26" borderId="54" xfId="0" applyFont="1" applyFill="1" applyBorder="1" applyAlignment="1" applyProtection="1">
      <alignment horizontal="left" vertical="center"/>
      <protection locked="0"/>
    </xf>
    <xf numFmtId="0" fontId="35" fillId="26" borderId="28" xfId="0" applyFont="1" applyFill="1" applyBorder="1" applyAlignment="1" applyProtection="1">
      <alignment horizontal="left" vertical="center"/>
      <protection locked="0"/>
    </xf>
    <xf numFmtId="0" fontId="36" fillId="0" borderId="54" xfId="0" applyFont="1" applyBorder="1" applyAlignment="1">
      <alignment horizontal="center" vertical="center"/>
    </xf>
    <xf numFmtId="0" fontId="62" fillId="0" borderId="14" xfId="0" applyFont="1" applyBorder="1" applyAlignment="1">
      <alignment horizontal="distributed" vertical="center" wrapText="1"/>
    </xf>
    <xf numFmtId="0" fontId="62" fillId="0" borderId="78" xfId="0" applyFont="1" applyBorder="1" applyAlignment="1">
      <alignment horizontal="distributed" vertical="center" wrapText="1"/>
    </xf>
    <xf numFmtId="0" fontId="62" fillId="0" borderId="98" xfId="0" applyFont="1" applyBorder="1" applyAlignment="1">
      <alignment horizontal="distributed" vertical="center" wrapText="1"/>
    </xf>
    <xf numFmtId="179" fontId="35" fillId="0" borderId="69" xfId="0" applyNumberFormat="1" applyFont="1" applyBorder="1" applyAlignment="1">
      <alignment horizontal="center" vertical="center" shrinkToFit="1"/>
    </xf>
    <xf numFmtId="179" fontId="35" fillId="0" borderId="78" xfId="0" applyNumberFormat="1" applyFont="1" applyBorder="1" applyAlignment="1">
      <alignment horizontal="center" vertical="center" shrinkToFit="1"/>
    </xf>
    <xf numFmtId="0" fontId="62" fillId="0" borderId="25" xfId="0" applyFont="1" applyBorder="1" applyAlignment="1">
      <alignment horizontal="distributed" vertical="center" wrapText="1"/>
    </xf>
    <xf numFmtId="0" fontId="62" fillId="0" borderId="59" xfId="0" applyFont="1" applyBorder="1" applyAlignment="1">
      <alignment horizontal="distributed" vertical="center" wrapText="1"/>
    </xf>
    <xf numFmtId="0" fontId="62" fillId="0" borderId="92" xfId="0" applyFont="1" applyBorder="1" applyAlignment="1">
      <alignment horizontal="distributed" vertical="center" wrapText="1"/>
    </xf>
    <xf numFmtId="0" fontId="62" fillId="0" borderId="29" xfId="0" applyFont="1" applyBorder="1" applyAlignment="1">
      <alignment horizontal="center" vertical="center"/>
    </xf>
    <xf numFmtId="0" fontId="62" fillId="0" borderId="60" xfId="0" applyFont="1" applyBorder="1" applyAlignment="1">
      <alignment horizontal="center" vertical="center"/>
    </xf>
    <xf numFmtId="0" fontId="35" fillId="0" borderId="25" xfId="0" applyFont="1" applyBorder="1" applyAlignment="1">
      <alignment horizontal="distributed" vertical="center"/>
    </xf>
    <xf numFmtId="0" fontId="36" fillId="0" borderId="59" xfId="0" applyFont="1" applyBorder="1" applyAlignment="1">
      <alignment horizontal="distributed" vertical="center"/>
    </xf>
    <xf numFmtId="0" fontId="36" fillId="0" borderId="54" xfId="0" applyFont="1" applyBorder="1" applyAlignment="1">
      <alignment horizontal="distributed" vertical="center"/>
    </xf>
    <xf numFmtId="0" fontId="35" fillId="0" borderId="59" xfId="0" applyFont="1" applyBorder="1" applyAlignment="1">
      <alignment horizontal="center" vertical="center"/>
    </xf>
    <xf numFmtId="0" fontId="35" fillId="0" borderId="29" xfId="0" applyFont="1" applyBorder="1" applyAlignment="1">
      <alignment horizontal="distributed" vertical="center" wrapText="1"/>
    </xf>
    <xf numFmtId="0" fontId="35" fillId="0" borderId="60" xfId="0" applyFont="1" applyBorder="1" applyAlignment="1">
      <alignment horizontal="distributed" vertical="center" wrapText="1"/>
    </xf>
    <xf numFmtId="0" fontId="35" fillId="0" borderId="61" xfId="0" applyFont="1" applyBorder="1" applyAlignment="1">
      <alignment horizontal="distributed" vertical="center" wrapText="1"/>
    </xf>
    <xf numFmtId="0" fontId="35" fillId="0" borderId="32" xfId="0" applyFont="1" applyBorder="1" applyAlignment="1">
      <alignment horizontal="distributed" vertical="center" wrapText="1"/>
    </xf>
    <xf numFmtId="0" fontId="35" fillId="0" borderId="0" xfId="0" applyFont="1" applyAlignment="1">
      <alignment horizontal="distributed" vertical="center" wrapText="1"/>
    </xf>
    <xf numFmtId="0" fontId="35" fillId="0" borderId="33" xfId="0" applyFont="1" applyBorder="1" applyAlignment="1">
      <alignment horizontal="distributed" vertical="center" wrapText="1"/>
    </xf>
    <xf numFmtId="0" fontId="35" fillId="0" borderId="21" xfId="0" applyFont="1" applyBorder="1" applyAlignment="1">
      <alignment horizontal="distributed" vertical="center" wrapText="1"/>
    </xf>
    <xf numFmtId="0" fontId="35" fillId="0" borderId="62" xfId="0" applyFont="1" applyBorder="1" applyAlignment="1">
      <alignment horizontal="distributed" vertical="center" wrapText="1"/>
    </xf>
    <xf numFmtId="0" fontId="35" fillId="0" borderId="50" xfId="0" applyFont="1" applyBorder="1" applyAlignment="1">
      <alignment horizontal="distributed" vertical="center" wrapText="1"/>
    </xf>
    <xf numFmtId="0" fontId="35" fillId="0" borderId="60" xfId="0" applyFont="1" applyBorder="1" applyAlignment="1">
      <alignment vertical="center" wrapText="1"/>
    </xf>
    <xf numFmtId="0" fontId="36" fillId="0" borderId="60" xfId="0" applyFont="1" applyBorder="1">
      <alignment vertical="center"/>
    </xf>
    <xf numFmtId="0" fontId="36" fillId="0" borderId="61" xfId="0" applyFont="1" applyBorder="1">
      <alignment vertical="center"/>
    </xf>
    <xf numFmtId="0" fontId="35" fillId="0" borderId="87" xfId="0" applyFont="1" applyBorder="1" applyAlignment="1">
      <alignment vertical="center" wrapText="1"/>
    </xf>
    <xf numFmtId="0" fontId="35" fillId="0" borderId="72" xfId="0" applyFont="1" applyBorder="1" applyAlignment="1">
      <alignment vertical="center" wrapText="1"/>
    </xf>
    <xf numFmtId="0" fontId="62" fillId="0" borderId="29" xfId="0" applyFont="1" applyBorder="1" applyAlignment="1">
      <alignment horizontal="distributed" vertical="center" wrapText="1"/>
    </xf>
    <xf numFmtId="0" fontId="62" fillId="0" borderId="60" xfId="0" applyFont="1" applyBorder="1" applyAlignment="1">
      <alignment horizontal="distributed" vertical="center" wrapText="1"/>
    </xf>
    <xf numFmtId="0" fontId="62" fillId="0" borderId="91" xfId="0" applyFont="1" applyBorder="1" applyAlignment="1">
      <alignment horizontal="distributed" vertical="center" wrapText="1"/>
    </xf>
    <xf numFmtId="0" fontId="62" fillId="0" borderId="21" xfId="0" applyFont="1" applyBorder="1" applyAlignment="1">
      <alignment horizontal="distributed" vertical="center" wrapText="1"/>
    </xf>
    <xf numFmtId="0" fontId="62" fillId="0" borderId="62" xfId="0" applyFont="1" applyBorder="1" applyAlignment="1">
      <alignment horizontal="distributed" vertical="center" wrapText="1"/>
    </xf>
    <xf numFmtId="0" fontId="62" fillId="0" borderId="93" xfId="0" applyFont="1" applyBorder="1" applyAlignment="1">
      <alignment horizontal="distributed" vertical="center" wrapText="1"/>
    </xf>
    <xf numFmtId="179" fontId="35" fillId="0" borderId="34" xfId="0" applyNumberFormat="1" applyFont="1" applyBorder="1" applyAlignment="1">
      <alignment horizontal="right" vertical="center" shrinkToFit="1"/>
    </xf>
    <xf numFmtId="179" fontId="35" fillId="0" borderId="109" xfId="0" applyNumberFormat="1" applyFont="1" applyBorder="1" applyAlignment="1">
      <alignment horizontal="right" vertical="center" shrinkToFit="1"/>
    </xf>
    <xf numFmtId="0" fontId="35" fillId="0" borderId="61" xfId="0" applyFont="1" applyBorder="1" applyAlignment="1">
      <alignment horizontal="center" vertical="center"/>
    </xf>
    <xf numFmtId="0" fontId="35" fillId="0" borderId="50" xfId="0" applyFont="1" applyBorder="1" applyAlignment="1">
      <alignment horizontal="center" vertical="center"/>
    </xf>
    <xf numFmtId="0" fontId="35" fillId="0" borderId="78" xfId="0" applyFont="1" applyBorder="1" applyAlignment="1">
      <alignment horizontal="left" vertical="center" wrapText="1"/>
    </xf>
    <xf numFmtId="0" fontId="62" fillId="0" borderId="11" xfId="0" applyFont="1" applyBorder="1" applyAlignment="1">
      <alignment horizontal="distributed" vertical="center"/>
    </xf>
    <xf numFmtId="0" fontId="62" fillId="0" borderId="66" xfId="0" applyFont="1" applyBorder="1" applyAlignment="1">
      <alignment horizontal="distributed" vertical="center"/>
    </xf>
    <xf numFmtId="0" fontId="62" fillId="0" borderId="99" xfId="0" applyFont="1" applyBorder="1" applyAlignment="1">
      <alignment horizontal="distributed" vertical="center"/>
    </xf>
    <xf numFmtId="179" fontId="35" fillId="0" borderId="34" xfId="0" applyNumberFormat="1" applyFont="1" applyBorder="1" applyAlignment="1">
      <alignment horizontal="center" vertical="center" shrinkToFit="1"/>
    </xf>
    <xf numFmtId="179" fontId="35" fillId="0" borderId="60" xfId="0" applyNumberFormat="1" applyFont="1" applyBorder="1" applyAlignment="1">
      <alignment horizontal="center" vertical="center" shrinkToFit="1"/>
    </xf>
    <xf numFmtId="0" fontId="35" fillId="0" borderId="35" xfId="0" applyFont="1" applyBorder="1" applyAlignment="1">
      <alignment horizontal="distributed" vertical="center" wrapText="1"/>
    </xf>
    <xf numFmtId="0" fontId="35" fillId="0" borderId="88" xfId="0" applyFont="1" applyBorder="1" applyAlignment="1">
      <alignment horizontal="distributed" vertical="center" wrapText="1"/>
    </xf>
    <xf numFmtId="0" fontId="35" fillId="0" borderId="31" xfId="0" applyFont="1" applyBorder="1" applyAlignment="1">
      <alignment horizontal="distributed" vertical="center" wrapText="1"/>
    </xf>
    <xf numFmtId="0" fontId="35" fillId="26" borderId="35" xfId="0" applyFont="1" applyFill="1" applyBorder="1" applyAlignment="1" applyProtection="1">
      <alignment horizontal="left" vertical="center" wrapText="1"/>
      <protection locked="0"/>
    </xf>
    <xf numFmtId="0" fontId="35" fillId="26" borderId="88" xfId="0" applyFont="1" applyFill="1" applyBorder="1" applyAlignment="1" applyProtection="1">
      <alignment horizontal="left" vertical="center" wrapText="1"/>
      <protection locked="0"/>
    </xf>
    <xf numFmtId="0" fontId="35" fillId="26" borderId="26" xfId="0" applyFont="1" applyFill="1" applyBorder="1" applyAlignment="1" applyProtection="1">
      <alignment horizontal="left" vertical="center" wrapText="1"/>
      <protection locked="0"/>
    </xf>
    <xf numFmtId="0" fontId="64" fillId="0" borderId="29" xfId="0" applyFont="1" applyBorder="1" applyAlignment="1">
      <alignment horizontal="distributed" vertical="center" wrapText="1"/>
    </xf>
    <xf numFmtId="0" fontId="36" fillId="0" borderId="60" xfId="0" applyFont="1" applyBorder="1" applyAlignment="1">
      <alignment horizontal="distributed" vertical="center" wrapText="1"/>
    </xf>
    <xf numFmtId="0" fontId="36" fillId="0" borderId="86" xfId="0" applyFont="1" applyBorder="1" applyAlignment="1">
      <alignment horizontal="distributed" vertical="center" wrapText="1"/>
    </xf>
    <xf numFmtId="0" fontId="36" fillId="0" borderId="90" xfId="0" applyFont="1" applyBorder="1" applyAlignment="1">
      <alignment horizontal="distributed" vertical="center" wrapText="1"/>
    </xf>
    <xf numFmtId="0" fontId="35" fillId="0" borderId="29" xfId="0" applyFont="1" applyBorder="1" applyAlignment="1">
      <alignment horizontal="center" vertical="center"/>
    </xf>
    <xf numFmtId="0" fontId="36" fillId="0" borderId="91" xfId="0" applyFont="1" applyBorder="1">
      <alignment vertical="center"/>
    </xf>
    <xf numFmtId="0" fontId="66" fillId="26" borderId="60" xfId="0" applyFont="1" applyFill="1" applyBorder="1" applyAlignment="1" applyProtection="1">
      <alignment horizontal="left" vertical="center"/>
      <protection locked="0"/>
    </xf>
    <xf numFmtId="0" fontId="66" fillId="26" borderId="61" xfId="0" applyFont="1" applyFill="1" applyBorder="1" applyAlignment="1" applyProtection="1">
      <alignment horizontal="left" vertical="center"/>
      <protection locked="0"/>
    </xf>
    <xf numFmtId="0" fontId="36" fillId="0" borderId="92" xfId="0" applyFont="1" applyBorder="1">
      <alignment vertical="center"/>
    </xf>
    <xf numFmtId="0" fontId="66" fillId="26" borderId="31" xfId="0" applyFont="1" applyFill="1" applyBorder="1" applyAlignment="1" applyProtection="1">
      <alignment horizontal="left" vertical="center"/>
      <protection locked="0"/>
    </xf>
    <xf numFmtId="0" fontId="66" fillId="26" borderId="59" xfId="0" applyFont="1" applyFill="1" applyBorder="1" applyAlignment="1" applyProtection="1">
      <alignment horizontal="left" vertical="center"/>
      <protection locked="0"/>
    </xf>
    <xf numFmtId="0" fontId="66" fillId="26" borderId="54" xfId="0" applyFont="1" applyFill="1" applyBorder="1" applyAlignment="1" applyProtection="1">
      <alignment horizontal="left" vertical="center"/>
      <protection locked="0"/>
    </xf>
    <xf numFmtId="0" fontId="86" fillId="0" borderId="78" xfId="0" applyFont="1" applyBorder="1" applyAlignment="1">
      <alignment horizontal="left" vertical="center" wrapText="1"/>
    </xf>
    <xf numFmtId="0" fontId="86" fillId="0" borderId="68" xfId="0" applyFont="1" applyBorder="1" applyAlignment="1">
      <alignment horizontal="left" vertical="center" wrapText="1"/>
    </xf>
    <xf numFmtId="0" fontId="66" fillId="0" borderId="0" xfId="0" applyFont="1" applyAlignment="1">
      <alignment vertical="top"/>
    </xf>
    <xf numFmtId="0" fontId="35" fillId="26" borderId="111" xfId="0" applyFont="1" applyFill="1" applyBorder="1" applyAlignment="1" applyProtection="1">
      <alignment vertical="center" wrapText="1"/>
      <protection locked="0"/>
    </xf>
    <xf numFmtId="0" fontId="35" fillId="26" borderId="0" xfId="0" applyFont="1" applyFill="1" applyAlignment="1" applyProtection="1">
      <alignment vertical="top" wrapText="1"/>
      <protection locked="0"/>
    </xf>
    <xf numFmtId="0" fontId="35" fillId="26" borderId="29" xfId="0" applyFont="1" applyFill="1" applyBorder="1" applyAlignment="1" applyProtection="1">
      <alignment horizontal="left" wrapText="1"/>
      <protection locked="0"/>
    </xf>
    <xf numFmtId="0" fontId="16" fillId="26" borderId="60" xfId="0" applyFont="1" applyFill="1" applyBorder="1" applyAlignment="1" applyProtection="1">
      <alignment horizontal="left" wrapText="1"/>
      <protection locked="0"/>
    </xf>
    <xf numFmtId="0" fontId="16" fillId="26" borderId="61" xfId="0" applyFont="1" applyFill="1" applyBorder="1" applyAlignment="1" applyProtection="1">
      <alignment horizontal="left" wrapText="1"/>
      <protection locked="0"/>
    </xf>
    <xf numFmtId="0" fontId="66" fillId="0" borderId="0" xfId="0" applyFont="1" applyAlignment="1">
      <alignment vertical="top" wrapText="1"/>
    </xf>
    <xf numFmtId="0" fontId="64" fillId="0" borderId="60" xfId="0" applyFont="1" applyBorder="1" applyAlignment="1">
      <alignment horizontal="distributed" vertical="center" wrapText="1"/>
    </xf>
    <xf numFmtId="0" fontId="64" fillId="0" borderId="61" xfId="0" applyFont="1" applyBorder="1" applyAlignment="1">
      <alignment horizontal="distributed" vertical="center" wrapText="1"/>
    </xf>
    <xf numFmtId="0" fontId="64" fillId="0" borderId="21" xfId="0" applyFont="1" applyBorder="1" applyAlignment="1">
      <alignment horizontal="distributed" vertical="center" wrapText="1"/>
    </xf>
    <xf numFmtId="0" fontId="64" fillId="0" borderId="62" xfId="0" applyFont="1" applyBorder="1" applyAlignment="1">
      <alignment horizontal="distributed" vertical="center" wrapText="1"/>
    </xf>
    <xf numFmtId="0" fontId="64" fillId="0" borderId="50" xfId="0" applyFont="1" applyBorder="1" applyAlignment="1">
      <alignment horizontal="distributed" vertical="center" wrapText="1"/>
    </xf>
    <xf numFmtId="0" fontId="77" fillId="26" borderId="21" xfId="0" applyNumberFormat="1" applyFont="1" applyFill="1" applyBorder="1" applyAlignment="1" applyProtection="1">
      <alignment horizontal="left" vertical="center" wrapText="1"/>
      <protection locked="0"/>
    </xf>
    <xf numFmtId="0" fontId="77" fillId="26" borderId="62" xfId="0" applyNumberFormat="1" applyFont="1" applyFill="1" applyBorder="1" applyAlignment="1" applyProtection="1">
      <alignment horizontal="left" vertical="center" wrapText="1"/>
      <protection locked="0"/>
    </xf>
    <xf numFmtId="0" fontId="77" fillId="26" borderId="50" xfId="0" applyNumberFormat="1" applyFont="1" applyFill="1" applyBorder="1" applyAlignment="1" applyProtection="1">
      <alignment horizontal="left" vertical="center" wrapText="1"/>
      <protection locked="0"/>
    </xf>
    <xf numFmtId="0" fontId="66" fillId="0" borderId="0" xfId="0" applyFont="1" applyAlignment="1">
      <alignment horizontal="right" vertical="center"/>
    </xf>
    <xf numFmtId="0" fontId="35" fillId="26" borderId="0" xfId="0" applyFont="1" applyFill="1" applyAlignment="1" applyProtection="1">
      <alignment wrapText="1"/>
      <protection locked="0"/>
    </xf>
    <xf numFmtId="189" fontId="72" fillId="25" borderId="0" xfId="0" applyNumberFormat="1" applyFont="1" applyFill="1" applyAlignment="1" applyProtection="1">
      <alignment horizontal="right" vertical="center"/>
      <protection locked="0"/>
    </xf>
    <xf numFmtId="0" fontId="35" fillId="0" borderId="0" xfId="0" applyFont="1" applyAlignment="1">
      <alignment horizontal="right" vertical="top" wrapText="1"/>
    </xf>
    <xf numFmtId="0" fontId="35" fillId="0" borderId="0" xfId="0" applyFont="1" applyAlignment="1">
      <alignment horizontal="center" vertical="top" wrapText="1"/>
    </xf>
    <xf numFmtId="0" fontId="35" fillId="0" borderId="25" xfId="0" applyFont="1" applyBorder="1" applyAlignment="1">
      <alignment horizontal="center" vertical="center" wrapText="1"/>
    </xf>
    <xf numFmtId="0" fontId="35" fillId="0" borderId="54" xfId="0" applyFont="1" applyBorder="1" applyAlignment="1">
      <alignment horizontal="center" vertical="center" wrapText="1"/>
    </xf>
    <xf numFmtId="0" fontId="74" fillId="0" borderId="0" xfId="0" applyFont="1" applyAlignment="1">
      <alignment horizontal="center" vertical="center"/>
    </xf>
    <xf numFmtId="0" fontId="0" fillId="0" borderId="54" xfId="0" applyBorder="1" applyAlignment="1">
      <alignment horizontal="center" vertical="center" wrapText="1"/>
    </xf>
    <xf numFmtId="0" fontId="35" fillId="25" borderId="25" xfId="0" applyFont="1" applyFill="1" applyBorder="1" applyAlignment="1">
      <alignment horizontal="right" vertical="center" wrapText="1"/>
    </xf>
    <xf numFmtId="0" fontId="35" fillId="25" borderId="59" xfId="0" applyFont="1" applyFill="1" applyBorder="1" applyAlignment="1">
      <alignment horizontal="right" vertical="center" wrapText="1"/>
    </xf>
    <xf numFmtId="0" fontId="77" fillId="25" borderId="59" xfId="0" applyFont="1" applyFill="1" applyBorder="1" applyAlignment="1">
      <alignment horizontal="center" vertical="center" wrapText="1"/>
    </xf>
    <xf numFmtId="0" fontId="77" fillId="25" borderId="59" xfId="0" applyFont="1" applyFill="1" applyBorder="1" applyAlignment="1">
      <alignment vertical="center" wrapText="1"/>
    </xf>
    <xf numFmtId="0" fontId="77" fillId="25" borderId="54" xfId="0" applyFont="1" applyFill="1" applyBorder="1" applyAlignment="1">
      <alignment vertical="center" wrapText="1"/>
    </xf>
    <xf numFmtId="0" fontId="63" fillId="0" borderId="0" xfId="44" applyFont="1" applyAlignment="1">
      <alignment horizontal="left" vertical="center" wrapText="1"/>
    </xf>
    <xf numFmtId="0" fontId="35" fillId="24" borderId="0" xfId="44" applyFont="1" applyFill="1" applyAlignment="1">
      <alignment horizontal="right" vertical="center"/>
    </xf>
    <xf numFmtId="0" fontId="35" fillId="0" borderId="29" xfId="0" applyFont="1" applyBorder="1" applyAlignment="1">
      <alignment horizontal="center" vertical="center" wrapText="1"/>
    </xf>
    <xf numFmtId="0" fontId="0" fillId="0" borderId="61" xfId="0"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21" xfId="0" applyBorder="1" applyAlignment="1">
      <alignment horizontal="center" vertical="center" wrapText="1"/>
    </xf>
    <xf numFmtId="0" fontId="0" fillId="0" borderId="50" xfId="0" applyBorder="1" applyAlignment="1">
      <alignment horizontal="center" vertical="center" wrapText="1"/>
    </xf>
    <xf numFmtId="187" fontId="35" fillId="0" borderId="32" xfId="44" applyNumberFormat="1" applyFont="1" applyBorder="1" applyAlignment="1">
      <alignment horizontal="center" vertical="top" shrinkToFit="1"/>
    </xf>
    <xf numFmtId="187" fontId="35" fillId="0" borderId="33" xfId="44" applyNumberFormat="1" applyFont="1" applyBorder="1" applyAlignment="1">
      <alignment horizontal="center" vertical="top" shrinkToFit="1"/>
    </xf>
    <xf numFmtId="0" fontId="77" fillId="25" borderId="54" xfId="0" applyFont="1" applyFill="1" applyBorder="1" applyAlignment="1">
      <alignment horizontal="center" vertical="center" wrapText="1"/>
    </xf>
    <xf numFmtId="0" fontId="35" fillId="25" borderId="21" xfId="0" applyFont="1" applyFill="1" applyBorder="1" applyAlignment="1" applyProtection="1">
      <alignment horizontal="left" vertical="top" wrapText="1"/>
      <protection locked="0"/>
    </xf>
    <xf numFmtId="0" fontId="0" fillId="25" borderId="62" xfId="0" applyFill="1" applyBorder="1" applyAlignment="1" applyProtection="1">
      <alignment horizontal="left" vertical="top" wrapText="1"/>
      <protection locked="0"/>
    </xf>
    <xf numFmtId="0" fontId="0" fillId="25" borderId="50" xfId="0" applyFill="1" applyBorder="1" applyAlignment="1" applyProtection="1">
      <alignment horizontal="left" vertical="top" wrapText="1"/>
      <protection locked="0"/>
    </xf>
    <xf numFmtId="0" fontId="35" fillId="0" borderId="29" xfId="44" applyFont="1" applyBorder="1" applyAlignment="1">
      <alignment horizontal="distributed" wrapText="1"/>
    </xf>
    <xf numFmtId="0" fontId="36" fillId="0" borderId="61" xfId="0" applyFont="1" applyBorder="1" applyAlignment="1">
      <alignment horizontal="distributed"/>
    </xf>
    <xf numFmtId="0" fontId="35" fillId="0" borderId="60" xfId="44" applyFont="1" applyBorder="1" applyAlignment="1">
      <alignment horizontal="center" vertical="center" wrapText="1"/>
    </xf>
    <xf numFmtId="0" fontId="35" fillId="0" borderId="61" xfId="44" applyFont="1" applyBorder="1" applyAlignment="1">
      <alignment horizontal="center" vertical="center" wrapText="1"/>
    </xf>
    <xf numFmtId="187" fontId="35" fillId="0" borderId="21" xfId="44" applyNumberFormat="1" applyFont="1" applyBorder="1" applyAlignment="1">
      <alignment horizontal="center" vertical="center"/>
    </xf>
    <xf numFmtId="187" fontId="35" fillId="0" borderId="50" xfId="44" applyNumberFormat="1" applyFont="1" applyBorder="1" applyAlignment="1">
      <alignment horizontal="center" vertical="center"/>
    </xf>
    <xf numFmtId="0" fontId="35" fillId="0" borderId="78" xfId="44" applyFont="1" applyBorder="1" applyAlignment="1">
      <alignment horizontal="center" vertical="center" wrapText="1"/>
    </xf>
    <xf numFmtId="0" fontId="35" fillId="0" borderId="68" xfId="44" applyFont="1" applyBorder="1" applyAlignment="1">
      <alignment horizontal="center" vertical="center" wrapText="1"/>
    </xf>
    <xf numFmtId="0" fontId="35" fillId="0" borderId="95" xfId="44" applyFont="1" applyBorder="1" applyAlignment="1">
      <alignment horizontal="center" vertical="center" wrapText="1"/>
    </xf>
    <xf numFmtId="0" fontId="35" fillId="0" borderId="65" xfId="44" applyFont="1" applyBorder="1" applyAlignment="1">
      <alignment horizontal="center" vertical="center" wrapText="1"/>
    </xf>
    <xf numFmtId="177" fontId="35" fillId="0" borderId="132" xfId="44" applyNumberFormat="1" applyFont="1" applyBorder="1" applyAlignment="1">
      <alignment horizontal="center" vertical="center" shrinkToFit="1"/>
    </xf>
    <xf numFmtId="177" fontId="35" fillId="0" borderId="133" xfId="44" applyNumberFormat="1" applyFont="1" applyBorder="1" applyAlignment="1">
      <alignment horizontal="center" vertical="center" shrinkToFit="1"/>
    </xf>
    <xf numFmtId="177" fontId="35" fillId="0" borderId="134" xfId="44" applyNumberFormat="1" applyFont="1" applyBorder="1" applyAlignment="1">
      <alignment horizontal="center" vertical="center" shrinkToFit="1"/>
    </xf>
    <xf numFmtId="0" fontId="35" fillId="0" borderId="13" xfId="0" applyFont="1" applyBorder="1" applyAlignment="1">
      <alignment horizontal="distributed" wrapText="1"/>
    </xf>
    <xf numFmtId="0" fontId="35" fillId="0" borderId="65" xfId="0" applyFont="1" applyBorder="1" applyAlignment="1">
      <alignment horizontal="distributed" wrapText="1"/>
    </xf>
    <xf numFmtId="0" fontId="35" fillId="0" borderId="0" xfId="44" applyFont="1" applyAlignment="1">
      <alignment horizontal="center" vertical="center" wrapText="1"/>
    </xf>
    <xf numFmtId="0" fontId="35" fillId="0" borderId="33" xfId="44" applyFont="1" applyBorder="1" applyAlignment="1">
      <alignment horizontal="center" vertical="center" wrapText="1"/>
    </xf>
    <xf numFmtId="0" fontId="35" fillId="0" borderId="32" xfId="44" applyFont="1" applyBorder="1" applyAlignment="1">
      <alignment horizontal="distributed" wrapText="1"/>
    </xf>
    <xf numFmtId="0" fontId="36" fillId="0" borderId="33" xfId="0" applyFont="1" applyBorder="1" applyAlignment="1">
      <alignment horizontal="distributed"/>
    </xf>
    <xf numFmtId="0" fontId="63" fillId="0" borderId="0" xfId="44" applyFont="1" applyAlignment="1">
      <alignment horizontal="left" vertical="top" wrapText="1"/>
    </xf>
    <xf numFmtId="0" fontId="63" fillId="0" borderId="0" xfId="44" applyFont="1" applyAlignment="1">
      <alignment horizontal="left" vertical="top"/>
    </xf>
    <xf numFmtId="0" fontId="35" fillId="0" borderId="62" xfId="44" applyFont="1" applyBorder="1" applyAlignment="1">
      <alignment horizontal="center" vertical="center"/>
    </xf>
    <xf numFmtId="0" fontId="35" fillId="0" borderId="50" xfId="44" applyFont="1" applyBorder="1" applyAlignment="1">
      <alignment horizontal="center" vertical="center"/>
    </xf>
    <xf numFmtId="0" fontId="35" fillId="0" borderId="25" xfId="44" applyFont="1" applyBorder="1" applyAlignment="1">
      <alignment horizontal="center" vertical="center"/>
    </xf>
    <xf numFmtId="0" fontId="35" fillId="0" borderId="59" xfId="44" applyFont="1" applyBorder="1" applyAlignment="1">
      <alignment horizontal="center" vertical="center"/>
    </xf>
    <xf numFmtId="0" fontId="35" fillId="0" borderId="54" xfId="44" applyFont="1" applyBorder="1" applyAlignment="1">
      <alignment horizontal="center" vertical="center"/>
    </xf>
    <xf numFmtId="0" fontId="35" fillId="0" borderId="137" xfId="44" applyFont="1" applyBorder="1" applyAlignment="1">
      <alignment horizontal="center" vertical="distributed"/>
    </xf>
    <xf numFmtId="0" fontId="35" fillId="0" borderId="55" xfId="44" applyFont="1" applyBorder="1" applyAlignment="1">
      <alignment horizontal="center" vertical="distributed"/>
    </xf>
    <xf numFmtId="0" fontId="35" fillId="0" borderId="43" xfId="44" applyFont="1" applyBorder="1" applyAlignment="1">
      <alignment horizontal="center" vertical="distributed"/>
    </xf>
    <xf numFmtId="0" fontId="35" fillId="0" borderId="24" xfId="44" applyFont="1" applyBorder="1" applyAlignment="1">
      <alignment horizontal="center" vertical="distributed"/>
    </xf>
    <xf numFmtId="0" fontId="35" fillId="0" borderId="108" xfId="44" applyFont="1" applyBorder="1" applyAlignment="1">
      <alignment horizontal="center" vertical="distributed"/>
    </xf>
    <xf numFmtId="0" fontId="35" fillId="0" borderId="112" xfId="44" applyFont="1" applyBorder="1" applyAlignment="1">
      <alignment horizontal="center" vertical="center"/>
    </xf>
    <xf numFmtId="0" fontId="35" fillId="0" borderId="115" xfId="44" applyFont="1" applyBorder="1" applyAlignment="1">
      <alignment horizontal="center" vertical="center"/>
    </xf>
    <xf numFmtId="0" fontId="35" fillId="0" borderId="138" xfId="44" applyFont="1" applyBorder="1" applyAlignment="1">
      <alignment horizontal="center" vertical="center"/>
    </xf>
    <xf numFmtId="0" fontId="35" fillId="0" borderId="134" xfId="44" applyFont="1" applyBorder="1" applyAlignment="1">
      <alignment horizontal="center" vertical="center"/>
    </xf>
    <xf numFmtId="0" fontId="0" fillId="25" borderId="59" xfId="0" applyFill="1" applyBorder="1" applyAlignment="1">
      <alignment horizontal="center" vertical="center" wrapText="1"/>
    </xf>
    <xf numFmtId="0" fontId="0" fillId="25" borderId="59" xfId="0" applyFill="1" applyBorder="1" applyAlignment="1">
      <alignment horizontal="right" vertical="center" wrapText="1"/>
    </xf>
    <xf numFmtId="0" fontId="0" fillId="25" borderId="54" xfId="0" applyFill="1" applyBorder="1" applyAlignment="1">
      <alignment vertical="center" wrapText="1"/>
    </xf>
    <xf numFmtId="0" fontId="62" fillId="24" borderId="0" xfId="44" applyFont="1" applyFill="1" applyAlignment="1">
      <alignment horizontal="left" vertical="top" wrapText="1"/>
    </xf>
    <xf numFmtId="0" fontId="35" fillId="0" borderId="29" xfId="44" applyFont="1" applyBorder="1" applyAlignment="1">
      <alignment horizontal="center" vertical="center" wrapText="1"/>
    </xf>
    <xf numFmtId="0" fontId="35" fillId="0" borderId="29" xfId="44" applyFont="1" applyBorder="1" applyAlignment="1">
      <alignment horizontal="center" vertical="center"/>
    </xf>
    <xf numFmtId="0" fontId="35" fillId="0" borderId="60" xfId="44" applyFont="1" applyBorder="1" applyAlignment="1">
      <alignment horizontal="center" vertical="center"/>
    </xf>
    <xf numFmtId="0" fontId="35" fillId="0" borderId="61" xfId="44" applyFont="1" applyBorder="1" applyAlignment="1">
      <alignment horizontal="center" vertical="center"/>
    </xf>
    <xf numFmtId="0" fontId="35" fillId="0" borderId="114" xfId="44" applyFont="1" applyBorder="1" applyAlignment="1">
      <alignment horizontal="center" vertical="center"/>
    </xf>
    <xf numFmtId="0" fontId="35" fillId="0" borderId="130" xfId="44" applyFont="1" applyBorder="1" applyAlignment="1">
      <alignment horizontal="center" vertical="center"/>
    </xf>
    <xf numFmtId="0" fontId="35" fillId="0" borderId="131" xfId="44" applyFont="1" applyBorder="1" applyAlignment="1">
      <alignment horizontal="center" vertical="center"/>
    </xf>
    <xf numFmtId="177" fontId="35" fillId="0" borderId="132" xfId="44" applyNumberFormat="1" applyFont="1" applyBorder="1" applyAlignment="1" applyProtection="1">
      <alignment horizontal="center" vertical="center" shrinkToFit="1"/>
      <protection locked="0"/>
    </xf>
    <xf numFmtId="177" fontId="35" fillId="0" borderId="133" xfId="44" applyNumberFormat="1" applyFont="1" applyBorder="1" applyAlignment="1" applyProtection="1">
      <alignment horizontal="center" vertical="center" shrinkToFit="1"/>
      <protection locked="0"/>
    </xf>
    <xf numFmtId="177" fontId="35" fillId="0" borderId="134" xfId="44" applyNumberFormat="1" applyFont="1" applyBorder="1" applyAlignment="1" applyProtection="1">
      <alignment horizontal="center" vertical="center" shrinkToFit="1"/>
      <protection locked="0"/>
    </xf>
    <xf numFmtId="0" fontId="35" fillId="0" borderId="11" xfId="0" applyFont="1" applyBorder="1" applyAlignment="1">
      <alignment horizontal="center" vertical="center" wrapText="1"/>
    </xf>
    <xf numFmtId="0" fontId="35" fillId="0" borderId="66" xfId="0" applyFont="1" applyBorder="1" applyAlignment="1">
      <alignment horizontal="center" vertical="center"/>
    </xf>
    <xf numFmtId="0" fontId="35" fillId="0" borderId="77" xfId="0" applyFont="1" applyBorder="1" applyAlignment="1">
      <alignment horizontal="center" vertical="center"/>
    </xf>
    <xf numFmtId="38" fontId="35" fillId="25" borderId="126" xfId="281" applyFont="1" applyFill="1" applyBorder="1" applyAlignment="1" applyProtection="1">
      <alignment horizontal="center" vertical="center"/>
      <protection locked="0"/>
    </xf>
    <xf numFmtId="38" fontId="35" fillId="25" borderId="398" xfId="281" applyFont="1" applyFill="1" applyBorder="1" applyAlignment="1" applyProtection="1">
      <alignment horizontal="center" vertical="center"/>
      <protection locked="0"/>
    </xf>
    <xf numFmtId="38" fontId="35" fillId="25" borderId="398" xfId="281" applyFont="1" applyFill="1" applyBorder="1" applyAlignment="1" applyProtection="1">
      <alignment horizontal="center" vertical="center" shrinkToFit="1"/>
      <protection locked="0"/>
    </xf>
    <xf numFmtId="38" fontId="35" fillId="25" borderId="399" xfId="281" applyFont="1" applyFill="1" applyBorder="1" applyAlignment="1" applyProtection="1">
      <alignment horizontal="center" vertical="center" shrinkToFit="1"/>
      <protection locked="0"/>
    </xf>
    <xf numFmtId="179" fontId="35" fillId="0" borderId="11" xfId="0" applyNumberFormat="1" applyFont="1" applyBorder="1" applyAlignment="1">
      <alignment horizontal="center" vertical="center" shrinkToFit="1"/>
    </xf>
    <xf numFmtId="179" fontId="35" fillId="0" borderId="66" xfId="0" applyNumberFormat="1" applyFont="1" applyBorder="1" applyAlignment="1">
      <alignment horizontal="center" vertical="center" shrinkToFit="1"/>
    </xf>
    <xf numFmtId="179" fontId="35" fillId="0" borderId="77" xfId="0" applyNumberFormat="1" applyFont="1" applyBorder="1" applyAlignment="1">
      <alignment horizontal="center" vertical="center" shrinkToFit="1"/>
    </xf>
    <xf numFmtId="0" fontId="35" fillId="0" borderId="14" xfId="0" applyFont="1" applyBorder="1" applyAlignment="1">
      <alignment horizontal="center" vertical="center" wrapText="1"/>
    </xf>
    <xf numFmtId="0" fontId="35" fillId="0" borderId="78" xfId="0" applyFont="1" applyBorder="1" applyAlignment="1">
      <alignment horizontal="center" vertical="center"/>
    </xf>
    <xf numFmtId="0" fontId="35" fillId="0" borderId="68" xfId="0" applyFont="1" applyBorder="1" applyAlignment="1">
      <alignment horizontal="center" vertical="center"/>
    </xf>
    <xf numFmtId="38" fontId="35" fillId="0" borderId="129" xfId="0" applyNumberFormat="1" applyFont="1" applyFill="1" applyBorder="1" applyAlignment="1" applyProtection="1">
      <alignment horizontal="center" vertical="center" wrapText="1"/>
    </xf>
    <xf numFmtId="0" fontId="35" fillId="0" borderId="400" xfId="0" applyFont="1" applyFill="1" applyBorder="1" applyAlignment="1" applyProtection="1">
      <alignment horizontal="center" vertical="center" wrapText="1"/>
    </xf>
    <xf numFmtId="38" fontId="35" fillId="0" borderId="400" xfId="0" applyNumberFormat="1" applyFont="1" applyFill="1" applyBorder="1" applyAlignment="1" applyProtection="1">
      <alignment horizontal="center" vertical="center" wrapText="1"/>
    </xf>
    <xf numFmtId="0" fontId="35" fillId="0" borderId="22" xfId="0" applyFont="1" applyFill="1" applyBorder="1" applyAlignment="1" applyProtection="1">
      <alignment horizontal="center" vertical="center" wrapText="1"/>
    </xf>
    <xf numFmtId="179" fontId="35" fillId="0" borderId="14" xfId="0" applyNumberFormat="1" applyFont="1" applyBorder="1" applyAlignment="1">
      <alignment horizontal="center" vertical="center" shrinkToFit="1"/>
    </xf>
    <xf numFmtId="179" fontId="35" fillId="0" borderId="68" xfId="0" applyNumberFormat="1" applyFont="1" applyBorder="1" applyAlignment="1">
      <alignment horizontal="center" vertical="center" shrinkToFit="1"/>
    </xf>
    <xf numFmtId="0" fontId="35" fillId="0" borderId="59" xfId="0" applyFont="1" applyBorder="1" applyAlignment="1">
      <alignment horizontal="center" vertical="center" wrapText="1"/>
    </xf>
    <xf numFmtId="0" fontId="35" fillId="0" borderId="31" xfId="0" applyFont="1" applyBorder="1" applyAlignment="1">
      <alignment horizontal="center" vertical="center" wrapText="1"/>
    </xf>
    <xf numFmtId="0" fontId="35" fillId="0" borderId="92" xfId="0" applyFont="1" applyBorder="1" applyAlignment="1">
      <alignment horizontal="center" vertical="center" wrapText="1"/>
    </xf>
    <xf numFmtId="0" fontId="35" fillId="25" borderId="12" xfId="0" applyFont="1" applyFill="1" applyBorder="1" applyAlignment="1" applyProtection="1">
      <alignment horizontal="left" vertical="center" wrapText="1"/>
      <protection locked="0"/>
    </xf>
    <xf numFmtId="0" fontId="37" fillId="25" borderId="87" xfId="0" applyFont="1" applyFill="1" applyBorder="1" applyAlignment="1" applyProtection="1">
      <alignment horizontal="left" vertical="center" wrapText="1"/>
      <protection locked="0"/>
    </xf>
    <xf numFmtId="0" fontId="37" fillId="25" borderId="72" xfId="0" applyFont="1" applyFill="1" applyBorder="1" applyAlignment="1" applyProtection="1">
      <alignment horizontal="left" vertical="center" wrapText="1"/>
      <protection locked="0"/>
    </xf>
    <xf numFmtId="0" fontId="62" fillId="25" borderId="118" xfId="0" applyFont="1" applyFill="1" applyBorder="1" applyAlignment="1" applyProtection="1">
      <alignment vertical="center" wrapText="1"/>
      <protection locked="0"/>
    </xf>
    <xf numFmtId="0" fontId="35" fillId="25" borderId="118" xfId="0" applyFont="1" applyFill="1" applyBorder="1" applyAlignment="1" applyProtection="1">
      <alignment horizontal="center" vertical="center" wrapText="1"/>
      <protection locked="0"/>
    </xf>
    <xf numFmtId="0" fontId="35" fillId="25" borderId="127" xfId="0" applyFont="1" applyFill="1" applyBorder="1" applyAlignment="1" applyProtection="1">
      <alignment horizontal="center" vertical="center" wrapText="1"/>
      <protection locked="0"/>
    </xf>
    <xf numFmtId="0" fontId="35" fillId="25" borderId="14" xfId="0" applyFont="1" applyFill="1" applyBorder="1" applyAlignment="1" applyProtection="1">
      <alignment horizontal="left" vertical="center" wrapText="1"/>
      <protection locked="0"/>
    </xf>
    <xf numFmtId="0" fontId="37" fillId="25" borderId="78" xfId="0" applyFont="1" applyFill="1" applyBorder="1" applyAlignment="1" applyProtection="1">
      <alignment horizontal="left" vertical="center" wrapText="1"/>
      <protection locked="0"/>
    </xf>
    <xf numFmtId="0" fontId="37" fillId="25" borderId="68" xfId="0" applyFont="1" applyFill="1" applyBorder="1" applyAlignment="1" applyProtection="1">
      <alignment horizontal="left" vertical="center" wrapText="1"/>
      <protection locked="0"/>
    </xf>
    <xf numFmtId="0" fontId="62" fillId="25" borderId="119" xfId="0" applyFont="1" applyFill="1" applyBorder="1" applyAlignment="1" applyProtection="1">
      <alignment vertical="center" wrapText="1"/>
      <protection locked="0"/>
    </xf>
    <xf numFmtId="0" fontId="35" fillId="25" borderId="119" xfId="0" applyFont="1" applyFill="1" applyBorder="1" applyAlignment="1" applyProtection="1">
      <alignment horizontal="center" vertical="center" wrapText="1"/>
      <protection locked="0"/>
    </xf>
    <xf numFmtId="0" fontId="35" fillId="25" borderId="128" xfId="0" applyFont="1" applyFill="1" applyBorder="1" applyAlignment="1" applyProtection="1">
      <alignment horizontal="center" vertical="center" wrapText="1"/>
      <protection locked="0"/>
    </xf>
    <xf numFmtId="0" fontId="36" fillId="0" borderId="59" xfId="0" applyFont="1" applyBorder="1" applyAlignment="1">
      <alignment horizontal="center" vertical="center"/>
    </xf>
    <xf numFmtId="0" fontId="35" fillId="0" borderId="28" xfId="0" applyFont="1" applyBorder="1" applyAlignment="1">
      <alignment horizontal="center" vertical="center"/>
    </xf>
    <xf numFmtId="0" fontId="35" fillId="0" borderId="28" xfId="0" applyFont="1" applyBorder="1" applyAlignment="1">
      <alignment horizontal="center" vertical="center" wrapText="1"/>
    </xf>
    <xf numFmtId="0" fontId="35" fillId="0" borderId="35" xfId="0" applyFont="1" applyBorder="1" applyAlignment="1">
      <alignment horizontal="center" vertical="center" wrapText="1"/>
    </xf>
    <xf numFmtId="0" fontId="35" fillId="25" borderId="11" xfId="0" applyFont="1" applyFill="1" applyBorder="1" applyAlignment="1" applyProtection="1">
      <alignment horizontal="left" vertical="center" wrapText="1"/>
      <protection locked="0"/>
    </xf>
    <xf numFmtId="0" fontId="37" fillId="25" borderId="66" xfId="0" applyFont="1" applyFill="1" applyBorder="1" applyAlignment="1" applyProtection="1">
      <alignment horizontal="left" vertical="center" wrapText="1"/>
      <protection locked="0"/>
    </xf>
    <xf numFmtId="0" fontId="37" fillId="25" borderId="77" xfId="0" applyFont="1" applyFill="1" applyBorder="1" applyAlignment="1" applyProtection="1">
      <alignment horizontal="left" vertical="center" wrapText="1"/>
      <protection locked="0"/>
    </xf>
    <xf numFmtId="0" fontId="62" fillId="25" borderId="117" xfId="0" applyFont="1" applyFill="1" applyBorder="1" applyAlignment="1" applyProtection="1">
      <alignment vertical="center" wrapText="1"/>
      <protection locked="0"/>
    </xf>
    <xf numFmtId="0" fontId="35" fillId="25" borderId="117" xfId="0" applyFont="1" applyFill="1" applyBorder="1" applyAlignment="1" applyProtection="1">
      <alignment horizontal="center" vertical="center" wrapText="1"/>
      <protection locked="0"/>
    </xf>
    <xf numFmtId="0" fontId="35" fillId="25" borderId="126" xfId="0" applyFont="1" applyFill="1" applyBorder="1" applyAlignment="1" applyProtection="1">
      <alignment horizontal="center" vertical="center" wrapText="1"/>
      <protection locked="0"/>
    </xf>
    <xf numFmtId="0" fontId="35" fillId="25" borderId="87" xfId="0" applyFont="1" applyFill="1" applyBorder="1" applyAlignment="1" applyProtection="1">
      <alignment horizontal="left" vertical="center" wrapText="1"/>
      <protection locked="0"/>
    </xf>
    <xf numFmtId="0" fontId="35" fillId="25" borderId="72" xfId="0" applyFont="1" applyFill="1" applyBorder="1" applyAlignment="1" applyProtection="1">
      <alignment horizontal="left" vertical="center" wrapText="1"/>
      <protection locked="0"/>
    </xf>
    <xf numFmtId="0" fontId="35" fillId="25" borderId="86" xfId="44" applyFont="1" applyFill="1" applyBorder="1" applyAlignment="1" applyProtection="1">
      <alignment horizontal="left" vertical="center" wrapText="1"/>
      <protection locked="0"/>
    </xf>
    <xf numFmtId="0" fontId="35" fillId="25" borderId="90" xfId="44" applyFont="1" applyFill="1" applyBorder="1" applyAlignment="1" applyProtection="1">
      <alignment horizontal="left" vertical="center" wrapText="1"/>
      <protection locked="0"/>
    </xf>
    <xf numFmtId="0" fontId="35" fillId="25" borderId="102" xfId="44" applyFont="1" applyFill="1" applyBorder="1" applyAlignment="1" applyProtection="1">
      <alignment horizontal="left" vertical="center" wrapText="1"/>
      <protection locked="0"/>
    </xf>
    <xf numFmtId="179" fontId="35" fillId="25" borderId="14" xfId="44" applyNumberFormat="1" applyFont="1" applyFill="1" applyBorder="1" applyAlignment="1" applyProtection="1">
      <alignment horizontal="center" vertical="center" wrapText="1"/>
      <protection locked="0"/>
    </xf>
    <xf numFmtId="179" fontId="35" fillId="25" borderId="78" xfId="44" applyNumberFormat="1" applyFont="1" applyFill="1" applyBorder="1" applyAlignment="1" applyProtection="1">
      <alignment horizontal="center" vertical="center" wrapText="1"/>
      <protection locked="0"/>
    </xf>
    <xf numFmtId="179" fontId="35" fillId="25" borderId="68" xfId="44" applyNumberFormat="1" applyFont="1" applyFill="1" applyBorder="1" applyAlignment="1" applyProtection="1">
      <alignment horizontal="center" vertical="center" wrapText="1"/>
      <protection locked="0"/>
    </xf>
    <xf numFmtId="0" fontId="35" fillId="25" borderId="78" xfId="0" applyFont="1" applyFill="1" applyBorder="1" applyAlignment="1" applyProtection="1">
      <alignment horizontal="left" vertical="center" wrapText="1"/>
      <protection locked="0"/>
    </xf>
    <xf numFmtId="0" fontId="35" fillId="25" borderId="68" xfId="0" applyFont="1" applyFill="1" applyBorder="1" applyAlignment="1" applyProtection="1">
      <alignment horizontal="left" vertical="center" wrapText="1"/>
      <protection locked="0"/>
    </xf>
    <xf numFmtId="179" fontId="35" fillId="0" borderId="60" xfId="44" applyNumberFormat="1" applyFont="1" applyBorder="1" applyAlignment="1">
      <alignment horizontal="center" vertical="center" wrapText="1"/>
    </xf>
    <xf numFmtId="0" fontId="35" fillId="0" borderId="60" xfId="0" applyFont="1" applyBorder="1" applyAlignment="1">
      <alignment horizontal="center" vertical="center" wrapText="1"/>
    </xf>
    <xf numFmtId="0" fontId="35" fillId="0" borderId="80" xfId="0" applyFont="1" applyBorder="1" applyAlignment="1">
      <alignment horizontal="center" vertical="center"/>
    </xf>
    <xf numFmtId="0" fontId="35" fillId="0" borderId="15" xfId="0" applyFont="1" applyBorder="1" applyAlignment="1">
      <alignment horizontal="center" vertical="center"/>
    </xf>
    <xf numFmtId="0" fontId="75" fillId="0" borderId="0" xfId="44" applyFont="1" applyAlignment="1">
      <alignment horizontal="left" wrapText="1"/>
    </xf>
    <xf numFmtId="0" fontId="35" fillId="0" borderId="25" xfId="44" applyFont="1" applyBorder="1" applyAlignment="1">
      <alignment horizontal="center" vertical="center" wrapText="1"/>
    </xf>
    <xf numFmtId="0" fontId="35" fillId="0" borderId="59" xfId="44" applyFont="1" applyBorder="1" applyAlignment="1">
      <alignment horizontal="center" vertical="center" wrapText="1"/>
    </xf>
    <xf numFmtId="0" fontId="35" fillId="0" borderId="54" xfId="44" applyFont="1" applyBorder="1" applyAlignment="1">
      <alignment horizontal="center" vertical="center" wrapText="1"/>
    </xf>
    <xf numFmtId="0" fontId="35" fillId="25" borderId="11" xfId="44" applyFont="1" applyFill="1" applyBorder="1" applyAlignment="1" applyProtection="1">
      <alignment horizontal="left" vertical="center" wrapText="1"/>
      <protection locked="0"/>
    </xf>
    <xf numFmtId="0" fontId="35" fillId="25" borderId="66" xfId="44" applyFont="1" applyFill="1" applyBorder="1" applyAlignment="1" applyProtection="1">
      <alignment horizontal="left" vertical="center" wrapText="1"/>
      <protection locked="0"/>
    </xf>
    <xf numFmtId="0" fontId="35" fillId="25" borderId="77" xfId="44" applyFont="1" applyFill="1" applyBorder="1" applyAlignment="1" applyProtection="1">
      <alignment horizontal="left" vertical="center" wrapText="1"/>
      <protection locked="0"/>
    </xf>
    <xf numFmtId="38" fontId="35" fillId="25" borderId="11" xfId="281" applyFont="1" applyFill="1" applyBorder="1" applyAlignment="1" applyProtection="1">
      <alignment horizontal="center" vertical="center" wrapText="1"/>
      <protection locked="0"/>
    </xf>
    <xf numFmtId="38" fontId="35" fillId="25" borderId="66" xfId="281" applyFont="1" applyFill="1" applyBorder="1" applyAlignment="1" applyProtection="1">
      <alignment horizontal="center" vertical="center" wrapText="1"/>
      <protection locked="0"/>
    </xf>
    <xf numFmtId="38" fontId="35" fillId="25" borderId="77" xfId="281" applyFont="1" applyFill="1" applyBorder="1" applyAlignment="1" applyProtection="1">
      <alignment horizontal="center" vertical="center" wrapText="1"/>
      <protection locked="0"/>
    </xf>
    <xf numFmtId="0" fontId="35" fillId="25" borderId="66" xfId="0" applyFont="1" applyFill="1" applyBorder="1" applyAlignment="1" applyProtection="1">
      <alignment horizontal="left" vertical="center" wrapText="1"/>
      <protection locked="0"/>
    </xf>
    <xf numFmtId="0" fontId="35" fillId="25" borderId="77" xfId="0" applyFont="1" applyFill="1" applyBorder="1" applyAlignment="1" applyProtection="1">
      <alignment horizontal="left" vertical="center" wrapText="1"/>
      <protection locked="0"/>
    </xf>
    <xf numFmtId="179" fontId="35" fillId="25" borderId="12" xfId="44" applyNumberFormat="1" applyFont="1" applyFill="1" applyBorder="1" applyAlignment="1" applyProtection="1">
      <alignment horizontal="center" vertical="center" wrapText="1"/>
      <protection locked="0"/>
    </xf>
    <xf numFmtId="179" fontId="35" fillId="25" borderId="87" xfId="44" applyNumberFormat="1" applyFont="1" applyFill="1" applyBorder="1" applyAlignment="1" applyProtection="1">
      <alignment horizontal="center" vertical="center" wrapText="1"/>
      <protection locked="0"/>
    </xf>
    <xf numFmtId="179" fontId="35" fillId="25" borderId="72" xfId="44" applyNumberFormat="1" applyFont="1" applyFill="1" applyBorder="1" applyAlignment="1" applyProtection="1">
      <alignment horizontal="center" vertical="center" wrapText="1"/>
      <protection locked="0"/>
    </xf>
    <xf numFmtId="0" fontId="35" fillId="0" borderId="75" xfId="44" applyFont="1" applyBorder="1" applyAlignment="1">
      <alignment horizontal="center" vertical="center"/>
    </xf>
    <xf numFmtId="0" fontId="35" fillId="0" borderId="96" xfId="44" applyFont="1" applyBorder="1" applyAlignment="1">
      <alignment horizontal="center" vertical="center"/>
    </xf>
    <xf numFmtId="0" fontId="35" fillId="0" borderId="152" xfId="44" applyFont="1" applyBorder="1" applyAlignment="1">
      <alignment horizontal="center" vertical="center"/>
    </xf>
    <xf numFmtId="0" fontId="35" fillId="0" borderId="141" xfId="44" applyFont="1" applyBorder="1" applyAlignment="1">
      <alignment horizontal="left" vertical="center"/>
    </xf>
    <xf numFmtId="0" fontId="35" fillId="0" borderId="142" xfId="44" applyFont="1" applyBorder="1" applyAlignment="1">
      <alignment horizontal="left" vertical="center"/>
    </xf>
    <xf numFmtId="0" fontId="35" fillId="0" borderId="0" xfId="44" applyFont="1" applyAlignment="1">
      <alignment horizontal="left" vertical="center"/>
    </xf>
    <xf numFmtId="0" fontId="35" fillId="0" borderId="33" xfId="44" applyFont="1" applyBorder="1" applyAlignment="1">
      <alignment horizontal="left" vertical="center"/>
    </xf>
    <xf numFmtId="0" fontId="35" fillId="0" borderId="90" xfId="44" applyFont="1" applyBorder="1" applyAlignment="1">
      <alignment horizontal="left" vertical="center"/>
    </xf>
    <xf numFmtId="0" fontId="35" fillId="0" borderId="102" xfId="44" applyFont="1" applyBorder="1" applyAlignment="1">
      <alignment horizontal="left" vertical="center"/>
    </xf>
    <xf numFmtId="0" fontId="35" fillId="0" borderId="159" xfId="44" applyFont="1" applyBorder="1" applyAlignment="1" applyProtection="1">
      <alignment horizontal="left" vertical="top" wrapText="1"/>
      <protection locked="0"/>
    </xf>
    <xf numFmtId="0" fontId="35" fillId="0" borderId="151" xfId="44" applyFont="1" applyBorder="1" applyAlignment="1" applyProtection="1">
      <alignment horizontal="left" vertical="top" wrapText="1"/>
      <protection locked="0"/>
    </xf>
    <xf numFmtId="0" fontId="35" fillId="0" borderId="153" xfId="44" applyFont="1" applyBorder="1" applyAlignment="1" applyProtection="1">
      <alignment horizontal="left" vertical="top" wrapText="1"/>
      <protection locked="0"/>
    </xf>
    <xf numFmtId="0" fontId="35" fillId="0" borderId="155" xfId="0" applyFont="1" applyBorder="1" applyAlignment="1">
      <alignment horizontal="center" vertical="center" wrapText="1"/>
    </xf>
    <xf numFmtId="0" fontId="35" fillId="0" borderId="156" xfId="0" applyFont="1" applyBorder="1" applyAlignment="1">
      <alignment horizontal="center" vertical="center" wrapText="1"/>
    </xf>
    <xf numFmtId="0" fontId="35" fillId="0" borderId="157" xfId="0" applyFont="1" applyBorder="1" applyAlignment="1">
      <alignment horizontal="center" vertical="center" wrapText="1"/>
    </xf>
    <xf numFmtId="0" fontId="35" fillId="0" borderId="13" xfId="44" applyFont="1" applyBorder="1" applyAlignment="1">
      <alignment horizontal="left" vertical="center" wrapText="1"/>
    </xf>
    <xf numFmtId="0" fontId="35" fillId="0" borderId="95" xfId="44" applyFont="1" applyBorder="1" applyAlignment="1">
      <alignment horizontal="left" vertical="center" wrapText="1"/>
    </xf>
    <xf numFmtId="0" fontId="35" fillId="0" borderId="65" xfId="44" applyFont="1" applyBorder="1" applyAlignment="1">
      <alignment horizontal="left" vertical="center" wrapText="1"/>
    </xf>
    <xf numFmtId="0" fontId="35" fillId="0" borderId="32" xfId="44" applyFont="1" applyBorder="1" applyAlignment="1">
      <alignment horizontal="left" vertical="center" wrapText="1"/>
    </xf>
    <xf numFmtId="0" fontId="35" fillId="0" borderId="0" xfId="44" applyFont="1" applyAlignment="1">
      <alignment horizontal="left" vertical="center" wrapText="1"/>
    </xf>
    <xf numFmtId="0" fontId="35" fillId="0" borderId="33" xfId="44" applyFont="1" applyBorder="1" applyAlignment="1">
      <alignment horizontal="left" vertical="center" wrapText="1"/>
    </xf>
    <xf numFmtId="0" fontId="35" fillId="0" borderId="86" xfId="44" applyFont="1" applyBorder="1" applyAlignment="1">
      <alignment horizontal="left" vertical="center" wrapText="1"/>
    </xf>
    <xf numFmtId="0" fontId="35" fillId="0" borderId="90" xfId="44" applyFont="1" applyBorder="1" applyAlignment="1">
      <alignment horizontal="left" vertical="center" wrapText="1"/>
    </xf>
    <xf numFmtId="0" fontId="35" fillId="0" borderId="102" xfId="44" applyFont="1" applyBorder="1" applyAlignment="1">
      <alignment horizontal="left" vertical="center" wrapText="1"/>
    </xf>
    <xf numFmtId="0" fontId="62" fillId="0" borderId="161" xfId="44" applyFont="1" applyBorder="1" applyAlignment="1">
      <alignment horizontal="left" vertical="center" wrapText="1"/>
    </xf>
    <xf numFmtId="0" fontId="62" fillId="0" borderId="142" xfId="44" applyFont="1" applyBorder="1" applyAlignment="1">
      <alignment horizontal="left" vertical="center" wrapText="1"/>
    </xf>
    <xf numFmtId="0" fontId="62" fillId="0" borderId="32" xfId="44" applyFont="1" applyBorder="1" applyAlignment="1">
      <alignment horizontal="left" vertical="center" wrapText="1"/>
    </xf>
    <xf numFmtId="0" fontId="62" fillId="0" borderId="33" xfId="44" applyFont="1" applyBorder="1" applyAlignment="1">
      <alignment horizontal="left" vertical="center" wrapText="1"/>
    </xf>
    <xf numFmtId="0" fontId="62" fillId="0" borderId="86" xfId="44" applyFont="1" applyBorder="1" applyAlignment="1">
      <alignment horizontal="left" vertical="center" wrapText="1"/>
    </xf>
    <xf numFmtId="0" fontId="62" fillId="0" borderId="102" xfId="44" applyFont="1" applyBorder="1" applyAlignment="1">
      <alignment horizontal="left" vertical="center" wrapText="1"/>
    </xf>
    <xf numFmtId="0" fontId="62" fillId="0" borderId="13" xfId="0" applyFont="1" applyBorder="1" applyAlignment="1">
      <alignment horizontal="left" vertical="center" wrapText="1"/>
    </xf>
    <xf numFmtId="0" fontId="62" fillId="0" borderId="65" xfId="0" applyFont="1" applyBorder="1" applyAlignment="1">
      <alignment horizontal="left" vertical="center" wrapText="1"/>
    </xf>
    <xf numFmtId="0" fontId="62" fillId="0" borderId="32" xfId="0" applyFont="1" applyBorder="1" applyAlignment="1">
      <alignment horizontal="left" vertical="center" wrapText="1"/>
    </xf>
    <xf numFmtId="0" fontId="62" fillId="0" borderId="33" xfId="0" applyFont="1" applyBorder="1" applyAlignment="1">
      <alignment horizontal="left" vertical="center" wrapText="1"/>
    </xf>
    <xf numFmtId="0" fontId="62" fillId="0" borderId="86" xfId="0" applyFont="1" applyBorder="1" applyAlignment="1">
      <alignment horizontal="left" vertical="center" wrapText="1"/>
    </xf>
    <xf numFmtId="0" fontId="62" fillId="0" borderId="102" xfId="0" applyFont="1" applyBorder="1" applyAlignment="1">
      <alignment horizontal="left" vertical="center" wrapText="1"/>
    </xf>
    <xf numFmtId="0" fontId="35" fillId="0" borderId="154" xfId="0" applyFont="1" applyBorder="1" applyAlignment="1">
      <alignment horizontal="center" vertical="center" wrapText="1"/>
    </xf>
    <xf numFmtId="0" fontId="35" fillId="0" borderId="96" xfId="0" applyFont="1" applyBorder="1" applyAlignment="1">
      <alignment horizontal="center" vertical="center" wrapText="1"/>
    </xf>
    <xf numFmtId="0" fontId="35" fillId="0" borderId="97" xfId="0" applyFont="1" applyBorder="1" applyAlignment="1">
      <alignment horizontal="center" vertical="center" wrapText="1"/>
    </xf>
    <xf numFmtId="0" fontId="35" fillId="0" borderId="140" xfId="44" applyFont="1" applyBorder="1" applyAlignment="1">
      <alignment horizontal="left" vertical="center" wrapText="1"/>
    </xf>
    <xf numFmtId="0" fontId="35" fillId="0" borderId="146" xfId="44" applyFont="1" applyBorder="1" applyAlignment="1">
      <alignment horizontal="left" vertical="center" wrapText="1"/>
    </xf>
    <xf numFmtId="0" fontId="35" fillId="0" borderId="162" xfId="44" applyFont="1" applyBorder="1" applyAlignment="1" applyProtection="1">
      <alignment horizontal="left" vertical="top" wrapText="1"/>
      <protection locked="0"/>
    </xf>
    <xf numFmtId="0" fontId="35" fillId="0" borderId="160" xfId="44" applyFont="1" applyBorder="1" applyAlignment="1" applyProtection="1">
      <alignment horizontal="left" vertical="top" wrapText="1"/>
      <protection locked="0"/>
    </xf>
    <xf numFmtId="0" fontId="35" fillId="0" borderId="152" xfId="0" applyFont="1" applyBorder="1" applyAlignment="1">
      <alignment horizontal="center" vertical="center" wrapText="1"/>
    </xf>
    <xf numFmtId="0" fontId="62" fillId="0" borderId="148" xfId="0" applyFont="1" applyBorder="1" applyAlignment="1">
      <alignment horizontal="left" vertical="center" wrapText="1"/>
    </xf>
    <xf numFmtId="0" fontId="62" fillId="0" borderId="146" xfId="0" applyFont="1" applyBorder="1" applyAlignment="1">
      <alignment horizontal="left" vertical="center" wrapText="1"/>
    </xf>
    <xf numFmtId="0" fontId="35" fillId="0" borderId="19" xfId="44" applyFont="1" applyBorder="1" applyAlignment="1">
      <alignment horizontal="center" vertical="center"/>
    </xf>
    <xf numFmtId="0" fontId="35" fillId="0" borderId="141" xfId="44" applyFont="1" applyBorder="1" applyAlignment="1">
      <alignment horizontal="center" vertical="center"/>
    </xf>
    <xf numFmtId="0" fontId="35" fillId="0" borderId="142" xfId="44" applyFont="1" applyBorder="1" applyAlignment="1">
      <alignment horizontal="center" vertical="center"/>
    </xf>
    <xf numFmtId="0" fontId="35" fillId="0" borderId="89" xfId="44" applyFont="1" applyBorder="1" applyAlignment="1">
      <alignment horizontal="center" vertical="center"/>
    </xf>
    <xf numFmtId="0" fontId="35" fillId="0" borderId="140" xfId="44" applyFont="1" applyBorder="1" applyAlignment="1">
      <alignment horizontal="center" vertical="center"/>
    </xf>
    <xf numFmtId="0" fontId="35" fillId="0" borderId="146" xfId="44" applyFont="1" applyBorder="1" applyAlignment="1">
      <alignment horizontal="center" vertical="center"/>
    </xf>
    <xf numFmtId="0" fontId="35" fillId="0" borderId="143" xfId="44" applyFont="1" applyBorder="1" applyAlignment="1">
      <alignment horizontal="center" vertical="center"/>
    </xf>
    <xf numFmtId="0" fontId="35" fillId="0" borderId="144" xfId="44" applyFont="1" applyBorder="1" applyAlignment="1">
      <alignment horizontal="center" vertical="center"/>
    </xf>
    <xf numFmtId="0" fontId="35" fillId="0" borderId="145" xfId="44" applyFont="1" applyBorder="1" applyAlignment="1">
      <alignment horizontal="center" vertical="center"/>
    </xf>
    <xf numFmtId="0" fontId="35" fillId="0" borderId="159" xfId="44" applyFont="1" applyBorder="1" applyAlignment="1">
      <alignment horizontal="center" vertical="center"/>
    </xf>
    <xf numFmtId="0" fontId="35" fillId="0" borderId="160" xfId="44" applyFont="1" applyBorder="1" applyAlignment="1">
      <alignment horizontal="center" vertical="center"/>
    </xf>
    <xf numFmtId="0" fontId="35" fillId="0" borderId="148" xfId="44" applyFont="1" applyBorder="1" applyAlignment="1">
      <alignment horizontal="center" vertical="center" wrapText="1" shrinkToFit="1"/>
    </xf>
    <xf numFmtId="0" fontId="35" fillId="0" borderId="146" xfId="44" applyFont="1" applyBorder="1" applyAlignment="1">
      <alignment horizontal="center" vertical="center" shrinkToFit="1"/>
    </xf>
    <xf numFmtId="0" fontId="35" fillId="0" borderId="148" xfId="44" applyFont="1" applyBorder="1" applyAlignment="1">
      <alignment horizontal="center" vertical="center"/>
    </xf>
    <xf numFmtId="0" fontId="35" fillId="0" borderId="154" xfId="44" applyFont="1" applyBorder="1" applyAlignment="1">
      <alignment horizontal="center" vertical="center"/>
    </xf>
    <xf numFmtId="0" fontId="35" fillId="0" borderId="97" xfId="44" applyFont="1" applyBorder="1" applyAlignment="1">
      <alignment horizontal="center" vertical="center"/>
    </xf>
    <xf numFmtId="0" fontId="35" fillId="0" borderId="13" xfId="0" applyFont="1" applyBorder="1" applyAlignment="1">
      <alignment horizontal="left" vertical="center" wrapText="1"/>
    </xf>
    <xf numFmtId="0" fontId="35" fillId="0" borderId="95" xfId="0" applyFont="1" applyBorder="1" applyAlignment="1">
      <alignment horizontal="left" vertical="center" wrapText="1"/>
    </xf>
    <xf numFmtId="0" fontId="35" fillId="0" borderId="65" xfId="0" applyFont="1" applyBorder="1" applyAlignment="1">
      <alignment horizontal="left" vertical="center" wrapText="1"/>
    </xf>
    <xf numFmtId="0" fontId="35" fillId="0" borderId="32" xfId="0" applyFont="1" applyBorder="1" applyAlignment="1">
      <alignment horizontal="left" vertical="center" wrapText="1"/>
    </xf>
    <xf numFmtId="0" fontId="35" fillId="0" borderId="0" xfId="0" applyFont="1" applyAlignment="1">
      <alignment horizontal="left" vertical="center" wrapText="1"/>
    </xf>
    <xf numFmtId="0" fontId="35" fillId="0" borderId="33" xfId="0" applyFont="1" applyBorder="1" applyAlignment="1">
      <alignment horizontal="left" vertical="center" wrapText="1"/>
    </xf>
    <xf numFmtId="0" fontId="35" fillId="0" borderId="148" xfId="0" applyFont="1" applyBorder="1" applyAlignment="1">
      <alignment horizontal="left" vertical="center" wrapText="1"/>
    </xf>
    <xf numFmtId="0" fontId="35" fillId="0" borderId="140" xfId="0" applyFont="1" applyBorder="1" applyAlignment="1">
      <alignment horizontal="left" vertical="center" wrapText="1"/>
    </xf>
    <xf numFmtId="0" fontId="35" fillId="0" borderId="146" xfId="0" applyFont="1" applyBorder="1" applyAlignment="1">
      <alignment horizontal="left" vertical="center" wrapText="1"/>
    </xf>
    <xf numFmtId="0" fontId="62" fillId="0" borderId="83" xfId="0" applyFont="1" applyBorder="1" applyAlignment="1">
      <alignment horizontal="left" vertical="center" wrapText="1"/>
    </xf>
    <xf numFmtId="0" fontId="62" fillId="0" borderId="147" xfId="0" applyFont="1" applyBorder="1" applyAlignment="1">
      <alignment horizontal="left" vertical="center" wrapText="1"/>
    </xf>
    <xf numFmtId="0" fontId="35" fillId="0" borderId="151" xfId="280" applyNumberFormat="1" applyFont="1" applyFill="1" applyBorder="1" applyAlignment="1" applyProtection="1">
      <alignment horizontal="left" vertical="top" wrapText="1"/>
      <protection locked="0"/>
    </xf>
    <xf numFmtId="0" fontId="35" fillId="0" borderId="160" xfId="280" applyNumberFormat="1" applyFont="1" applyFill="1" applyBorder="1" applyAlignment="1" applyProtection="1">
      <alignment horizontal="left" vertical="top" wrapText="1"/>
      <protection locked="0"/>
    </xf>
    <xf numFmtId="0" fontId="63" fillId="0" borderId="141" xfId="0" applyFont="1" applyBorder="1" applyAlignment="1">
      <alignment horizontal="left" vertical="center" wrapText="1"/>
    </xf>
    <xf numFmtId="0" fontId="63" fillId="0" borderId="0" xfId="0" applyFont="1" applyAlignment="1">
      <alignment horizontal="left" vertical="center" wrapText="1"/>
    </xf>
    <xf numFmtId="0" fontId="35" fillId="0" borderId="161" xfId="44" applyFont="1" applyBorder="1" applyAlignment="1">
      <alignment horizontal="left" vertical="center" wrapText="1"/>
    </xf>
    <xf numFmtId="0" fontId="35" fillId="0" borderId="141" xfId="44" applyFont="1" applyBorder="1" applyAlignment="1">
      <alignment horizontal="left" vertical="center" wrapText="1"/>
    </xf>
    <xf numFmtId="0" fontId="35" fillId="0" borderId="142" xfId="44" applyFont="1" applyBorder="1" applyAlignment="1">
      <alignment horizontal="left" vertical="center" wrapText="1"/>
    </xf>
    <xf numFmtId="0" fontId="62" fillId="0" borderId="81" xfId="0" applyFont="1" applyBorder="1" applyAlignment="1">
      <alignment horizontal="left" vertical="center" wrapText="1"/>
    </xf>
    <xf numFmtId="0" fontId="62" fillId="0" borderId="105" xfId="0" applyFont="1" applyBorder="1" applyAlignment="1">
      <alignment horizontal="left" vertical="center" wrapText="1"/>
    </xf>
    <xf numFmtId="0" fontId="35" fillId="0" borderId="153" xfId="280" applyNumberFormat="1" applyFont="1" applyFill="1" applyBorder="1" applyAlignment="1" applyProtection="1">
      <alignment horizontal="left" vertical="top" wrapText="1"/>
      <protection locked="0"/>
    </xf>
    <xf numFmtId="0" fontId="35" fillId="0" borderId="76" xfId="44" applyFont="1" applyBorder="1" applyAlignment="1">
      <alignment horizontal="center" vertical="center" wrapText="1" shrinkToFit="1"/>
    </xf>
    <xf numFmtId="0" fontId="35" fillId="0" borderId="147" xfId="44" applyFont="1" applyBorder="1" applyAlignment="1">
      <alignment horizontal="center" vertical="center" wrapText="1" shrinkToFit="1"/>
    </xf>
    <xf numFmtId="0" fontId="35" fillId="0" borderId="86" xfId="0" applyFont="1" applyBorder="1" applyAlignment="1">
      <alignment horizontal="left" vertical="center" wrapText="1"/>
    </xf>
    <xf numFmtId="0" fontId="35" fillId="0" borderId="90" xfId="0" applyFont="1" applyBorder="1" applyAlignment="1">
      <alignment horizontal="left" vertical="center" wrapText="1"/>
    </xf>
    <xf numFmtId="0" fontId="35" fillId="0" borderId="102" xfId="0" applyFont="1" applyBorder="1" applyAlignment="1">
      <alignment horizontal="left" vertical="center" wrapText="1"/>
    </xf>
    <xf numFmtId="0" fontId="35" fillId="0" borderId="155" xfId="44" applyFont="1" applyBorder="1" applyAlignment="1">
      <alignment horizontal="center" vertical="center"/>
    </xf>
    <xf numFmtId="0" fontId="35" fillId="0" borderId="156" xfId="44" applyFont="1" applyBorder="1" applyAlignment="1">
      <alignment horizontal="center" vertical="center"/>
    </xf>
    <xf numFmtId="0" fontId="35" fillId="0" borderId="158" xfId="280" applyNumberFormat="1" applyFont="1" applyFill="1" applyBorder="1" applyAlignment="1" applyProtection="1">
      <alignment horizontal="left" vertical="top" wrapText="1"/>
      <protection locked="0"/>
    </xf>
    <xf numFmtId="0" fontId="35" fillId="0" borderId="149" xfId="280" applyNumberFormat="1" applyFont="1" applyFill="1" applyBorder="1" applyAlignment="1" applyProtection="1">
      <alignment horizontal="left" vertical="top" wrapText="1"/>
      <protection locked="0"/>
    </xf>
    <xf numFmtId="0" fontId="35" fillId="0" borderId="0" xfId="0" applyFont="1" applyAlignment="1">
      <alignment horizontal="left" vertical="top"/>
    </xf>
    <xf numFmtId="0" fontId="35" fillId="0" borderId="82" xfId="44" applyFont="1" applyBorder="1" applyAlignment="1">
      <alignment horizontal="center" vertical="center"/>
    </xf>
    <xf numFmtId="0" fontId="35" fillId="0" borderId="149" xfId="44" applyFont="1" applyBorder="1" applyAlignment="1">
      <alignment horizontal="center" vertical="center"/>
    </xf>
    <xf numFmtId="0" fontId="35" fillId="0" borderId="37" xfId="44" applyFont="1" applyBorder="1" applyAlignment="1">
      <alignment horizontal="center" vertical="center"/>
    </xf>
    <xf numFmtId="0" fontId="35" fillId="0" borderId="44" xfId="44" applyFont="1" applyBorder="1" applyAlignment="1">
      <alignment horizontal="center" vertical="center"/>
    </xf>
    <xf numFmtId="0" fontId="35" fillId="0" borderId="161" xfId="44" applyFont="1" applyBorder="1" applyAlignment="1">
      <alignment horizontal="center" vertical="center" wrapText="1" shrinkToFit="1"/>
    </xf>
    <xf numFmtId="0" fontId="35" fillId="0" borderId="142" xfId="44" applyFont="1" applyBorder="1" applyAlignment="1">
      <alignment horizontal="center" vertical="center" wrapText="1" shrinkToFit="1"/>
    </xf>
    <xf numFmtId="0" fontId="35" fillId="0" borderId="146" xfId="44" applyFont="1" applyBorder="1" applyAlignment="1">
      <alignment horizontal="center" vertical="center" wrapText="1" shrinkToFit="1"/>
    </xf>
    <xf numFmtId="0" fontId="62" fillId="0" borderId="76" xfId="44" applyFont="1" applyBorder="1" applyAlignment="1">
      <alignment horizontal="left" vertical="center" wrapText="1"/>
    </xf>
    <xf numFmtId="0" fontId="62" fillId="0" borderId="83" xfId="44" applyFont="1" applyBorder="1" applyAlignment="1">
      <alignment horizontal="left" vertical="center" wrapText="1"/>
    </xf>
    <xf numFmtId="0" fontId="62" fillId="0" borderId="81" xfId="44" applyFont="1" applyBorder="1" applyAlignment="1">
      <alignment horizontal="left" vertical="center" wrapText="1"/>
    </xf>
    <xf numFmtId="0" fontId="62" fillId="0" borderId="150" xfId="44" applyFont="1" applyBorder="1" applyAlignment="1">
      <alignment horizontal="left" vertical="center" wrapText="1" shrinkToFit="1"/>
    </xf>
    <xf numFmtId="0" fontId="62" fillId="0" borderId="103" xfId="44" applyFont="1" applyBorder="1" applyAlignment="1">
      <alignment horizontal="left" vertical="center" wrapText="1" shrinkToFit="1"/>
    </xf>
    <xf numFmtId="0" fontId="62" fillId="0" borderId="104" xfId="44" applyFont="1" applyBorder="1" applyAlignment="1">
      <alignment horizontal="left" vertical="center" wrapText="1" shrinkToFit="1"/>
    </xf>
    <xf numFmtId="0" fontId="62" fillId="0" borderId="106" xfId="44" applyFont="1" applyBorder="1" applyAlignment="1">
      <alignment horizontal="left" vertical="center" wrapText="1" shrinkToFit="1"/>
    </xf>
    <xf numFmtId="0" fontId="35" fillId="24" borderId="0" xfId="0" applyFont="1" applyFill="1" applyAlignment="1">
      <alignment horizontal="left" vertical="top" wrapText="1"/>
    </xf>
    <xf numFmtId="0" fontId="75" fillId="0" borderId="0" xfId="0" applyFont="1" applyAlignment="1">
      <alignment horizontal="left" vertical="center" wrapText="1"/>
    </xf>
    <xf numFmtId="0" fontId="64" fillId="24" borderId="0" xfId="0" applyFont="1" applyFill="1" applyAlignment="1">
      <alignment horizontal="center" vertical="center" wrapText="1"/>
    </xf>
    <xf numFmtId="0" fontId="35" fillId="0" borderId="0" xfId="0" applyFont="1" applyAlignment="1">
      <alignment horizontal="left" vertical="top" wrapText="1"/>
    </xf>
    <xf numFmtId="0" fontId="35" fillId="0" borderId="0" xfId="0" applyFont="1" applyAlignment="1">
      <alignment horizontal="center" vertical="center" wrapText="1" shrinkToFit="1"/>
    </xf>
    <xf numFmtId="0" fontId="37" fillId="0" borderId="0" xfId="0" applyFont="1" applyAlignment="1">
      <alignment horizontal="center" vertical="center" shrinkToFit="1"/>
    </xf>
    <xf numFmtId="0" fontId="35" fillId="0" borderId="25" xfId="0" applyFont="1" applyBorder="1" applyAlignment="1">
      <alignment horizontal="center" vertical="center" wrapText="1" shrinkToFit="1"/>
    </xf>
    <xf numFmtId="0" fontId="35" fillId="0" borderId="54" xfId="0" applyFont="1" applyBorder="1" applyAlignment="1">
      <alignment vertical="center" shrinkToFit="1"/>
    </xf>
    <xf numFmtId="0" fontId="35" fillId="0" borderId="59" xfId="0" applyFont="1" applyBorder="1" applyAlignment="1">
      <alignment horizontal="center" vertical="center" wrapText="1" shrinkToFit="1"/>
    </xf>
    <xf numFmtId="0" fontId="37" fillId="0" borderId="54" xfId="0" applyFont="1" applyBorder="1" applyAlignment="1">
      <alignment horizontal="center" vertical="center" shrinkToFit="1"/>
    </xf>
    <xf numFmtId="0" fontId="35" fillId="0" borderId="25" xfId="0" applyFont="1" applyBorder="1" applyAlignment="1">
      <alignment horizontal="center" vertical="center" shrinkToFit="1"/>
    </xf>
    <xf numFmtId="0" fontId="35" fillId="0" borderId="59" xfId="0" applyFont="1" applyBorder="1" applyAlignment="1">
      <alignment horizontal="center" vertical="center" shrinkToFit="1"/>
    </xf>
    <xf numFmtId="0" fontId="35" fillId="0" borderId="54" xfId="0" applyFont="1" applyBorder="1" applyAlignment="1">
      <alignment horizontal="center" vertical="center" shrinkToFit="1"/>
    </xf>
    <xf numFmtId="0" fontId="35" fillId="24" borderId="28" xfId="0" applyFont="1" applyFill="1" applyBorder="1" applyAlignment="1">
      <alignment horizontal="center" vertical="center" shrinkToFit="1"/>
    </xf>
    <xf numFmtId="0" fontId="37" fillId="24" borderId="80" xfId="43" applyFont="1" applyFill="1" applyBorder="1" applyAlignment="1">
      <alignment horizontal="center" vertical="center"/>
    </xf>
    <xf numFmtId="0" fontId="37" fillId="24" borderId="16" xfId="43" applyFont="1" applyFill="1" applyBorder="1" applyAlignment="1">
      <alignment horizontal="center" vertical="center"/>
    </xf>
    <xf numFmtId="0" fontId="37" fillId="24" borderId="70" xfId="43" applyFont="1" applyFill="1" applyBorder="1" applyAlignment="1">
      <alignment horizontal="center" vertical="center"/>
    </xf>
    <xf numFmtId="0" fontId="64" fillId="0" borderId="19" xfId="0" applyFont="1" applyBorder="1" applyAlignment="1">
      <alignment horizontal="center" vertical="center" wrapText="1"/>
    </xf>
    <xf numFmtId="0" fontId="64" fillId="0" borderId="82" xfId="0" applyFont="1" applyBorder="1" applyAlignment="1">
      <alignment horizontal="center" vertical="center" wrapText="1"/>
    </xf>
    <xf numFmtId="0" fontId="64" fillId="0" borderId="94" xfId="0" applyFont="1" applyBorder="1" applyAlignment="1">
      <alignment horizontal="center" vertical="center" wrapText="1"/>
    </xf>
    <xf numFmtId="0" fontId="64" fillId="0" borderId="67" xfId="0" applyFont="1" applyBorder="1" applyAlignment="1">
      <alignment horizontal="center" vertical="center" wrapText="1"/>
    </xf>
    <xf numFmtId="0" fontId="37" fillId="24" borderId="15" xfId="43" applyFont="1" applyFill="1" applyBorder="1" applyAlignment="1">
      <alignment horizontal="center" vertical="center"/>
    </xf>
    <xf numFmtId="38" fontId="59" fillId="0" borderId="29" xfId="281" applyFont="1" applyFill="1" applyBorder="1" applyAlignment="1" applyProtection="1">
      <alignment horizontal="center" vertical="center" shrinkToFit="1"/>
    </xf>
    <xf numFmtId="38" fontId="59" fillId="0" borderId="61" xfId="281" applyFont="1" applyFill="1" applyBorder="1" applyAlignment="1" applyProtection="1">
      <alignment horizontal="center" vertical="center" shrinkToFit="1"/>
    </xf>
    <xf numFmtId="179" fontId="35" fillId="0" borderId="29" xfId="0" applyNumberFormat="1" applyFont="1" applyBorder="1" applyAlignment="1">
      <alignment horizontal="center" vertical="center" shrinkToFit="1"/>
    </xf>
    <xf numFmtId="179" fontId="35" fillId="0" borderId="61" xfId="0" applyNumberFormat="1" applyFont="1" applyBorder="1" applyAlignment="1">
      <alignment horizontal="center" vertical="center" shrinkToFit="1"/>
    </xf>
    <xf numFmtId="182" fontId="59" fillId="0" borderId="29" xfId="0" applyNumberFormat="1" applyFont="1" applyBorder="1" applyAlignment="1">
      <alignment horizontal="center" vertical="center" shrinkToFit="1"/>
    </xf>
    <xf numFmtId="182" fontId="59" fillId="0" borderId="60" xfId="0" applyNumberFormat="1" applyFont="1" applyBorder="1" applyAlignment="1">
      <alignment horizontal="center" vertical="center" shrinkToFit="1"/>
    </xf>
    <xf numFmtId="0" fontId="35" fillId="0" borderId="85" xfId="0" applyFont="1" applyBorder="1" applyAlignment="1">
      <alignment horizontal="center" vertical="center" wrapText="1" shrinkToFit="1"/>
    </xf>
    <xf numFmtId="0" fontId="35" fillId="0" borderId="83" xfId="0" applyFont="1" applyBorder="1" applyAlignment="1">
      <alignment horizontal="center" vertical="center" wrapText="1" shrinkToFit="1"/>
    </xf>
    <xf numFmtId="0" fontId="37" fillId="24" borderId="64" xfId="43" applyFont="1" applyFill="1" applyBorder="1" applyAlignment="1">
      <alignment horizontal="center" vertical="center"/>
    </xf>
    <xf numFmtId="0" fontId="35" fillId="25" borderId="28" xfId="0" applyFont="1" applyFill="1" applyBorder="1" applyAlignment="1" applyProtection="1">
      <alignment horizontal="center" vertical="center" wrapText="1"/>
      <protection locked="0"/>
    </xf>
    <xf numFmtId="0" fontId="35" fillId="25" borderId="28" xfId="0" applyFont="1" applyFill="1" applyBorder="1" applyAlignment="1" applyProtection="1">
      <alignment horizontal="left" vertical="center" wrapText="1"/>
      <protection locked="0"/>
    </xf>
    <xf numFmtId="0" fontId="35" fillId="25" borderId="25" xfId="0" applyFont="1" applyFill="1" applyBorder="1" applyAlignment="1" applyProtection="1">
      <alignment horizontal="left" vertical="center" wrapText="1"/>
      <protection locked="0"/>
    </xf>
    <xf numFmtId="0" fontId="35" fillId="25" borderId="59" xfId="0" applyFont="1" applyFill="1" applyBorder="1" applyAlignment="1" applyProtection="1">
      <alignment horizontal="left" vertical="center" wrapText="1"/>
      <protection locked="0"/>
    </xf>
    <xf numFmtId="0" fontId="35" fillId="25" borderId="54" xfId="0" applyFont="1" applyFill="1" applyBorder="1" applyAlignment="1" applyProtection="1">
      <alignment horizontal="left" vertical="center" wrapText="1"/>
      <protection locked="0"/>
    </xf>
    <xf numFmtId="178" fontId="35" fillId="0" borderId="25" xfId="0" applyNumberFormat="1" applyFont="1" applyBorder="1" applyAlignment="1">
      <alignment horizontal="center" vertical="center" wrapText="1"/>
    </xf>
    <xf numFmtId="178" fontId="35" fillId="0" borderId="54" xfId="0" applyNumberFormat="1" applyFont="1" applyBorder="1" applyAlignment="1">
      <alignment horizontal="center" vertical="center" wrapText="1"/>
    </xf>
    <xf numFmtId="0" fontId="35" fillId="27" borderId="85" xfId="0" applyFont="1" applyFill="1" applyBorder="1" applyAlignment="1" applyProtection="1">
      <alignment horizontal="left" vertical="center" wrapText="1"/>
      <protection locked="0"/>
    </xf>
    <xf numFmtId="0" fontId="35" fillId="27" borderId="83" xfId="0" applyFont="1" applyFill="1" applyBorder="1" applyAlignment="1" applyProtection="1">
      <alignment horizontal="left" vertical="center" wrapText="1"/>
      <protection locked="0"/>
    </xf>
    <xf numFmtId="0" fontId="35" fillId="27" borderId="84" xfId="0" applyFont="1" applyFill="1" applyBorder="1" applyAlignment="1" applyProtection="1">
      <alignment horizontal="left" vertical="center" wrapText="1"/>
      <protection locked="0"/>
    </xf>
    <xf numFmtId="0" fontId="60" fillId="27" borderId="83" xfId="0" applyFont="1" applyFill="1" applyBorder="1" applyAlignment="1" applyProtection="1">
      <alignment horizontal="left" vertical="center" wrapText="1"/>
      <protection locked="0"/>
    </xf>
    <xf numFmtId="0" fontId="60" fillId="27" borderId="84" xfId="0" applyFont="1" applyFill="1" applyBorder="1" applyAlignment="1" applyProtection="1">
      <alignment horizontal="left" vertical="center" wrapText="1"/>
      <protection locked="0"/>
    </xf>
    <xf numFmtId="183" fontId="59" fillId="0" borderId="61" xfId="0" applyNumberFormat="1" applyFont="1" applyBorder="1" applyAlignment="1">
      <alignment horizontal="right" vertical="center" shrinkToFit="1"/>
    </xf>
    <xf numFmtId="183" fontId="59" fillId="0" borderId="33" xfId="0" applyNumberFormat="1" applyFont="1" applyBorder="1" applyAlignment="1">
      <alignment horizontal="right" vertical="center" shrinkToFit="1"/>
    </xf>
    <xf numFmtId="183" fontId="59" fillId="0" borderId="50" xfId="0" applyNumberFormat="1" applyFont="1" applyBorder="1" applyAlignment="1">
      <alignment horizontal="right" vertical="center" shrinkToFit="1"/>
    </xf>
    <xf numFmtId="0" fontId="37" fillId="24" borderId="75" xfId="43" applyFont="1" applyFill="1" applyBorder="1" applyAlignment="1">
      <alignment horizontal="center" vertical="center" wrapText="1"/>
    </xf>
    <xf numFmtId="0" fontId="37" fillId="24" borderId="96" xfId="43" applyFont="1" applyFill="1" applyBorder="1" applyAlignment="1">
      <alignment horizontal="center" vertical="center" wrapText="1"/>
    </xf>
    <xf numFmtId="0" fontId="37" fillId="24" borderId="101" xfId="43" applyFont="1" applyFill="1" applyBorder="1" applyAlignment="1">
      <alignment horizontal="center" vertical="center" wrapText="1"/>
    </xf>
    <xf numFmtId="0" fontId="35" fillId="27" borderId="85" xfId="0" applyFont="1" applyFill="1" applyBorder="1" applyAlignment="1" applyProtection="1">
      <alignment vertical="center" wrapText="1"/>
      <protection locked="0"/>
    </xf>
    <xf numFmtId="0" fontId="60" fillId="27" borderId="83" xfId="0" applyFont="1" applyFill="1" applyBorder="1" applyAlignment="1" applyProtection="1">
      <alignment vertical="center" wrapText="1"/>
      <protection locked="0"/>
    </xf>
    <xf numFmtId="0" fontId="35" fillId="27" borderId="83" xfId="0" applyFont="1" applyFill="1" applyBorder="1" applyAlignment="1" applyProtection="1">
      <alignment vertical="center" wrapText="1"/>
      <protection locked="0"/>
    </xf>
    <xf numFmtId="0" fontId="35" fillId="27" borderId="84" xfId="0" applyFont="1" applyFill="1" applyBorder="1" applyAlignment="1" applyProtection="1">
      <alignment vertical="center" wrapText="1"/>
      <protection locked="0"/>
    </xf>
    <xf numFmtId="0" fontId="37" fillId="24" borderId="85" xfId="43" applyFont="1" applyFill="1" applyBorder="1" applyAlignment="1">
      <alignment vertical="center" wrapText="1"/>
    </xf>
    <xf numFmtId="0" fontId="37" fillId="24" borderId="84" xfId="43" applyFont="1" applyFill="1" applyBorder="1" applyAlignment="1">
      <alignment vertical="center" wrapText="1"/>
    </xf>
    <xf numFmtId="0" fontId="37" fillId="24" borderId="85" xfId="43" applyFont="1" applyFill="1" applyBorder="1">
      <alignment vertical="center"/>
    </xf>
    <xf numFmtId="0" fontId="37" fillId="24" borderId="83" xfId="43" applyFont="1" applyFill="1" applyBorder="1">
      <alignment vertical="center"/>
    </xf>
    <xf numFmtId="0" fontId="37" fillId="24" borderId="84" xfId="43" applyFont="1" applyFill="1" applyBorder="1">
      <alignment vertical="center"/>
    </xf>
    <xf numFmtId="0" fontId="60" fillId="27" borderId="84" xfId="0" applyFont="1" applyFill="1" applyBorder="1" applyAlignment="1" applyProtection="1">
      <alignment vertical="center" wrapText="1"/>
      <protection locked="0"/>
    </xf>
    <xf numFmtId="0" fontId="37" fillId="24" borderId="25" xfId="43" applyFont="1" applyFill="1" applyBorder="1">
      <alignment vertical="center"/>
    </xf>
    <xf numFmtId="0" fontId="37" fillId="24" borderId="54" xfId="43" applyFont="1" applyFill="1" applyBorder="1">
      <alignment vertical="center"/>
    </xf>
    <xf numFmtId="0" fontId="37" fillId="24" borderId="100" xfId="43" applyFont="1" applyFill="1" applyBorder="1" applyAlignment="1">
      <alignment horizontal="center" vertical="center" wrapText="1"/>
    </xf>
    <xf numFmtId="0" fontId="37" fillId="24" borderId="97" xfId="43" applyFont="1" applyFill="1" applyBorder="1" applyAlignment="1">
      <alignment horizontal="center" vertical="center" wrapText="1"/>
    </xf>
    <xf numFmtId="0" fontId="37" fillId="24" borderId="76" xfId="43" applyFont="1" applyFill="1" applyBorder="1" applyAlignment="1">
      <alignment vertical="center" wrapText="1"/>
    </xf>
    <xf numFmtId="0" fontId="35" fillId="0" borderId="29" xfId="44" applyFont="1" applyBorder="1" applyAlignment="1">
      <alignment horizontal="left" vertical="center" wrapText="1"/>
    </xf>
    <xf numFmtId="0" fontId="35" fillId="0" borderId="60" xfId="44" applyFont="1" applyBorder="1" applyAlignment="1">
      <alignment horizontal="left" vertical="center" wrapText="1"/>
    </xf>
    <xf numFmtId="0" fontId="35" fillId="0" borderId="61" xfId="44" applyFont="1" applyBorder="1" applyAlignment="1">
      <alignment horizontal="left" vertical="center" wrapText="1"/>
    </xf>
    <xf numFmtId="0" fontId="35" fillId="25" borderId="32" xfId="44" applyFont="1" applyFill="1" applyBorder="1" applyAlignment="1" applyProtection="1">
      <alignment vertical="top" wrapText="1"/>
      <protection locked="0"/>
    </xf>
    <xf numFmtId="0" fontId="35" fillId="25" borderId="0" xfId="44" applyFont="1" applyFill="1" applyAlignment="1" applyProtection="1">
      <alignment vertical="top" wrapText="1"/>
      <protection locked="0"/>
    </xf>
    <xf numFmtId="0" fontId="35" fillId="25" borderId="33" xfId="44" applyFont="1" applyFill="1" applyBorder="1" applyAlignment="1" applyProtection="1">
      <alignment vertical="top" wrapText="1"/>
      <protection locked="0"/>
    </xf>
    <xf numFmtId="0" fontId="35" fillId="25" borderId="21" xfId="44" applyFont="1" applyFill="1" applyBorder="1" applyAlignment="1" applyProtection="1">
      <alignment vertical="top" wrapText="1"/>
      <protection locked="0"/>
    </xf>
    <xf numFmtId="0" fontId="35" fillId="25" borderId="62" xfId="44" applyFont="1" applyFill="1" applyBorder="1" applyAlignment="1" applyProtection="1">
      <alignment vertical="top" wrapText="1"/>
      <protection locked="0"/>
    </xf>
    <xf numFmtId="0" fontId="35" fillId="25" borderId="50" xfId="44" applyFont="1" applyFill="1" applyBorder="1" applyAlignment="1" applyProtection="1">
      <alignment vertical="top" wrapText="1"/>
      <protection locked="0"/>
    </xf>
    <xf numFmtId="0" fontId="35" fillId="25" borderId="29" xfId="44" applyFont="1" applyFill="1" applyBorder="1" applyAlignment="1" applyProtection="1">
      <alignment vertical="top" wrapText="1"/>
      <protection locked="0"/>
    </xf>
    <xf numFmtId="0" fontId="35" fillId="25" borderId="60" xfId="44" applyFont="1" applyFill="1" applyBorder="1" applyAlignment="1" applyProtection="1">
      <alignment vertical="top" wrapText="1"/>
      <protection locked="0"/>
    </xf>
    <xf numFmtId="0" fontId="35" fillId="25" borderId="61" xfId="44" applyFont="1" applyFill="1" applyBorder="1" applyAlignment="1" applyProtection="1">
      <alignment vertical="top" wrapText="1"/>
      <protection locked="0"/>
    </xf>
    <xf numFmtId="0" fontId="35" fillId="0" borderId="32" xfId="0" applyFont="1" applyBorder="1" applyAlignment="1">
      <alignment horizontal="distributed" wrapText="1"/>
    </xf>
    <xf numFmtId="0" fontId="35" fillId="0" borderId="33" xfId="0" applyFont="1" applyBorder="1" applyAlignment="1">
      <alignment horizontal="distributed" wrapText="1"/>
    </xf>
    <xf numFmtId="0" fontId="77" fillId="25" borderId="0" xfId="44" applyFont="1" applyFill="1" applyAlignment="1" applyProtection="1">
      <alignment horizontal="left" vertical="top" wrapText="1"/>
      <protection locked="0"/>
    </xf>
    <xf numFmtId="0" fontId="77" fillId="25" borderId="0" xfId="44" applyFont="1" applyFill="1" applyAlignment="1" applyProtection="1">
      <alignment horizontal="left" vertical="top"/>
      <protection locked="0"/>
    </xf>
    <xf numFmtId="0" fontId="77" fillId="25" borderId="33" xfId="44" applyFont="1" applyFill="1" applyBorder="1" applyAlignment="1" applyProtection="1">
      <alignment horizontal="left" vertical="top"/>
      <protection locked="0"/>
    </xf>
    <xf numFmtId="0" fontId="77" fillId="25" borderId="62" xfId="44" applyFont="1" applyFill="1" applyBorder="1" applyAlignment="1" applyProtection="1">
      <alignment horizontal="left" vertical="top"/>
      <protection locked="0"/>
    </xf>
    <xf numFmtId="0" fontId="77" fillId="25" borderId="50" xfId="44" applyFont="1" applyFill="1" applyBorder="1" applyAlignment="1" applyProtection="1">
      <alignment horizontal="left" vertical="top"/>
      <protection locked="0"/>
    </xf>
    <xf numFmtId="187" fontId="35" fillId="0" borderId="32" xfId="0" applyNumberFormat="1" applyFont="1" applyBorder="1" applyAlignment="1">
      <alignment horizontal="center" wrapText="1"/>
    </xf>
    <xf numFmtId="187" fontId="35" fillId="0" borderId="33" xfId="0" applyNumberFormat="1" applyFont="1" applyBorder="1" applyAlignment="1">
      <alignment horizontal="center" wrapText="1"/>
    </xf>
    <xf numFmtId="187" fontId="35" fillId="0" borderId="21" xfId="0" applyNumberFormat="1" applyFont="1" applyBorder="1" applyAlignment="1">
      <alignment horizontal="center" vertical="top" shrinkToFit="1"/>
    </xf>
    <xf numFmtId="187" fontId="35" fillId="0" borderId="50" xfId="0" applyNumberFormat="1" applyFont="1" applyBorder="1" applyAlignment="1">
      <alignment horizontal="center" vertical="top" shrinkToFit="1"/>
    </xf>
    <xf numFmtId="0" fontId="63" fillId="24" borderId="0" xfId="0" applyFont="1" applyFill="1" applyAlignment="1">
      <alignment horizontal="left" vertical="center" wrapText="1"/>
    </xf>
    <xf numFmtId="0" fontId="74" fillId="0" borderId="0" xfId="0" quotePrefix="1" applyFont="1" applyAlignment="1">
      <alignment horizontal="left" vertical="top" wrapText="1"/>
    </xf>
    <xf numFmtId="0" fontId="78" fillId="0" borderId="0" xfId="0" applyFont="1" applyAlignment="1">
      <alignment horizontal="left" vertical="top" wrapText="1"/>
    </xf>
    <xf numFmtId="0" fontId="0" fillId="0" borderId="61" xfId="0" applyBorder="1" applyAlignment="1">
      <alignment horizontal="center" vertical="center"/>
    </xf>
    <xf numFmtId="0" fontId="0" fillId="0" borderId="60" xfId="0" applyBorder="1" applyAlignment="1">
      <alignment horizontal="center" vertical="center"/>
    </xf>
    <xf numFmtId="0" fontId="0" fillId="0" borderId="61" xfId="0" applyBorder="1" applyAlignment="1">
      <alignment horizontal="distributed"/>
    </xf>
    <xf numFmtId="38" fontId="35" fillId="0" borderId="60" xfId="281" applyFont="1" applyFill="1" applyBorder="1" applyAlignment="1" applyProtection="1">
      <alignment horizontal="center" vertical="center" shrinkToFit="1"/>
    </xf>
    <xf numFmtId="0" fontId="0" fillId="0" borderId="60" xfId="0" applyBorder="1" applyAlignment="1">
      <alignment horizontal="center" vertical="center" shrinkToFit="1"/>
    </xf>
    <xf numFmtId="38" fontId="35" fillId="0" borderId="62" xfId="281" applyFont="1" applyFill="1" applyBorder="1" applyAlignment="1" applyProtection="1">
      <alignment horizontal="center" vertical="center" shrinkToFit="1"/>
    </xf>
    <xf numFmtId="0" fontId="0" fillId="0" borderId="62" xfId="0" applyBorder="1" applyAlignment="1">
      <alignment horizontal="center" vertical="center" shrinkToFit="1"/>
    </xf>
    <xf numFmtId="0" fontId="35" fillId="0" borderId="61" xfId="44" applyFont="1" applyBorder="1" applyAlignment="1">
      <alignment horizontal="center" vertical="center" shrinkToFit="1"/>
    </xf>
    <xf numFmtId="0" fontId="0" fillId="0" borderId="50" xfId="0" applyBorder="1" applyAlignment="1">
      <alignment horizontal="center" vertical="center" shrinkToFit="1"/>
    </xf>
    <xf numFmtId="38" fontId="35" fillId="26" borderId="29" xfId="44" applyNumberFormat="1" applyFont="1" applyFill="1" applyBorder="1" applyAlignment="1" applyProtection="1">
      <alignment horizontal="center" vertical="center" shrinkToFit="1"/>
      <protection locked="0"/>
    </xf>
    <xf numFmtId="0" fontId="0" fillId="26" borderId="60" xfId="0" applyFill="1" applyBorder="1" applyProtection="1">
      <alignment vertical="center"/>
      <protection locked="0"/>
    </xf>
    <xf numFmtId="0" fontId="0" fillId="26" borderId="21" xfId="0" applyFill="1" applyBorder="1" applyProtection="1">
      <alignment vertical="center"/>
      <protection locked="0"/>
    </xf>
    <xf numFmtId="0" fontId="0" fillId="26" borderId="62" xfId="0" applyFill="1" applyBorder="1" applyProtection="1">
      <alignment vertical="center"/>
      <protection locked="0"/>
    </xf>
    <xf numFmtId="177" fontId="35" fillId="0" borderId="60" xfId="44" applyNumberFormat="1" applyFont="1" applyBorder="1" applyAlignment="1">
      <alignment horizontal="center" vertical="center" shrinkToFit="1"/>
    </xf>
    <xf numFmtId="177" fontId="35" fillId="0" borderId="62" xfId="44" applyNumberFormat="1" applyFont="1" applyBorder="1" applyAlignment="1">
      <alignment horizontal="center" vertical="center" shrinkToFit="1"/>
    </xf>
    <xf numFmtId="177" fontId="35" fillId="26" borderId="60" xfId="44" applyNumberFormat="1" applyFont="1" applyFill="1" applyBorder="1" applyAlignment="1" applyProtection="1">
      <alignment horizontal="center" vertical="center" shrinkToFit="1"/>
      <protection locked="0"/>
    </xf>
    <xf numFmtId="0" fontId="0" fillId="26" borderId="61" xfId="0" applyFill="1" applyBorder="1" applyAlignment="1" applyProtection="1">
      <alignment vertical="center" shrinkToFit="1"/>
      <protection locked="0"/>
    </xf>
    <xf numFmtId="177" fontId="35" fillId="26" borderId="62" xfId="44" applyNumberFormat="1" applyFont="1" applyFill="1" applyBorder="1" applyAlignment="1" applyProtection="1">
      <alignment horizontal="center" vertical="center" shrinkToFit="1"/>
      <protection locked="0"/>
    </xf>
    <xf numFmtId="0" fontId="0" fillId="26" borderId="50" xfId="0" applyFill="1" applyBorder="1" applyAlignment="1" applyProtection="1">
      <alignment vertical="center" shrinkToFit="1"/>
      <protection locked="0"/>
    </xf>
    <xf numFmtId="0" fontId="35" fillId="25" borderId="31" xfId="0" applyFont="1" applyFill="1" applyBorder="1" applyAlignment="1" applyProtection="1">
      <alignment horizontal="center" vertical="center" shrinkToFit="1"/>
      <protection locked="0"/>
    </xf>
    <xf numFmtId="0" fontId="35" fillId="25" borderId="59" xfId="0" applyFont="1" applyFill="1" applyBorder="1" applyAlignment="1" applyProtection="1">
      <alignment horizontal="center" vertical="center" shrinkToFit="1"/>
      <protection locked="0"/>
    </xf>
    <xf numFmtId="0" fontId="35" fillId="25" borderId="54" xfId="0" applyFont="1" applyFill="1" applyBorder="1" applyAlignment="1" applyProtection="1">
      <alignment horizontal="center" vertical="center" shrinkToFit="1"/>
      <protection locked="0"/>
    </xf>
    <xf numFmtId="0" fontId="35" fillId="0" borderId="25" xfId="0" applyFont="1" applyBorder="1" applyAlignment="1">
      <alignment horizontal="distributed" vertical="center" wrapText="1"/>
    </xf>
    <xf numFmtId="0" fontId="35" fillId="0" borderId="92" xfId="0" applyFont="1" applyBorder="1" applyAlignment="1">
      <alignment horizontal="distributed" vertical="center" wrapText="1"/>
    </xf>
    <xf numFmtId="0" fontId="35" fillId="25" borderId="31" xfId="0" applyFont="1" applyFill="1" applyBorder="1" applyAlignment="1" applyProtection="1">
      <alignment horizontal="left" vertical="center" wrapText="1"/>
      <protection locked="0"/>
    </xf>
    <xf numFmtId="0" fontId="35" fillId="0" borderId="60" xfId="0" applyFont="1" applyBorder="1" applyAlignment="1">
      <alignment horizontal="center" vertical="center"/>
    </xf>
    <xf numFmtId="0" fontId="35" fillId="0" borderId="92" xfId="0" applyFont="1" applyBorder="1" applyAlignment="1">
      <alignment horizontal="distributed" vertical="center"/>
    </xf>
    <xf numFmtId="38" fontId="35" fillId="25" borderId="31" xfId="281" applyFont="1" applyFill="1" applyBorder="1" applyAlignment="1" applyProtection="1">
      <alignment horizontal="center" vertical="center" wrapText="1"/>
      <protection locked="0"/>
    </xf>
    <xf numFmtId="38" fontId="35" fillId="25" borderId="59" xfId="281" applyFont="1" applyFill="1" applyBorder="1" applyAlignment="1" applyProtection="1">
      <alignment horizontal="center" vertical="center" wrapText="1"/>
      <protection locked="0"/>
    </xf>
    <xf numFmtId="38" fontId="35" fillId="0" borderId="31" xfId="281" applyFont="1" applyFill="1" applyBorder="1" applyAlignment="1" applyProtection="1">
      <alignment horizontal="center" vertical="center" wrapText="1"/>
    </xf>
    <xf numFmtId="38" fontId="35" fillId="0" borderId="59" xfId="281" applyFont="1" applyFill="1" applyBorder="1" applyAlignment="1" applyProtection="1">
      <alignment horizontal="center" vertical="center" wrapText="1"/>
    </xf>
    <xf numFmtId="0" fontId="74" fillId="0" borderId="0" xfId="0" applyFont="1" applyAlignment="1">
      <alignment horizontal="center" vertical="top"/>
    </xf>
    <xf numFmtId="0" fontId="64" fillId="0" borderId="35" xfId="0" applyFont="1" applyBorder="1" applyAlignment="1">
      <alignment horizontal="distributed" vertical="center" wrapText="1"/>
    </xf>
    <xf numFmtId="0" fontId="64" fillId="0" borderId="88" xfId="0" applyFont="1" applyBorder="1" applyAlignment="1">
      <alignment horizontal="distributed" vertical="center" wrapText="1"/>
    </xf>
    <xf numFmtId="0" fontId="64" fillId="0" borderId="26" xfId="0" applyFont="1" applyBorder="1" applyAlignment="1">
      <alignment horizontal="distributed" vertical="center" wrapText="1"/>
    </xf>
    <xf numFmtId="0" fontId="35" fillId="26" borderId="120" xfId="0" applyFont="1" applyFill="1" applyBorder="1" applyAlignment="1" applyProtection="1">
      <alignment horizontal="left" vertical="center" wrapText="1"/>
      <protection locked="0"/>
    </xf>
    <xf numFmtId="0" fontId="35" fillId="26" borderId="121" xfId="0" applyFont="1" applyFill="1" applyBorder="1" applyAlignment="1" applyProtection="1">
      <alignment horizontal="left" vertical="center" wrapText="1"/>
      <protection locked="0"/>
    </xf>
    <xf numFmtId="0" fontId="35" fillId="26" borderId="122" xfId="0" applyFont="1" applyFill="1" applyBorder="1" applyAlignment="1" applyProtection="1">
      <alignment horizontal="left" vertical="center" wrapText="1"/>
      <protection locked="0"/>
    </xf>
    <xf numFmtId="0" fontId="35" fillId="0" borderId="26" xfId="0" applyFont="1" applyBorder="1" applyAlignment="1">
      <alignment horizontal="distributed" vertical="center" wrapText="1"/>
    </xf>
    <xf numFmtId="0" fontId="35" fillId="25" borderId="35" xfId="0" applyFont="1" applyFill="1" applyBorder="1" applyAlignment="1" applyProtection="1">
      <alignment horizontal="left" vertical="center" wrapText="1"/>
      <protection locked="0"/>
    </xf>
    <xf numFmtId="0" fontId="35" fillId="25" borderId="88" xfId="0" applyFont="1" applyFill="1" applyBorder="1" applyAlignment="1" applyProtection="1">
      <alignment horizontal="left" vertical="center" wrapText="1"/>
      <protection locked="0"/>
    </xf>
    <xf numFmtId="0" fontId="35" fillId="25" borderId="26" xfId="0" applyFont="1" applyFill="1" applyBorder="1" applyAlignment="1" applyProtection="1">
      <alignment horizontal="left" vertical="center" wrapText="1"/>
      <protection locked="0"/>
    </xf>
    <xf numFmtId="40" fontId="35" fillId="26" borderId="29" xfId="44" applyNumberFormat="1" applyFont="1" applyFill="1" applyBorder="1" applyAlignment="1" applyProtection="1">
      <alignment horizontal="center" vertical="center" shrinkToFit="1"/>
      <protection locked="0"/>
    </xf>
    <xf numFmtId="40" fontId="0" fillId="26" borderId="60" xfId="0" applyNumberFormat="1" applyFill="1" applyBorder="1" applyProtection="1">
      <alignment vertical="center"/>
      <protection locked="0"/>
    </xf>
    <xf numFmtId="40" fontId="0" fillId="26" borderId="21" xfId="0" applyNumberFormat="1" applyFill="1" applyBorder="1" applyProtection="1">
      <alignment vertical="center"/>
      <protection locked="0"/>
    </xf>
    <xf numFmtId="40" fontId="0" fillId="26" borderId="62" xfId="0" applyNumberFormat="1" applyFill="1" applyBorder="1" applyProtection="1">
      <alignment vertical="center"/>
      <protection locked="0"/>
    </xf>
    <xf numFmtId="0" fontId="35" fillId="25" borderId="120" xfId="0" applyFont="1" applyFill="1" applyBorder="1" applyAlignment="1" applyProtection="1">
      <alignment horizontal="left" vertical="center" wrapText="1"/>
      <protection locked="0"/>
    </xf>
    <xf numFmtId="0" fontId="35" fillId="25" borderId="121" xfId="0" applyFont="1" applyFill="1" applyBorder="1" applyAlignment="1" applyProtection="1">
      <alignment horizontal="left" vertical="center" wrapText="1"/>
      <protection locked="0"/>
    </xf>
    <xf numFmtId="0" fontId="35" fillId="25" borderId="122" xfId="0" applyFont="1" applyFill="1" applyBorder="1" applyAlignment="1" applyProtection="1">
      <alignment horizontal="left" vertical="center" wrapText="1"/>
      <protection locked="0"/>
    </xf>
    <xf numFmtId="0" fontId="0" fillId="0" borderId="60" xfId="0" applyFill="1" applyBorder="1" applyAlignment="1">
      <alignment horizontal="center" vertical="center" shrinkToFit="1"/>
    </xf>
    <xf numFmtId="0" fontId="0" fillId="0" borderId="62" xfId="0" applyFill="1" applyBorder="1" applyAlignment="1">
      <alignment horizontal="center" vertical="center" shrinkToFit="1"/>
    </xf>
    <xf numFmtId="0" fontId="35" fillId="26" borderId="0" xfId="0" applyFont="1" applyFill="1" applyAlignment="1" applyProtection="1">
      <protection locked="0"/>
    </xf>
    <xf numFmtId="179" fontId="35" fillId="26" borderId="69" xfId="0" applyNumberFormat="1" applyFont="1" applyFill="1" applyBorder="1" applyAlignment="1" applyProtection="1">
      <alignment horizontal="center" vertical="center" shrinkToFit="1"/>
      <protection locked="0"/>
    </xf>
    <xf numFmtId="179" fontId="35" fillId="26" borderId="78" xfId="0" applyNumberFormat="1" applyFont="1" applyFill="1" applyBorder="1" applyAlignment="1" applyProtection="1">
      <alignment horizontal="center" vertical="center" shrinkToFit="1"/>
      <protection locked="0"/>
    </xf>
    <xf numFmtId="0" fontId="35" fillId="0" borderId="66" xfId="0" applyFont="1" applyBorder="1" applyAlignment="1">
      <alignment horizontal="distributed" vertical="center"/>
    </xf>
    <xf numFmtId="0" fontId="35" fillId="0" borderId="99" xfId="0" applyFont="1" applyBorder="1" applyAlignment="1">
      <alignment horizontal="distributed" vertical="center"/>
    </xf>
    <xf numFmtId="179" fontId="35" fillId="26" borderId="34" xfId="0" applyNumberFormat="1" applyFont="1" applyFill="1" applyBorder="1" applyAlignment="1" applyProtection="1">
      <alignment horizontal="center" vertical="center" shrinkToFit="1"/>
      <protection locked="0"/>
    </xf>
    <xf numFmtId="179" fontId="35" fillId="26" borderId="60" xfId="0" applyNumberFormat="1" applyFont="1" applyFill="1" applyBorder="1" applyAlignment="1" applyProtection="1">
      <alignment horizontal="center" vertical="center" shrinkToFit="1"/>
      <protection locked="0"/>
    </xf>
    <xf numFmtId="0" fontId="35" fillId="26" borderId="120" xfId="0" applyFont="1" applyFill="1" applyBorder="1" applyAlignment="1" applyProtection="1">
      <alignment horizontal="left" wrapText="1"/>
      <protection locked="0"/>
    </xf>
    <xf numFmtId="0" fontId="35" fillId="26" borderId="121" xfId="0" applyFont="1" applyFill="1" applyBorder="1" applyAlignment="1" applyProtection="1">
      <alignment horizontal="left" wrapText="1"/>
      <protection locked="0"/>
    </xf>
    <xf numFmtId="0" fontId="35" fillId="26" borderId="122" xfId="0" applyFont="1" applyFill="1" applyBorder="1" applyAlignment="1" applyProtection="1">
      <alignment horizontal="left" wrapText="1"/>
      <protection locked="0"/>
    </xf>
    <xf numFmtId="0" fontId="35" fillId="0" borderId="25" xfId="0" applyFont="1" applyBorder="1" applyAlignment="1" applyProtection="1">
      <alignment horizontal="center" vertical="center" wrapText="1"/>
      <protection locked="0"/>
    </xf>
    <xf numFmtId="0" fontId="35" fillId="0" borderId="54" xfId="0" applyFont="1" applyBorder="1" applyAlignment="1" applyProtection="1">
      <alignment horizontal="center" vertical="center" wrapText="1"/>
      <protection locked="0"/>
    </xf>
    <xf numFmtId="0" fontId="72" fillId="25" borderId="0" xfId="0" applyFont="1" applyFill="1" applyAlignment="1" applyProtection="1">
      <alignment horizontal="right" vertical="center"/>
      <protection locked="0"/>
    </xf>
    <xf numFmtId="0" fontId="66" fillId="0" borderId="0" xfId="0" applyFont="1" applyAlignment="1">
      <alignment vertical="center" wrapText="1"/>
    </xf>
    <xf numFmtId="0" fontId="35" fillId="26" borderId="21" xfId="0" applyFont="1" applyFill="1" applyBorder="1" applyAlignment="1" applyProtection="1">
      <alignment horizontal="left" vertical="top" wrapText="1"/>
      <protection locked="0"/>
    </xf>
    <xf numFmtId="0" fontId="35" fillId="26" borderId="62" xfId="0" applyFont="1" applyFill="1" applyBorder="1" applyAlignment="1" applyProtection="1">
      <alignment horizontal="left" vertical="top" wrapText="1"/>
      <protection locked="0"/>
    </xf>
    <xf numFmtId="0" fontId="35" fillId="26" borderId="50" xfId="0" applyFont="1" applyFill="1" applyBorder="1" applyAlignment="1" applyProtection="1">
      <alignment horizontal="left" vertical="top" wrapText="1"/>
      <protection locked="0"/>
    </xf>
    <xf numFmtId="0" fontId="35" fillId="0" borderId="59" xfId="0" applyFont="1" applyBorder="1" applyAlignment="1">
      <alignment horizontal="distributed" vertical="center" wrapText="1"/>
    </xf>
    <xf numFmtId="0" fontId="35" fillId="0" borderId="91" xfId="0" applyFont="1" applyBorder="1" applyAlignment="1">
      <alignment horizontal="distributed" vertical="center" wrapText="1"/>
    </xf>
    <xf numFmtId="0" fontId="35" fillId="0" borderId="93" xfId="0" applyFont="1" applyBorder="1" applyAlignment="1">
      <alignment horizontal="distributed" vertical="center" wrapText="1"/>
    </xf>
    <xf numFmtId="179" fontId="35" fillId="26" borderId="34" xfId="0" applyNumberFormat="1" applyFont="1" applyFill="1" applyBorder="1" applyAlignment="1" applyProtection="1">
      <alignment horizontal="right" vertical="center" shrinkToFit="1"/>
      <protection locked="0"/>
    </xf>
    <xf numFmtId="179" fontId="35" fillId="26" borderId="109" xfId="0" applyNumberFormat="1" applyFont="1" applyFill="1" applyBorder="1" applyAlignment="1" applyProtection="1">
      <alignment horizontal="right" vertical="center" shrinkToFit="1"/>
      <protection locked="0"/>
    </xf>
    <xf numFmtId="0" fontId="35" fillId="25" borderId="29" xfId="0" applyFont="1" applyFill="1" applyBorder="1" applyAlignment="1" applyProtection="1">
      <alignment horizontal="left" vertical="top" wrapText="1"/>
      <protection locked="0"/>
    </xf>
    <xf numFmtId="0" fontId="35" fillId="25" borderId="60" xfId="0" applyFont="1" applyFill="1" applyBorder="1" applyAlignment="1" applyProtection="1">
      <alignment horizontal="left" vertical="top" wrapText="1"/>
      <protection locked="0"/>
    </xf>
    <xf numFmtId="0" fontId="35" fillId="25" borderId="61" xfId="0" applyFont="1" applyFill="1" applyBorder="1" applyAlignment="1" applyProtection="1">
      <alignment horizontal="left" vertical="top" wrapText="1"/>
      <protection locked="0"/>
    </xf>
    <xf numFmtId="0" fontId="35" fillId="25" borderId="32" xfId="0" applyFont="1" applyFill="1" applyBorder="1" applyAlignment="1" applyProtection="1">
      <alignment horizontal="left" vertical="top" wrapText="1"/>
      <protection locked="0"/>
    </xf>
    <xf numFmtId="0" fontId="35" fillId="25" borderId="0" xfId="0" applyFont="1" applyFill="1" applyAlignment="1" applyProtection="1">
      <alignment horizontal="left" vertical="top" wrapText="1"/>
      <protection locked="0"/>
    </xf>
    <xf numFmtId="0" fontId="35" fillId="25" borderId="33" xfId="0" applyFont="1" applyFill="1" applyBorder="1" applyAlignment="1" applyProtection="1">
      <alignment horizontal="left" vertical="top" wrapText="1"/>
      <protection locked="0"/>
    </xf>
    <xf numFmtId="0" fontId="35" fillId="25" borderId="62" xfId="0" applyFont="1" applyFill="1" applyBorder="1" applyAlignment="1" applyProtection="1">
      <alignment horizontal="left" vertical="top" wrapText="1"/>
      <protection locked="0"/>
    </xf>
    <xf numFmtId="0" fontId="35" fillId="25" borderId="50" xfId="0" applyFont="1" applyFill="1" applyBorder="1" applyAlignment="1" applyProtection="1">
      <alignment horizontal="left" vertical="top" wrapText="1"/>
      <protection locked="0"/>
    </xf>
    <xf numFmtId="0" fontId="35" fillId="0" borderId="0" xfId="0" applyFont="1" applyAlignment="1">
      <alignment horizontal="distributed" vertical="center"/>
    </xf>
    <xf numFmtId="0" fontId="35" fillId="0" borderId="0" xfId="0" applyFont="1">
      <alignment vertical="center"/>
    </xf>
    <xf numFmtId="0" fontId="35" fillId="0" borderId="0" xfId="0" applyFont="1" applyAlignment="1">
      <alignment horizontal="center" vertical="center"/>
    </xf>
    <xf numFmtId="184" fontId="35" fillId="0" borderId="69" xfId="294" applyNumberFormat="1" applyFont="1" applyBorder="1" applyAlignment="1">
      <alignment horizontal="center" vertical="center" wrapText="1"/>
    </xf>
    <xf numFmtId="184" fontId="35" fillId="0" borderId="78" xfId="294" applyNumberFormat="1" applyFont="1" applyBorder="1" applyAlignment="1">
      <alignment horizontal="center" vertical="center" wrapText="1"/>
    </xf>
    <xf numFmtId="0" fontId="35" fillId="25" borderId="25" xfId="44" applyFont="1" applyFill="1" applyBorder="1" applyAlignment="1" applyProtection="1">
      <alignment horizontal="left" vertical="top" wrapText="1"/>
      <protection locked="0"/>
    </xf>
    <xf numFmtId="0" fontId="35" fillId="25" borderId="59" xfId="44" applyFont="1" applyFill="1" applyBorder="1" applyAlignment="1" applyProtection="1">
      <alignment horizontal="left" vertical="top" wrapText="1"/>
      <protection locked="0"/>
    </xf>
    <xf numFmtId="0" fontId="35" fillId="25" borderId="54" xfId="44" applyFont="1" applyFill="1" applyBorder="1" applyAlignment="1" applyProtection="1">
      <alignment horizontal="left" vertical="top" wrapText="1"/>
      <protection locked="0"/>
    </xf>
    <xf numFmtId="0" fontId="53" fillId="24" borderId="60" xfId="161" applyFill="1" applyBorder="1" applyAlignment="1">
      <alignment horizontal="left" vertical="center" wrapText="1"/>
    </xf>
    <xf numFmtId="0" fontId="35" fillId="24" borderId="0" xfId="44" applyFont="1" applyFill="1" applyAlignment="1">
      <alignment horizontal="right"/>
    </xf>
    <xf numFmtId="177" fontId="35" fillId="25" borderId="29" xfId="44" applyNumberFormat="1" applyFont="1" applyFill="1" applyBorder="1" applyAlignment="1" applyProtection="1">
      <alignment horizontal="center" vertical="center"/>
      <protection locked="0"/>
    </xf>
    <xf numFmtId="177" fontId="35" fillId="25" borderId="60" xfId="44" applyNumberFormat="1" applyFont="1" applyFill="1" applyBorder="1" applyAlignment="1" applyProtection="1">
      <alignment horizontal="center" vertical="center"/>
      <protection locked="0"/>
    </xf>
    <xf numFmtId="177" fontId="35" fillId="25" borderId="32" xfId="44" applyNumberFormat="1" applyFont="1" applyFill="1" applyBorder="1" applyAlignment="1" applyProtection="1">
      <alignment horizontal="center" vertical="center"/>
      <protection locked="0"/>
    </xf>
    <xf numFmtId="177" fontId="35" fillId="25" borderId="0" xfId="44" applyNumberFormat="1" applyFont="1" applyFill="1" applyBorder="1" applyAlignment="1" applyProtection="1">
      <alignment horizontal="center" vertical="center"/>
      <protection locked="0"/>
    </xf>
    <xf numFmtId="0" fontId="35" fillId="0" borderId="60" xfId="44" applyFont="1" applyBorder="1" applyAlignment="1">
      <alignment horizontal="center" vertical="center" shrinkToFit="1"/>
    </xf>
    <xf numFmtId="0" fontId="35" fillId="0" borderId="0" xfId="44" applyFont="1" applyAlignment="1">
      <alignment horizontal="center" vertical="center" shrinkToFit="1"/>
    </xf>
    <xf numFmtId="0" fontId="35" fillId="0" borderId="61" xfId="294" applyFont="1" applyBorder="1" applyAlignment="1">
      <alignment horizontal="center" vertical="center" shrinkToFit="1"/>
    </xf>
    <xf numFmtId="0" fontId="35" fillId="0" borderId="102" xfId="294" applyFont="1" applyBorder="1" applyAlignment="1">
      <alignment horizontal="center" vertical="center" shrinkToFit="1"/>
    </xf>
    <xf numFmtId="187" fontId="35" fillId="0" borderId="32" xfId="44" applyNumberFormat="1" applyFont="1" applyBorder="1" applyAlignment="1">
      <alignment horizontal="center" vertical="center"/>
    </xf>
    <xf numFmtId="187" fontId="35" fillId="0" borderId="33" xfId="44" applyNumberFormat="1" applyFont="1" applyBorder="1" applyAlignment="1">
      <alignment horizontal="center" vertical="center"/>
    </xf>
    <xf numFmtId="0" fontId="35" fillId="0" borderId="29" xfId="0" applyFont="1" applyBorder="1" applyAlignment="1">
      <alignment horizontal="distributed" wrapText="1"/>
    </xf>
    <xf numFmtId="0" fontId="35" fillId="0" borderId="60" xfId="0" applyFont="1" applyBorder="1" applyAlignment="1">
      <alignment horizontal="distributed" wrapText="1"/>
    </xf>
    <xf numFmtId="179" fontId="35" fillId="25" borderId="29" xfId="295" applyNumberFormat="1" applyFont="1" applyFill="1" applyBorder="1" applyAlignment="1" applyProtection="1">
      <alignment horizontal="center" vertical="center" wrapText="1"/>
      <protection locked="0"/>
    </xf>
    <xf numFmtId="179" fontId="35" fillId="25" borderId="60" xfId="295" applyNumberFormat="1" applyFont="1" applyFill="1" applyBorder="1" applyAlignment="1" applyProtection="1">
      <alignment horizontal="center" vertical="center" wrapText="1"/>
      <protection locked="0"/>
    </xf>
    <xf numFmtId="179" fontId="35" fillId="25" borderId="32" xfId="295" applyNumberFormat="1" applyFont="1" applyFill="1" applyBorder="1" applyAlignment="1" applyProtection="1">
      <alignment horizontal="center" vertical="center" wrapText="1"/>
      <protection locked="0"/>
    </xf>
    <xf numFmtId="179" fontId="35" fillId="25" borderId="0" xfId="295" applyNumberFormat="1" applyFont="1" applyFill="1" applyBorder="1" applyAlignment="1" applyProtection="1">
      <alignment horizontal="center" vertical="center" wrapText="1"/>
      <protection locked="0"/>
    </xf>
    <xf numFmtId="0" fontId="35" fillId="0" borderId="33" xfId="44" applyFont="1" applyBorder="1" applyAlignment="1">
      <alignment horizontal="center" vertical="center"/>
    </xf>
    <xf numFmtId="179" fontId="35" fillId="25" borderId="29" xfId="295" applyNumberFormat="1" applyFont="1" applyFill="1" applyBorder="1" applyAlignment="1" applyProtection="1">
      <alignment horizontal="center" vertical="center"/>
      <protection locked="0"/>
    </xf>
    <xf numFmtId="179" fontId="35" fillId="25" borderId="60" xfId="295" applyNumberFormat="1" applyFont="1" applyFill="1" applyBorder="1" applyAlignment="1" applyProtection="1">
      <alignment horizontal="center" vertical="center"/>
      <protection locked="0"/>
    </xf>
    <xf numFmtId="179" fontId="35" fillId="25" borderId="32" xfId="295" applyNumberFormat="1" applyFont="1" applyFill="1" applyBorder="1" applyAlignment="1" applyProtection="1">
      <alignment horizontal="center" vertical="center"/>
      <protection locked="0"/>
    </xf>
    <xf numFmtId="179" fontId="35" fillId="25" borderId="0" xfId="295" applyNumberFormat="1" applyFont="1" applyFill="1" applyBorder="1" applyAlignment="1" applyProtection="1">
      <alignment horizontal="center" vertical="center"/>
      <protection locked="0"/>
    </xf>
    <xf numFmtId="0" fontId="213" fillId="24" borderId="0" xfId="44" applyFont="1" applyFill="1" applyAlignment="1">
      <alignment horizontal="center" wrapText="1"/>
    </xf>
    <xf numFmtId="0" fontId="35" fillId="0" borderId="60" xfId="44" applyFont="1" applyBorder="1" applyAlignment="1">
      <alignment horizontal="distributed" wrapText="1"/>
    </xf>
    <xf numFmtId="179" fontId="35" fillId="0" borderId="29" xfId="295" applyNumberFormat="1" applyFont="1" applyFill="1" applyBorder="1" applyAlignment="1" applyProtection="1">
      <alignment horizontal="center" vertical="center" wrapText="1"/>
    </xf>
    <xf numFmtId="179" fontId="35" fillId="0" borderId="60" xfId="295" applyNumberFormat="1" applyFont="1" applyFill="1" applyBorder="1" applyAlignment="1" applyProtection="1">
      <alignment horizontal="center" vertical="center" wrapText="1"/>
    </xf>
    <xf numFmtId="179" fontId="35" fillId="0" borderId="21" xfId="295" applyNumberFormat="1" applyFont="1" applyFill="1" applyBorder="1" applyAlignment="1" applyProtection="1">
      <alignment horizontal="center" vertical="center" wrapText="1"/>
    </xf>
    <xf numFmtId="179" fontId="35" fillId="0" borderId="62" xfId="295" applyNumberFormat="1" applyFont="1" applyFill="1" applyBorder="1" applyAlignment="1" applyProtection="1">
      <alignment horizontal="center" vertical="center" wrapText="1"/>
    </xf>
    <xf numFmtId="179" fontId="35" fillId="0" borderId="29" xfId="295" applyNumberFormat="1" applyFont="1" applyFill="1" applyBorder="1" applyAlignment="1" applyProtection="1">
      <alignment horizontal="center" vertical="center"/>
    </xf>
    <xf numFmtId="179" fontId="35" fillId="0" borderId="60" xfId="295" applyNumberFormat="1" applyFont="1" applyFill="1" applyBorder="1" applyAlignment="1" applyProtection="1">
      <alignment horizontal="center" vertical="center"/>
    </xf>
    <xf numFmtId="179" fontId="35" fillId="0" borderId="21" xfId="295" applyNumberFormat="1" applyFont="1" applyFill="1" applyBorder="1" applyAlignment="1" applyProtection="1">
      <alignment horizontal="center" vertical="center"/>
    </xf>
    <xf numFmtId="179" fontId="35" fillId="0" borderId="62" xfId="295" applyNumberFormat="1" applyFont="1" applyFill="1" applyBorder="1" applyAlignment="1" applyProtection="1">
      <alignment horizontal="center" vertical="center"/>
    </xf>
    <xf numFmtId="177" fontId="35" fillId="26" borderId="29" xfId="44" applyNumberFormat="1" applyFont="1" applyFill="1" applyBorder="1" applyAlignment="1" applyProtection="1">
      <alignment horizontal="center" vertical="center" shrinkToFit="1"/>
      <protection locked="0"/>
    </xf>
    <xf numFmtId="177" fontId="35" fillId="26" borderId="21" xfId="44" applyNumberFormat="1" applyFont="1" applyFill="1" applyBorder="1" applyAlignment="1" applyProtection="1">
      <alignment horizontal="center" vertical="center" shrinkToFit="1"/>
      <protection locked="0"/>
    </xf>
    <xf numFmtId="0" fontId="35" fillId="0" borderId="62" xfId="44" applyFont="1" applyBorder="1" applyAlignment="1">
      <alignment horizontal="center" vertical="center" shrinkToFit="1"/>
    </xf>
    <xf numFmtId="0" fontId="77" fillId="26" borderId="61" xfId="294" applyFont="1" applyFill="1" applyBorder="1" applyAlignment="1" applyProtection="1">
      <alignment horizontal="center" vertical="center" shrinkToFit="1"/>
      <protection locked="0"/>
    </xf>
    <xf numFmtId="0" fontId="77" fillId="26" borderId="50" xfId="294" applyFont="1" applyFill="1" applyBorder="1" applyAlignment="1" applyProtection="1">
      <alignment horizontal="center" vertical="center" shrinkToFit="1"/>
      <protection locked="0"/>
    </xf>
    <xf numFmtId="0" fontId="35" fillId="24" borderId="0" xfId="44" applyFont="1" applyFill="1" applyAlignment="1" applyProtection="1">
      <alignment horizontal="center"/>
      <protection locked="0"/>
    </xf>
    <xf numFmtId="0" fontId="35" fillId="0" borderId="32" xfId="44" applyFont="1" applyBorder="1" applyAlignment="1">
      <alignment horizontal="center" vertical="center"/>
    </xf>
    <xf numFmtId="0" fontId="35" fillId="0" borderId="0" xfId="44" applyFont="1" applyAlignment="1">
      <alignment horizontal="center" vertical="center"/>
    </xf>
    <xf numFmtId="0" fontId="63" fillId="0" borderId="60" xfId="44" applyFont="1" applyBorder="1" applyAlignment="1">
      <alignment horizontal="left" vertical="center" wrapText="1"/>
    </xf>
    <xf numFmtId="0" fontId="84" fillId="24" borderId="0" xfId="44" applyFont="1" applyFill="1" applyAlignment="1">
      <alignment horizontal="center" wrapText="1"/>
    </xf>
    <xf numFmtId="0" fontId="62" fillId="24" borderId="0" xfId="44" applyFont="1" applyFill="1" applyAlignment="1">
      <alignment horizontal="center" wrapText="1"/>
    </xf>
    <xf numFmtId="202" fontId="35" fillId="0" borderId="29" xfId="295" applyNumberFormat="1" applyFont="1" applyFill="1" applyBorder="1" applyAlignment="1" applyProtection="1">
      <alignment horizontal="center" vertical="center" wrapText="1"/>
    </xf>
    <xf numFmtId="202" fontId="35" fillId="0" borderId="60" xfId="295" applyNumberFormat="1" applyFont="1" applyFill="1" applyBorder="1" applyAlignment="1" applyProtection="1">
      <alignment horizontal="center" vertical="center" wrapText="1"/>
    </xf>
    <xf numFmtId="202" fontId="35" fillId="0" borderId="21" xfId="295" applyNumberFormat="1" applyFont="1" applyFill="1" applyBorder="1" applyAlignment="1" applyProtection="1">
      <alignment horizontal="center" vertical="center" wrapText="1"/>
    </xf>
    <xf numFmtId="202" fontId="35" fillId="0" borderId="62" xfId="295" applyNumberFormat="1" applyFont="1" applyFill="1" applyBorder="1" applyAlignment="1" applyProtection="1">
      <alignment horizontal="center" vertical="center" wrapText="1"/>
    </xf>
    <xf numFmtId="177" fontId="35" fillId="0" borderId="29" xfId="44" applyNumberFormat="1" applyFont="1" applyBorder="1" applyAlignment="1">
      <alignment horizontal="center" vertical="center" shrinkToFit="1"/>
    </xf>
    <xf numFmtId="177" fontId="35" fillId="0" borderId="21" xfId="44" applyNumberFormat="1" applyFont="1" applyBorder="1" applyAlignment="1">
      <alignment horizontal="center" vertical="center" shrinkToFit="1"/>
    </xf>
    <xf numFmtId="0" fontId="35" fillId="0" borderId="50" xfId="294" applyFont="1" applyBorder="1" applyAlignment="1">
      <alignment horizontal="center" vertical="center" shrinkToFit="1"/>
    </xf>
    <xf numFmtId="0" fontId="35" fillId="0" borderId="59" xfId="294" applyFont="1" applyBorder="1" applyAlignment="1">
      <alignment horizontal="left" vertical="center"/>
    </xf>
    <xf numFmtId="0" fontId="35" fillId="0" borderId="54" xfId="294" applyFont="1" applyBorder="1" applyAlignment="1">
      <alignment horizontal="left" vertical="center"/>
    </xf>
    <xf numFmtId="0" fontId="35" fillId="26" borderId="25" xfId="294" applyFont="1" applyFill="1" applyBorder="1" applyAlignment="1" applyProtection="1">
      <alignment horizontal="left" vertical="center" wrapText="1"/>
      <protection locked="0"/>
    </xf>
    <xf numFmtId="0" fontId="35" fillId="26" borderId="59" xfId="294" applyFont="1" applyFill="1" applyBorder="1" applyAlignment="1" applyProtection="1">
      <alignment horizontal="left" vertical="center" wrapText="1"/>
      <protection locked="0"/>
    </xf>
    <xf numFmtId="0" fontId="35" fillId="26" borderId="54" xfId="294" applyFont="1" applyFill="1" applyBorder="1" applyAlignment="1" applyProtection="1">
      <alignment horizontal="left" vertical="center" wrapText="1"/>
      <protection locked="0"/>
    </xf>
    <xf numFmtId="0" fontId="35" fillId="0" borderId="21" xfId="44" applyFont="1" applyBorder="1" applyAlignment="1">
      <alignment horizontal="center" vertical="center"/>
    </xf>
    <xf numFmtId="0" fontId="35" fillId="26" borderId="29" xfId="294" applyFont="1" applyFill="1" applyBorder="1" applyAlignment="1">
      <alignment horizontal="center" vertical="center"/>
    </xf>
    <xf numFmtId="0" fontId="35" fillId="26" borderId="32" xfId="294" applyFont="1" applyFill="1" applyBorder="1" applyAlignment="1">
      <alignment horizontal="center" vertical="center"/>
    </xf>
    <xf numFmtId="0" fontId="35" fillId="26" borderId="21" xfId="294" applyFont="1" applyFill="1" applyBorder="1" applyAlignment="1">
      <alignment horizontal="center" vertical="center"/>
    </xf>
    <xf numFmtId="0" fontId="62" fillId="0" borderId="59" xfId="44" applyFont="1" applyBorder="1" applyAlignment="1">
      <alignment horizontal="center" vertical="center" wrapText="1"/>
    </xf>
    <xf numFmtId="0" fontId="35" fillId="26" borderId="11" xfId="44" applyFont="1" applyFill="1" applyBorder="1" applyAlignment="1" applyProtection="1">
      <alignment horizontal="left" vertical="center" wrapText="1"/>
      <protection locked="0"/>
    </xf>
    <xf numFmtId="0" fontId="35" fillId="26" borderId="66" xfId="44" applyFont="1" applyFill="1" applyBorder="1" applyAlignment="1" applyProtection="1">
      <alignment horizontal="left" vertical="center" wrapText="1"/>
      <protection locked="0"/>
    </xf>
    <xf numFmtId="0" fontId="35" fillId="26" borderId="77" xfId="44" applyFont="1" applyFill="1" applyBorder="1" applyAlignment="1" applyProtection="1">
      <alignment horizontal="left" vertical="center" wrapText="1"/>
      <protection locked="0"/>
    </xf>
    <xf numFmtId="0" fontId="35" fillId="26" borderId="87" xfId="44" applyFont="1" applyFill="1" applyBorder="1" applyAlignment="1" applyProtection="1">
      <alignment horizontal="center" vertical="center" wrapText="1"/>
      <protection locked="0"/>
    </xf>
    <xf numFmtId="0" fontId="35" fillId="26" borderId="12" xfId="44" applyFont="1" applyFill="1" applyBorder="1" applyAlignment="1" applyProtection="1">
      <alignment horizontal="left" vertical="center" wrapText="1"/>
      <protection locked="0"/>
    </xf>
    <xf numFmtId="0" fontId="35" fillId="26" borderId="87" xfId="44" applyFont="1" applyFill="1" applyBorder="1" applyAlignment="1" applyProtection="1">
      <alignment horizontal="left" vertical="center" wrapText="1"/>
      <protection locked="0"/>
    </xf>
    <xf numFmtId="0" fontId="35" fillId="26" borderId="72" xfId="44" applyFont="1" applyFill="1" applyBorder="1" applyAlignment="1" applyProtection="1">
      <alignment horizontal="left" vertical="center" wrapText="1"/>
      <protection locked="0"/>
    </xf>
    <xf numFmtId="0" fontId="35" fillId="26" borderId="14" xfId="44" applyFont="1" applyFill="1" applyBorder="1" applyAlignment="1" applyProtection="1">
      <alignment horizontal="left" vertical="center" wrapText="1"/>
      <protection locked="0"/>
    </xf>
    <xf numFmtId="0" fontId="35" fillId="26" borderId="78" xfId="44" applyFont="1" applyFill="1" applyBorder="1" applyAlignment="1" applyProtection="1">
      <alignment horizontal="left" vertical="center" wrapText="1"/>
      <protection locked="0"/>
    </xf>
    <xf numFmtId="0" fontId="35" fillId="26" borderId="68" xfId="44" applyFont="1" applyFill="1" applyBorder="1" applyAlignment="1" applyProtection="1">
      <alignment horizontal="left" vertical="center" wrapText="1"/>
      <protection locked="0"/>
    </xf>
    <xf numFmtId="0" fontId="35" fillId="26" borderId="78" xfId="44" applyFont="1" applyFill="1" applyBorder="1" applyAlignment="1" applyProtection="1">
      <alignment horizontal="center" vertical="center" wrapText="1"/>
      <protection locked="0"/>
    </xf>
    <xf numFmtId="0" fontId="77" fillId="25" borderId="109" xfId="0" applyFont="1" applyFill="1" applyBorder="1" applyAlignment="1" applyProtection="1">
      <alignment vertical="center" wrapText="1"/>
      <protection locked="0"/>
    </xf>
    <xf numFmtId="0" fontId="77" fillId="25" borderId="62" xfId="0" applyFont="1" applyFill="1" applyBorder="1" applyAlignment="1" applyProtection="1">
      <alignment vertical="center" wrapText="1"/>
      <protection locked="0"/>
    </xf>
    <xf numFmtId="0" fontId="77" fillId="25" borderId="50" xfId="0" applyFont="1" applyFill="1" applyBorder="1" applyAlignment="1" applyProtection="1">
      <alignment vertical="center" wrapText="1"/>
      <protection locked="0"/>
    </xf>
    <xf numFmtId="0" fontId="35" fillId="25" borderId="0" xfId="0" applyFont="1" applyFill="1" applyAlignment="1" applyProtection="1">
      <alignment vertical="center" wrapText="1"/>
      <protection locked="0"/>
    </xf>
    <xf numFmtId="0" fontId="35" fillId="25" borderId="12" xfId="0" applyFont="1" applyFill="1" applyBorder="1" applyAlignment="1" applyProtection="1">
      <alignment vertical="center" wrapText="1"/>
      <protection locked="0"/>
    </xf>
    <xf numFmtId="0" fontId="35" fillId="25" borderId="87" xfId="0" applyFont="1" applyFill="1" applyBorder="1" applyAlignment="1" applyProtection="1">
      <alignment vertical="center" wrapText="1"/>
      <protection locked="0"/>
    </xf>
    <xf numFmtId="0" fontId="35" fillId="25" borderId="62" xfId="0" applyFont="1" applyFill="1" applyBorder="1" applyAlignment="1" applyProtection="1">
      <alignment vertical="center" wrapText="1"/>
      <protection locked="0"/>
    </xf>
    <xf numFmtId="0" fontId="77" fillId="25" borderId="34" xfId="0" applyFont="1" applyFill="1" applyBorder="1" applyAlignment="1" applyProtection="1">
      <alignment vertical="center" wrapText="1"/>
      <protection locked="0"/>
    </xf>
    <xf numFmtId="0" fontId="77" fillId="25" borderId="60" xfId="0" applyFont="1" applyFill="1" applyBorder="1" applyAlignment="1" applyProtection="1">
      <alignment vertical="center" wrapText="1"/>
      <protection locked="0"/>
    </xf>
    <xf numFmtId="0" fontId="77" fillId="25" borderId="61" xfId="0" applyFont="1" applyFill="1" applyBorder="1" applyAlignment="1" applyProtection="1">
      <alignment vertical="center" wrapText="1"/>
      <protection locked="0"/>
    </xf>
    <xf numFmtId="0" fontId="35" fillId="0" borderId="61" xfId="0" applyFont="1" applyBorder="1" applyAlignment="1">
      <alignment horizontal="center" vertical="center" wrapText="1"/>
    </xf>
    <xf numFmtId="0" fontId="35" fillId="0" borderId="32" xfId="0" applyFont="1" applyBorder="1" applyAlignment="1">
      <alignment horizontal="center" vertical="center" wrapText="1"/>
    </xf>
    <xf numFmtId="0" fontId="35" fillId="0" borderId="33" xfId="0" applyFont="1" applyBorder="1" applyAlignment="1">
      <alignment horizontal="center" vertical="center" wrapText="1"/>
    </xf>
    <xf numFmtId="0" fontId="35" fillId="0" borderId="21" xfId="0" applyFont="1" applyBorder="1" applyAlignment="1">
      <alignment horizontal="center" vertical="center" wrapText="1"/>
    </xf>
    <xf numFmtId="0" fontId="35" fillId="0" borderId="50" xfId="0" applyFont="1" applyBorder="1" applyAlignment="1">
      <alignment horizontal="center" vertical="center" wrapText="1"/>
    </xf>
    <xf numFmtId="0" fontId="36" fillId="0" borderId="25" xfId="0" applyFont="1" applyBorder="1" applyAlignment="1">
      <alignment horizontal="center" vertical="center"/>
    </xf>
    <xf numFmtId="0" fontId="35" fillId="0" borderId="21" xfId="0" applyFont="1" applyBorder="1" applyAlignment="1" applyProtection="1">
      <alignment horizontal="center" vertical="center"/>
      <protection locked="0"/>
    </xf>
    <xf numFmtId="0" fontId="35" fillId="0" borderId="62" xfId="0" applyFont="1" applyBorder="1" applyAlignment="1" applyProtection="1">
      <alignment horizontal="center" vertical="center"/>
      <protection locked="0"/>
    </xf>
    <xf numFmtId="0" fontId="77" fillId="25" borderId="139" xfId="0" applyFont="1" applyFill="1" applyBorder="1" applyAlignment="1" applyProtection="1">
      <alignment vertical="center" wrapText="1"/>
      <protection locked="0"/>
    </xf>
    <xf numFmtId="0" fontId="77" fillId="25" borderId="87" xfId="0" applyFont="1" applyFill="1" applyBorder="1" applyAlignment="1" applyProtection="1">
      <alignment vertical="center" wrapText="1"/>
      <protection locked="0"/>
    </xf>
    <xf numFmtId="0" fontId="77" fillId="25" borderId="72" xfId="0" applyFont="1" applyFill="1" applyBorder="1" applyAlignment="1" applyProtection="1">
      <alignment vertical="center" wrapText="1"/>
      <protection locked="0"/>
    </xf>
    <xf numFmtId="0" fontId="36" fillId="0" borderId="25" xfId="0" applyFont="1" applyBorder="1" applyAlignment="1">
      <alignment horizontal="center" vertical="center" wrapText="1"/>
    </xf>
    <xf numFmtId="0" fontId="36" fillId="0" borderId="59" xfId="0" applyFont="1" applyBorder="1" applyAlignment="1">
      <alignment horizontal="center" vertical="center" wrapText="1"/>
    </xf>
    <xf numFmtId="0" fontId="35" fillId="0" borderId="29" xfId="0" applyFont="1" applyBorder="1" applyAlignment="1">
      <alignment horizontal="center" vertical="center" shrinkToFit="1"/>
    </xf>
    <xf numFmtId="0" fontId="35" fillId="0" borderId="60" xfId="0" applyFont="1" applyBorder="1" applyAlignment="1">
      <alignment horizontal="center" vertical="center" shrinkToFit="1"/>
    </xf>
    <xf numFmtId="0" fontId="35" fillId="0" borderId="62" xfId="0" applyFont="1" applyBorder="1" applyAlignment="1">
      <alignment horizontal="center" vertical="center" wrapText="1"/>
    </xf>
    <xf numFmtId="0" fontId="35" fillId="0" borderId="21" xfId="0" applyFont="1" applyBorder="1" applyAlignment="1">
      <alignment horizontal="center" vertical="center"/>
    </xf>
    <xf numFmtId="0" fontId="35" fillId="0" borderId="62" xfId="0" applyFont="1" applyBorder="1" applyAlignment="1">
      <alignment horizontal="center" vertical="center"/>
    </xf>
    <xf numFmtId="0" fontId="35" fillId="0" borderId="34" xfId="0" applyFont="1" applyBorder="1" applyAlignment="1">
      <alignment horizontal="center" vertical="center" wrapText="1"/>
    </xf>
    <xf numFmtId="0" fontId="35" fillId="0" borderId="91" xfId="0" applyFont="1" applyBorder="1" applyAlignment="1">
      <alignment horizontal="center" vertical="center" wrapText="1"/>
    </xf>
    <xf numFmtId="0" fontId="35" fillId="0" borderId="109" xfId="0" applyFont="1" applyBorder="1" applyAlignment="1">
      <alignment horizontal="center" vertical="center" wrapText="1"/>
    </xf>
    <xf numFmtId="0" fontId="35" fillId="0" borderId="93" xfId="0" applyFont="1" applyBorder="1" applyAlignment="1">
      <alignment horizontal="center" vertical="center" wrapText="1"/>
    </xf>
    <xf numFmtId="38" fontId="35" fillId="0" borderId="62" xfId="281" applyFont="1" applyFill="1" applyBorder="1" applyAlignment="1" applyProtection="1">
      <alignment horizontal="center" vertical="center"/>
    </xf>
    <xf numFmtId="38" fontId="35" fillId="0" borderId="50" xfId="281" applyFont="1" applyFill="1" applyBorder="1" applyAlignment="1" applyProtection="1">
      <alignment horizontal="center" vertical="center"/>
    </xf>
    <xf numFmtId="38" fontId="35" fillId="25" borderId="11" xfId="281" applyFont="1" applyFill="1" applyBorder="1" applyAlignment="1" applyProtection="1">
      <alignment horizontal="center" vertical="center"/>
      <protection locked="0"/>
    </xf>
    <xf numFmtId="38" fontId="35" fillId="25" borderId="66" xfId="281" applyFont="1" applyFill="1" applyBorder="1" applyAlignment="1" applyProtection="1">
      <alignment horizontal="center" vertical="center"/>
      <protection locked="0"/>
    </xf>
    <xf numFmtId="38" fontId="35" fillId="25" borderId="116" xfId="281" applyFont="1" applyFill="1" applyBorder="1" applyAlignment="1" applyProtection="1">
      <alignment horizontal="center" vertical="center"/>
      <protection locked="0"/>
    </xf>
    <xf numFmtId="38" fontId="35" fillId="25" borderId="99" xfId="281" applyFont="1" applyFill="1" applyBorder="1" applyAlignment="1" applyProtection="1">
      <alignment horizontal="center" vertical="center"/>
      <protection locked="0"/>
    </xf>
    <xf numFmtId="38" fontId="35" fillId="25" borderId="77" xfId="281" applyFont="1" applyFill="1" applyBorder="1" applyAlignment="1" applyProtection="1">
      <alignment horizontal="center" vertical="center"/>
      <protection locked="0"/>
    </xf>
    <xf numFmtId="38" fontId="35" fillId="0" borderId="66" xfId="281" applyFont="1" applyFill="1" applyBorder="1" applyAlignment="1" applyProtection="1">
      <alignment horizontal="center" vertical="center"/>
    </xf>
    <xf numFmtId="38" fontId="35" fillId="0" borderId="77" xfId="281" applyFont="1" applyFill="1" applyBorder="1" applyAlignment="1" applyProtection="1">
      <alignment horizontal="center" vertical="center"/>
    </xf>
    <xf numFmtId="38" fontId="35" fillId="26" borderId="21" xfId="281" applyFont="1" applyFill="1" applyBorder="1" applyAlignment="1" applyProtection="1">
      <alignment horizontal="center" vertical="center"/>
      <protection locked="0"/>
    </xf>
    <xf numFmtId="38" fontId="35" fillId="26" borderId="62" xfId="281" applyFont="1" applyFill="1" applyBorder="1" applyAlignment="1" applyProtection="1">
      <alignment horizontal="center" vertical="center"/>
      <protection locked="0"/>
    </xf>
    <xf numFmtId="38" fontId="35" fillId="26" borderId="109" xfId="281" applyFont="1" applyFill="1" applyBorder="1" applyAlignment="1" applyProtection="1">
      <alignment horizontal="center" vertical="center"/>
      <protection locked="0"/>
    </xf>
    <xf numFmtId="38" fontId="35" fillId="26" borderId="93" xfId="281" applyFont="1" applyFill="1" applyBorder="1" applyAlignment="1" applyProtection="1">
      <alignment horizontal="center" vertical="center"/>
      <protection locked="0"/>
    </xf>
    <xf numFmtId="38" fontId="35" fillId="26" borderId="50" xfId="281" applyFont="1" applyFill="1" applyBorder="1" applyAlignment="1" applyProtection="1">
      <alignment horizontal="center" vertical="center"/>
      <protection locked="0"/>
    </xf>
    <xf numFmtId="0" fontId="35" fillId="0" borderId="21" xfId="0" applyFont="1" applyBorder="1" applyAlignment="1">
      <alignment horizontal="left" vertical="center" wrapText="1"/>
    </xf>
    <xf numFmtId="0" fontId="35" fillId="0" borderId="50" xfId="0" applyFont="1" applyBorder="1" applyAlignment="1">
      <alignment horizontal="left" vertical="center" wrapText="1"/>
    </xf>
    <xf numFmtId="0" fontId="35" fillId="0" borderId="83" xfId="0" applyFont="1" applyBorder="1" applyAlignment="1">
      <alignment horizontal="center" vertical="center" wrapText="1"/>
    </xf>
    <xf numFmtId="0" fontId="35" fillId="0" borderId="84" xfId="0" applyFont="1" applyBorder="1" applyAlignment="1">
      <alignment horizontal="center" vertical="center" wrapText="1"/>
    </xf>
    <xf numFmtId="0" fontId="35" fillId="0" borderId="62" xfId="44" applyFont="1" applyBorder="1" applyAlignment="1">
      <alignment horizontal="left" vertical="center" wrapText="1"/>
    </xf>
    <xf numFmtId="0" fontId="35" fillId="0" borderId="83" xfId="44" applyFont="1" applyBorder="1" applyAlignment="1" applyProtection="1">
      <alignment horizontal="left" vertical="top" wrapText="1"/>
      <protection locked="0"/>
    </xf>
    <xf numFmtId="0" fontId="35" fillId="0" borderId="84" xfId="44" applyFont="1" applyBorder="1" applyAlignment="1" applyProtection="1">
      <alignment horizontal="left" vertical="top" wrapText="1"/>
      <protection locked="0"/>
    </xf>
    <xf numFmtId="0" fontId="35" fillId="0" borderId="105" xfId="0" applyFont="1" applyBorder="1" applyAlignment="1">
      <alignment horizontal="center" vertical="center" wrapText="1"/>
    </xf>
    <xf numFmtId="0" fontId="35" fillId="0" borderId="81" xfId="0" applyFont="1" applyBorder="1" applyAlignment="1">
      <alignment horizontal="center" vertical="center" wrapText="1"/>
    </xf>
    <xf numFmtId="0" fontId="35" fillId="0" borderId="105" xfId="44" applyFont="1" applyBorder="1" applyAlignment="1" applyProtection="1">
      <alignment horizontal="left" vertical="top" wrapText="1"/>
      <protection locked="0"/>
    </xf>
    <xf numFmtId="0" fontId="35" fillId="0" borderId="81" xfId="44" applyFont="1" applyBorder="1" applyAlignment="1" applyProtection="1">
      <alignment horizontal="left" vertical="top" wrapText="1"/>
      <protection locked="0"/>
    </xf>
    <xf numFmtId="9" fontId="35" fillId="0" borderId="83" xfId="280" applyFont="1" applyFill="1" applyBorder="1" applyAlignment="1" applyProtection="1">
      <alignment horizontal="left" vertical="top" wrapText="1"/>
      <protection locked="0"/>
    </xf>
    <xf numFmtId="9" fontId="35" fillId="0" borderId="84" xfId="280" applyFont="1" applyFill="1" applyBorder="1" applyAlignment="1" applyProtection="1">
      <alignment horizontal="left" vertical="top" wrapText="1"/>
      <protection locked="0"/>
    </xf>
    <xf numFmtId="0" fontId="62" fillId="0" borderId="25" xfId="44" applyFont="1" applyBorder="1" applyAlignment="1">
      <alignment horizontal="center" vertical="center"/>
    </xf>
    <xf numFmtId="0" fontId="62" fillId="0" borderId="59" xfId="44" applyFont="1" applyBorder="1" applyAlignment="1">
      <alignment horizontal="center" vertical="center"/>
    </xf>
    <xf numFmtId="0" fontId="62" fillId="0" borderId="54" xfId="44" applyFont="1" applyBorder="1" applyAlignment="1">
      <alignment horizontal="center" vertical="center"/>
    </xf>
    <xf numFmtId="0" fontId="62" fillId="0" borderId="85" xfId="44" applyFont="1" applyBorder="1" applyAlignment="1">
      <alignment horizontal="center" vertical="center"/>
    </xf>
    <xf numFmtId="0" fontId="62" fillId="0" borderId="84" xfId="44" applyFont="1" applyBorder="1" applyAlignment="1">
      <alignment horizontal="center" vertical="center"/>
    </xf>
    <xf numFmtId="0" fontId="62" fillId="0" borderId="62" xfId="44" applyFont="1" applyBorder="1" applyAlignment="1">
      <alignment horizontal="center" vertical="center" wrapText="1" shrinkToFit="1"/>
    </xf>
    <xf numFmtId="0" fontId="62" fillId="0" borderId="62" xfId="44" applyFont="1" applyBorder="1" applyAlignment="1">
      <alignment horizontal="center" vertical="center" shrinkToFit="1"/>
    </xf>
    <xf numFmtId="0" fontId="35" fillId="0" borderId="85" xfId="44" applyFont="1" applyBorder="1" applyAlignment="1">
      <alignment horizontal="center" vertical="center"/>
    </xf>
    <xf numFmtId="0" fontId="35" fillId="0" borderId="83" xfId="44" applyFont="1" applyBorder="1" applyAlignment="1">
      <alignment horizontal="center" vertical="center"/>
    </xf>
    <xf numFmtId="0" fontId="35" fillId="0" borderId="84" xfId="44" applyFont="1" applyBorder="1" applyAlignment="1">
      <alignment horizontal="center" vertical="center"/>
    </xf>
    <xf numFmtId="0" fontId="35" fillId="0" borderId="62" xfId="0" applyFont="1" applyBorder="1" applyAlignment="1">
      <alignment horizontal="left" vertical="center" wrapText="1"/>
    </xf>
    <xf numFmtId="0" fontId="35" fillId="0" borderId="83" xfId="0" applyFont="1" applyBorder="1" applyAlignment="1">
      <alignment horizontal="left" vertical="center" wrapText="1"/>
    </xf>
    <xf numFmtId="0" fontId="35" fillId="0" borderId="84" xfId="0" applyFont="1" applyBorder="1" applyAlignment="1">
      <alignment horizontal="left" vertical="center" wrapText="1"/>
    </xf>
    <xf numFmtId="0" fontId="62" fillId="0" borderId="84" xfId="0" applyFont="1" applyBorder="1" applyAlignment="1">
      <alignment horizontal="left" vertical="center" wrapText="1"/>
    </xf>
    <xf numFmtId="0" fontId="35" fillId="0" borderId="29" xfId="44" applyFont="1" applyBorder="1" applyAlignment="1">
      <alignment horizontal="center" vertical="center" wrapText="1" shrinkToFit="1"/>
    </xf>
    <xf numFmtId="0" fontId="35" fillId="0" borderId="61" xfId="44" applyFont="1" applyBorder="1" applyAlignment="1">
      <alignment horizontal="center" vertical="center" wrapText="1" shrinkToFit="1"/>
    </xf>
    <xf numFmtId="0" fontId="35" fillId="0" borderId="21" xfId="44" applyFont="1" applyBorder="1" applyAlignment="1">
      <alignment horizontal="center" vertical="center" wrapText="1" shrinkToFit="1"/>
    </xf>
    <xf numFmtId="0" fontId="35" fillId="0" borderId="50" xfId="44" applyFont="1" applyBorder="1" applyAlignment="1">
      <alignment horizontal="center" vertical="center" wrapText="1" shrinkToFit="1"/>
    </xf>
    <xf numFmtId="0" fontId="35" fillId="0" borderId="85" xfId="0" applyFont="1" applyBorder="1" applyAlignment="1">
      <alignment horizontal="center" vertical="center" wrapText="1"/>
    </xf>
    <xf numFmtId="0" fontId="35" fillId="0" borderId="105" xfId="0" applyFont="1" applyBorder="1" applyAlignment="1">
      <alignment horizontal="left" vertical="center" wrapText="1"/>
    </xf>
    <xf numFmtId="0" fontId="35" fillId="0" borderId="81" xfId="0" applyFont="1" applyBorder="1" applyAlignment="1">
      <alignment horizontal="left" vertical="center" wrapText="1"/>
    </xf>
    <xf numFmtId="9" fontId="35" fillId="0" borderId="105" xfId="280" applyFont="1" applyFill="1" applyBorder="1" applyAlignment="1" applyProtection="1">
      <alignment horizontal="left" vertical="top" wrapText="1"/>
      <protection locked="0"/>
    </xf>
    <xf numFmtId="9" fontId="35" fillId="0" borderId="81" xfId="280" applyFont="1" applyFill="1" applyBorder="1" applyAlignment="1" applyProtection="1">
      <alignment horizontal="left" vertical="top" wrapText="1"/>
      <protection locked="0"/>
    </xf>
    <xf numFmtId="0" fontId="35" fillId="0" borderId="83" xfId="44" applyFont="1" applyBorder="1" applyAlignment="1">
      <alignment horizontal="left" vertical="center" wrapText="1"/>
    </xf>
    <xf numFmtId="0" fontId="35" fillId="0" borderId="85" xfId="44" applyFont="1" applyBorder="1" applyAlignment="1">
      <alignment horizontal="center" vertical="center" wrapText="1" shrinkToFit="1"/>
    </xf>
    <xf numFmtId="0" fontId="35" fillId="0" borderId="84" xfId="44" applyFont="1" applyBorder="1" applyAlignment="1">
      <alignment horizontal="center" vertical="center" wrapText="1" shrinkToFit="1"/>
    </xf>
    <xf numFmtId="0" fontId="62" fillId="0" borderId="85" xfId="44" applyFont="1" applyBorder="1" applyAlignment="1">
      <alignment horizontal="center" vertical="center" wrapText="1" shrinkToFit="1"/>
    </xf>
    <xf numFmtId="0" fontId="62" fillId="0" borderId="84" xfId="44" applyFont="1" applyBorder="1" applyAlignment="1">
      <alignment horizontal="center" vertical="center" wrapText="1" shrinkToFit="1"/>
    </xf>
    <xf numFmtId="0" fontId="62" fillId="0" borderId="25" xfId="44" applyFont="1" applyBorder="1" applyAlignment="1">
      <alignment horizontal="center" vertical="center" wrapText="1" shrinkToFit="1"/>
    </xf>
    <xf numFmtId="0" fontId="62" fillId="0" borderId="54" xfId="44" applyFont="1" applyBorder="1" applyAlignment="1">
      <alignment horizontal="center" vertical="center" shrinkToFit="1"/>
    </xf>
    <xf numFmtId="0" fontId="35" fillId="0" borderId="105" xfId="44" applyFont="1" applyBorder="1" applyAlignment="1">
      <alignment horizontal="center" vertical="center"/>
    </xf>
    <xf numFmtId="0" fontId="35" fillId="0" borderId="81" xfId="44" applyFont="1" applyBorder="1" applyAlignment="1">
      <alignment horizontal="center" vertical="center"/>
    </xf>
    <xf numFmtId="0" fontId="35" fillId="24" borderId="0" xfId="0" applyFont="1" applyFill="1" applyAlignment="1">
      <alignment horizontal="left" vertical="top"/>
    </xf>
    <xf numFmtId="0" fontId="62" fillId="0" borderId="28" xfId="44" applyFont="1" applyBorder="1" applyAlignment="1">
      <alignment horizontal="center" vertical="center"/>
    </xf>
    <xf numFmtId="0" fontId="62" fillId="0" borderId="124" xfId="44" applyFont="1" applyBorder="1" applyAlignment="1">
      <alignment horizontal="left" vertical="center" wrapText="1" shrinkToFit="1"/>
    </xf>
    <xf numFmtId="0" fontId="62" fillId="0" borderId="125" xfId="44" applyFont="1" applyBorder="1" applyAlignment="1">
      <alignment horizontal="left" vertical="center" wrapText="1" shrinkToFit="1"/>
    </xf>
    <xf numFmtId="0" fontId="35" fillId="0" borderId="85" xfId="44" applyFont="1" applyBorder="1" applyAlignment="1" applyProtection="1">
      <alignment horizontal="left" vertical="top" wrapText="1"/>
      <protection locked="0"/>
    </xf>
    <xf numFmtId="0" fontId="62" fillId="0" borderId="84" xfId="44" applyFont="1" applyBorder="1" applyAlignment="1">
      <alignment horizontal="center" vertical="center" shrinkToFit="1"/>
    </xf>
    <xf numFmtId="0" fontId="35" fillId="0" borderId="85" xfId="44" applyFont="1" applyBorder="1" applyAlignment="1">
      <alignment horizontal="left" vertical="center"/>
    </xf>
    <xf numFmtId="0" fontId="35" fillId="0" borderId="83" xfId="44" applyFont="1" applyBorder="1" applyAlignment="1">
      <alignment horizontal="left" vertical="center"/>
    </xf>
    <xf numFmtId="0" fontId="35" fillId="0" borderId="81" xfId="44" applyFont="1" applyBorder="1" applyAlignment="1">
      <alignment horizontal="left" vertical="center"/>
    </xf>
    <xf numFmtId="0" fontId="35" fillId="0" borderId="85" xfId="44" applyFont="1" applyBorder="1" applyAlignment="1">
      <alignment horizontal="left" vertical="center" wrapText="1"/>
    </xf>
    <xf numFmtId="0" fontId="35" fillId="0" borderId="81" xfId="44" applyFont="1" applyBorder="1" applyAlignment="1">
      <alignment horizontal="left" vertical="center" wrapText="1"/>
    </xf>
    <xf numFmtId="0" fontId="62" fillId="0" borderId="123" xfId="44" applyFont="1" applyBorder="1" applyAlignment="1">
      <alignment horizontal="left" vertical="center" wrapText="1" shrinkToFit="1"/>
    </xf>
    <xf numFmtId="179" fontId="35" fillId="25" borderId="29" xfId="44" applyNumberFormat="1" applyFont="1" applyFill="1" applyBorder="1" applyAlignment="1" applyProtection="1">
      <alignment horizontal="center" vertical="center" shrinkToFit="1"/>
      <protection locked="0"/>
    </xf>
    <xf numFmtId="179" fontId="35" fillId="25" borderId="60" xfId="44" applyNumberFormat="1" applyFont="1" applyFill="1" applyBorder="1" applyAlignment="1" applyProtection="1">
      <alignment horizontal="center" vertical="center" shrinkToFit="1"/>
      <protection locked="0"/>
    </xf>
    <xf numFmtId="179" fontId="35" fillId="25" borderId="32" xfId="44" applyNumberFormat="1" applyFont="1" applyFill="1" applyBorder="1" applyAlignment="1" applyProtection="1">
      <alignment horizontal="center" vertical="center" shrinkToFit="1"/>
      <protection locked="0"/>
    </xf>
    <xf numFmtId="179" fontId="35" fillId="25" borderId="0" xfId="44" applyNumberFormat="1" applyFont="1" applyFill="1" applyAlignment="1" applyProtection="1">
      <alignment horizontal="center" vertical="center" shrinkToFit="1"/>
      <protection locked="0"/>
    </xf>
    <xf numFmtId="0" fontId="35" fillId="0" borderId="33" xfId="44" applyFont="1" applyBorder="1" applyAlignment="1">
      <alignment horizontal="center" vertical="center" shrinkToFit="1"/>
    </xf>
    <xf numFmtId="182" fontId="35" fillId="25" borderId="29" xfId="44" applyNumberFormat="1" applyFont="1" applyFill="1" applyBorder="1" applyAlignment="1" applyProtection="1">
      <alignment horizontal="center" vertical="center"/>
      <protection locked="0"/>
    </xf>
    <xf numFmtId="182" fontId="35" fillId="25" borderId="60" xfId="44" applyNumberFormat="1" applyFont="1" applyFill="1" applyBorder="1" applyAlignment="1" applyProtection="1">
      <alignment horizontal="center" vertical="center"/>
      <protection locked="0"/>
    </xf>
    <xf numFmtId="182" fontId="35" fillId="25" borderId="32" xfId="44" applyNumberFormat="1" applyFont="1" applyFill="1" applyBorder="1" applyAlignment="1" applyProtection="1">
      <alignment horizontal="center" vertical="center"/>
      <protection locked="0"/>
    </xf>
    <xf numFmtId="182" fontId="35" fillId="25" borderId="0" xfId="44" applyNumberFormat="1" applyFont="1" applyFill="1" applyAlignment="1" applyProtection="1">
      <alignment horizontal="center" vertical="center"/>
      <protection locked="0"/>
    </xf>
    <xf numFmtId="0" fontId="35" fillId="0" borderId="61" xfId="44" applyFont="1" applyBorder="1" applyAlignment="1">
      <alignment horizontal="left" vertical="center" shrinkToFit="1"/>
    </xf>
    <xf numFmtId="0" fontId="35" fillId="0" borderId="33" xfId="44" applyFont="1" applyBorder="1" applyAlignment="1">
      <alignment horizontal="left" vertical="center" shrinkToFit="1"/>
    </xf>
    <xf numFmtId="0" fontId="35" fillId="24" borderId="0" xfId="44" applyFont="1" applyFill="1" applyAlignment="1">
      <alignment horizontal="center" vertical="center" shrinkToFit="1"/>
    </xf>
    <xf numFmtId="0" fontId="35" fillId="0" borderId="0" xfId="44" applyFont="1" applyAlignment="1">
      <alignment horizontal="right" shrinkToFit="1"/>
    </xf>
    <xf numFmtId="0" fontId="35" fillId="24" borderId="0" xfId="44" applyFont="1" applyFill="1" applyAlignment="1">
      <alignment horizontal="center" vertical="center"/>
    </xf>
    <xf numFmtId="0" fontId="35" fillId="24" borderId="0" xfId="44" applyFont="1" applyFill="1" applyAlignment="1">
      <alignment horizontal="distributed" wrapText="1"/>
    </xf>
    <xf numFmtId="0" fontId="36" fillId="24" borderId="0" xfId="0" applyFont="1" applyFill="1" applyAlignment="1">
      <alignment horizontal="distributed"/>
    </xf>
    <xf numFmtId="184" fontId="35" fillId="0" borderId="78" xfId="44" applyNumberFormat="1" applyFont="1" applyBorder="1" applyAlignment="1">
      <alignment horizontal="center" vertical="center" shrinkToFit="1"/>
    </xf>
    <xf numFmtId="0" fontId="35" fillId="0" borderId="78" xfId="44" applyFont="1" applyBorder="1" applyAlignment="1">
      <alignment horizontal="center" vertical="center" shrinkToFit="1"/>
    </xf>
    <xf numFmtId="0" fontId="35" fillId="0" borderId="68" xfId="44" applyFont="1" applyBorder="1" applyAlignment="1">
      <alignment horizontal="center" vertical="center" shrinkToFit="1"/>
    </xf>
    <xf numFmtId="184" fontId="35" fillId="0" borderId="78" xfId="44" applyNumberFormat="1" applyFont="1" applyBorder="1" applyAlignment="1">
      <alignment horizontal="center" vertical="center"/>
    </xf>
    <xf numFmtId="184" fontId="35" fillId="0" borderId="68" xfId="44" applyNumberFormat="1" applyFont="1" applyBorder="1" applyAlignment="1">
      <alignment horizontal="center" vertical="center" shrinkToFit="1"/>
    </xf>
    <xf numFmtId="0" fontId="35" fillId="0" borderId="32" xfId="44" applyFont="1" applyBorder="1" applyAlignment="1">
      <alignment horizontal="center" vertical="center" wrapText="1"/>
    </xf>
    <xf numFmtId="0" fontId="35" fillId="0" borderId="21" xfId="44" applyFont="1" applyBorder="1" applyAlignment="1">
      <alignment horizontal="center" vertical="center" wrapText="1"/>
    </xf>
    <xf numFmtId="0" fontId="35" fillId="0" borderId="62" xfId="44" applyFont="1" applyBorder="1" applyAlignment="1">
      <alignment horizontal="center" vertical="center" wrapText="1"/>
    </xf>
    <xf numFmtId="0" fontId="77" fillId="25" borderId="29" xfId="44" applyFont="1" applyFill="1" applyBorder="1" applyAlignment="1" applyProtection="1">
      <alignment horizontal="left" vertical="top" wrapText="1"/>
      <protection locked="0"/>
    </xf>
    <xf numFmtId="0" fontId="77" fillId="25" borderId="60" xfId="44" applyFont="1" applyFill="1" applyBorder="1" applyAlignment="1" applyProtection="1">
      <alignment horizontal="left" vertical="top"/>
      <protection locked="0"/>
    </xf>
    <xf numFmtId="0" fontId="77" fillId="25" borderId="61" xfId="44" applyFont="1" applyFill="1" applyBorder="1" applyAlignment="1" applyProtection="1">
      <alignment horizontal="left" vertical="top"/>
      <protection locked="0"/>
    </xf>
    <xf numFmtId="0" fontId="77" fillId="25" borderId="32" xfId="44" applyFont="1" applyFill="1" applyBorder="1" applyAlignment="1" applyProtection="1">
      <alignment horizontal="left" vertical="top"/>
      <protection locked="0"/>
    </xf>
    <xf numFmtId="0" fontId="77" fillId="25" borderId="21" xfId="44" applyFont="1" applyFill="1" applyBorder="1" applyAlignment="1" applyProtection="1">
      <alignment horizontal="left" vertical="top"/>
      <protection locked="0"/>
    </xf>
    <xf numFmtId="38" fontId="35" fillId="26" borderId="31" xfId="281" applyFont="1" applyFill="1" applyBorder="1" applyAlignment="1" applyProtection="1">
      <alignment horizontal="center" vertical="center" wrapText="1"/>
      <protection locked="0"/>
    </xf>
    <xf numFmtId="38" fontId="35" fillId="26" borderId="59" xfId="281" applyFont="1" applyFill="1" applyBorder="1" applyAlignment="1" applyProtection="1">
      <alignment horizontal="center" vertical="center" wrapText="1"/>
      <protection locked="0"/>
    </xf>
    <xf numFmtId="0" fontId="35" fillId="26" borderId="31" xfId="0" applyFont="1" applyFill="1" applyBorder="1" applyAlignment="1" applyProtection="1">
      <alignment horizontal="center" vertical="center" shrinkToFit="1"/>
      <protection locked="0"/>
    </xf>
    <xf numFmtId="0" fontId="35" fillId="26" borderId="59" xfId="0" applyFont="1" applyFill="1" applyBorder="1" applyAlignment="1" applyProtection="1">
      <alignment horizontal="center" vertical="center" shrinkToFit="1"/>
      <protection locked="0"/>
    </xf>
    <xf numFmtId="0" fontId="35" fillId="26" borderId="54" xfId="0" applyFont="1" applyFill="1" applyBorder="1" applyAlignment="1" applyProtection="1">
      <alignment horizontal="center" vertical="center" shrinkToFit="1"/>
      <protection locked="0"/>
    </xf>
    <xf numFmtId="0" fontId="35" fillId="26" borderId="31" xfId="0" applyFont="1" applyFill="1" applyBorder="1" applyAlignment="1" applyProtection="1">
      <alignment horizontal="left" vertical="center" wrapText="1"/>
      <protection locked="0"/>
    </xf>
    <xf numFmtId="0" fontId="74" fillId="0" borderId="0" xfId="0" quotePrefix="1" applyFont="1" applyAlignment="1">
      <alignment horizontal="center" vertical="center"/>
    </xf>
    <xf numFmtId="0" fontId="78" fillId="0" borderId="0" xfId="0" applyFont="1" applyAlignment="1">
      <alignment horizontal="center" vertical="center"/>
    </xf>
    <xf numFmtId="0" fontId="35" fillId="0" borderId="29" xfId="44" applyFont="1" applyBorder="1" applyAlignment="1">
      <alignment horizontal="distributed" vertical="center" wrapText="1"/>
    </xf>
    <xf numFmtId="0" fontId="35" fillId="0" borderId="60" xfId="44" applyFont="1" applyBorder="1" applyAlignment="1">
      <alignment horizontal="distributed" vertical="center" wrapText="1"/>
    </xf>
    <xf numFmtId="179" fontId="35" fillId="0" borderId="29" xfId="279" applyNumberFormat="1" applyFont="1" applyFill="1" applyBorder="1" applyAlignment="1" applyProtection="1">
      <alignment horizontal="center" vertical="center" shrinkToFit="1"/>
    </xf>
    <xf numFmtId="179" fontId="35" fillId="0" borderId="60" xfId="279" applyNumberFormat="1" applyFont="1" applyFill="1" applyBorder="1" applyAlignment="1" applyProtection="1">
      <alignment horizontal="center" vertical="center" shrinkToFit="1"/>
    </xf>
    <xf numFmtId="179" fontId="35" fillId="0" borderId="21" xfId="279" applyNumberFormat="1" applyFont="1" applyFill="1" applyBorder="1" applyAlignment="1" applyProtection="1">
      <alignment horizontal="center" vertical="center" shrinkToFit="1"/>
    </xf>
    <xf numFmtId="179" fontId="35" fillId="0" borderId="62" xfId="279" applyNumberFormat="1" applyFont="1" applyFill="1" applyBorder="1" applyAlignment="1" applyProtection="1">
      <alignment horizontal="center" vertical="center" shrinkToFit="1"/>
    </xf>
    <xf numFmtId="0" fontId="35" fillId="0" borderId="50" xfId="44" applyFont="1" applyBorder="1" applyAlignment="1">
      <alignment horizontal="center" vertical="center" shrinkToFit="1"/>
    </xf>
    <xf numFmtId="182" fontId="35" fillId="26" borderId="29" xfId="44" applyNumberFormat="1" applyFont="1" applyFill="1" applyBorder="1" applyAlignment="1" applyProtection="1">
      <alignment horizontal="center" vertical="center" shrinkToFit="1"/>
      <protection locked="0"/>
    </xf>
    <xf numFmtId="182" fontId="35" fillId="26" borderId="60" xfId="44" applyNumberFormat="1" applyFont="1" applyFill="1" applyBorder="1" applyAlignment="1" applyProtection="1">
      <alignment horizontal="center" vertical="center" shrinkToFit="1"/>
      <protection locked="0"/>
    </xf>
    <xf numFmtId="182" fontId="35" fillId="26" borderId="21" xfId="44" applyNumberFormat="1" applyFont="1" applyFill="1" applyBorder="1" applyAlignment="1" applyProtection="1">
      <alignment horizontal="center" vertical="center" shrinkToFit="1"/>
      <protection locked="0"/>
    </xf>
    <xf numFmtId="182" fontId="35" fillId="26" borderId="62" xfId="44" applyNumberFormat="1" applyFont="1" applyFill="1" applyBorder="1" applyAlignment="1" applyProtection="1">
      <alignment horizontal="center" vertical="center" shrinkToFit="1"/>
      <protection locked="0"/>
    </xf>
    <xf numFmtId="0" fontId="35" fillId="26" borderId="61" xfId="44" applyFont="1" applyFill="1" applyBorder="1" applyAlignment="1" applyProtection="1">
      <alignment horizontal="left" vertical="center" shrinkToFit="1"/>
      <protection locked="0"/>
    </xf>
    <xf numFmtId="0" fontId="35" fillId="26" borderId="33" xfId="44" applyFont="1" applyFill="1" applyBorder="1" applyAlignment="1" applyProtection="1">
      <alignment horizontal="left" vertical="center" shrinkToFit="1"/>
      <protection locked="0"/>
    </xf>
    <xf numFmtId="38" fontId="35" fillId="0" borderId="29" xfId="279" applyNumberFormat="1" applyFont="1" applyFill="1" applyBorder="1" applyAlignment="1" applyProtection="1">
      <alignment horizontal="center" vertical="center" shrinkToFit="1"/>
    </xf>
    <xf numFmtId="0" fontId="35" fillId="0" borderId="60" xfId="279" applyNumberFormat="1" applyFont="1" applyFill="1" applyBorder="1" applyAlignment="1" applyProtection="1">
      <alignment horizontal="center" vertical="center" shrinkToFit="1"/>
    </xf>
    <xf numFmtId="0" fontId="35" fillId="0" borderId="21" xfId="279" applyNumberFormat="1" applyFont="1" applyFill="1" applyBorder="1" applyAlignment="1" applyProtection="1">
      <alignment horizontal="center" vertical="center" shrinkToFit="1"/>
    </xf>
    <xf numFmtId="0" fontId="35" fillId="0" borderId="62" xfId="279" applyNumberFormat="1" applyFont="1" applyFill="1" applyBorder="1" applyAlignment="1" applyProtection="1">
      <alignment horizontal="center" vertical="center" shrinkToFit="1"/>
    </xf>
    <xf numFmtId="0" fontId="35" fillId="0" borderId="29" xfId="279" applyNumberFormat="1" applyFont="1" applyFill="1" applyBorder="1" applyAlignment="1" applyProtection="1">
      <alignment horizontal="center" vertical="center" shrinkToFit="1"/>
    </xf>
    <xf numFmtId="0" fontId="77" fillId="0" borderId="0" xfId="0" applyFont="1" applyAlignment="1">
      <alignment horizontal="right" vertical="center"/>
    </xf>
    <xf numFmtId="0" fontId="77" fillId="0" borderId="0" xfId="0" applyFont="1" applyAlignment="1">
      <alignment horizontal="center" vertical="center"/>
    </xf>
    <xf numFmtId="0" fontId="72" fillId="0" borderId="0" xfId="293" applyFont="1" applyAlignment="1">
      <alignment horizontal="center" vertical="center"/>
    </xf>
    <xf numFmtId="0" fontId="72" fillId="0" borderId="0" xfId="293" applyFont="1" applyAlignment="1" applyProtection="1">
      <alignment horizontal="center" vertical="center"/>
      <protection locked="0"/>
    </xf>
    <xf numFmtId="0" fontId="196" fillId="0" borderId="0" xfId="0" applyFont="1" applyAlignment="1">
      <alignment horizontal="center" vertical="top"/>
    </xf>
    <xf numFmtId="0" fontId="72" fillId="0" borderId="0" xfId="0" applyFont="1" applyAlignment="1">
      <alignment horizontal="center" vertical="center"/>
    </xf>
    <xf numFmtId="0" fontId="72" fillId="0" borderId="0" xfId="0" applyFont="1" applyAlignment="1">
      <alignment horizontal="left" vertical="center" wrapText="1"/>
    </xf>
    <xf numFmtId="0" fontId="196" fillId="0" borderId="0" xfId="0" applyFont="1" applyAlignment="1">
      <alignment horizontal="center" vertical="center"/>
    </xf>
    <xf numFmtId="0" fontId="72" fillId="0" borderId="0" xfId="0" applyFont="1" applyAlignment="1">
      <alignment vertical="center" wrapText="1"/>
    </xf>
    <xf numFmtId="0" fontId="72" fillId="0" borderId="0" xfId="0" applyFont="1">
      <alignment vertical="center"/>
    </xf>
    <xf numFmtId="0" fontId="72" fillId="0" borderId="0" xfId="0" applyFont="1" applyAlignment="1">
      <alignment horizontal="center" vertical="center" wrapText="1"/>
    </xf>
    <xf numFmtId="0" fontId="72" fillId="0" borderId="0" xfId="0" applyFont="1" applyAlignment="1">
      <alignment horizontal="right" vertical="center"/>
    </xf>
    <xf numFmtId="0" fontId="72" fillId="0" borderId="0" xfId="0" applyFont="1" applyAlignment="1">
      <alignment vertical="top"/>
    </xf>
    <xf numFmtId="0" fontId="118" fillId="0" borderId="28" xfId="0" applyFont="1" applyBorder="1" applyAlignment="1">
      <alignment horizontal="center" vertical="center" wrapText="1" shrinkToFit="1"/>
    </xf>
    <xf numFmtId="0" fontId="118" fillId="0" borderId="85" xfId="0" applyFont="1" applyBorder="1" applyAlignment="1" applyProtection="1">
      <alignment horizontal="center" vertical="center" wrapText="1" shrinkToFit="1"/>
      <protection locked="0"/>
    </xf>
    <xf numFmtId="0" fontId="118" fillId="0" borderId="84" xfId="0" applyFont="1" applyBorder="1" applyAlignment="1" applyProtection="1">
      <alignment horizontal="center" vertical="center" wrapText="1" shrinkToFit="1"/>
      <protection locked="0"/>
    </xf>
    <xf numFmtId="0" fontId="0" fillId="34" borderId="85" xfId="0" applyFill="1" applyBorder="1" applyAlignment="1">
      <alignment horizontal="right" vertical="center"/>
    </xf>
    <xf numFmtId="0" fontId="0" fillId="0" borderId="28" xfId="0" applyBorder="1" applyAlignment="1">
      <alignment horizontal="center" vertical="center"/>
    </xf>
    <xf numFmtId="0" fontId="0" fillId="39" borderId="59" xfId="0" applyFill="1" applyBorder="1" applyAlignment="1">
      <alignment horizontal="left" vertical="center" shrinkToFit="1"/>
    </xf>
    <xf numFmtId="0" fontId="0" fillId="39" borderId="54" xfId="0" applyFill="1" applyBorder="1" applyAlignment="1">
      <alignment horizontal="left" vertical="center" shrinkToFit="1"/>
    </xf>
    <xf numFmtId="0" fontId="73" fillId="34" borderId="29" xfId="0" applyFont="1" applyFill="1" applyBorder="1" applyAlignment="1">
      <alignment horizontal="center" vertical="center" textRotation="255" shrinkToFit="1"/>
    </xf>
    <xf numFmtId="0" fontId="73" fillId="34" borderId="32" xfId="0" applyFont="1" applyFill="1" applyBorder="1" applyAlignment="1">
      <alignment horizontal="center" vertical="center" textRotation="255" shrinkToFit="1"/>
    </xf>
    <xf numFmtId="0" fontId="73" fillId="34" borderId="83" xfId="0" applyFont="1" applyFill="1" applyBorder="1" applyAlignment="1">
      <alignment horizontal="center" vertical="center" textRotation="255" shrinkToFit="1"/>
    </xf>
    <xf numFmtId="0" fontId="73" fillId="34" borderId="85" xfId="0" applyFont="1" applyFill="1" applyBorder="1" applyAlignment="1">
      <alignment horizontal="center" vertical="center" textRotation="255" shrinkToFit="1"/>
    </xf>
    <xf numFmtId="0" fontId="0" fillId="0" borderId="25" xfId="0" applyBorder="1">
      <alignment vertical="center"/>
    </xf>
    <xf numFmtId="0" fontId="0" fillId="0" borderId="54" xfId="0" applyBorder="1">
      <alignment vertical="center"/>
    </xf>
    <xf numFmtId="0" fontId="0" fillId="25" borderId="28" xfId="0" applyFill="1" applyBorder="1" applyAlignment="1" applyProtection="1">
      <alignment horizontal="left" vertical="center" shrinkToFit="1"/>
      <protection locked="0"/>
    </xf>
    <xf numFmtId="0" fontId="0" fillId="0" borderId="25" xfId="0" applyBorder="1" applyAlignment="1">
      <alignment vertical="center" shrinkToFit="1"/>
    </xf>
    <xf numFmtId="0" fontId="0" fillId="0" borderId="59" xfId="0" applyBorder="1" applyAlignment="1">
      <alignment vertical="center" shrinkToFit="1"/>
    </xf>
    <xf numFmtId="0" fontId="0" fillId="0" borderId="54" xfId="0" applyBorder="1" applyAlignment="1">
      <alignment vertical="center" shrinkToFit="1"/>
    </xf>
    <xf numFmtId="0" fontId="0" fillId="0" borderId="25" xfId="0" applyBorder="1" applyAlignment="1">
      <alignment horizontal="right" vertical="center" shrinkToFit="1"/>
    </xf>
    <xf numFmtId="0" fontId="0" fillId="0" borderId="85" xfId="0" applyBorder="1" applyAlignment="1">
      <alignment vertical="center" wrapText="1" shrinkToFit="1"/>
    </xf>
    <xf numFmtId="0" fontId="0" fillId="0" borderId="84" xfId="0" applyBorder="1" applyAlignment="1">
      <alignment vertical="center" shrinkToFit="1"/>
    </xf>
    <xf numFmtId="0" fontId="114" fillId="34" borderId="29" xfId="0" applyFont="1" applyFill="1" applyBorder="1" applyAlignment="1">
      <alignment horizontal="center" vertical="center" wrapText="1" shrinkToFit="1"/>
    </xf>
    <xf numFmtId="0" fontId="114" fillId="34" borderId="60" xfId="0" applyFont="1" applyFill="1" applyBorder="1" applyAlignment="1">
      <alignment horizontal="center" vertical="center" wrapText="1" shrinkToFit="1"/>
    </xf>
    <xf numFmtId="0" fontId="115" fillId="34" borderId="25" xfId="0" applyFont="1" applyFill="1" applyBorder="1" applyAlignment="1">
      <alignment horizontal="center" vertical="center" shrinkToFit="1"/>
    </xf>
    <xf numFmtId="0" fontId="115" fillId="34" borderId="59" xfId="0" applyFont="1" applyFill="1" applyBorder="1" applyAlignment="1">
      <alignment horizontal="center" vertical="center" shrinkToFit="1"/>
    </xf>
    <xf numFmtId="0" fontId="115" fillId="34" borderId="54" xfId="0" applyFont="1" applyFill="1" applyBorder="1" applyAlignment="1">
      <alignment horizontal="center" vertical="center" shrinkToFit="1"/>
    </xf>
    <xf numFmtId="0" fontId="0" fillId="0" borderId="85" xfId="0" applyBorder="1" applyAlignment="1">
      <alignment vertical="center" shrinkToFit="1"/>
    </xf>
  </cellXfs>
  <cellStyles count="468">
    <cellStyle name="20% - アクセント 1" xfId="1" builtinId="30" customBuiltin="1"/>
    <cellStyle name="20% - アクセント 1 2" xfId="48" xr:uid="{00000000-0005-0000-0000-000001000000}"/>
    <cellStyle name="20% - アクセント 1 2 2" xfId="49" xr:uid="{00000000-0005-0000-0000-000002000000}"/>
    <cellStyle name="20% - アクセント 1 3" xfId="50" xr:uid="{00000000-0005-0000-0000-000003000000}"/>
    <cellStyle name="20% - アクセント 1 4" xfId="298" xr:uid="{00000000-0005-0000-0000-000004000000}"/>
    <cellStyle name="20% - アクセント 2" xfId="2" builtinId="34" customBuiltin="1"/>
    <cellStyle name="20% - アクセント 2 2" xfId="51" xr:uid="{00000000-0005-0000-0000-000006000000}"/>
    <cellStyle name="20% - アクセント 2 2 2" xfId="52" xr:uid="{00000000-0005-0000-0000-000007000000}"/>
    <cellStyle name="20% - アクセント 2 3" xfId="53" xr:uid="{00000000-0005-0000-0000-000008000000}"/>
    <cellStyle name="20% - アクセント 2 4" xfId="299" xr:uid="{00000000-0005-0000-0000-000009000000}"/>
    <cellStyle name="20% - アクセント 3" xfId="3" builtinId="38" customBuiltin="1"/>
    <cellStyle name="20% - アクセント 3 2" xfId="54" xr:uid="{00000000-0005-0000-0000-00000B000000}"/>
    <cellStyle name="20% - アクセント 3 2 2" xfId="55" xr:uid="{00000000-0005-0000-0000-00000C000000}"/>
    <cellStyle name="20% - アクセント 3 3" xfId="56" xr:uid="{00000000-0005-0000-0000-00000D000000}"/>
    <cellStyle name="20% - アクセント 3 4" xfId="300" xr:uid="{00000000-0005-0000-0000-00000E000000}"/>
    <cellStyle name="20% - アクセント 4" xfId="4" builtinId="42" customBuiltin="1"/>
    <cellStyle name="20% - アクセント 4 2" xfId="57" xr:uid="{00000000-0005-0000-0000-000010000000}"/>
    <cellStyle name="20% - アクセント 4 2 2" xfId="58" xr:uid="{00000000-0005-0000-0000-000011000000}"/>
    <cellStyle name="20% - アクセント 4 3" xfId="59" xr:uid="{00000000-0005-0000-0000-000012000000}"/>
    <cellStyle name="20% - アクセント 4 4" xfId="301" xr:uid="{00000000-0005-0000-0000-000013000000}"/>
    <cellStyle name="20% - アクセント 5" xfId="5" builtinId="46" customBuiltin="1"/>
    <cellStyle name="20% - アクセント 5 2" xfId="60" xr:uid="{00000000-0005-0000-0000-000015000000}"/>
    <cellStyle name="20% - アクセント 5 2 2" xfId="61" xr:uid="{00000000-0005-0000-0000-000016000000}"/>
    <cellStyle name="20% - アクセント 5 3" xfId="62" xr:uid="{00000000-0005-0000-0000-000017000000}"/>
    <cellStyle name="20% - アクセント 5 4" xfId="302" xr:uid="{00000000-0005-0000-0000-000018000000}"/>
    <cellStyle name="20% - アクセント 6" xfId="6" builtinId="50" customBuiltin="1"/>
    <cellStyle name="20% - アクセント 6 2" xfId="63" xr:uid="{00000000-0005-0000-0000-00001A000000}"/>
    <cellStyle name="20% - アクセント 6 2 2" xfId="64" xr:uid="{00000000-0005-0000-0000-00001B000000}"/>
    <cellStyle name="20% - アクセント 6 3" xfId="65" xr:uid="{00000000-0005-0000-0000-00001C000000}"/>
    <cellStyle name="20% - アクセント 6 4" xfId="303" xr:uid="{00000000-0005-0000-0000-00001D000000}"/>
    <cellStyle name="40% - アクセント 1" xfId="7" builtinId="31" customBuiltin="1"/>
    <cellStyle name="40% - アクセント 1 2" xfId="66" xr:uid="{00000000-0005-0000-0000-00001F000000}"/>
    <cellStyle name="40% - アクセント 1 2 2" xfId="67" xr:uid="{00000000-0005-0000-0000-000020000000}"/>
    <cellStyle name="40% - アクセント 1 3" xfId="68" xr:uid="{00000000-0005-0000-0000-000021000000}"/>
    <cellStyle name="40% - アクセント 1 4" xfId="304" xr:uid="{00000000-0005-0000-0000-000022000000}"/>
    <cellStyle name="40% - アクセント 2" xfId="8" builtinId="35" customBuiltin="1"/>
    <cellStyle name="40% - アクセント 2 2" xfId="69" xr:uid="{00000000-0005-0000-0000-000024000000}"/>
    <cellStyle name="40% - アクセント 2 2 2" xfId="70" xr:uid="{00000000-0005-0000-0000-000025000000}"/>
    <cellStyle name="40% - アクセント 2 3" xfId="71" xr:uid="{00000000-0005-0000-0000-000026000000}"/>
    <cellStyle name="40% - アクセント 2 4" xfId="305" xr:uid="{00000000-0005-0000-0000-000027000000}"/>
    <cellStyle name="40% - アクセント 3" xfId="9" builtinId="39" customBuiltin="1"/>
    <cellStyle name="40% - アクセント 3 2" xfId="72" xr:uid="{00000000-0005-0000-0000-000029000000}"/>
    <cellStyle name="40% - アクセント 3 2 2" xfId="73" xr:uid="{00000000-0005-0000-0000-00002A000000}"/>
    <cellStyle name="40% - アクセント 3 3" xfId="74" xr:uid="{00000000-0005-0000-0000-00002B000000}"/>
    <cellStyle name="40% - アクセント 3 4" xfId="306" xr:uid="{00000000-0005-0000-0000-00002C000000}"/>
    <cellStyle name="40% - アクセント 4" xfId="10" builtinId="43" customBuiltin="1"/>
    <cellStyle name="40% - アクセント 4 2" xfId="75" xr:uid="{00000000-0005-0000-0000-00002E000000}"/>
    <cellStyle name="40% - アクセント 4 2 2" xfId="76" xr:uid="{00000000-0005-0000-0000-00002F000000}"/>
    <cellStyle name="40% - アクセント 4 3" xfId="77" xr:uid="{00000000-0005-0000-0000-000030000000}"/>
    <cellStyle name="40% - アクセント 4 4" xfId="307" xr:uid="{00000000-0005-0000-0000-000031000000}"/>
    <cellStyle name="40% - アクセント 5" xfId="11" builtinId="47" customBuiltin="1"/>
    <cellStyle name="40% - アクセント 5 2" xfId="78" xr:uid="{00000000-0005-0000-0000-000033000000}"/>
    <cellStyle name="40% - アクセント 5 2 2" xfId="79" xr:uid="{00000000-0005-0000-0000-000034000000}"/>
    <cellStyle name="40% - アクセント 5 3" xfId="80" xr:uid="{00000000-0005-0000-0000-000035000000}"/>
    <cellStyle name="40% - アクセント 5 4" xfId="308" xr:uid="{00000000-0005-0000-0000-000036000000}"/>
    <cellStyle name="40% - アクセント 6" xfId="12" builtinId="51" customBuiltin="1"/>
    <cellStyle name="40% - アクセント 6 2" xfId="81" xr:uid="{00000000-0005-0000-0000-000038000000}"/>
    <cellStyle name="40% - アクセント 6 2 2" xfId="82" xr:uid="{00000000-0005-0000-0000-000039000000}"/>
    <cellStyle name="40% - アクセント 6 3" xfId="83" xr:uid="{00000000-0005-0000-0000-00003A000000}"/>
    <cellStyle name="40% - アクセント 6 4" xfId="309" xr:uid="{00000000-0005-0000-0000-00003B000000}"/>
    <cellStyle name="60% - アクセント 1" xfId="13" builtinId="32" customBuiltin="1"/>
    <cellStyle name="60% - アクセント 1 2" xfId="84" xr:uid="{00000000-0005-0000-0000-00003D000000}"/>
    <cellStyle name="60% - アクセント 1 2 2" xfId="85" xr:uid="{00000000-0005-0000-0000-00003E000000}"/>
    <cellStyle name="60% - アクセント 1 3" xfId="86" xr:uid="{00000000-0005-0000-0000-00003F000000}"/>
    <cellStyle name="60% - アクセント 1 4" xfId="310" xr:uid="{00000000-0005-0000-0000-000040000000}"/>
    <cellStyle name="60% - アクセント 2" xfId="14" builtinId="36" customBuiltin="1"/>
    <cellStyle name="60% - アクセント 2 2" xfId="87" xr:uid="{00000000-0005-0000-0000-000042000000}"/>
    <cellStyle name="60% - アクセント 2 2 2" xfId="88" xr:uid="{00000000-0005-0000-0000-000043000000}"/>
    <cellStyle name="60% - アクセント 2 3" xfId="89" xr:uid="{00000000-0005-0000-0000-000044000000}"/>
    <cellStyle name="60% - アクセント 2 4" xfId="311" xr:uid="{00000000-0005-0000-0000-000045000000}"/>
    <cellStyle name="60% - アクセント 3" xfId="15" builtinId="40" customBuiltin="1"/>
    <cellStyle name="60% - アクセント 3 2" xfId="90" xr:uid="{00000000-0005-0000-0000-000047000000}"/>
    <cellStyle name="60% - アクセント 3 2 2" xfId="91" xr:uid="{00000000-0005-0000-0000-000048000000}"/>
    <cellStyle name="60% - アクセント 3 3" xfId="92" xr:uid="{00000000-0005-0000-0000-000049000000}"/>
    <cellStyle name="60% - アクセント 3 4" xfId="312" xr:uid="{00000000-0005-0000-0000-00004A000000}"/>
    <cellStyle name="60% - アクセント 4" xfId="16" builtinId="44" customBuiltin="1"/>
    <cellStyle name="60% - アクセント 4 2" xfId="93" xr:uid="{00000000-0005-0000-0000-00004C000000}"/>
    <cellStyle name="60% - アクセント 4 2 2" xfId="94" xr:uid="{00000000-0005-0000-0000-00004D000000}"/>
    <cellStyle name="60% - アクセント 4 3" xfId="95" xr:uid="{00000000-0005-0000-0000-00004E000000}"/>
    <cellStyle name="60% - アクセント 4 4" xfId="313" xr:uid="{00000000-0005-0000-0000-00004F000000}"/>
    <cellStyle name="60% - アクセント 5" xfId="17" builtinId="48" customBuiltin="1"/>
    <cellStyle name="60% - アクセント 5 2" xfId="96" xr:uid="{00000000-0005-0000-0000-000051000000}"/>
    <cellStyle name="60% - アクセント 5 2 2" xfId="97" xr:uid="{00000000-0005-0000-0000-000052000000}"/>
    <cellStyle name="60% - アクセント 5 3" xfId="98" xr:uid="{00000000-0005-0000-0000-000053000000}"/>
    <cellStyle name="60% - アクセント 5 4" xfId="314" xr:uid="{00000000-0005-0000-0000-000054000000}"/>
    <cellStyle name="60% - アクセント 6" xfId="18" builtinId="52" customBuiltin="1"/>
    <cellStyle name="60% - アクセント 6 2" xfId="99" xr:uid="{00000000-0005-0000-0000-000056000000}"/>
    <cellStyle name="60% - アクセント 6 2 2" xfId="100" xr:uid="{00000000-0005-0000-0000-000057000000}"/>
    <cellStyle name="60% - アクセント 6 3" xfId="101" xr:uid="{00000000-0005-0000-0000-000058000000}"/>
    <cellStyle name="60% - アクセント 6 4" xfId="315" xr:uid="{00000000-0005-0000-0000-000059000000}"/>
    <cellStyle name="アクセント 1" xfId="19" builtinId="29" customBuiltin="1"/>
    <cellStyle name="アクセント 1 2" xfId="102" xr:uid="{00000000-0005-0000-0000-00005B000000}"/>
    <cellStyle name="アクセント 1 2 2" xfId="103" xr:uid="{00000000-0005-0000-0000-00005C000000}"/>
    <cellStyle name="アクセント 1 3" xfId="104" xr:uid="{00000000-0005-0000-0000-00005D000000}"/>
    <cellStyle name="アクセント 1 4" xfId="316" xr:uid="{00000000-0005-0000-0000-00005E000000}"/>
    <cellStyle name="アクセント 2" xfId="20" builtinId="33" customBuiltin="1"/>
    <cellStyle name="アクセント 2 2" xfId="105" xr:uid="{00000000-0005-0000-0000-000060000000}"/>
    <cellStyle name="アクセント 2 2 2" xfId="106" xr:uid="{00000000-0005-0000-0000-000061000000}"/>
    <cellStyle name="アクセント 2 3" xfId="107" xr:uid="{00000000-0005-0000-0000-000062000000}"/>
    <cellStyle name="アクセント 2 4" xfId="317" xr:uid="{00000000-0005-0000-0000-000063000000}"/>
    <cellStyle name="アクセント 3" xfId="21" builtinId="37" customBuiltin="1"/>
    <cellStyle name="アクセント 3 2" xfId="108" xr:uid="{00000000-0005-0000-0000-000065000000}"/>
    <cellStyle name="アクセント 3 2 2" xfId="109" xr:uid="{00000000-0005-0000-0000-000066000000}"/>
    <cellStyle name="アクセント 3 3" xfId="110" xr:uid="{00000000-0005-0000-0000-000067000000}"/>
    <cellStyle name="アクセント 3 4" xfId="318" xr:uid="{00000000-0005-0000-0000-000068000000}"/>
    <cellStyle name="アクセント 4" xfId="22" builtinId="41" customBuiltin="1"/>
    <cellStyle name="アクセント 4 2" xfId="111" xr:uid="{00000000-0005-0000-0000-00006A000000}"/>
    <cellStyle name="アクセント 4 2 2" xfId="112" xr:uid="{00000000-0005-0000-0000-00006B000000}"/>
    <cellStyle name="アクセント 4 3" xfId="113" xr:uid="{00000000-0005-0000-0000-00006C000000}"/>
    <cellStyle name="アクセント 4 4" xfId="319" xr:uid="{00000000-0005-0000-0000-00006D000000}"/>
    <cellStyle name="アクセント 5" xfId="23" builtinId="45" customBuiltin="1"/>
    <cellStyle name="アクセント 5 2" xfId="114" xr:uid="{00000000-0005-0000-0000-00006F000000}"/>
    <cellStyle name="アクセント 5 2 2" xfId="115" xr:uid="{00000000-0005-0000-0000-000070000000}"/>
    <cellStyle name="アクセント 5 3" xfId="116" xr:uid="{00000000-0005-0000-0000-000071000000}"/>
    <cellStyle name="アクセント 5 4" xfId="320" xr:uid="{00000000-0005-0000-0000-000072000000}"/>
    <cellStyle name="アクセント 6" xfId="24" builtinId="49" customBuiltin="1"/>
    <cellStyle name="アクセント 6 2" xfId="117" xr:uid="{00000000-0005-0000-0000-000074000000}"/>
    <cellStyle name="アクセント 6 2 2" xfId="118" xr:uid="{00000000-0005-0000-0000-000075000000}"/>
    <cellStyle name="アクセント 6 3" xfId="119" xr:uid="{00000000-0005-0000-0000-000076000000}"/>
    <cellStyle name="アクセント 6 4" xfId="321" xr:uid="{00000000-0005-0000-0000-000077000000}"/>
    <cellStyle name="スタイル 1" xfId="25" xr:uid="{00000000-0005-0000-0000-000078000000}"/>
    <cellStyle name="タイトル" xfId="26" builtinId="15" customBuiltin="1"/>
    <cellStyle name="タイトル 2" xfId="120" xr:uid="{00000000-0005-0000-0000-00007A000000}"/>
    <cellStyle name="タイトル 3" xfId="322" xr:uid="{00000000-0005-0000-0000-00007B000000}"/>
    <cellStyle name="チェック セル" xfId="27" builtinId="23" customBuiltin="1"/>
    <cellStyle name="チェック セル 2" xfId="121" xr:uid="{00000000-0005-0000-0000-00007D000000}"/>
    <cellStyle name="チェック セル 2 2" xfId="122" xr:uid="{00000000-0005-0000-0000-00007E000000}"/>
    <cellStyle name="チェック セル 3" xfId="123" xr:uid="{00000000-0005-0000-0000-00007F000000}"/>
    <cellStyle name="チェック セル 4" xfId="323" xr:uid="{00000000-0005-0000-0000-000080000000}"/>
    <cellStyle name="どちらでもない" xfId="28" builtinId="28" customBuiltin="1"/>
    <cellStyle name="どちらでもない 2" xfId="124" xr:uid="{00000000-0005-0000-0000-000082000000}"/>
    <cellStyle name="どちらでもない 2 2" xfId="125" xr:uid="{00000000-0005-0000-0000-000083000000}"/>
    <cellStyle name="どちらでもない 3" xfId="126" xr:uid="{00000000-0005-0000-0000-000084000000}"/>
    <cellStyle name="どちらでもない 4" xfId="324" xr:uid="{00000000-0005-0000-0000-000085000000}"/>
    <cellStyle name="パーセント" xfId="280" builtinId="5"/>
    <cellStyle name="パーセント 2" xfId="288" xr:uid="{00000000-0005-0000-0000-000087000000}"/>
    <cellStyle name="パーセント 2 2" xfId="440" xr:uid="{00000000-0005-0000-0000-000088000000}"/>
    <cellStyle name="パーセント 3" xfId="435" xr:uid="{00000000-0005-0000-0000-000089000000}"/>
    <cellStyle name="ハイパーリンク" xfId="282" builtinId="8"/>
    <cellStyle name="ハイパーリンク 2" xfId="127" xr:uid="{00000000-0005-0000-0000-00008B000000}"/>
    <cellStyle name="ハイパーリンク 3" xfId="128" xr:uid="{00000000-0005-0000-0000-00008C000000}"/>
    <cellStyle name="メモ" xfId="29" builtinId="10" customBuiltin="1"/>
    <cellStyle name="メモ 2" xfId="129" xr:uid="{00000000-0005-0000-0000-00008E000000}"/>
    <cellStyle name="メモ 2 2" xfId="130" xr:uid="{00000000-0005-0000-0000-00008F000000}"/>
    <cellStyle name="メモ 2 2 2" xfId="454" xr:uid="{00000000-0005-0000-0000-000090000000}"/>
    <cellStyle name="メモ 2 3" xfId="453" xr:uid="{00000000-0005-0000-0000-000091000000}"/>
    <cellStyle name="メモ 3" xfId="131" xr:uid="{00000000-0005-0000-0000-000092000000}"/>
    <cellStyle name="メモ 3 2" xfId="455" xr:uid="{00000000-0005-0000-0000-000093000000}"/>
    <cellStyle name="メモ 4" xfId="325" xr:uid="{00000000-0005-0000-0000-000094000000}"/>
    <cellStyle name="メモ 4 2" xfId="445" xr:uid="{00000000-0005-0000-0000-000095000000}"/>
    <cellStyle name="リンク セル" xfId="30" builtinId="24" customBuiltin="1"/>
    <cellStyle name="リンク セル 2" xfId="132" xr:uid="{00000000-0005-0000-0000-000097000000}"/>
    <cellStyle name="リンク セル 2 2" xfId="133" xr:uid="{00000000-0005-0000-0000-000098000000}"/>
    <cellStyle name="リンク セル 3" xfId="134" xr:uid="{00000000-0005-0000-0000-000099000000}"/>
    <cellStyle name="リンク セル 4" xfId="326" xr:uid="{00000000-0005-0000-0000-00009A000000}"/>
    <cellStyle name="悪い" xfId="31" builtinId="27" customBuiltin="1"/>
    <cellStyle name="悪い 2" xfId="135" xr:uid="{00000000-0005-0000-0000-00009C000000}"/>
    <cellStyle name="悪い 2 2" xfId="136" xr:uid="{00000000-0005-0000-0000-00009D000000}"/>
    <cellStyle name="悪い 3" xfId="137" xr:uid="{00000000-0005-0000-0000-00009E000000}"/>
    <cellStyle name="悪い 4" xfId="327" xr:uid="{00000000-0005-0000-0000-00009F000000}"/>
    <cellStyle name="計算" xfId="32" builtinId="22" customBuiltin="1"/>
    <cellStyle name="計算 2" xfId="138" xr:uid="{00000000-0005-0000-0000-0000A1000000}"/>
    <cellStyle name="計算 2 2" xfId="139" xr:uid="{00000000-0005-0000-0000-0000A2000000}"/>
    <cellStyle name="計算 2 2 2" xfId="457" xr:uid="{00000000-0005-0000-0000-0000A3000000}"/>
    <cellStyle name="計算 2 3" xfId="456" xr:uid="{00000000-0005-0000-0000-0000A4000000}"/>
    <cellStyle name="計算 3" xfId="140" xr:uid="{00000000-0005-0000-0000-0000A5000000}"/>
    <cellStyle name="計算 3 2" xfId="458" xr:uid="{00000000-0005-0000-0000-0000A6000000}"/>
    <cellStyle name="計算 4" xfId="328" xr:uid="{00000000-0005-0000-0000-0000A7000000}"/>
    <cellStyle name="計算 4 2" xfId="446" xr:uid="{00000000-0005-0000-0000-0000A8000000}"/>
    <cellStyle name="警告文" xfId="33" builtinId="11" customBuiltin="1"/>
    <cellStyle name="警告文 2" xfId="141" xr:uid="{00000000-0005-0000-0000-0000AA000000}"/>
    <cellStyle name="警告文 2 2" xfId="142" xr:uid="{00000000-0005-0000-0000-0000AB000000}"/>
    <cellStyle name="警告文 3" xfId="143" xr:uid="{00000000-0005-0000-0000-0000AC000000}"/>
    <cellStyle name="警告文 4" xfId="329" xr:uid="{00000000-0005-0000-0000-0000AD000000}"/>
    <cellStyle name="桁区切り" xfId="281" builtinId="6"/>
    <cellStyle name="桁区切り 2" xfId="34" xr:uid="{00000000-0005-0000-0000-0000AF000000}"/>
    <cellStyle name="桁区切り 2 2" xfId="144" xr:uid="{00000000-0005-0000-0000-0000B0000000}"/>
    <cellStyle name="桁区切り 2 3" xfId="145" xr:uid="{00000000-0005-0000-0000-0000B1000000}"/>
    <cellStyle name="桁区切り 2 4" xfId="146" xr:uid="{00000000-0005-0000-0000-0000B2000000}"/>
    <cellStyle name="桁区切り 2 5" xfId="286" xr:uid="{00000000-0005-0000-0000-0000B3000000}"/>
    <cellStyle name="桁区切り 2 5 2" xfId="439" xr:uid="{00000000-0005-0000-0000-0000B4000000}"/>
    <cellStyle name="桁区切り 3" xfId="147" xr:uid="{00000000-0005-0000-0000-0000B5000000}"/>
    <cellStyle name="桁区切り 4" xfId="148" xr:uid="{00000000-0005-0000-0000-0000B6000000}"/>
    <cellStyle name="桁区切り 5" xfId="149" xr:uid="{00000000-0005-0000-0000-0000B7000000}"/>
    <cellStyle name="桁区切り 6" xfId="290" xr:uid="{00000000-0005-0000-0000-0000B8000000}"/>
    <cellStyle name="桁区切り 6 2" xfId="442" xr:uid="{00000000-0005-0000-0000-0000B9000000}"/>
    <cellStyle name="桁区切り 7" xfId="295" xr:uid="{00000000-0005-0000-0000-0000BA000000}"/>
    <cellStyle name="桁区切り 7 2" xfId="450" xr:uid="{00000000-0005-0000-0000-0000BB000000}"/>
    <cellStyle name="桁区切り 7 3" xfId="436" xr:uid="{00000000-0005-0000-0000-0000BC000000}"/>
    <cellStyle name="見出し 1" xfId="35" builtinId="16" customBuiltin="1"/>
    <cellStyle name="見出し 1 2" xfId="150" xr:uid="{00000000-0005-0000-0000-0000BE000000}"/>
    <cellStyle name="見出し 1 3" xfId="330" xr:uid="{00000000-0005-0000-0000-0000BF000000}"/>
    <cellStyle name="見出し 2" xfId="36" builtinId="17" customBuiltin="1"/>
    <cellStyle name="見出し 2 2" xfId="151" xr:uid="{00000000-0005-0000-0000-0000C1000000}"/>
    <cellStyle name="見出し 2 3" xfId="331" xr:uid="{00000000-0005-0000-0000-0000C2000000}"/>
    <cellStyle name="見出し 3" xfId="37" builtinId="18" customBuiltin="1"/>
    <cellStyle name="見出し 3 2" xfId="152" xr:uid="{00000000-0005-0000-0000-0000C4000000}"/>
    <cellStyle name="見出し 3 3" xfId="332" xr:uid="{00000000-0005-0000-0000-0000C5000000}"/>
    <cellStyle name="見出し 4" xfId="38" builtinId="19" customBuiltin="1"/>
    <cellStyle name="見出し 4 2" xfId="153" xr:uid="{00000000-0005-0000-0000-0000C7000000}"/>
    <cellStyle name="見出し 4 3" xfId="333" xr:uid="{00000000-0005-0000-0000-0000C8000000}"/>
    <cellStyle name="集計" xfId="39" builtinId="25" customBuiltin="1"/>
    <cellStyle name="集計 2" xfId="154" xr:uid="{00000000-0005-0000-0000-0000CA000000}"/>
    <cellStyle name="集計 2 2" xfId="155" xr:uid="{00000000-0005-0000-0000-0000CB000000}"/>
    <cellStyle name="集計 2 2 2" xfId="460" xr:uid="{00000000-0005-0000-0000-0000CC000000}"/>
    <cellStyle name="集計 2 3" xfId="459" xr:uid="{00000000-0005-0000-0000-0000CD000000}"/>
    <cellStyle name="集計 3" xfId="156" xr:uid="{00000000-0005-0000-0000-0000CE000000}"/>
    <cellStyle name="集計 3 2" xfId="461" xr:uid="{00000000-0005-0000-0000-0000CF000000}"/>
    <cellStyle name="集計 4" xfId="334" xr:uid="{00000000-0005-0000-0000-0000D0000000}"/>
    <cellStyle name="集計 4 2" xfId="448" xr:uid="{00000000-0005-0000-0000-0000D1000000}"/>
    <cellStyle name="出力" xfId="40" builtinId="21" customBuiltin="1"/>
    <cellStyle name="出力 2" xfId="157" xr:uid="{00000000-0005-0000-0000-0000D3000000}"/>
    <cellStyle name="出力 2 2" xfId="158" xr:uid="{00000000-0005-0000-0000-0000D4000000}"/>
    <cellStyle name="出力 2 2 2" xfId="463" xr:uid="{00000000-0005-0000-0000-0000D5000000}"/>
    <cellStyle name="出力 2 3" xfId="462" xr:uid="{00000000-0005-0000-0000-0000D6000000}"/>
    <cellStyle name="出力 3" xfId="159" xr:uid="{00000000-0005-0000-0000-0000D7000000}"/>
    <cellStyle name="出力 3 2" xfId="464" xr:uid="{00000000-0005-0000-0000-0000D8000000}"/>
    <cellStyle name="出力 4" xfId="335" xr:uid="{00000000-0005-0000-0000-0000D9000000}"/>
    <cellStyle name="出力 4 2" xfId="451" xr:uid="{00000000-0005-0000-0000-0000DA000000}"/>
    <cellStyle name="説明文" xfId="41" builtinId="53" customBuiltin="1"/>
    <cellStyle name="説明文 2" xfId="160" xr:uid="{00000000-0005-0000-0000-0000DC000000}"/>
    <cellStyle name="説明文 2 2" xfId="161" xr:uid="{00000000-0005-0000-0000-0000DD000000}"/>
    <cellStyle name="説明文 3" xfId="162" xr:uid="{00000000-0005-0000-0000-0000DE000000}"/>
    <cellStyle name="説明文 4" xfId="336" xr:uid="{00000000-0005-0000-0000-0000DF000000}"/>
    <cellStyle name="通貨" xfId="279" builtinId="7"/>
    <cellStyle name="通貨 2" xfId="434" xr:uid="{00000000-0005-0000-0000-0000E1000000}"/>
    <cellStyle name="通貨 2 2" xfId="447" xr:uid="{00000000-0005-0000-0000-0000E2000000}"/>
    <cellStyle name="入力" xfId="42" builtinId="20" customBuiltin="1"/>
    <cellStyle name="入力 2" xfId="163" xr:uid="{00000000-0005-0000-0000-0000E4000000}"/>
    <cellStyle name="入力 2 2" xfId="164" xr:uid="{00000000-0005-0000-0000-0000E5000000}"/>
    <cellStyle name="入力 2 2 2" xfId="466" xr:uid="{00000000-0005-0000-0000-0000E6000000}"/>
    <cellStyle name="入力 2 3" xfId="465" xr:uid="{00000000-0005-0000-0000-0000E7000000}"/>
    <cellStyle name="入力 3" xfId="165" xr:uid="{00000000-0005-0000-0000-0000E8000000}"/>
    <cellStyle name="入力 3 2" xfId="467" xr:uid="{00000000-0005-0000-0000-0000E9000000}"/>
    <cellStyle name="入力 4" xfId="337" xr:uid="{00000000-0005-0000-0000-0000EA000000}"/>
    <cellStyle name="入力 4 2" xfId="452" xr:uid="{00000000-0005-0000-0000-0000EB000000}"/>
    <cellStyle name="標準" xfId="0" builtinId="0"/>
    <cellStyle name="標準 10" xfId="166" xr:uid="{00000000-0005-0000-0000-0000ED000000}"/>
    <cellStyle name="標準 10 2" xfId="167" xr:uid="{00000000-0005-0000-0000-0000EE000000}"/>
    <cellStyle name="標準 10 2 2" xfId="168" xr:uid="{00000000-0005-0000-0000-0000EF000000}"/>
    <cellStyle name="標準 10 2 2 2" xfId="342" xr:uid="{00000000-0005-0000-0000-0000F0000000}"/>
    <cellStyle name="標準 10 2 3" xfId="341" xr:uid="{00000000-0005-0000-0000-0000F1000000}"/>
    <cellStyle name="標準 10 3" xfId="169" xr:uid="{00000000-0005-0000-0000-0000F2000000}"/>
    <cellStyle name="標準 10 3 2" xfId="170" xr:uid="{00000000-0005-0000-0000-0000F3000000}"/>
    <cellStyle name="標準 10 3 2 2" xfId="344" xr:uid="{00000000-0005-0000-0000-0000F4000000}"/>
    <cellStyle name="標準 10 3 3" xfId="343" xr:uid="{00000000-0005-0000-0000-0000F5000000}"/>
    <cellStyle name="標準 10 4" xfId="171" xr:uid="{00000000-0005-0000-0000-0000F6000000}"/>
    <cellStyle name="標準 10 4 2" xfId="345" xr:uid="{00000000-0005-0000-0000-0000F7000000}"/>
    <cellStyle name="標準 10 5" xfId="340" xr:uid="{00000000-0005-0000-0000-0000F8000000}"/>
    <cellStyle name="標準 11" xfId="172" xr:uid="{00000000-0005-0000-0000-0000F9000000}"/>
    <cellStyle name="標準 12" xfId="173" xr:uid="{00000000-0005-0000-0000-0000FA000000}"/>
    <cellStyle name="標準 12 2" xfId="174" xr:uid="{00000000-0005-0000-0000-0000FB000000}"/>
    <cellStyle name="標準 12 2 2" xfId="175" xr:uid="{00000000-0005-0000-0000-0000FC000000}"/>
    <cellStyle name="標準 12 2 2 2" xfId="348" xr:uid="{00000000-0005-0000-0000-0000FD000000}"/>
    <cellStyle name="標準 12 2 3" xfId="347" xr:uid="{00000000-0005-0000-0000-0000FE000000}"/>
    <cellStyle name="標準 12 3" xfId="176" xr:uid="{00000000-0005-0000-0000-0000FF000000}"/>
    <cellStyle name="標準 12 3 2" xfId="349" xr:uid="{00000000-0005-0000-0000-000000010000}"/>
    <cellStyle name="標準 12 4" xfId="346" xr:uid="{00000000-0005-0000-0000-000001010000}"/>
    <cellStyle name="標準 13" xfId="177" xr:uid="{00000000-0005-0000-0000-000002010000}"/>
    <cellStyle name="標準 14" xfId="178" xr:uid="{00000000-0005-0000-0000-000003010000}"/>
    <cellStyle name="標準 14 2" xfId="350" xr:uid="{00000000-0005-0000-0000-000004010000}"/>
    <cellStyle name="標準 15" xfId="179" xr:uid="{00000000-0005-0000-0000-000005010000}"/>
    <cellStyle name="標準 16" xfId="289" xr:uid="{00000000-0005-0000-0000-000006010000}"/>
    <cellStyle name="標準 16 2" xfId="441" xr:uid="{00000000-0005-0000-0000-000007010000}"/>
    <cellStyle name="標準 17" xfId="291" xr:uid="{00000000-0005-0000-0000-000008010000}"/>
    <cellStyle name="標準 17 2" xfId="292" xr:uid="{00000000-0005-0000-0000-000009010000}"/>
    <cellStyle name="標準 17 2 2" xfId="444" xr:uid="{00000000-0005-0000-0000-00000A010000}"/>
    <cellStyle name="標準 17 3" xfId="443" xr:uid="{00000000-0005-0000-0000-00000B010000}"/>
    <cellStyle name="標準 18" xfId="294" xr:uid="{00000000-0005-0000-0000-00000C010000}"/>
    <cellStyle name="標準 18 2" xfId="449" xr:uid="{00000000-0005-0000-0000-00000D010000}"/>
    <cellStyle name="標準 18 3" xfId="297" xr:uid="{00000000-0005-0000-0000-00000E010000}"/>
    <cellStyle name="標準 19" xfId="296" xr:uid="{00000000-0005-0000-0000-00000F010000}"/>
    <cellStyle name="標準 2" xfId="43" xr:uid="{00000000-0005-0000-0000-000010010000}"/>
    <cellStyle name="標準 2 2" xfId="47" xr:uid="{00000000-0005-0000-0000-000011010000}"/>
    <cellStyle name="標準 2 2 2" xfId="180" xr:uid="{00000000-0005-0000-0000-000012010000}"/>
    <cellStyle name="標準 2 2 2 2" xfId="287" xr:uid="{00000000-0005-0000-0000-000013010000}"/>
    <cellStyle name="標準 2 2 3" xfId="181" xr:uid="{00000000-0005-0000-0000-000014010000}"/>
    <cellStyle name="標準 2 2 3 2" xfId="182" xr:uid="{00000000-0005-0000-0000-000015010000}"/>
    <cellStyle name="標準 2 2 4" xfId="285" xr:uid="{00000000-0005-0000-0000-000016010000}"/>
    <cellStyle name="標準 2 2 5" xfId="293" xr:uid="{00000000-0005-0000-0000-000017010000}"/>
    <cellStyle name="標準 2 3" xfId="183" xr:uid="{00000000-0005-0000-0000-000018010000}"/>
    <cellStyle name="標準 2 4" xfId="184" xr:uid="{00000000-0005-0000-0000-000019010000}"/>
    <cellStyle name="標準 2 5" xfId="185" xr:uid="{00000000-0005-0000-0000-00001A010000}"/>
    <cellStyle name="標準 2 5 2" xfId="351" xr:uid="{00000000-0005-0000-0000-00001B010000}"/>
    <cellStyle name="標準 2 6" xfId="186" xr:uid="{00000000-0005-0000-0000-00001C010000}"/>
    <cellStyle name="標準 2_【H23】05 立入日時確定連絡書" xfId="187" xr:uid="{00000000-0005-0000-0000-00001D010000}"/>
    <cellStyle name="標準 3" xfId="46" xr:uid="{00000000-0005-0000-0000-00001E010000}"/>
    <cellStyle name="標準 3 2" xfId="188" xr:uid="{00000000-0005-0000-0000-00001F010000}"/>
    <cellStyle name="標準 3 3" xfId="339" xr:uid="{00000000-0005-0000-0000-000020010000}"/>
    <cellStyle name="標準 4" xfId="189" xr:uid="{00000000-0005-0000-0000-000021010000}"/>
    <cellStyle name="標準 4 2" xfId="190" xr:uid="{00000000-0005-0000-0000-000022010000}"/>
    <cellStyle name="標準 4 2 2" xfId="191" xr:uid="{00000000-0005-0000-0000-000023010000}"/>
    <cellStyle name="標準 4 3" xfId="284" xr:uid="{00000000-0005-0000-0000-000024010000}"/>
    <cellStyle name="標準 4 3 2" xfId="438" xr:uid="{00000000-0005-0000-0000-000025010000}"/>
    <cellStyle name="標準 5" xfId="192" xr:uid="{00000000-0005-0000-0000-000026010000}"/>
    <cellStyle name="標準 5 2" xfId="193" xr:uid="{00000000-0005-0000-0000-000027010000}"/>
    <cellStyle name="標準 5 2 2" xfId="194" xr:uid="{00000000-0005-0000-0000-000028010000}"/>
    <cellStyle name="標準 5 2 2 2" xfId="195" xr:uid="{00000000-0005-0000-0000-000029010000}"/>
    <cellStyle name="標準 5 2 2 2 2" xfId="196" xr:uid="{00000000-0005-0000-0000-00002A010000}"/>
    <cellStyle name="標準 5 2 2 2 2 2" xfId="197" xr:uid="{00000000-0005-0000-0000-00002B010000}"/>
    <cellStyle name="標準 5 2 2 2 2 2 2" xfId="356" xr:uid="{00000000-0005-0000-0000-00002C010000}"/>
    <cellStyle name="標準 5 2 2 2 2 3" xfId="355" xr:uid="{00000000-0005-0000-0000-00002D010000}"/>
    <cellStyle name="標準 5 2 2 2 3" xfId="198" xr:uid="{00000000-0005-0000-0000-00002E010000}"/>
    <cellStyle name="標準 5 2 2 2 3 2" xfId="357" xr:uid="{00000000-0005-0000-0000-00002F010000}"/>
    <cellStyle name="標準 5 2 2 2 4" xfId="354" xr:uid="{00000000-0005-0000-0000-000030010000}"/>
    <cellStyle name="標準 5 2 2 3" xfId="199" xr:uid="{00000000-0005-0000-0000-000031010000}"/>
    <cellStyle name="標準 5 2 2 3 2" xfId="200" xr:uid="{00000000-0005-0000-0000-000032010000}"/>
    <cellStyle name="標準 5 2 2 3 2 2" xfId="359" xr:uid="{00000000-0005-0000-0000-000033010000}"/>
    <cellStyle name="標準 5 2 2 3 3" xfId="358" xr:uid="{00000000-0005-0000-0000-000034010000}"/>
    <cellStyle name="標準 5 2 2 4" xfId="201" xr:uid="{00000000-0005-0000-0000-000035010000}"/>
    <cellStyle name="標準 5 2 2 4 2" xfId="360" xr:uid="{00000000-0005-0000-0000-000036010000}"/>
    <cellStyle name="標準 5 2 2 5" xfId="353" xr:uid="{00000000-0005-0000-0000-000037010000}"/>
    <cellStyle name="標準 5 2 3" xfId="202" xr:uid="{00000000-0005-0000-0000-000038010000}"/>
    <cellStyle name="標準 5 2 3 2" xfId="203" xr:uid="{00000000-0005-0000-0000-000039010000}"/>
    <cellStyle name="標準 5 2 3 2 2" xfId="204" xr:uid="{00000000-0005-0000-0000-00003A010000}"/>
    <cellStyle name="標準 5 2 3 2 2 2" xfId="205" xr:uid="{00000000-0005-0000-0000-00003B010000}"/>
    <cellStyle name="標準 5 2 3 2 2 2 2" xfId="364" xr:uid="{00000000-0005-0000-0000-00003C010000}"/>
    <cellStyle name="標準 5 2 3 2 2 3" xfId="363" xr:uid="{00000000-0005-0000-0000-00003D010000}"/>
    <cellStyle name="標準 5 2 3 2 3" xfId="206" xr:uid="{00000000-0005-0000-0000-00003E010000}"/>
    <cellStyle name="標準 5 2 3 2 3 2" xfId="365" xr:uid="{00000000-0005-0000-0000-00003F010000}"/>
    <cellStyle name="標準 5 2 3 2 4" xfId="362" xr:uid="{00000000-0005-0000-0000-000040010000}"/>
    <cellStyle name="標準 5 2 3 3" xfId="207" xr:uid="{00000000-0005-0000-0000-000041010000}"/>
    <cellStyle name="標準 5 2 3 3 2" xfId="208" xr:uid="{00000000-0005-0000-0000-000042010000}"/>
    <cellStyle name="標準 5 2 3 3 2 2" xfId="367" xr:uid="{00000000-0005-0000-0000-000043010000}"/>
    <cellStyle name="標準 5 2 3 3 3" xfId="366" xr:uid="{00000000-0005-0000-0000-000044010000}"/>
    <cellStyle name="標準 5 2 3 4" xfId="209" xr:uid="{00000000-0005-0000-0000-000045010000}"/>
    <cellStyle name="標準 5 2 3 4 2" xfId="368" xr:uid="{00000000-0005-0000-0000-000046010000}"/>
    <cellStyle name="標準 5 2 3 5" xfId="361" xr:uid="{00000000-0005-0000-0000-000047010000}"/>
    <cellStyle name="標準 5 2 4" xfId="210" xr:uid="{00000000-0005-0000-0000-000048010000}"/>
    <cellStyle name="標準 5 2 4 2" xfId="211" xr:uid="{00000000-0005-0000-0000-000049010000}"/>
    <cellStyle name="標準 5 2 4 2 2" xfId="212" xr:uid="{00000000-0005-0000-0000-00004A010000}"/>
    <cellStyle name="標準 5 2 4 2 2 2" xfId="213" xr:uid="{00000000-0005-0000-0000-00004B010000}"/>
    <cellStyle name="標準 5 2 4 2 2 2 2" xfId="372" xr:uid="{00000000-0005-0000-0000-00004C010000}"/>
    <cellStyle name="標準 5 2 4 2 2 3" xfId="371" xr:uid="{00000000-0005-0000-0000-00004D010000}"/>
    <cellStyle name="標準 5 2 4 2 3" xfId="214" xr:uid="{00000000-0005-0000-0000-00004E010000}"/>
    <cellStyle name="標準 5 2 4 2 3 2" xfId="373" xr:uid="{00000000-0005-0000-0000-00004F010000}"/>
    <cellStyle name="標準 5 2 4 2 4" xfId="370" xr:uid="{00000000-0005-0000-0000-000050010000}"/>
    <cellStyle name="標準 5 2 4 3" xfId="215" xr:uid="{00000000-0005-0000-0000-000051010000}"/>
    <cellStyle name="標準 5 2 4 3 2" xfId="216" xr:uid="{00000000-0005-0000-0000-000052010000}"/>
    <cellStyle name="標準 5 2 4 3 2 2" xfId="375" xr:uid="{00000000-0005-0000-0000-000053010000}"/>
    <cellStyle name="標準 5 2 4 3 3" xfId="374" xr:uid="{00000000-0005-0000-0000-000054010000}"/>
    <cellStyle name="標準 5 2 4 4" xfId="217" xr:uid="{00000000-0005-0000-0000-000055010000}"/>
    <cellStyle name="標準 5 2 4 4 2" xfId="376" xr:uid="{00000000-0005-0000-0000-000056010000}"/>
    <cellStyle name="標準 5 2 4 5" xfId="369" xr:uid="{00000000-0005-0000-0000-000057010000}"/>
    <cellStyle name="標準 5 2 5" xfId="218" xr:uid="{00000000-0005-0000-0000-000058010000}"/>
    <cellStyle name="標準 5 2 5 2" xfId="219" xr:uid="{00000000-0005-0000-0000-000059010000}"/>
    <cellStyle name="標準 5 2 5 2 2" xfId="220" xr:uid="{00000000-0005-0000-0000-00005A010000}"/>
    <cellStyle name="標準 5 2 5 2 2 2" xfId="379" xr:uid="{00000000-0005-0000-0000-00005B010000}"/>
    <cellStyle name="標準 5 2 5 2 3" xfId="378" xr:uid="{00000000-0005-0000-0000-00005C010000}"/>
    <cellStyle name="標準 5 2 5 3" xfId="221" xr:uid="{00000000-0005-0000-0000-00005D010000}"/>
    <cellStyle name="標準 5 2 5 3 2" xfId="380" xr:uid="{00000000-0005-0000-0000-00005E010000}"/>
    <cellStyle name="標準 5 2 5 4" xfId="377" xr:uid="{00000000-0005-0000-0000-00005F010000}"/>
    <cellStyle name="標準 5 2 6" xfId="222" xr:uid="{00000000-0005-0000-0000-000060010000}"/>
    <cellStyle name="標準 5 2 6 2" xfId="223" xr:uid="{00000000-0005-0000-0000-000061010000}"/>
    <cellStyle name="標準 5 2 6 2 2" xfId="224" xr:uid="{00000000-0005-0000-0000-000062010000}"/>
    <cellStyle name="標準 5 2 6 2 2 2" xfId="383" xr:uid="{00000000-0005-0000-0000-000063010000}"/>
    <cellStyle name="標準 5 2 6 2 3" xfId="382" xr:uid="{00000000-0005-0000-0000-000064010000}"/>
    <cellStyle name="標準 5 2 6 3" xfId="225" xr:uid="{00000000-0005-0000-0000-000065010000}"/>
    <cellStyle name="標準 5 2 6 3 2" xfId="384" xr:uid="{00000000-0005-0000-0000-000066010000}"/>
    <cellStyle name="標準 5 2 6 4" xfId="381" xr:uid="{00000000-0005-0000-0000-000067010000}"/>
    <cellStyle name="標準 5 2 7" xfId="226" xr:uid="{00000000-0005-0000-0000-000068010000}"/>
    <cellStyle name="標準 5 2 7 2" xfId="227" xr:uid="{00000000-0005-0000-0000-000069010000}"/>
    <cellStyle name="標準 5 2 7 2 2" xfId="386" xr:uid="{00000000-0005-0000-0000-00006A010000}"/>
    <cellStyle name="標準 5 2 7 3" xfId="385" xr:uid="{00000000-0005-0000-0000-00006B010000}"/>
    <cellStyle name="標準 5 2 8" xfId="228" xr:uid="{00000000-0005-0000-0000-00006C010000}"/>
    <cellStyle name="標準 5 2 8 2" xfId="387" xr:uid="{00000000-0005-0000-0000-00006D010000}"/>
    <cellStyle name="標準 5 2 9" xfId="352" xr:uid="{00000000-0005-0000-0000-00006E010000}"/>
    <cellStyle name="標準 5 3" xfId="229" xr:uid="{00000000-0005-0000-0000-00006F010000}"/>
    <cellStyle name="標準 5 3 2" xfId="230" xr:uid="{00000000-0005-0000-0000-000070010000}"/>
    <cellStyle name="標準 5 3 2 2" xfId="231" xr:uid="{00000000-0005-0000-0000-000071010000}"/>
    <cellStyle name="標準 5 3 2 2 2" xfId="232" xr:uid="{00000000-0005-0000-0000-000072010000}"/>
    <cellStyle name="標準 5 3 2 2 2 2" xfId="391" xr:uid="{00000000-0005-0000-0000-000073010000}"/>
    <cellStyle name="標準 5 3 2 2 3" xfId="390" xr:uid="{00000000-0005-0000-0000-000074010000}"/>
    <cellStyle name="標準 5 3 2 3" xfId="233" xr:uid="{00000000-0005-0000-0000-000075010000}"/>
    <cellStyle name="標準 5 3 2 3 2" xfId="392" xr:uid="{00000000-0005-0000-0000-000076010000}"/>
    <cellStyle name="標準 5 3 2 4" xfId="389" xr:uid="{00000000-0005-0000-0000-000077010000}"/>
    <cellStyle name="標準 5 3 3" xfId="234" xr:uid="{00000000-0005-0000-0000-000078010000}"/>
    <cellStyle name="標準 5 3 3 2" xfId="235" xr:uid="{00000000-0005-0000-0000-000079010000}"/>
    <cellStyle name="標準 5 3 3 2 2" xfId="394" xr:uid="{00000000-0005-0000-0000-00007A010000}"/>
    <cellStyle name="標準 5 3 3 3" xfId="393" xr:uid="{00000000-0005-0000-0000-00007B010000}"/>
    <cellStyle name="標準 5 3 4" xfId="236" xr:uid="{00000000-0005-0000-0000-00007C010000}"/>
    <cellStyle name="標準 5 3 4 2" xfId="395" xr:uid="{00000000-0005-0000-0000-00007D010000}"/>
    <cellStyle name="標準 5 3 5" xfId="388" xr:uid="{00000000-0005-0000-0000-00007E010000}"/>
    <cellStyle name="標準 5 4" xfId="237" xr:uid="{00000000-0005-0000-0000-00007F010000}"/>
    <cellStyle name="標準 5 4 2" xfId="238" xr:uid="{00000000-0005-0000-0000-000080010000}"/>
    <cellStyle name="標準 5 4 2 2" xfId="239" xr:uid="{00000000-0005-0000-0000-000081010000}"/>
    <cellStyle name="標準 5 4 2 2 2" xfId="240" xr:uid="{00000000-0005-0000-0000-000082010000}"/>
    <cellStyle name="標準 5 4 2 2 2 2" xfId="399" xr:uid="{00000000-0005-0000-0000-000083010000}"/>
    <cellStyle name="標準 5 4 2 2 3" xfId="398" xr:uid="{00000000-0005-0000-0000-000084010000}"/>
    <cellStyle name="標準 5 4 2 3" xfId="241" xr:uid="{00000000-0005-0000-0000-000085010000}"/>
    <cellStyle name="標準 5 4 2 3 2" xfId="400" xr:uid="{00000000-0005-0000-0000-000086010000}"/>
    <cellStyle name="標準 5 4 2 4" xfId="397" xr:uid="{00000000-0005-0000-0000-000087010000}"/>
    <cellStyle name="標準 5 4 3" xfId="242" xr:uid="{00000000-0005-0000-0000-000088010000}"/>
    <cellStyle name="標準 5 4 3 2" xfId="243" xr:uid="{00000000-0005-0000-0000-000089010000}"/>
    <cellStyle name="標準 5 4 3 2 2" xfId="402" xr:uid="{00000000-0005-0000-0000-00008A010000}"/>
    <cellStyle name="標準 5 4 3 3" xfId="401" xr:uid="{00000000-0005-0000-0000-00008B010000}"/>
    <cellStyle name="標準 5 4 4" xfId="244" xr:uid="{00000000-0005-0000-0000-00008C010000}"/>
    <cellStyle name="標準 5 4 4 2" xfId="403" xr:uid="{00000000-0005-0000-0000-00008D010000}"/>
    <cellStyle name="標準 5 4 5" xfId="396" xr:uid="{00000000-0005-0000-0000-00008E010000}"/>
    <cellStyle name="標準 5 5" xfId="245" xr:uid="{00000000-0005-0000-0000-00008F010000}"/>
    <cellStyle name="標準 5 5 2" xfId="246" xr:uid="{00000000-0005-0000-0000-000090010000}"/>
    <cellStyle name="標準 5 5 2 2" xfId="247" xr:uid="{00000000-0005-0000-0000-000091010000}"/>
    <cellStyle name="標準 5 5 2 2 2" xfId="248" xr:uid="{00000000-0005-0000-0000-000092010000}"/>
    <cellStyle name="標準 5 5 2 2 2 2" xfId="407" xr:uid="{00000000-0005-0000-0000-000093010000}"/>
    <cellStyle name="標準 5 5 2 2 3" xfId="406" xr:uid="{00000000-0005-0000-0000-000094010000}"/>
    <cellStyle name="標準 5 5 2 3" xfId="249" xr:uid="{00000000-0005-0000-0000-000095010000}"/>
    <cellStyle name="標準 5 5 2 3 2" xfId="408" xr:uid="{00000000-0005-0000-0000-000096010000}"/>
    <cellStyle name="標準 5 5 2 4" xfId="405" xr:uid="{00000000-0005-0000-0000-000097010000}"/>
    <cellStyle name="標準 5 5 3" xfId="250" xr:uid="{00000000-0005-0000-0000-000098010000}"/>
    <cellStyle name="標準 5 5 3 2" xfId="251" xr:uid="{00000000-0005-0000-0000-000099010000}"/>
    <cellStyle name="標準 5 5 3 2 2" xfId="410" xr:uid="{00000000-0005-0000-0000-00009A010000}"/>
    <cellStyle name="標準 5 5 3 3" xfId="409" xr:uid="{00000000-0005-0000-0000-00009B010000}"/>
    <cellStyle name="標準 5 5 4" xfId="252" xr:uid="{00000000-0005-0000-0000-00009C010000}"/>
    <cellStyle name="標準 5 5 4 2" xfId="411" xr:uid="{00000000-0005-0000-0000-00009D010000}"/>
    <cellStyle name="標準 5 5 5" xfId="404" xr:uid="{00000000-0005-0000-0000-00009E010000}"/>
    <cellStyle name="標準 5 6" xfId="253" xr:uid="{00000000-0005-0000-0000-00009F010000}"/>
    <cellStyle name="標準 5 6 2" xfId="254" xr:uid="{00000000-0005-0000-0000-0000A0010000}"/>
    <cellStyle name="標準 5 6 2 2" xfId="255" xr:uid="{00000000-0005-0000-0000-0000A1010000}"/>
    <cellStyle name="標準 5 6 2 2 2" xfId="414" xr:uid="{00000000-0005-0000-0000-0000A2010000}"/>
    <cellStyle name="標準 5 6 2 3" xfId="413" xr:uid="{00000000-0005-0000-0000-0000A3010000}"/>
    <cellStyle name="標準 5 6 3" xfId="256" xr:uid="{00000000-0005-0000-0000-0000A4010000}"/>
    <cellStyle name="標準 5 6 3 2" xfId="415" xr:uid="{00000000-0005-0000-0000-0000A5010000}"/>
    <cellStyle name="標準 5 6 4" xfId="412" xr:uid="{00000000-0005-0000-0000-0000A6010000}"/>
    <cellStyle name="標準 5 7" xfId="257" xr:uid="{00000000-0005-0000-0000-0000A7010000}"/>
    <cellStyle name="標準 5 7 2" xfId="258" xr:uid="{00000000-0005-0000-0000-0000A8010000}"/>
    <cellStyle name="標準 5 7 2 2" xfId="417" xr:uid="{00000000-0005-0000-0000-0000A9010000}"/>
    <cellStyle name="標準 5 7 3" xfId="416" xr:uid="{00000000-0005-0000-0000-0000AA010000}"/>
    <cellStyle name="標準 5 8" xfId="283" xr:uid="{00000000-0005-0000-0000-0000AB010000}"/>
    <cellStyle name="標準 5 8 2" xfId="437" xr:uid="{00000000-0005-0000-0000-0000AC010000}"/>
    <cellStyle name="標準 6" xfId="259" xr:uid="{00000000-0005-0000-0000-0000AD010000}"/>
    <cellStyle name="標準 7" xfId="260" xr:uid="{00000000-0005-0000-0000-0000AE010000}"/>
    <cellStyle name="標準 7 2" xfId="261" xr:uid="{00000000-0005-0000-0000-0000AF010000}"/>
    <cellStyle name="標準 7 2 2" xfId="262" xr:uid="{00000000-0005-0000-0000-0000B0010000}"/>
    <cellStyle name="標準 7 2 2 2" xfId="420" xr:uid="{00000000-0005-0000-0000-0000B1010000}"/>
    <cellStyle name="標準 7 2 3" xfId="419" xr:uid="{00000000-0005-0000-0000-0000B2010000}"/>
    <cellStyle name="標準 7 3" xfId="263" xr:uid="{00000000-0005-0000-0000-0000B3010000}"/>
    <cellStyle name="標準 7 3 2" xfId="264" xr:uid="{00000000-0005-0000-0000-0000B4010000}"/>
    <cellStyle name="標準 7 3 2 2" xfId="422" xr:uid="{00000000-0005-0000-0000-0000B5010000}"/>
    <cellStyle name="標準 7 3 3" xfId="421" xr:uid="{00000000-0005-0000-0000-0000B6010000}"/>
    <cellStyle name="標準 7 4" xfId="265" xr:uid="{00000000-0005-0000-0000-0000B7010000}"/>
    <cellStyle name="標準 7 4 2" xfId="423" xr:uid="{00000000-0005-0000-0000-0000B8010000}"/>
    <cellStyle name="標準 7 5" xfId="418" xr:uid="{00000000-0005-0000-0000-0000B9010000}"/>
    <cellStyle name="標準 8" xfId="266" xr:uid="{00000000-0005-0000-0000-0000BA010000}"/>
    <cellStyle name="標準 8 2" xfId="267" xr:uid="{00000000-0005-0000-0000-0000BB010000}"/>
    <cellStyle name="標準 8 2 2" xfId="268" xr:uid="{00000000-0005-0000-0000-0000BC010000}"/>
    <cellStyle name="標準 8 2 2 2" xfId="426" xr:uid="{00000000-0005-0000-0000-0000BD010000}"/>
    <cellStyle name="標準 8 2 3" xfId="425" xr:uid="{00000000-0005-0000-0000-0000BE010000}"/>
    <cellStyle name="標準 8 3" xfId="269" xr:uid="{00000000-0005-0000-0000-0000BF010000}"/>
    <cellStyle name="標準 8 3 2" xfId="427" xr:uid="{00000000-0005-0000-0000-0000C0010000}"/>
    <cellStyle name="標準 8 4" xfId="424" xr:uid="{00000000-0005-0000-0000-0000C1010000}"/>
    <cellStyle name="標準 9" xfId="270" xr:uid="{00000000-0005-0000-0000-0000C2010000}"/>
    <cellStyle name="標準 9 2" xfId="271" xr:uid="{00000000-0005-0000-0000-0000C3010000}"/>
    <cellStyle name="標準 9 2 2" xfId="272" xr:uid="{00000000-0005-0000-0000-0000C4010000}"/>
    <cellStyle name="標準 9 2 2 2" xfId="430" xr:uid="{00000000-0005-0000-0000-0000C5010000}"/>
    <cellStyle name="標準 9 2 3" xfId="429" xr:uid="{00000000-0005-0000-0000-0000C6010000}"/>
    <cellStyle name="標準 9 3" xfId="273" xr:uid="{00000000-0005-0000-0000-0000C7010000}"/>
    <cellStyle name="標準 9 3 2" xfId="274" xr:uid="{00000000-0005-0000-0000-0000C8010000}"/>
    <cellStyle name="標準 9 3 2 2" xfId="432" xr:uid="{00000000-0005-0000-0000-0000C9010000}"/>
    <cellStyle name="標準 9 3 3" xfId="431" xr:uid="{00000000-0005-0000-0000-0000CA010000}"/>
    <cellStyle name="標準 9 4" xfId="275" xr:uid="{00000000-0005-0000-0000-0000CB010000}"/>
    <cellStyle name="標準 9 4 2" xfId="433" xr:uid="{00000000-0005-0000-0000-0000CC010000}"/>
    <cellStyle name="標準 9 5" xfId="428" xr:uid="{00000000-0005-0000-0000-0000CD010000}"/>
    <cellStyle name="標準_01 地球温暖化対策計画書20090728" xfId="44" xr:uid="{00000000-0005-0000-0000-0000CE010000}"/>
    <cellStyle name="良い" xfId="45" builtinId="26" customBuiltin="1"/>
    <cellStyle name="良い 2" xfId="276" xr:uid="{00000000-0005-0000-0000-0000D0010000}"/>
    <cellStyle name="良い 2 2" xfId="277" xr:uid="{00000000-0005-0000-0000-0000D1010000}"/>
    <cellStyle name="良い 3" xfId="278" xr:uid="{00000000-0005-0000-0000-0000D2010000}"/>
    <cellStyle name="良い 4" xfId="338" xr:uid="{00000000-0005-0000-0000-0000D3010000}"/>
  </cellStyles>
  <dxfs count="940">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ont>
        <color auto="1"/>
      </font>
      <fill>
        <patternFill>
          <bgColor theme="0" tint="-0.14996795556505021"/>
        </patternFill>
      </fill>
    </dxf>
    <dxf>
      <font>
        <color theme="0" tint="-0.1499679555650502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99"/>
        </patternFill>
      </fill>
    </dxf>
    <dxf>
      <font>
        <color theme="0" tint="-0.14996795556505021"/>
      </font>
      <fill>
        <patternFill>
          <bgColor theme="0" tint="-0.14996795556505021"/>
        </patternFill>
      </fill>
    </dxf>
    <dxf>
      <fill>
        <patternFill>
          <bgColor rgb="FFFFFF99"/>
        </patternFill>
      </fill>
    </dxf>
    <dxf>
      <font>
        <color theme="0" tint="-0.14996795556505021"/>
      </font>
      <fill>
        <patternFill>
          <bgColor theme="0" tint="-0.14996795556505021"/>
        </patternFill>
      </fill>
    </dxf>
    <dxf>
      <fill>
        <patternFill>
          <bgColor rgb="FFFFFF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theme="1"/>
      </font>
      <fill>
        <patternFill patternType="none">
          <bgColor auto="1"/>
        </patternFill>
      </fill>
      <border>
        <left style="thin">
          <color auto="1"/>
        </left>
        <right style="thin">
          <color auto="1"/>
        </right>
        <top style="thin">
          <color auto="1"/>
        </top>
        <bottom style="thin">
          <color auto="1"/>
        </bottom>
        <vertical/>
        <horizontal/>
      </border>
    </dxf>
    <dxf>
      <font>
        <color theme="1"/>
      </font>
    </dxf>
    <dxf>
      <fill>
        <patternFill>
          <bgColor rgb="FFFFFF99"/>
        </patternFill>
      </fill>
    </dxf>
    <dxf>
      <font>
        <color theme="0" tint="-0.14996795556505021"/>
      </font>
      <fill>
        <patternFill>
          <bgColor theme="0" tint="-0.14996795556505021"/>
        </patternFill>
      </fill>
    </dxf>
    <dxf>
      <font>
        <b/>
        <i val="0"/>
        <color theme="1"/>
      </font>
    </dxf>
    <dxf>
      <fill>
        <patternFill>
          <bgColor rgb="FFCCFFCC"/>
        </patternFill>
      </fill>
    </dxf>
    <dxf>
      <fill>
        <patternFill>
          <bgColor rgb="FFCCFFCC"/>
        </patternFill>
      </fill>
    </dxf>
    <dxf>
      <font>
        <b/>
        <i val="0"/>
        <color theme="1"/>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EAEAEA"/>
        </patternFill>
      </fill>
    </dxf>
    <dxf>
      <fill>
        <patternFill>
          <bgColor rgb="FFEAEAEA"/>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ont>
        <b/>
        <i val="0"/>
        <color theme="1"/>
      </font>
    </dxf>
    <dxf>
      <fill>
        <patternFill>
          <bgColor rgb="FFFFFF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FF99"/>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99"/>
        </patternFill>
      </fill>
    </dxf>
    <dxf>
      <fill>
        <patternFill>
          <bgColor rgb="FFFFFF99"/>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499984740745262"/>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theme="0" tint="-0.499984740745262"/>
        </patternFill>
      </fill>
    </dxf>
    <dxf>
      <font>
        <color rgb="FF0070C0"/>
      </font>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0" tint="-0.499984740745262"/>
        </patternFill>
      </fill>
    </dxf>
    <dxf>
      <fill>
        <patternFill>
          <bgColor theme="0" tint="-0.499984740745262"/>
        </patternFill>
      </fill>
    </dxf>
    <dxf>
      <fill>
        <patternFill>
          <bgColor rgb="FFCCFFCC"/>
        </patternFill>
      </fill>
      <border>
        <left style="thin">
          <color auto="1"/>
        </left>
        <right style="thin">
          <color auto="1"/>
        </right>
        <top style="thin">
          <color auto="1"/>
        </top>
        <bottom style="thin">
          <color auto="1"/>
        </bottom>
      </border>
    </dxf>
    <dxf>
      <fill>
        <patternFill>
          <bgColor rgb="FFFFFF99"/>
        </patternFill>
      </fill>
    </dxf>
    <dxf>
      <fill>
        <patternFill>
          <bgColor rgb="FFFFFF99"/>
        </patternFill>
      </fill>
    </dxf>
    <dxf>
      <fill>
        <patternFill>
          <bgColor theme="0" tint="-0.499984740745262"/>
        </patternFill>
      </fill>
    </dxf>
    <dxf>
      <fill>
        <patternFill>
          <bgColor rgb="FFCCFFCC"/>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99"/>
        </patternFill>
      </fill>
    </dxf>
    <dxf>
      <fill>
        <patternFill>
          <bgColor rgb="FFFFFF00"/>
        </patternFill>
      </fill>
    </dxf>
    <dxf>
      <fill>
        <patternFill>
          <bgColor rgb="FFFF0000"/>
        </patternFill>
      </fill>
    </dxf>
    <dxf>
      <fill>
        <patternFill>
          <bgColor rgb="FFFF0000"/>
        </patternFill>
      </fill>
    </dxf>
    <dxf>
      <fill>
        <patternFill>
          <bgColor rgb="FFFF0000"/>
        </patternFill>
      </fill>
    </dxf>
    <dxf>
      <border>
        <left style="thin">
          <color auto="1"/>
        </left>
        <right style="thin">
          <color auto="1"/>
        </right>
        <top style="thin">
          <color auto="1"/>
        </top>
        <bottom style="thin">
          <color auto="1"/>
        </bottom>
        <vertical/>
        <horizontal/>
      </border>
    </dxf>
    <dxf>
      <font>
        <b/>
        <i val="0"/>
        <color rgb="FFFF0000"/>
      </font>
    </dxf>
    <dxf>
      <font>
        <color auto="1"/>
      </font>
      <fill>
        <patternFill>
          <bgColor theme="0"/>
        </patternFill>
      </fill>
    </dxf>
    <dxf>
      <fill>
        <patternFill>
          <bgColor rgb="FFCCFFCC"/>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dxf>
    <dxf>
      <font>
        <b/>
        <i val="0"/>
        <color rgb="FFFF0000"/>
      </font>
      <fill>
        <patternFill patternType="solid">
          <fgColor rgb="FFFFFF00"/>
          <bgColor rgb="FF66FFFF"/>
        </patternFill>
      </fill>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CCFFCC"/>
      <color rgb="FFFFFF99"/>
      <color rgb="FF66FFFF"/>
      <color rgb="FFFFFF66"/>
      <color rgb="FF000000"/>
      <color rgb="FFFFFFFF"/>
      <color rgb="FF99FF99"/>
      <color rgb="FF99FFCC"/>
      <color rgb="FFFFFFCC"/>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trlProps/ctrlProp1.xml><?xml version="1.0" encoding="utf-8"?>
<formControlPr xmlns="http://schemas.microsoft.com/office/spreadsheetml/2009/9/main" objectType="Radio" firstButton="1" fmlaLink="I14" noThreeD="1"/>
</file>

<file path=xl/ctrlProps/ctrlProp10.xml><?xml version="1.0" encoding="utf-8"?>
<formControlPr xmlns="http://schemas.microsoft.com/office/spreadsheetml/2009/9/main" objectType="CheckBox" fmlaLink="$P$7"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firstButton="1" fmlaLink="$R$33"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firstButton="1" fmlaLink="$Q$37"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fmlaLink="$P$8"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firstButton="1" fmlaLink="$R$37"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Radio" firstButton="1" fmlaLink="$Q$41"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CheckBox" fmlaLink="$P$9"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Radio" firstButton="1" fmlaLink="$R$41"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Radio" firstButton="1" fmlaLink="$Q$45"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CheckBox" fmlaLink="$P$12" lockText="1" noThreeD="1"/>
</file>

<file path=xl/ctrlProps/ctrlProp130.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firstButton="1" fmlaLink="$R$45" lockText="1" noThreeD="1"/>
</file>

<file path=xl/ctrlProps/ctrlProp134.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Radio" firstButton="1" fmlaLink="$Q$75"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CheckBox" fmlaLink="$P$11"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firstButton="1" fmlaLink="$R$75"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firstButton="1" fmlaLink="$Q$79"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CheckBox" fmlaLink="$P$10"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firstButton="1" fmlaLink="$R$79"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Radio" firstButton="1" fmlaLink="$Q$83"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firstButton="1" fmlaLink="$T$16"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firstButton="1" fmlaLink="$R$83"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Radio" firstButton="1" fmlaLink="$Q$87"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noThreeD="1"/>
</file>

<file path=xl/ctrlProps/ctrlProp170.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firstButton="1" fmlaLink="$R$87"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firstButton="1" fmlaLink="$Q$71"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Radio" firstButton="1" fmlaLink="$R$71" lockText="1" noThreeD="1"/>
</file>

<file path=xl/ctrlProps/ctrlProp182.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firstButton="1" fmlaLink="$Q$62"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firstButton="1" fmlaLink="$T$17" noThreeD="1"/>
</file>

<file path=xl/ctrlProps/ctrlProp190.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Radio" firstButton="1" fmlaLink="$R$62"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firstButton="1" fmlaLink="$Q$58"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noThreeD="1"/>
</file>

<file path=xl/ctrlProps/ctrlProp20.xml><?xml version="1.0" encoding="utf-8"?>
<formControlPr xmlns="http://schemas.microsoft.com/office/spreadsheetml/2009/9/main" objectType="Radio"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Radio" firstButton="1" fmlaLink="$R$58" lockText="1" noThreeD="1"/>
</file>

<file path=xl/ctrlProps/ctrlProp202.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firstButton="1" fmlaLink="$Q$54"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Radio" firstButton="1" fmlaLink="$R$54"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Radio" lockText="1"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CheckBox" fmlaLink="$R$6" lockText="1" noThreeD="1"/>
</file>

<file path=xl/ctrlProps/ctrlProp219.xml><?xml version="1.0" encoding="utf-8"?>
<formControlPr xmlns="http://schemas.microsoft.com/office/spreadsheetml/2009/9/main" objectType="CheckBox" fmlaLink="$R$7" lockText="1"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CheckBox" fmlaLink="$R$8" lockText="1" noThreeD="1"/>
</file>

<file path=xl/ctrlProps/ctrlProp221.xml><?xml version="1.0" encoding="utf-8"?>
<formControlPr xmlns="http://schemas.microsoft.com/office/spreadsheetml/2009/9/main" objectType="CheckBox" fmlaLink="$R$9" lockText="1" noThreeD="1"/>
</file>

<file path=xl/ctrlProps/ctrlProp222.xml><?xml version="1.0" encoding="utf-8"?>
<formControlPr xmlns="http://schemas.microsoft.com/office/spreadsheetml/2009/9/main" objectType="CheckBox" fmlaLink="$R$10" lockText="1" noThreeD="1"/>
</file>

<file path=xl/ctrlProps/ctrlProp223.xml><?xml version="1.0" encoding="utf-8"?>
<formControlPr xmlns="http://schemas.microsoft.com/office/spreadsheetml/2009/9/main" objectType="CheckBox" fmlaLink="$R$11" lockText="1" noThreeD="1"/>
</file>

<file path=xl/ctrlProps/ctrlProp224.xml><?xml version="1.0" encoding="utf-8"?>
<formControlPr xmlns="http://schemas.microsoft.com/office/spreadsheetml/2009/9/main" objectType="CheckBox" fmlaLink="$R$12" lockText="1" noThreeD="1"/>
</file>

<file path=xl/ctrlProps/ctrlProp225.xml><?xml version="1.0" encoding="utf-8"?>
<formControlPr xmlns="http://schemas.microsoft.com/office/spreadsheetml/2009/9/main" objectType="CheckBox" fmlaLink="$R$13" lockText="1" noThreeD="1"/>
</file>

<file path=xl/ctrlProps/ctrlProp226.xml><?xml version="1.0" encoding="utf-8"?>
<formControlPr xmlns="http://schemas.microsoft.com/office/spreadsheetml/2009/9/main" objectType="Radio" firstButton="1" fmlaLink="$Q$23"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Q$48"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firstButton="1" fmlaLink="$T$33"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Radio" firstButton="1" fmlaLink="$Q$73" lockText="1" noThreeD="1"/>
</file>

<file path=xl/ctrlProps/ctrlProp233.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Radio" firstButton="1" fmlaLink="$Q$98" lockText="1" noThreeD="1"/>
</file>

<file path=xl/ctrlProps/ctrlProp236.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Radio" firstButton="1" fmlaLink="$Q$123"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Radio" firstButton="1" fmlaLink="$Q$148"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Radio" firstButton="1" fmlaLink="$Q$173" lockText="1" noThreeD="1"/>
</file>

<file path=xl/ctrlProps/ctrlProp245.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Radio" firstButton="1" fmlaLink="$Q$198"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Radio" noThreeD="1"/>
</file>

<file path=xl/ctrlProps/ctrlProp250.xml><?xml version="1.0" encoding="utf-8"?>
<formControlPr xmlns="http://schemas.microsoft.com/office/spreadsheetml/2009/9/main" objectType="Radio" firstButton="1" fmlaLink="$Q$223" lockText="1" noThreeD="1"/>
</file>

<file path=xl/ctrlProps/ctrlProp251.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Radio" firstButton="1" fmlaLink="$Q$248"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Radio" firstButton="1" fmlaLink="$Q$273" lockText="1" noThreeD="1"/>
</file>

<file path=xl/ctrlProps/ctrlProp257.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Radio" firstButton="1" fmlaLink="$Q$298" lockText="1" noThreeD="1"/>
</file>

<file path=xl/ctrlProps/ctrlProp26.xml><?xml version="1.0" encoding="utf-8"?>
<formControlPr xmlns="http://schemas.microsoft.com/office/spreadsheetml/2009/9/main" objectType="Radio" firstButton="1" fmlaLink="$T$34"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Radio" firstButton="1" fmlaLink="$Q$323" lockText="1" noThreeD="1"/>
</file>

<file path=xl/ctrlProps/ctrlProp263.xml><?xml version="1.0" encoding="utf-8"?>
<formControlPr xmlns="http://schemas.microsoft.com/office/spreadsheetml/2009/9/main" objectType="Radio" lockText="1"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Radio" firstButton="1" fmlaLink="$Q$348"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Radio" firstButton="1" fmlaLink="$Q$373"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Radio" firstButton="1" fmlaLink="$Q$398"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Radio" firstButton="1" fmlaLink="$Q$423"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Radio" firstButton="1" fmlaLink="$Q$448"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Radio" firstButton="1" fmlaLink="$T$35" noThreeD="1"/>
</file>

<file path=xl/ctrlProps/ctrlProp280.xml><?xml version="1.0" encoding="utf-8"?>
<formControlPr xmlns="http://schemas.microsoft.com/office/spreadsheetml/2009/9/main" objectType="Radio" firstButton="1" fmlaLink="$Q$473"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Radio" firstButton="1" fmlaLink="$Q$498"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Radio" firstButton="1" fmlaLink="$Q$523"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Radio" firstButton="1" fmlaLink="$Q$548" lockText="1" noThreeD="1"/>
</file>

<file path=xl/ctrlProps/ctrlProp29.xml><?xml version="1.0" encoding="utf-8"?>
<formControlPr xmlns="http://schemas.microsoft.com/office/spreadsheetml/2009/9/main" objectType="Radio"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Radio" firstButton="1" fmlaLink="$Q$573"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Radio" firstButton="1" fmlaLink="$Q$598"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Radio" firstButton="1" fmlaLink="$Q$623"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noThreeD="1"/>
</file>

<file path=xl/ctrlProps/ctrlProp30.xml><?xml version="1.0" encoding="utf-8"?>
<formControlPr xmlns="http://schemas.microsoft.com/office/spreadsheetml/2009/9/main" objectType="Radio"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Radio" firstButton="1" fmlaLink="$Q$648"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GBox" noThreeD="1"/>
</file>

<file path=xl/ctrlProps/ctrlProp304.xml><?xml version="1.0" encoding="utf-8"?>
<formControlPr xmlns="http://schemas.microsoft.com/office/spreadsheetml/2009/9/main" objectType="Radio" firstButton="1" fmlaLink="$Q$673"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Radio" firstButton="1" fmlaLink="$Q$698"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Radio" firstButton="1" fmlaLink="$Q$723"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Radio" firstButton="1" fmlaLink="$Q$748" lockText="1" noThreeD="1"/>
</file>

<file path=xl/ctrlProps/ctrlProp314.xml><?xml version="1.0" encoding="utf-8"?>
<formControlPr xmlns="http://schemas.microsoft.com/office/spreadsheetml/2009/9/main" objectType="Radio" lockText="1"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Radio" firstButton="1" fmlaLink="$Q$773"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GBox" noThreeD="1"/>
</file>

<file path=xl/ctrlProps/ctrlProp319.xml><?xml version="1.0" encoding="utf-8"?>
<formControlPr xmlns="http://schemas.microsoft.com/office/spreadsheetml/2009/9/main" objectType="Radio" firstButton="1" fmlaLink="$Q$798"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Radio" lockText="1" noThreeD="1"/>
</file>

<file path=xl/ctrlProps/ctrlProp321.xml><?xml version="1.0" encoding="utf-8"?>
<formControlPr xmlns="http://schemas.microsoft.com/office/spreadsheetml/2009/9/main" objectType="GBox" noThreeD="1"/>
</file>

<file path=xl/ctrlProps/ctrlProp322.xml><?xml version="1.0" encoding="utf-8"?>
<formControlPr xmlns="http://schemas.microsoft.com/office/spreadsheetml/2009/9/main" objectType="Radio" firstButton="1" fmlaLink="$Q$823"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GBox" noThreeD="1"/>
</file>

<file path=xl/ctrlProps/ctrlProp325.xml><?xml version="1.0" encoding="utf-8"?>
<formControlPr xmlns="http://schemas.microsoft.com/office/spreadsheetml/2009/9/main" objectType="Radio" firstButton="1" fmlaLink="$Q$84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GBox" noThreeD="1"/>
</file>

<file path=xl/ctrlProps/ctrlProp328.xml><?xml version="1.0" encoding="utf-8"?>
<formControlPr xmlns="http://schemas.microsoft.com/office/spreadsheetml/2009/9/main" objectType="Radio" firstButton="1" fmlaLink="$Q$873"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GBox" noThreeD="1"/>
</file>

<file path=xl/ctrlProps/ctrlProp331.xml><?xml version="1.0" encoding="utf-8"?>
<formControlPr xmlns="http://schemas.microsoft.com/office/spreadsheetml/2009/9/main" objectType="Radio" firstButton="1" fmlaLink="$Q$898" lockText="1" noThreeD="1"/>
</file>

<file path=xl/ctrlProps/ctrlProp332.xml><?xml version="1.0" encoding="utf-8"?>
<formControlPr xmlns="http://schemas.microsoft.com/office/spreadsheetml/2009/9/main" objectType="Radio" lockText="1" noThreeD="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Radio" firstButton="1" fmlaLink="$Q$923"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Radio" firstButton="1" fmlaLink="$Q$948"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40.xml><?xml version="1.0" encoding="utf-8"?>
<formControlPr xmlns="http://schemas.microsoft.com/office/spreadsheetml/2009/9/main" objectType="Radio" firstButton="1" fmlaLink="$Q$973"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GBox" noThreeD="1"/>
</file>

<file path=xl/ctrlProps/ctrlProp343.xml><?xml version="1.0" encoding="utf-8"?>
<formControlPr xmlns="http://schemas.microsoft.com/office/spreadsheetml/2009/9/main" objectType="Radio" firstButton="1" fmlaLink="$Q$998"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CheckBox" fmlaLink="$P$7" lockText="1" noThreeD="1"/>
</file>

<file path=xl/ctrlProps/ctrlProp347.xml><?xml version="1.0" encoding="utf-8"?>
<formControlPr xmlns="http://schemas.microsoft.com/office/spreadsheetml/2009/9/main" objectType="CheckBox" fmlaLink="$P$8" lockText="1" noThreeD="1"/>
</file>

<file path=xl/ctrlProps/ctrlProp348.xml><?xml version="1.0" encoding="utf-8"?>
<formControlPr xmlns="http://schemas.microsoft.com/office/spreadsheetml/2009/9/main" objectType="CheckBox" fmlaLink="$P$9" lockText="1" noThreeD="1"/>
</file>

<file path=xl/ctrlProps/ctrlProp349.xml><?xml version="1.0" encoding="utf-8"?>
<formControlPr xmlns="http://schemas.microsoft.com/office/spreadsheetml/2009/9/main" objectType="CheckBox" fmlaLink="$P$10" lockText="1" noThreeD="1"/>
</file>

<file path=xl/ctrlProps/ctrlProp35.xml><?xml version="1.0" encoding="utf-8"?>
<formControlPr xmlns="http://schemas.microsoft.com/office/spreadsheetml/2009/9/main" objectType="Radio" firstButton="1" fmlaLink="$T$18" noThreeD="1"/>
</file>

<file path=xl/ctrlProps/ctrlProp350.xml><?xml version="1.0" encoding="utf-8"?>
<formControlPr xmlns="http://schemas.microsoft.com/office/spreadsheetml/2009/9/main" objectType="CheckBox" fmlaLink="$P$11" lockText="1" noThreeD="1"/>
</file>

<file path=xl/ctrlProps/ctrlProp351.xml><?xml version="1.0" encoding="utf-8"?>
<formControlPr xmlns="http://schemas.microsoft.com/office/spreadsheetml/2009/9/main" objectType="CheckBox" fmlaLink="$P$12" lockText="1" noThreeD="1"/>
</file>

<file path=xl/ctrlProps/ctrlProp352.xml><?xml version="1.0" encoding="utf-8"?>
<formControlPr xmlns="http://schemas.microsoft.com/office/spreadsheetml/2009/9/main" objectType="CheckBox" fmlaLink="$P$4" lockText="1" noThreeD="1"/>
</file>

<file path=xl/ctrlProps/ctrlProp353.xml><?xml version="1.0" encoding="utf-8"?>
<formControlPr xmlns="http://schemas.microsoft.com/office/spreadsheetml/2009/9/main" objectType="CheckBox" fmlaLink="$P$5" lockText="1" noThreeD="1"/>
</file>

<file path=xl/ctrlProps/ctrlProp354.xml><?xml version="1.0" encoding="utf-8"?>
<formControlPr xmlns="http://schemas.microsoft.com/office/spreadsheetml/2009/9/main" objectType="CheckBox" fmlaLink="$P$8" lockText="1" noThreeD="1"/>
</file>

<file path=xl/ctrlProps/ctrlProp355.xml><?xml version="1.0" encoding="utf-8"?>
<formControlPr xmlns="http://schemas.microsoft.com/office/spreadsheetml/2009/9/main" objectType="Radio" firstButton="1" fmlaLink="$U$14" lockText="1"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Radio" firstButton="1" fmlaLink="$U$16"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noThreeD="1"/>
</file>

<file path=xl/ctrlProps/ctrlProp360.xml><?xml version="1.0" encoding="utf-8"?>
<formControlPr xmlns="http://schemas.microsoft.com/office/spreadsheetml/2009/9/main" objectType="Radio" firstButton="1" fmlaLink="$U$20" lockText="1" noThreeD="1"/>
</file>

<file path=xl/ctrlProps/ctrlProp361.xml><?xml version="1.0" encoding="utf-8"?>
<formControlPr xmlns="http://schemas.microsoft.com/office/spreadsheetml/2009/9/main" objectType="Radio" lockText="1" noThreeD="1"/>
</file>

<file path=xl/ctrlProps/ctrlProp362.xml><?xml version="1.0" encoding="utf-8"?>
<formControlPr xmlns="http://schemas.microsoft.com/office/spreadsheetml/2009/9/main" objectType="GBox"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Radio" firstButton="1" fmlaLink="$U$25"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Radio" firstButton="1" fmlaLink="$Q$9"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Radio" firstButton="1" fmlaLink="$R$9"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lockText="1"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Radio" firstButton="1" fmlaLink="$Q$13"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Q$9" lockText="1"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Radio" firstButton="1" fmlaLink="$R$13"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Radio" firstButton="1" fmlaLink="$Q$17"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Radio" firstButton="1" fmlaLink="$R$17"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firstButton="1" fmlaLink="$Q$21"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GBox" noThreeD="1"/>
</file>

<file path=xl/ctrlProps/ctrlProp401.xml><?xml version="1.0" encoding="utf-8"?>
<formControlPr xmlns="http://schemas.microsoft.com/office/spreadsheetml/2009/9/main" objectType="Radio" firstButton="1" fmlaLink="$R$21"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Radio" lockText="1" noThreeD="1"/>
</file>

<file path=xl/ctrlProps/ctrlProp404.xml><?xml version="1.0" encoding="utf-8"?>
<formControlPr xmlns="http://schemas.microsoft.com/office/spreadsheetml/2009/9/main" objectType="Radio" lockText="1"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Radio" firstButton="1" fmlaLink="$Q$25" lockText="1" noThreeD="1"/>
</file>

<file path=xl/ctrlProps/ctrlProp408.xml><?xml version="1.0" encoding="utf-8"?>
<formControlPr xmlns="http://schemas.microsoft.com/office/spreadsheetml/2009/9/main" objectType="Radio" lockText="1" noThreeD="1"/>
</file>

<file path=xl/ctrlProps/ctrlProp409.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firstButton="1" fmlaLink="$R$9" lockText="1" noThreeD="1"/>
</file>

<file path=xl/ctrlProps/ctrlProp410.xml><?xml version="1.0" encoding="utf-8"?>
<formControlPr xmlns="http://schemas.microsoft.com/office/spreadsheetml/2009/9/main" objectType="Radio" lockText="1" noThreeD="1"/>
</file>

<file path=xl/ctrlProps/ctrlProp411.xml><?xml version="1.0" encoding="utf-8"?>
<formControlPr xmlns="http://schemas.microsoft.com/office/spreadsheetml/2009/9/main" objectType="GBox" noThreeD="1"/>
</file>

<file path=xl/ctrlProps/ctrlProp412.xml><?xml version="1.0" encoding="utf-8"?>
<formControlPr xmlns="http://schemas.microsoft.com/office/spreadsheetml/2009/9/main" objectType="Radio" firstButton="1" fmlaLink="$R$25" lockText="1" noThreeD="1"/>
</file>

<file path=xl/ctrlProps/ctrlProp413.xml><?xml version="1.0" encoding="utf-8"?>
<formControlPr xmlns="http://schemas.microsoft.com/office/spreadsheetml/2009/9/main" objectType="Radio"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Radio" lockText="1"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Radio" firstButton="1" fmlaLink="$Q$29" lockText="1" noThreeD="1"/>
</file>

<file path=xl/ctrlProps/ctrlProp418.xml><?xml version="1.0" encoding="utf-8"?>
<formControlPr xmlns="http://schemas.microsoft.com/office/spreadsheetml/2009/9/main" objectType="Radio" lockText="1" noThreeD="1"/>
</file>

<file path=xl/ctrlProps/ctrlProp419.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Radio" lockText="1"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Radio" firstButton="1" fmlaLink="$R$29" lockText="1" noThreeD="1"/>
</file>

<file path=xl/ctrlProps/ctrlProp423.xml><?xml version="1.0" encoding="utf-8"?>
<formControlPr xmlns="http://schemas.microsoft.com/office/spreadsheetml/2009/9/main" objectType="Radio" lockText="1" noThreeD="1"/>
</file>

<file path=xl/ctrlProps/ctrlProp424.xml><?xml version="1.0" encoding="utf-8"?>
<formControlPr xmlns="http://schemas.microsoft.com/office/spreadsheetml/2009/9/main" objectType="Radio"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Radio" firstButton="1" fmlaLink="$Q$33" lockText="1" noThreeD="1"/>
</file>

<file path=xl/ctrlProps/ctrlProp428.xml><?xml version="1.0" encoding="utf-8"?>
<formControlPr xmlns="http://schemas.microsoft.com/office/spreadsheetml/2009/9/main" objectType="Radio" lockText="1" noThreeD="1"/>
</file>

<file path=xl/ctrlProps/ctrlProp429.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Radio" lockText="1" noThreeD="1"/>
</file>

<file path=xl/ctrlProps/ctrlProp431.xml><?xml version="1.0" encoding="utf-8"?>
<formControlPr xmlns="http://schemas.microsoft.com/office/spreadsheetml/2009/9/main" objectType="GBox" noThreeD="1"/>
</file>

<file path=xl/ctrlProps/ctrlProp432.xml><?xml version="1.0" encoding="utf-8"?>
<formControlPr xmlns="http://schemas.microsoft.com/office/spreadsheetml/2009/9/main" objectType="Radio" firstButton="1" fmlaLink="$R$33"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GBox" noThreeD="1"/>
</file>

<file path=xl/ctrlProps/ctrlProp437.xml><?xml version="1.0" encoding="utf-8"?>
<formControlPr xmlns="http://schemas.microsoft.com/office/spreadsheetml/2009/9/main" objectType="Radio" firstButton="1" fmlaLink="$Q$37" lockText="1" noThreeD="1"/>
</file>

<file path=xl/ctrlProps/ctrlProp438.xml><?xml version="1.0" encoding="utf-8"?>
<formControlPr xmlns="http://schemas.microsoft.com/office/spreadsheetml/2009/9/main" objectType="Radio"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GBox" noThreeD="1"/>
</file>

<file path=xl/ctrlProps/ctrlProp442.xml><?xml version="1.0" encoding="utf-8"?>
<formControlPr xmlns="http://schemas.microsoft.com/office/spreadsheetml/2009/9/main" objectType="Radio" firstButton="1" fmlaLink="$R$37" lockText="1" noThreeD="1"/>
</file>

<file path=xl/ctrlProps/ctrlProp443.xml><?xml version="1.0" encoding="utf-8"?>
<formControlPr xmlns="http://schemas.microsoft.com/office/spreadsheetml/2009/9/main" objectType="Radio" lockText="1" noThreeD="1"/>
</file>

<file path=xl/ctrlProps/ctrlProp444.xml><?xml version="1.0" encoding="utf-8"?>
<formControlPr xmlns="http://schemas.microsoft.com/office/spreadsheetml/2009/9/main" objectType="Radio" lockText="1" noThreeD="1"/>
</file>

<file path=xl/ctrlProps/ctrlProp445.xml><?xml version="1.0" encoding="utf-8"?>
<formControlPr xmlns="http://schemas.microsoft.com/office/spreadsheetml/2009/9/main" objectType="Radio" lockText="1" noThreeD="1"/>
</file>

<file path=xl/ctrlProps/ctrlProp446.xml><?xml version="1.0" encoding="utf-8"?>
<formControlPr xmlns="http://schemas.microsoft.com/office/spreadsheetml/2009/9/main" objectType="GBox" noThreeD="1"/>
</file>

<file path=xl/ctrlProps/ctrlProp447.xml><?xml version="1.0" encoding="utf-8"?>
<formControlPr xmlns="http://schemas.microsoft.com/office/spreadsheetml/2009/9/main" objectType="Radio" firstButton="1" fmlaLink="$Q$41"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GBox" noThreeD="1"/>
</file>

<file path=xl/ctrlProps/ctrlProp450.xml><?xml version="1.0" encoding="utf-8"?>
<formControlPr xmlns="http://schemas.microsoft.com/office/spreadsheetml/2009/9/main" objectType="Radio" lockText="1"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Radio" firstButton="1" fmlaLink="$R$41" lockText="1" noThreeD="1"/>
</file>

<file path=xl/ctrlProps/ctrlProp453.xml><?xml version="1.0" encoding="utf-8"?>
<formControlPr xmlns="http://schemas.microsoft.com/office/spreadsheetml/2009/9/main" objectType="Radio" lockText="1" noThreeD="1"/>
</file>

<file path=xl/ctrlProps/ctrlProp454.xml><?xml version="1.0" encoding="utf-8"?>
<formControlPr xmlns="http://schemas.microsoft.com/office/spreadsheetml/2009/9/main" objectType="Radio" lockText="1" noThreeD="1"/>
</file>

<file path=xl/ctrlProps/ctrlProp455.xml><?xml version="1.0" encoding="utf-8"?>
<formControlPr xmlns="http://schemas.microsoft.com/office/spreadsheetml/2009/9/main" objectType="Radio" lockText="1"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Radio" firstButton="1" fmlaLink="$R$45" lockText="1" noThreeD="1"/>
</file>

<file path=xl/ctrlProps/ctrlProp458.xml><?xml version="1.0" encoding="utf-8"?>
<formControlPr xmlns="http://schemas.microsoft.com/office/spreadsheetml/2009/9/main" objectType="Radio" lockText="1" noThreeD="1"/>
</file>

<file path=xl/ctrlProps/ctrlProp459.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GBox" noThreeD="1"/>
</file>

<file path=xl/ctrlProps/ctrlProp460.xml><?xml version="1.0" encoding="utf-8"?>
<formControlPr xmlns="http://schemas.microsoft.com/office/spreadsheetml/2009/9/main" objectType="Radio" lockText="1" noThreeD="1"/>
</file>

<file path=xl/ctrlProps/ctrlProp461.xml><?xml version="1.0" encoding="utf-8"?>
<formControlPr xmlns="http://schemas.microsoft.com/office/spreadsheetml/2009/9/main" objectType="GBox" noThreeD="1"/>
</file>

<file path=xl/ctrlProps/ctrlProp462.xml><?xml version="1.0" encoding="utf-8"?>
<formControlPr xmlns="http://schemas.microsoft.com/office/spreadsheetml/2009/9/main" objectType="Radio" firstButton="1" fmlaLink="$Q$45" lockText="1" noThreeD="1"/>
</file>

<file path=xl/ctrlProps/ctrlProp463.xml><?xml version="1.0" encoding="utf-8"?>
<formControlPr xmlns="http://schemas.microsoft.com/office/spreadsheetml/2009/9/main" objectType="Radio" lockText="1" noThreeD="1"/>
</file>

<file path=xl/ctrlProps/ctrlProp464.xml><?xml version="1.0" encoding="utf-8"?>
<formControlPr xmlns="http://schemas.microsoft.com/office/spreadsheetml/2009/9/main" objectType="Radio" lockText="1" noThreeD="1"/>
</file>

<file path=xl/ctrlProps/ctrlProp465.xml><?xml version="1.0" encoding="utf-8"?>
<formControlPr xmlns="http://schemas.microsoft.com/office/spreadsheetml/2009/9/main" objectType="Radio" lockText="1" noThreeD="1"/>
</file>

<file path=xl/ctrlProps/ctrlProp466.xml><?xml version="1.0" encoding="utf-8"?>
<formControlPr xmlns="http://schemas.microsoft.com/office/spreadsheetml/2009/9/main" objectType="GBox" noThreeD="1"/>
</file>

<file path=xl/ctrlProps/ctrlProp467.xml><?xml version="1.0" encoding="utf-8"?>
<formControlPr xmlns="http://schemas.microsoft.com/office/spreadsheetml/2009/9/main" objectType="Radio" firstButton="1" fmlaLink="$Q$54" lockText="1" noThreeD="1"/>
</file>

<file path=xl/ctrlProps/ctrlProp468.xml><?xml version="1.0" encoding="utf-8"?>
<formControlPr xmlns="http://schemas.microsoft.com/office/spreadsheetml/2009/9/main" objectType="Radio" lockText="1" noThreeD="1"/>
</file>

<file path=xl/ctrlProps/ctrlProp469.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70.xml><?xml version="1.0" encoding="utf-8"?>
<formControlPr xmlns="http://schemas.microsoft.com/office/spreadsheetml/2009/9/main" objectType="Radio" lockText="1" noThreeD="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Radio" firstButton="1" fmlaLink="$R$54" lockText="1" noThreeD="1"/>
</file>

<file path=xl/ctrlProps/ctrlProp473.xml><?xml version="1.0" encoding="utf-8"?>
<formControlPr xmlns="http://schemas.microsoft.com/office/spreadsheetml/2009/9/main" objectType="Radio" lockText="1" noThreeD="1"/>
</file>

<file path=xl/ctrlProps/ctrlProp474.xml><?xml version="1.0" encoding="utf-8"?>
<formControlPr xmlns="http://schemas.microsoft.com/office/spreadsheetml/2009/9/main" objectType="Radio" lockText="1" noThreeD="1"/>
</file>

<file path=xl/ctrlProps/ctrlProp475.xml><?xml version="1.0" encoding="utf-8"?>
<formControlPr xmlns="http://schemas.microsoft.com/office/spreadsheetml/2009/9/main" objectType="Radio" lockText="1"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Radio" firstButton="1" fmlaLink="$Q$58"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firstButton="1" fmlaLink="$Q$13"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Radio" firstButton="1" fmlaLink="$R$58" lockText="1" noThreeD="1"/>
</file>

<file path=xl/ctrlProps/ctrlProp483.xml><?xml version="1.0" encoding="utf-8"?>
<formControlPr xmlns="http://schemas.microsoft.com/office/spreadsheetml/2009/9/main" objectType="Radio" lockText="1" noThreeD="1"/>
</file>

<file path=xl/ctrlProps/ctrlProp484.xml><?xml version="1.0" encoding="utf-8"?>
<formControlPr xmlns="http://schemas.microsoft.com/office/spreadsheetml/2009/9/main" objectType="Radio" lockText="1" noThreeD="1"/>
</file>

<file path=xl/ctrlProps/ctrlProp485.xml><?xml version="1.0" encoding="utf-8"?>
<formControlPr xmlns="http://schemas.microsoft.com/office/spreadsheetml/2009/9/main" objectType="Radio" lockText="1"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Radio" firstButton="1" fmlaLink="$Q$62" lockText="1" noThreeD="1"/>
</file>

<file path=xl/ctrlProps/ctrlProp488.xml><?xml version="1.0" encoding="utf-8"?>
<formControlPr xmlns="http://schemas.microsoft.com/office/spreadsheetml/2009/9/main" objectType="Radio" lockText="1" noThreeD="1"/>
</file>

<file path=xl/ctrlProps/ctrlProp489.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Radio" lockText="1" noThreeD="1"/>
</file>

<file path=xl/ctrlProps/ctrlProp491.xml><?xml version="1.0" encoding="utf-8"?>
<formControlPr xmlns="http://schemas.microsoft.com/office/spreadsheetml/2009/9/main" objectType="GBox" noThreeD="1"/>
</file>

<file path=xl/ctrlProps/ctrlProp492.xml><?xml version="1.0" encoding="utf-8"?>
<formControlPr xmlns="http://schemas.microsoft.com/office/spreadsheetml/2009/9/main" objectType="Radio" firstButton="1" fmlaLink="$R$62" lockText="1" noThreeD="1"/>
</file>

<file path=xl/ctrlProps/ctrlProp493.xml><?xml version="1.0" encoding="utf-8"?>
<formControlPr xmlns="http://schemas.microsoft.com/office/spreadsheetml/2009/9/main" objectType="Radio"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Radio" firstButton="1" fmlaLink="$Q$71" lockText="1" noThreeD="1"/>
</file>

<file path=xl/ctrlProps/ctrlProp498.xml><?xml version="1.0" encoding="utf-8"?>
<formControlPr xmlns="http://schemas.microsoft.com/office/spreadsheetml/2009/9/main" objectType="Radio" lockText="1" noThreeD="1"/>
</file>

<file path=xl/ctrlProps/ctrlProp49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firstButton="1" fmlaLink="$I$35" noThreeD="1"/>
</file>

<file path=xl/ctrlProps/ctrlProp50.xml><?xml version="1.0" encoding="utf-8"?>
<formControlPr xmlns="http://schemas.microsoft.com/office/spreadsheetml/2009/9/main" objectType="Radio" lockText="1" noThreeD="1"/>
</file>

<file path=xl/ctrlProps/ctrlProp500.xml><?xml version="1.0" encoding="utf-8"?>
<formControlPr xmlns="http://schemas.microsoft.com/office/spreadsheetml/2009/9/main" objectType="Radio" lockText="1"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Radio" firstButton="1" fmlaLink="$R$71" lockText="1" noThreeD="1"/>
</file>

<file path=xl/ctrlProps/ctrlProp503.xml><?xml version="1.0" encoding="utf-8"?>
<formControlPr xmlns="http://schemas.microsoft.com/office/spreadsheetml/2009/9/main" objectType="Radio" lockText="1" noThreeD="1"/>
</file>

<file path=xl/ctrlProps/ctrlProp504.xml><?xml version="1.0" encoding="utf-8"?>
<formControlPr xmlns="http://schemas.microsoft.com/office/spreadsheetml/2009/9/main" objectType="Radio" lockText="1" noThreeD="1"/>
</file>

<file path=xl/ctrlProps/ctrlProp505.xml><?xml version="1.0" encoding="utf-8"?>
<formControlPr xmlns="http://schemas.microsoft.com/office/spreadsheetml/2009/9/main" objectType="Radio" lockText="1" noThreeD="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Radio" firstButton="1" fmlaLink="$Q$75" lockText="1" noThreeD="1"/>
</file>

<file path=xl/ctrlProps/ctrlProp508.xml><?xml version="1.0" encoding="utf-8"?>
<formControlPr xmlns="http://schemas.microsoft.com/office/spreadsheetml/2009/9/main" objectType="Radio" lockText="1" noThreeD="1"/>
</file>

<file path=xl/ctrlProps/ctrlProp509.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Radio" lockText="1"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Radio" firstButton="1" fmlaLink="$R$75" lockText="1" noThreeD="1"/>
</file>

<file path=xl/ctrlProps/ctrlProp513.xml><?xml version="1.0" encoding="utf-8"?>
<formControlPr xmlns="http://schemas.microsoft.com/office/spreadsheetml/2009/9/main" objectType="Radio" lockText="1" noThreeD="1"/>
</file>

<file path=xl/ctrlProps/ctrlProp514.xml><?xml version="1.0" encoding="utf-8"?>
<formControlPr xmlns="http://schemas.microsoft.com/office/spreadsheetml/2009/9/main" objectType="Radio" lockText="1" noThreeD="1"/>
</file>

<file path=xl/ctrlProps/ctrlProp515.xml><?xml version="1.0" encoding="utf-8"?>
<formControlPr xmlns="http://schemas.microsoft.com/office/spreadsheetml/2009/9/main" objectType="Radio" lockText="1" noThreeD="1"/>
</file>

<file path=xl/ctrlProps/ctrlProp516.xml><?xml version="1.0" encoding="utf-8"?>
<formControlPr xmlns="http://schemas.microsoft.com/office/spreadsheetml/2009/9/main" objectType="GBox" noThreeD="1"/>
</file>

<file path=xl/ctrlProps/ctrlProp517.xml><?xml version="1.0" encoding="utf-8"?>
<formControlPr xmlns="http://schemas.microsoft.com/office/spreadsheetml/2009/9/main" objectType="Radio" firstButton="1" fmlaLink="$Q$79" lockText="1" noThreeD="1"/>
</file>

<file path=xl/ctrlProps/ctrlProp518.xml><?xml version="1.0" encoding="utf-8"?>
<formControlPr xmlns="http://schemas.microsoft.com/office/spreadsheetml/2009/9/main" objectType="Radio" lockText="1" noThreeD="1"/>
</file>

<file path=xl/ctrlProps/ctrlProp519.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Radio" lockText="1" noThreeD="1"/>
</file>

<file path=xl/ctrlProps/ctrlProp521.xml><?xml version="1.0" encoding="utf-8"?>
<formControlPr xmlns="http://schemas.microsoft.com/office/spreadsheetml/2009/9/main" objectType="GBox" noThreeD="1"/>
</file>

<file path=xl/ctrlProps/ctrlProp522.xml><?xml version="1.0" encoding="utf-8"?>
<formControlPr xmlns="http://schemas.microsoft.com/office/spreadsheetml/2009/9/main" objectType="Radio" firstButton="1" fmlaLink="$R$79" lockText="1" noThreeD="1"/>
</file>

<file path=xl/ctrlProps/ctrlProp523.xml><?xml version="1.0" encoding="utf-8"?>
<formControlPr xmlns="http://schemas.microsoft.com/office/spreadsheetml/2009/9/main" objectType="Radio"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lockText="1" noThreeD="1"/>
</file>

<file path=xl/ctrlProps/ctrlProp526.xml><?xml version="1.0" encoding="utf-8"?>
<formControlPr xmlns="http://schemas.microsoft.com/office/spreadsheetml/2009/9/main" objectType="GBox" noThreeD="1"/>
</file>

<file path=xl/ctrlProps/ctrlProp527.xml><?xml version="1.0" encoding="utf-8"?>
<formControlPr xmlns="http://schemas.microsoft.com/office/spreadsheetml/2009/9/main" objectType="Radio" firstButton="1" fmlaLink="$Q$83" lockText="1" noThreeD="1"/>
</file>

<file path=xl/ctrlProps/ctrlProp528.xml><?xml version="1.0" encoding="utf-8"?>
<formControlPr xmlns="http://schemas.microsoft.com/office/spreadsheetml/2009/9/main" objectType="Radio" lockText="1" noThreeD="1"/>
</file>

<file path=xl/ctrlProps/ctrlProp529.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firstButton="1" fmlaLink="$R$13" lockText="1" noThreeD="1"/>
</file>

<file path=xl/ctrlProps/ctrlProp530.xml><?xml version="1.0" encoding="utf-8"?>
<formControlPr xmlns="http://schemas.microsoft.com/office/spreadsheetml/2009/9/main" objectType="Radio" lockText="1" noThreeD="1"/>
</file>

<file path=xl/ctrlProps/ctrlProp531.xml><?xml version="1.0" encoding="utf-8"?>
<formControlPr xmlns="http://schemas.microsoft.com/office/spreadsheetml/2009/9/main" objectType="GBox" noThreeD="1"/>
</file>

<file path=xl/ctrlProps/ctrlProp532.xml><?xml version="1.0" encoding="utf-8"?>
<formControlPr xmlns="http://schemas.microsoft.com/office/spreadsheetml/2009/9/main" objectType="Radio" firstButton="1" fmlaLink="$R$83" lockText="1" noThreeD="1"/>
</file>

<file path=xl/ctrlProps/ctrlProp533.xml><?xml version="1.0" encoding="utf-8"?>
<formControlPr xmlns="http://schemas.microsoft.com/office/spreadsheetml/2009/9/main" objectType="Radio"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GBox" noThreeD="1"/>
</file>

<file path=xl/ctrlProps/ctrlProp537.xml><?xml version="1.0" encoding="utf-8"?>
<formControlPr xmlns="http://schemas.microsoft.com/office/spreadsheetml/2009/9/main" objectType="Radio" firstButton="1" fmlaLink="$Q$87"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GBox" noThreeD="1"/>
</file>

<file path=xl/ctrlProps/ctrlProp542.xml><?xml version="1.0" encoding="utf-8"?>
<formControlPr xmlns="http://schemas.microsoft.com/office/spreadsheetml/2009/9/main" objectType="Radio" firstButton="1" fmlaLink="$R$87" lockText="1" noThreeD="1"/>
</file>

<file path=xl/ctrlProps/ctrlProp543.xml><?xml version="1.0" encoding="utf-8"?>
<formControlPr xmlns="http://schemas.microsoft.com/office/spreadsheetml/2009/9/main" objectType="Radio" lockText="1" noThreeD="1"/>
</file>

<file path=xl/ctrlProps/ctrlProp544.xml><?xml version="1.0" encoding="utf-8"?>
<formControlPr xmlns="http://schemas.microsoft.com/office/spreadsheetml/2009/9/main" objectType="Radio" lockText="1" noThreeD="1"/>
</file>

<file path=xl/ctrlProps/ctrlProp545.xml><?xml version="1.0" encoding="utf-8"?>
<formControlPr xmlns="http://schemas.microsoft.com/office/spreadsheetml/2009/9/main" objectType="Radio" lockText="1" noThreeD="1"/>
</file>

<file path=xl/ctrlProps/ctrlProp546.xml><?xml version="1.0" encoding="utf-8"?>
<formControlPr xmlns="http://schemas.microsoft.com/office/spreadsheetml/2009/9/main" objectType="GBox" noThreeD="1"/>
</file>

<file path=xl/ctrlProps/ctrlProp547.xml><?xml version="1.0" encoding="utf-8"?>
<formControlPr xmlns="http://schemas.microsoft.com/office/spreadsheetml/2009/9/main" objectType="Radio" firstButton="1" fmlaLink="$R$21" lockText="1" noThreeD="1"/>
</file>

<file path=xl/ctrlProps/ctrlProp548.xml><?xml version="1.0" encoding="utf-8"?>
<formControlPr xmlns="http://schemas.microsoft.com/office/spreadsheetml/2009/9/main" objectType="Radio" lockText="1" noThreeD="1"/>
</file>

<file path=xl/ctrlProps/ctrlProp549.xml><?xml version="1.0" encoding="utf-8"?>
<formControlPr xmlns="http://schemas.microsoft.com/office/spreadsheetml/2009/9/main" objectType="GBox" noThreeD="1"/>
</file>

<file path=xl/ctrlProps/ctrlProp55.xml><?xml version="1.0" encoding="utf-8"?>
<formControlPr xmlns="http://schemas.microsoft.com/office/spreadsheetml/2009/9/main" objectType="Radio" lockText="1" noThreeD="1"/>
</file>

<file path=xl/ctrlProps/ctrlProp550.xml><?xml version="1.0" encoding="utf-8"?>
<formControlPr xmlns="http://schemas.microsoft.com/office/spreadsheetml/2009/9/main" objectType="Radio" firstButton="1" fmlaLink="$R$46" lockText="1" noThreeD="1"/>
</file>

<file path=xl/ctrlProps/ctrlProp551.xml><?xml version="1.0" encoding="utf-8"?>
<formControlPr xmlns="http://schemas.microsoft.com/office/spreadsheetml/2009/9/main" objectType="Radio" lockText="1" noThreeD="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Radio" firstButton="1" fmlaLink="$R$71" lockText="1" noThreeD="1"/>
</file>

<file path=xl/ctrlProps/ctrlProp554.xml><?xml version="1.0" encoding="utf-8"?>
<formControlPr xmlns="http://schemas.microsoft.com/office/spreadsheetml/2009/9/main" objectType="Radio" lockText="1" noThreeD="1"/>
</file>

<file path=xl/ctrlProps/ctrlProp555.xml><?xml version="1.0" encoding="utf-8"?>
<formControlPr xmlns="http://schemas.microsoft.com/office/spreadsheetml/2009/9/main" objectType="GBox" noThreeD="1"/>
</file>

<file path=xl/ctrlProps/ctrlProp556.xml><?xml version="1.0" encoding="utf-8"?>
<formControlPr xmlns="http://schemas.microsoft.com/office/spreadsheetml/2009/9/main" objectType="Radio" firstButton="1" fmlaLink="$R$96" lockText="1" noThreeD="1"/>
</file>

<file path=xl/ctrlProps/ctrlProp557.xml><?xml version="1.0" encoding="utf-8"?>
<formControlPr xmlns="http://schemas.microsoft.com/office/spreadsheetml/2009/9/main" objectType="Radio" lockText="1" noThreeD="1"/>
</file>

<file path=xl/ctrlProps/ctrlProp558.xml><?xml version="1.0" encoding="utf-8"?>
<formControlPr xmlns="http://schemas.microsoft.com/office/spreadsheetml/2009/9/main" objectType="Radio" firstButton="1" fmlaLink="$R$121" lockText="1" noThreeD="1"/>
</file>

<file path=xl/ctrlProps/ctrlProp559.xml><?xml version="1.0" encoding="utf-8"?>
<formControlPr xmlns="http://schemas.microsoft.com/office/spreadsheetml/2009/9/main" objectType="Radio" firstButton="1" fmlaLink="$R$146" lockText="1" noThreeD="1"/>
</file>

<file path=xl/ctrlProps/ctrlProp56.xml><?xml version="1.0" encoding="utf-8"?>
<formControlPr xmlns="http://schemas.microsoft.com/office/spreadsheetml/2009/9/main" objectType="Radio" lockText="1" noThreeD="1"/>
</file>

<file path=xl/ctrlProps/ctrlProp560.xml><?xml version="1.0" encoding="utf-8"?>
<formControlPr xmlns="http://schemas.microsoft.com/office/spreadsheetml/2009/9/main" objectType="Radio" lockText="1" noThreeD="1"/>
</file>

<file path=xl/ctrlProps/ctrlProp561.xml><?xml version="1.0" encoding="utf-8"?>
<formControlPr xmlns="http://schemas.microsoft.com/office/spreadsheetml/2009/9/main" objectType="GBox" noThreeD="1"/>
</file>

<file path=xl/ctrlProps/ctrlProp562.xml><?xml version="1.0" encoding="utf-8"?>
<formControlPr xmlns="http://schemas.microsoft.com/office/spreadsheetml/2009/9/main" objectType="Radio" firstButton="1" fmlaLink="$R$171" lockText="1" noThreeD="1"/>
</file>

<file path=xl/ctrlProps/ctrlProp563.xml><?xml version="1.0" encoding="utf-8"?>
<formControlPr xmlns="http://schemas.microsoft.com/office/spreadsheetml/2009/9/main" objectType="Radio" lockText="1"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Radio" firstButton="1" fmlaLink="$R$196" lockText="1" noThreeD="1"/>
</file>

<file path=xl/ctrlProps/ctrlProp566.xml><?xml version="1.0" encoding="utf-8"?>
<formControlPr xmlns="http://schemas.microsoft.com/office/spreadsheetml/2009/9/main" objectType="Radio" lockText="1"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Radio" firstButton="1" fmlaLink="$R$221" lockText="1" noThreeD="1"/>
</file>

<file path=xl/ctrlProps/ctrlProp569.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GBox"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Radio" firstButton="1" fmlaLink="$R$246" lockText="1" noThreeD="1"/>
</file>

<file path=xl/ctrlProps/ctrlProp572.xml><?xml version="1.0" encoding="utf-8"?>
<formControlPr xmlns="http://schemas.microsoft.com/office/spreadsheetml/2009/9/main" objectType="Radio" lockText="1"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Radio" lockText="1" noThreeD="1"/>
</file>

<file path=xl/ctrlProps/ctrlProp577.xml><?xml version="1.0" encoding="utf-8"?>
<formControlPr xmlns="http://schemas.microsoft.com/office/spreadsheetml/2009/9/main" objectType="Radio" firstButton="1" fmlaLink="$R$271" lockText="1" noThreeD="1"/>
</file>

<file path=xl/ctrlProps/ctrlProp578.xml><?xml version="1.0" encoding="utf-8"?>
<formControlPr xmlns="http://schemas.microsoft.com/office/spreadsheetml/2009/9/main" objectType="Radio" lockText="1"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Radio" firstButton="1" fmlaLink="$Q$17" lockText="1" noThreeD="1"/>
</file>

<file path=xl/ctrlProps/ctrlProp580.xml><?xml version="1.0" encoding="utf-8"?>
<formControlPr xmlns="http://schemas.microsoft.com/office/spreadsheetml/2009/9/main" objectType="Radio" firstButton="1" fmlaLink="$R$321" lockText="1" noThreeD="1"/>
</file>

<file path=xl/ctrlProps/ctrlProp581.xml><?xml version="1.0" encoding="utf-8"?>
<formControlPr xmlns="http://schemas.microsoft.com/office/spreadsheetml/2009/9/main" objectType="Radio" lockText="1"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Radio" firstButton="1" fmlaLink="$R$296" lockText="1" noThreeD="1"/>
</file>

<file path=xl/ctrlProps/ctrlProp584.xml><?xml version="1.0" encoding="utf-8"?>
<formControlPr xmlns="http://schemas.microsoft.com/office/spreadsheetml/2009/9/main" objectType="Radio" lockText="1"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Radio" firstButton="1" fmlaLink="$R$346" lockText="1" noThreeD="1"/>
</file>

<file path=xl/ctrlProps/ctrlProp587.xml><?xml version="1.0" encoding="utf-8"?>
<formControlPr xmlns="http://schemas.microsoft.com/office/spreadsheetml/2009/9/main" objectType="Radio" lockText="1"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Radio" firstButton="1" fmlaLink="$R$371" lockText="1" noThreeD="1"/>
</file>

<file path=xl/ctrlProps/ctrlProp59.xml><?xml version="1.0" encoding="utf-8"?>
<formControlPr xmlns="http://schemas.microsoft.com/office/spreadsheetml/2009/9/main" objectType="Radio" lockText="1" noThreeD="1"/>
</file>

<file path=xl/ctrlProps/ctrlProp590.xml><?xml version="1.0" encoding="utf-8"?>
<formControlPr xmlns="http://schemas.microsoft.com/office/spreadsheetml/2009/9/main" objectType="Radio" lockText="1" noThreeD="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Radio" firstButton="1" fmlaLink="$R$396"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Radio" firstButton="1" fmlaLink="$R$421" lockText="1" noThreeD="1"/>
</file>

<file path=xl/ctrlProps/ctrlProp596.xml><?xml version="1.0" encoding="utf-8"?>
<formControlPr xmlns="http://schemas.microsoft.com/office/spreadsheetml/2009/9/main" objectType="Radio" lockText="1"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Radio" firstButton="1" fmlaLink="$R$446" lockText="1" noThreeD="1"/>
</file>

<file path=xl/ctrlProps/ctrlProp59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noThreeD="1"/>
</file>

<file path=xl/ctrlProps/ctrlProp60.xml><?xml version="1.0" encoding="utf-8"?>
<formControlPr xmlns="http://schemas.microsoft.com/office/spreadsheetml/2009/9/main" objectType="Radio" lockText="1"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Radio" firstButton="1" fmlaLink="$R$471" lockText="1" noThreeD="1"/>
</file>

<file path=xl/ctrlProps/ctrlProp602.xml><?xml version="1.0" encoding="utf-8"?>
<formControlPr xmlns="http://schemas.microsoft.com/office/spreadsheetml/2009/9/main" objectType="Radio" lockText="1"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Radio" firstButton="1" fmlaLink="$R$496" lockText="1" noThreeD="1"/>
</file>

<file path=xl/ctrlProps/ctrlProp605.xml><?xml version="1.0" encoding="utf-8"?>
<formControlPr xmlns="http://schemas.microsoft.com/office/spreadsheetml/2009/9/main" objectType="Radio" lockText="1"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Radio" firstButton="1" fmlaLink="$R$521" lockText="1" noThreeD="1"/>
</file>

<file path=xl/ctrlProps/ctrlProp608.xml><?xml version="1.0" encoding="utf-8"?>
<formControlPr xmlns="http://schemas.microsoft.com/office/spreadsheetml/2009/9/main" objectType="Radio" lockText="1"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Radio" firstButton="1" fmlaLink="$R$17" lockText="1" noThreeD="1"/>
</file>

<file path=xl/ctrlProps/ctrlProp610.xml><?xml version="1.0" encoding="utf-8"?>
<formControlPr xmlns="http://schemas.microsoft.com/office/spreadsheetml/2009/9/main" objectType="Radio" firstButton="1" fmlaLink="$R$546" lockText="1" noThreeD="1"/>
</file>

<file path=xl/ctrlProps/ctrlProp611.xml><?xml version="1.0" encoding="utf-8"?>
<formControlPr xmlns="http://schemas.microsoft.com/office/spreadsheetml/2009/9/main" objectType="Radio" lockText="1"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Radio" firstButton="1" fmlaLink="$R$571" lockText="1" noThreeD="1"/>
</file>

<file path=xl/ctrlProps/ctrlProp614.xml><?xml version="1.0" encoding="utf-8"?>
<formControlPr xmlns="http://schemas.microsoft.com/office/spreadsheetml/2009/9/main" objectType="Radio" lockText="1"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Radio" firstButton="1" fmlaLink="$R$596" lockText="1" noThreeD="1"/>
</file>

<file path=xl/ctrlProps/ctrlProp617.xml><?xml version="1.0" encoding="utf-8"?>
<formControlPr xmlns="http://schemas.microsoft.com/office/spreadsheetml/2009/9/main" objectType="Radio" lockText="1"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Radio" firstButton="1" fmlaLink="$R$621" lockText="1" noThreeD="1"/>
</file>

<file path=xl/ctrlProps/ctrlProp62.xml><?xml version="1.0" encoding="utf-8"?>
<formControlPr xmlns="http://schemas.microsoft.com/office/spreadsheetml/2009/9/main" objectType="Radio" lockText="1" noThreeD="1"/>
</file>

<file path=xl/ctrlProps/ctrlProp620.xml><?xml version="1.0" encoding="utf-8"?>
<formControlPr xmlns="http://schemas.microsoft.com/office/spreadsheetml/2009/9/main" objectType="Radio" lockText="1" noThreeD="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Radio" firstButton="1" fmlaLink="$R$646"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Radio" firstButton="1" fmlaLink="$R$671" lockText="1" noThreeD="1"/>
</file>

<file path=xl/ctrlProps/ctrlProp626.xml><?xml version="1.0" encoding="utf-8"?>
<formControlPr xmlns="http://schemas.microsoft.com/office/spreadsheetml/2009/9/main" objectType="Radio" lockText="1"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Radio" firstButton="1" fmlaLink="$R$696" lockText="1" noThreeD="1"/>
</file>

<file path=xl/ctrlProps/ctrlProp629.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Radio" firstButton="1" fmlaLink="$R$721" lockText="1" noThreeD="1"/>
</file>

<file path=xl/ctrlProps/ctrlProp632.xml><?xml version="1.0" encoding="utf-8"?>
<formControlPr xmlns="http://schemas.microsoft.com/office/spreadsheetml/2009/9/main" objectType="Radio" lockText="1" noThreeD="1"/>
</file>

<file path=xl/ctrlProps/ctrlProp633.xml><?xml version="1.0" encoding="utf-8"?>
<formControlPr xmlns="http://schemas.microsoft.com/office/spreadsheetml/2009/9/main" objectType="GBox" noThreeD="1"/>
</file>

<file path=xl/ctrlProps/ctrlProp634.xml><?xml version="1.0" encoding="utf-8"?>
<formControlPr xmlns="http://schemas.microsoft.com/office/spreadsheetml/2009/9/main" objectType="Radio" firstButton="1" fmlaLink="$R$746" lockText="1" noThreeD="1"/>
</file>

<file path=xl/ctrlProps/ctrlProp635.xml><?xml version="1.0" encoding="utf-8"?>
<formControlPr xmlns="http://schemas.microsoft.com/office/spreadsheetml/2009/9/main" objectType="Radio" lockText="1" noThreeD="1"/>
</file>

<file path=xl/ctrlProps/ctrlProp636.xml><?xml version="1.0" encoding="utf-8"?>
<formControlPr xmlns="http://schemas.microsoft.com/office/spreadsheetml/2009/9/main" objectType="GBox" noThreeD="1"/>
</file>

<file path=xl/ctrlProps/ctrlProp637.xml><?xml version="1.0" encoding="utf-8"?>
<formControlPr xmlns="http://schemas.microsoft.com/office/spreadsheetml/2009/9/main" objectType="Radio" firstButton="1" fmlaLink="$R$771"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GBox" noThreeD="1"/>
</file>

<file path=xl/ctrlProps/ctrlProp64.xml><?xml version="1.0" encoding="utf-8"?>
<formControlPr xmlns="http://schemas.microsoft.com/office/spreadsheetml/2009/9/main" objectType="Radio" lockText="1" noThreeD="1"/>
</file>

<file path=xl/ctrlProps/ctrlProp640.xml><?xml version="1.0" encoding="utf-8"?>
<formControlPr xmlns="http://schemas.microsoft.com/office/spreadsheetml/2009/9/main" objectType="Radio" firstButton="1" fmlaLink="$R$796" lockText="1" noThreeD="1"/>
</file>

<file path=xl/ctrlProps/ctrlProp641.xml><?xml version="1.0" encoding="utf-8"?>
<formControlPr xmlns="http://schemas.microsoft.com/office/spreadsheetml/2009/9/main" objectType="Radio" lockText="1" noThreeD="1"/>
</file>

<file path=xl/ctrlProps/ctrlProp642.xml><?xml version="1.0" encoding="utf-8"?>
<formControlPr xmlns="http://schemas.microsoft.com/office/spreadsheetml/2009/9/main" objectType="GBox" noThreeD="1"/>
</file>

<file path=xl/ctrlProps/ctrlProp643.xml><?xml version="1.0" encoding="utf-8"?>
<formControlPr xmlns="http://schemas.microsoft.com/office/spreadsheetml/2009/9/main" objectType="Radio" firstButton="1" fmlaLink="$R$821" lockText="1" noThreeD="1"/>
</file>

<file path=xl/ctrlProps/ctrlProp644.xml><?xml version="1.0" encoding="utf-8"?>
<formControlPr xmlns="http://schemas.microsoft.com/office/spreadsheetml/2009/9/main" objectType="Radio" lockText="1" noThreeD="1"/>
</file>

<file path=xl/ctrlProps/ctrlProp645.xml><?xml version="1.0" encoding="utf-8"?>
<formControlPr xmlns="http://schemas.microsoft.com/office/spreadsheetml/2009/9/main" objectType="GBox" noThreeD="1"/>
</file>

<file path=xl/ctrlProps/ctrlProp646.xml><?xml version="1.0" encoding="utf-8"?>
<formControlPr xmlns="http://schemas.microsoft.com/office/spreadsheetml/2009/9/main" objectType="Radio" firstButton="1" fmlaLink="$R$846" lockText="1" noThreeD="1"/>
</file>

<file path=xl/ctrlProps/ctrlProp647.xml><?xml version="1.0" encoding="utf-8"?>
<formControlPr xmlns="http://schemas.microsoft.com/office/spreadsheetml/2009/9/main" objectType="Radio" lockText="1" noThreeD="1"/>
</file>

<file path=xl/ctrlProps/ctrlProp648.xml><?xml version="1.0" encoding="utf-8"?>
<formControlPr xmlns="http://schemas.microsoft.com/office/spreadsheetml/2009/9/main" objectType="GBox" noThreeD="1"/>
</file>

<file path=xl/ctrlProps/ctrlProp649.xml><?xml version="1.0" encoding="utf-8"?>
<formControlPr xmlns="http://schemas.microsoft.com/office/spreadsheetml/2009/9/main" objectType="Radio" firstButton="1" fmlaLink="$R$871" lockText="1" noThreeD="1"/>
</file>

<file path=xl/ctrlProps/ctrlProp65.xml><?xml version="1.0" encoding="utf-8"?>
<formControlPr xmlns="http://schemas.microsoft.com/office/spreadsheetml/2009/9/main" objectType="GBox" noThreeD="1"/>
</file>

<file path=xl/ctrlProps/ctrlProp650.xml><?xml version="1.0" encoding="utf-8"?>
<formControlPr xmlns="http://schemas.microsoft.com/office/spreadsheetml/2009/9/main" objectType="Radio" lockText="1" noThreeD="1"/>
</file>

<file path=xl/ctrlProps/ctrlProp651.xml><?xml version="1.0" encoding="utf-8"?>
<formControlPr xmlns="http://schemas.microsoft.com/office/spreadsheetml/2009/9/main" objectType="GBox" noThreeD="1"/>
</file>

<file path=xl/ctrlProps/ctrlProp652.xml><?xml version="1.0" encoding="utf-8"?>
<formControlPr xmlns="http://schemas.microsoft.com/office/spreadsheetml/2009/9/main" objectType="Radio" firstButton="1" fmlaLink="$R$896" lockText="1" noThreeD="1"/>
</file>

<file path=xl/ctrlProps/ctrlProp653.xml><?xml version="1.0" encoding="utf-8"?>
<formControlPr xmlns="http://schemas.microsoft.com/office/spreadsheetml/2009/9/main" objectType="Radio" lockText="1" noThreeD="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Radio" firstButton="1" fmlaLink="$R$921" lockText="1" noThreeD="1"/>
</file>

<file path=xl/ctrlProps/ctrlProp656.xml><?xml version="1.0" encoding="utf-8"?>
<formControlPr xmlns="http://schemas.microsoft.com/office/spreadsheetml/2009/9/main" objectType="Radio" lockText="1" noThreeD="1"/>
</file>

<file path=xl/ctrlProps/ctrlProp657.xml><?xml version="1.0" encoding="utf-8"?>
<formControlPr xmlns="http://schemas.microsoft.com/office/spreadsheetml/2009/9/main" objectType="GBox" noThreeD="1"/>
</file>

<file path=xl/ctrlProps/ctrlProp658.xml><?xml version="1.0" encoding="utf-8"?>
<formControlPr xmlns="http://schemas.microsoft.com/office/spreadsheetml/2009/9/main" objectType="Radio" firstButton="1" fmlaLink="$R$946" lockText="1" noThreeD="1"/>
</file>

<file path=xl/ctrlProps/ctrlProp659.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GBox" noThreeD="1"/>
</file>

<file path=xl/ctrlProps/ctrlProp660.xml><?xml version="1.0" encoding="utf-8"?>
<formControlPr xmlns="http://schemas.microsoft.com/office/spreadsheetml/2009/9/main" objectType="GBox" noThreeD="1"/>
</file>

<file path=xl/ctrlProps/ctrlProp661.xml><?xml version="1.0" encoding="utf-8"?>
<formControlPr xmlns="http://schemas.microsoft.com/office/spreadsheetml/2009/9/main" objectType="Radio" firstButton="1" fmlaLink="$R$971" lockText="1" noThreeD="1"/>
</file>

<file path=xl/ctrlProps/ctrlProp662.xml><?xml version="1.0" encoding="utf-8"?>
<formControlPr xmlns="http://schemas.microsoft.com/office/spreadsheetml/2009/9/main" objectType="Radio" lockText="1" noThreeD="1"/>
</file>

<file path=xl/ctrlProps/ctrlProp663.xml><?xml version="1.0" encoding="utf-8"?>
<formControlPr xmlns="http://schemas.microsoft.com/office/spreadsheetml/2009/9/main" objectType="GBox" noThreeD="1"/>
</file>

<file path=xl/ctrlProps/ctrlProp664.xml><?xml version="1.0" encoding="utf-8"?>
<formControlPr xmlns="http://schemas.microsoft.com/office/spreadsheetml/2009/9/main" objectType="Radio" firstButton="1" fmlaLink="$R$996" lockText="1" noThreeD="1"/>
</file>

<file path=xl/ctrlProps/ctrlProp665.xml><?xml version="1.0" encoding="utf-8"?>
<formControlPr xmlns="http://schemas.microsoft.com/office/spreadsheetml/2009/9/main" objectType="Radio" lockText="1" noThreeD="1"/>
</file>

<file path=xl/ctrlProps/ctrlProp666.xml><?xml version="1.0" encoding="utf-8"?>
<formControlPr xmlns="http://schemas.microsoft.com/office/spreadsheetml/2009/9/main" objectType="GBox"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firstButton="1" fmlaLink="$Q$21"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P$32"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firstButton="1" fmlaLink="$R$21"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Radio" firstButton="1" fmlaLink="$Q$25"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CheckBox" fmlaLink="$P$31"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firstButton="1" fmlaLink="$R$25"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firstButton="1" fmlaLink="$Q$29"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fmlaLink="$P$33"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firstButton="1" fmlaLink="$R$29"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Radio" firstButton="1" fmlaLink="$Q$33" lockText="1" noThreeD="1"/>
</file>

<file path=xl/ctrlProps/ctrlProp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1981200</xdr:colOff>
      <xdr:row>156</xdr:row>
      <xdr:rowOff>114301</xdr:rowOff>
    </xdr:from>
    <xdr:to>
      <xdr:col>4</xdr:col>
      <xdr:colOff>2873036</xdr:colOff>
      <xdr:row>156</xdr:row>
      <xdr:rowOff>285461</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62550" y="23564851"/>
          <a:ext cx="891836" cy="171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600075</xdr:colOff>
      <xdr:row>6</xdr:row>
      <xdr:rowOff>228600</xdr:rowOff>
    </xdr:from>
    <xdr:to>
      <xdr:col>11</xdr:col>
      <xdr:colOff>104775</xdr:colOff>
      <xdr:row>6</xdr:row>
      <xdr:rowOff>228600</xdr:rowOff>
    </xdr:to>
    <xdr:cxnSp macro="">
      <xdr:nvCxnSpPr>
        <xdr:cNvPr id="2" name="直線コネクタ 1">
          <a:extLst>
            <a:ext uri="{FF2B5EF4-FFF2-40B4-BE49-F238E27FC236}">
              <a16:creationId xmlns:a16="http://schemas.microsoft.com/office/drawing/2014/main" id="{00000000-0008-0000-3F00-000002000000}"/>
            </a:ext>
          </a:extLst>
        </xdr:cNvPr>
        <xdr:cNvCxnSpPr/>
      </xdr:nvCxnSpPr>
      <xdr:spPr>
        <a:xfrm flipV="1">
          <a:off x="6225428" y="1461247"/>
          <a:ext cx="72614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1703917</xdr:colOff>
      <xdr:row>4</xdr:row>
      <xdr:rowOff>370416</xdr:rowOff>
    </xdr:from>
    <xdr:to>
      <xdr:col>24</xdr:col>
      <xdr:colOff>38973</xdr:colOff>
      <xdr:row>99</xdr:row>
      <xdr:rowOff>19492</xdr:rowOff>
    </xdr:to>
    <xdr:sp macro="" textlink="">
      <xdr:nvSpPr>
        <xdr:cNvPr id="3" name="正方形/長方形 2">
          <a:extLst>
            <a:ext uri="{FF2B5EF4-FFF2-40B4-BE49-F238E27FC236}">
              <a16:creationId xmlns:a16="http://schemas.microsoft.com/office/drawing/2014/main" id="{00000000-0008-0000-3F00-000003000000}"/>
            </a:ext>
          </a:extLst>
        </xdr:cNvPr>
        <xdr:cNvSpPr/>
      </xdr:nvSpPr>
      <xdr:spPr>
        <a:xfrm>
          <a:off x="8432377" y="1162896"/>
          <a:ext cx="6831356" cy="50215396"/>
        </a:xfrm>
        <a:prstGeom prst="rect">
          <a:avLst/>
        </a:prstGeom>
        <a:noFill/>
        <a:ln w="76200" cmpd="dbl">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232833</xdr:colOff>
      <xdr:row>0</xdr:row>
      <xdr:rowOff>95250</xdr:rowOff>
    </xdr:from>
    <xdr:to>
      <xdr:col>20</xdr:col>
      <xdr:colOff>243416</xdr:colOff>
      <xdr:row>5</xdr:row>
      <xdr:rowOff>2795</xdr:rowOff>
    </xdr:to>
    <xdr:grpSp>
      <xdr:nvGrpSpPr>
        <xdr:cNvPr id="4" name="グループ化 3">
          <a:extLst>
            <a:ext uri="{FF2B5EF4-FFF2-40B4-BE49-F238E27FC236}">
              <a16:creationId xmlns:a16="http://schemas.microsoft.com/office/drawing/2014/main" id="{00000000-0008-0000-3F00-000004000000}"/>
            </a:ext>
          </a:extLst>
        </xdr:cNvPr>
        <xdr:cNvGrpSpPr/>
      </xdr:nvGrpSpPr>
      <xdr:grpSpPr>
        <a:xfrm>
          <a:off x="7843308" y="95250"/>
          <a:ext cx="6573308" cy="1088645"/>
          <a:chOff x="7249583" y="21166"/>
          <a:chExt cx="6096000" cy="941917"/>
        </a:xfrm>
      </xdr:grpSpPr>
      <xdr:sp macro="" textlink="">
        <xdr:nvSpPr>
          <xdr:cNvPr id="5" name="角丸四角形吹き出し 4">
            <a:extLst>
              <a:ext uri="{FF2B5EF4-FFF2-40B4-BE49-F238E27FC236}">
                <a16:creationId xmlns:a16="http://schemas.microsoft.com/office/drawing/2014/main" id="{00000000-0008-0000-3F00-000005000000}"/>
              </a:ext>
            </a:extLst>
          </xdr:cNvPr>
          <xdr:cNvSpPr/>
        </xdr:nvSpPr>
        <xdr:spPr>
          <a:xfrm>
            <a:off x="7249583" y="21166"/>
            <a:ext cx="6096000" cy="941917"/>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900" b="1">
                <a:solidFill>
                  <a:srgbClr val="CC3300"/>
                </a:solidFill>
                <a:latin typeface="ＭＳ ゴシック" panose="020B0609070205080204" pitchFamily="49" charset="-128"/>
                <a:ea typeface="ＭＳ ゴシック" panose="020B0609070205080204" pitchFamily="49" charset="-128"/>
              </a:rPr>
              <a:t>計画期間内に</a:t>
            </a:r>
            <a:r>
              <a:rPr kumimoji="1" lang="ja-JP" altLang="en-US" sz="900" b="0">
                <a:solidFill>
                  <a:schemeClr val="tx1"/>
                </a:solidFill>
                <a:latin typeface="ＭＳ ゴシック" panose="020B0609070205080204" pitchFamily="49" charset="-128"/>
                <a:ea typeface="ＭＳ ゴシック" panose="020B0609070205080204" pitchFamily="49" charset="-128"/>
              </a:rPr>
              <a:t>右記の設備を</a:t>
            </a:r>
            <a:r>
              <a:rPr kumimoji="1" lang="ja-JP" altLang="en-US" sz="900" b="1">
                <a:solidFill>
                  <a:schemeClr val="tx1"/>
                </a:solidFill>
                <a:latin typeface="ＭＳ ゴシック" panose="020B0609070205080204" pitchFamily="49" charset="-128"/>
                <a:ea typeface="ＭＳ ゴシック" panose="020B0609070205080204" pitchFamily="49" charset="-128"/>
              </a:rPr>
              <a:t>導入</a:t>
            </a:r>
            <a:r>
              <a:rPr kumimoji="1" lang="ja-JP" altLang="en-US" sz="800" b="0">
                <a:solidFill>
                  <a:schemeClr val="tx1"/>
                </a:solidFill>
                <a:latin typeface="ＭＳ ゴシック" panose="020B0609070205080204" pitchFamily="49" charset="-128"/>
                <a:ea typeface="ＭＳ ゴシック" panose="020B0609070205080204" pitchFamily="49" charset="-128"/>
              </a:rPr>
              <a:t>または</a:t>
            </a:r>
            <a:r>
              <a:rPr kumimoji="1" lang="ja-JP" altLang="en-US" sz="900" b="1">
                <a:solidFill>
                  <a:schemeClr val="tx1"/>
                </a:solidFill>
                <a:latin typeface="ＭＳ ゴシック" panose="020B0609070205080204" pitchFamily="49" charset="-128"/>
                <a:ea typeface="ＭＳ ゴシック" panose="020B0609070205080204" pitchFamily="49" charset="-128"/>
              </a:rPr>
              <a:t>運用改善</a:t>
            </a:r>
            <a:endParaRPr kumimoji="1" lang="en-US" altLang="ja-JP" sz="9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により削減できた場合に記入。具体的な対策</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には、設備の種類、定格性能、台数等を記入。</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300" b="0">
                <a:solidFill>
                  <a:schemeClr val="tx1"/>
                </a:solidFill>
                <a:latin typeface="ＭＳ ゴシック" panose="020B0609070205080204" pitchFamily="49" charset="-128"/>
                <a:ea typeface="ＭＳ ゴシック" panose="020B0609070205080204" pitchFamily="49" charset="-128"/>
              </a:rPr>
              <a:t>　</a:t>
            </a:r>
            <a:endParaRPr kumimoji="1" lang="en-US" altLang="ja-JP" sz="3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記入は</a:t>
            </a:r>
            <a:r>
              <a:rPr kumimoji="1" lang="ja-JP" altLang="en-US" sz="900" b="1">
                <a:solidFill>
                  <a:schemeClr val="tx1"/>
                </a:solidFill>
                <a:latin typeface="ＭＳ ゴシック" panose="020B0609070205080204" pitchFamily="49" charset="-128"/>
                <a:ea typeface="ＭＳ ゴシック" panose="020B0609070205080204" pitchFamily="49" charset="-128"/>
              </a:rPr>
              <a:t>任意</a:t>
            </a:r>
            <a:r>
              <a:rPr kumimoji="1" lang="ja-JP" altLang="en-US" sz="900" b="0">
                <a:solidFill>
                  <a:schemeClr val="tx1"/>
                </a:solidFill>
                <a:latin typeface="ＭＳ ゴシック" panose="020B0609070205080204" pitchFamily="49" charset="-128"/>
                <a:ea typeface="ＭＳ ゴシック" panose="020B0609070205080204" pitchFamily="49" charset="-128"/>
              </a:rPr>
              <a:t>であるが、</a:t>
            </a:r>
            <a:r>
              <a:rPr kumimoji="1" lang="ja-JP" altLang="en-US" sz="900" b="1">
                <a:solidFill>
                  <a:schemeClr val="tx1"/>
                </a:solidFill>
                <a:latin typeface="ＭＳ ゴシック" panose="020B0609070205080204" pitchFamily="49" charset="-128"/>
                <a:ea typeface="ＭＳ ゴシック" panose="020B0609070205080204" pitchFamily="49" charset="-128"/>
              </a:rPr>
              <a:t>評価対象</a:t>
            </a:r>
            <a:r>
              <a:rPr kumimoji="1" lang="ja-JP" altLang="en-US" sz="900" b="0">
                <a:solidFill>
                  <a:schemeClr val="tx1"/>
                </a:solidFill>
                <a:latin typeface="ＭＳ ゴシック" panose="020B0609070205080204" pitchFamily="49" charset="-128"/>
                <a:ea typeface="ＭＳ ゴシック" panose="020B0609070205080204" pitchFamily="49" charset="-128"/>
              </a:rPr>
              <a:t>。</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xdr:txBody>
      </xdr:sp>
      <xdr:sp macro="" textlink="">
        <xdr:nvSpPr>
          <xdr:cNvPr id="6" name="テキスト ボックス 5">
            <a:extLst>
              <a:ext uri="{FF2B5EF4-FFF2-40B4-BE49-F238E27FC236}">
                <a16:creationId xmlns:a16="http://schemas.microsoft.com/office/drawing/2014/main" id="{00000000-0008-0000-3F00-000006000000}"/>
              </a:ext>
            </a:extLst>
          </xdr:cNvPr>
          <xdr:cNvSpPr txBox="1"/>
        </xdr:nvSpPr>
        <xdr:spPr>
          <a:xfrm>
            <a:off x="9789584" y="42334"/>
            <a:ext cx="3439583" cy="8838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ja-JP" sz="800" b="0">
                <a:solidFill>
                  <a:schemeClr val="tx1"/>
                </a:solidFill>
                <a:effectLst/>
                <a:latin typeface="+mn-lt"/>
                <a:ea typeface="+mn-ea"/>
                <a:cs typeface="+mn-cs"/>
              </a:rPr>
              <a:t>・給湯器：ヒートポンプ給湯器、潜熱回収型給湯器、ガスエンジン給湯器</a:t>
            </a:r>
            <a:endParaRPr lang="ja-JP" altLang="ja-JP" sz="800">
              <a:effectLst/>
            </a:endParaRPr>
          </a:p>
          <a:p>
            <a:r>
              <a:rPr kumimoji="1" lang="ja-JP" altLang="ja-JP" sz="800" b="0">
                <a:solidFill>
                  <a:schemeClr val="tx1"/>
                </a:solidFill>
                <a:effectLst/>
                <a:latin typeface="+mn-lt"/>
                <a:ea typeface="+mn-ea"/>
                <a:cs typeface="+mn-cs"/>
              </a:rPr>
              <a:t>・ヒートポンプ技術を用いた高効率の空気調和設備</a:t>
            </a:r>
            <a:endParaRPr lang="ja-JP" altLang="ja-JP" sz="800">
              <a:effectLst/>
            </a:endParaRPr>
          </a:p>
          <a:p>
            <a:r>
              <a:rPr kumimoji="1" lang="ja-JP" altLang="ja-JP" sz="800" b="0">
                <a:solidFill>
                  <a:schemeClr val="tx1"/>
                </a:solidFill>
                <a:effectLst/>
                <a:latin typeface="+mn-lt"/>
                <a:ea typeface="+mn-ea"/>
                <a:cs typeface="+mn-cs"/>
              </a:rPr>
              <a:t>・コージェネレーションシステム（ガスエンジン給湯器及び燃料電池以外）</a:t>
            </a:r>
            <a:endParaRPr lang="ja-JP" altLang="ja-JP" sz="800">
              <a:effectLst/>
            </a:endParaRPr>
          </a:p>
          <a:p>
            <a:r>
              <a:rPr kumimoji="1" lang="ja-JP" altLang="ja-JP" sz="800" b="0">
                <a:solidFill>
                  <a:schemeClr val="tx1"/>
                </a:solidFill>
                <a:effectLst/>
                <a:latin typeface="+mn-lt"/>
                <a:ea typeface="+mn-ea"/>
                <a:cs typeface="+mn-cs"/>
              </a:rPr>
              <a:t>・燃料電池（燃料電池自動車に搭載されるものを除く。）</a:t>
            </a:r>
            <a:endParaRPr lang="ja-JP" altLang="ja-JP" sz="800">
              <a:effectLst/>
            </a:endParaRPr>
          </a:p>
          <a:p>
            <a:r>
              <a:rPr kumimoji="1" lang="ja-JP" altLang="ja-JP" sz="800" b="0">
                <a:solidFill>
                  <a:schemeClr val="tx1"/>
                </a:solidFill>
                <a:effectLst/>
                <a:latin typeface="+mn-lt"/>
                <a:ea typeface="+mn-ea"/>
                <a:cs typeface="+mn-cs"/>
              </a:rPr>
              <a:t>・エネルギーマネジメントシステム（計測、制御等の機能を有するもの）</a:t>
            </a:r>
            <a:endParaRPr kumimoji="1" lang="en-US" altLang="ja-JP" sz="800" b="0">
              <a:solidFill>
                <a:schemeClr val="tx1"/>
              </a:solidFill>
              <a:effectLst/>
              <a:latin typeface="+mn-lt"/>
              <a:ea typeface="+mn-ea"/>
              <a:cs typeface="+mn-cs"/>
            </a:endParaRPr>
          </a:p>
          <a:p>
            <a:r>
              <a:rPr kumimoji="1" lang="ja-JP" altLang="en-US" sz="800" b="0">
                <a:solidFill>
                  <a:schemeClr val="tx1"/>
                </a:solidFill>
                <a:effectLst/>
                <a:latin typeface="+mn-lt"/>
                <a:ea typeface="+mn-ea"/>
                <a:cs typeface="+mn-cs"/>
              </a:rPr>
              <a:t>・高効率照明（</a:t>
            </a:r>
            <a:r>
              <a:rPr kumimoji="1" lang="en-US" altLang="ja-JP" sz="800" b="0">
                <a:solidFill>
                  <a:schemeClr val="tx1"/>
                </a:solidFill>
                <a:effectLst/>
                <a:latin typeface="+mn-lt"/>
                <a:ea typeface="+mn-ea"/>
                <a:cs typeface="+mn-cs"/>
              </a:rPr>
              <a:t>LED</a:t>
            </a:r>
            <a:r>
              <a:rPr kumimoji="1" lang="ja-JP" altLang="en-US" sz="800" b="0">
                <a:solidFill>
                  <a:schemeClr val="tx1"/>
                </a:solidFill>
                <a:effectLst/>
                <a:latin typeface="+mn-lt"/>
                <a:ea typeface="+mn-ea"/>
                <a:cs typeface="+mn-cs"/>
              </a:rPr>
              <a:t>照明等）</a:t>
            </a:r>
            <a:endParaRPr kumimoji="1" lang="en-US" altLang="ja-JP" sz="800" b="0">
              <a:solidFill>
                <a:schemeClr val="tx1"/>
              </a:solidFill>
              <a:effectLst/>
              <a:latin typeface="+mn-lt"/>
              <a:ea typeface="+mn-ea"/>
              <a:cs typeface="+mn-cs"/>
            </a:endParaRPr>
          </a:p>
          <a:p>
            <a:r>
              <a:rPr kumimoji="1" lang="ja-JP" altLang="en-US" sz="800" b="0">
                <a:solidFill>
                  <a:schemeClr val="tx1"/>
                </a:solidFill>
                <a:effectLst/>
                <a:latin typeface="+mn-lt"/>
                <a:ea typeface="+mn-ea"/>
                <a:cs typeface="+mn-cs"/>
              </a:rPr>
              <a:t>・その他　実施状況点検表での目標対策等、排出抑制に著しく寄与する設備</a:t>
            </a:r>
            <a:endParaRPr lang="ja-JP" altLang="ja-JP" sz="800">
              <a:effectLst/>
            </a:endParaRPr>
          </a:p>
        </xdr:txBody>
      </xdr:sp>
    </xdr:grpSp>
    <xdr:clientData/>
  </xdr:twoCellAnchor>
  <xdr:twoCellAnchor>
    <xdr:from>
      <xdr:col>12</xdr:col>
      <xdr:colOff>95250</xdr:colOff>
      <xdr:row>5</xdr:row>
      <xdr:rowOff>31751</xdr:rowOff>
    </xdr:from>
    <xdr:to>
      <xdr:col>12</xdr:col>
      <xdr:colOff>1608667</xdr:colOff>
      <xdr:row>12</xdr:row>
      <xdr:rowOff>1</xdr:rowOff>
    </xdr:to>
    <xdr:sp macro="" textlink="">
      <xdr:nvSpPr>
        <xdr:cNvPr id="7" name="角丸四角形吹き出し 6">
          <a:extLst>
            <a:ext uri="{FF2B5EF4-FFF2-40B4-BE49-F238E27FC236}">
              <a16:creationId xmlns:a16="http://schemas.microsoft.com/office/drawing/2014/main" id="{00000000-0008-0000-3F00-000007000000}"/>
            </a:ext>
          </a:extLst>
        </xdr:cNvPr>
        <xdr:cNvSpPr/>
      </xdr:nvSpPr>
      <xdr:spPr>
        <a:xfrm>
          <a:off x="6945630" y="1205231"/>
          <a:ext cx="1490557" cy="308483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1000" b="0">
              <a:solidFill>
                <a:srgbClr val="CC3300"/>
              </a:solidFill>
              <a:latin typeface="ＭＳ ゴシック" panose="020B0609070205080204" pitchFamily="49" charset="-128"/>
              <a:ea typeface="ＭＳ ゴシック" panose="020B0609070205080204" pitchFamily="49" charset="-128"/>
            </a:rPr>
            <a:t>左側</a:t>
          </a:r>
          <a:r>
            <a:rPr kumimoji="1" lang="ja-JP" altLang="en-US" sz="1000" b="0">
              <a:solidFill>
                <a:schemeClr val="tx1"/>
              </a:solidFill>
              <a:latin typeface="ＭＳ ゴシック" panose="020B0609070205080204" pitchFamily="49" charset="-128"/>
              <a:ea typeface="ＭＳ ゴシック" panose="020B0609070205080204" pitchFamily="49" charset="-128"/>
            </a:rPr>
            <a:t>の</a:t>
          </a:r>
          <a:r>
            <a:rPr kumimoji="1" lang="ja-JP" altLang="en-US" sz="1000" b="1">
              <a:solidFill>
                <a:schemeClr val="tx1"/>
              </a:solidFill>
              <a:latin typeface="ＭＳ ゴシック" panose="020B0609070205080204" pitchFamily="49" charset="-128"/>
              <a:ea typeface="ＭＳ ゴシック" panose="020B0609070205080204" pitchFamily="49" charset="-128"/>
            </a:rPr>
            <a:t>様式内の削減</a:t>
          </a:r>
          <a:endParaRPr kumimoji="1" lang="en-US" altLang="ja-JP" sz="10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00" b="1">
              <a:solidFill>
                <a:schemeClr val="tx1"/>
              </a:solidFill>
              <a:latin typeface="ＭＳ ゴシック" panose="020B0609070205080204" pitchFamily="49" charset="-128"/>
              <a:ea typeface="ＭＳ ゴシック" panose="020B0609070205080204" pitchFamily="49" charset="-128"/>
            </a:rPr>
            <a:t>量算定</a:t>
          </a:r>
          <a:r>
            <a:rPr kumimoji="1" lang="ja-JP" altLang="en-US" sz="1000" b="0">
              <a:solidFill>
                <a:schemeClr val="tx1"/>
              </a:solidFill>
              <a:latin typeface="ＭＳ ゴシック" panose="020B0609070205080204" pitchFamily="49" charset="-128"/>
              <a:ea typeface="ＭＳ ゴシック" panose="020B0609070205080204" pitchFamily="49" charset="-128"/>
            </a:rPr>
            <a:t>に当たり、</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00" b="0">
              <a:solidFill>
                <a:srgbClr val="CC3300"/>
              </a:solidFill>
              <a:latin typeface="ＭＳ ゴシック" panose="020B0609070205080204" pitchFamily="49" charset="-128"/>
              <a:ea typeface="ＭＳ ゴシック" panose="020B0609070205080204" pitchFamily="49" charset="-128"/>
            </a:rPr>
            <a:t>右側の</a:t>
          </a:r>
          <a:r>
            <a:rPr kumimoji="1" lang="ja-JP" altLang="en-US" sz="1000" b="1">
              <a:solidFill>
                <a:srgbClr val="CC3300"/>
              </a:solidFill>
              <a:latin typeface="ＭＳ ゴシック" panose="020B0609070205080204" pitchFamily="49" charset="-128"/>
              <a:ea typeface="ＭＳ ゴシック" panose="020B0609070205080204" pitchFamily="49" charset="-128"/>
            </a:rPr>
            <a:t>計算シートを</a:t>
          </a:r>
          <a:endParaRPr kumimoji="1" lang="en-US" altLang="ja-JP" sz="1000" b="1">
            <a:solidFill>
              <a:srgbClr val="CC3300"/>
            </a:solidFill>
            <a:latin typeface="ＭＳ ゴシック" panose="020B0609070205080204" pitchFamily="49" charset="-128"/>
            <a:ea typeface="ＭＳ ゴシック" panose="020B0609070205080204" pitchFamily="49" charset="-128"/>
          </a:endParaRPr>
        </a:p>
        <a:p>
          <a:pPr algn="l"/>
          <a:r>
            <a:rPr kumimoji="1" lang="ja-JP" altLang="en-US" sz="1000" b="1">
              <a:solidFill>
                <a:srgbClr val="CC3300"/>
              </a:solidFill>
              <a:latin typeface="ＭＳ ゴシック" panose="020B0609070205080204" pitchFamily="49" charset="-128"/>
              <a:ea typeface="ＭＳ ゴシック" panose="020B0609070205080204" pitchFamily="49" charset="-128"/>
            </a:rPr>
            <a:t>利用</a:t>
          </a:r>
          <a:r>
            <a:rPr kumimoji="1" lang="ja-JP" altLang="en-US" sz="1000" b="0">
              <a:solidFill>
                <a:schemeClr val="tx1"/>
              </a:solidFill>
              <a:latin typeface="ＭＳ ゴシック" panose="020B0609070205080204" pitchFamily="49" charset="-128"/>
              <a:ea typeface="ＭＳ ゴシック" panose="020B0609070205080204" pitchFamily="49" charset="-128"/>
            </a:rPr>
            <a:t>可能。</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300" b="0">
              <a:solidFill>
                <a:schemeClr val="tx1"/>
              </a:solidFill>
              <a:latin typeface="ＭＳ ゴシック" panose="020B0609070205080204" pitchFamily="49" charset="-128"/>
              <a:ea typeface="ＭＳ ゴシック" panose="020B0609070205080204" pitchFamily="49" charset="-128"/>
            </a:rPr>
            <a:t>　</a:t>
          </a:r>
          <a:endParaRPr kumimoji="1" lang="en-US" altLang="ja-JP" sz="3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利用しない場合は、  </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別途根拠資料要提出</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1">
              <a:solidFill>
                <a:schemeClr val="tx1"/>
              </a:solidFill>
              <a:latin typeface="ＭＳ ゴシック" panose="020B0609070205080204" pitchFamily="49" charset="-128"/>
              <a:ea typeface="ＭＳ ゴシック" panose="020B0609070205080204" pitchFamily="49" charset="-128"/>
            </a:rPr>
            <a:t>＜計算シート記入＞</a:t>
          </a:r>
          <a:endParaRPr kumimoji="1" lang="en-US" altLang="ja-JP" sz="9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実施前後それぞれに</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おいて以下記載</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設備の名称</a:t>
          </a:r>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台数</a:t>
          </a:r>
          <a:r>
            <a:rPr kumimoji="1" lang="en-US" altLang="ja-JP" sz="900" b="0">
              <a:solidFill>
                <a:schemeClr val="tx1"/>
              </a:solidFill>
              <a:latin typeface="ＭＳ ゴシック" panose="020B0609070205080204" pitchFamily="49" charset="-128"/>
              <a:ea typeface="ＭＳ ゴシック" panose="020B0609070205080204" pitchFamily="49" charset="-128"/>
            </a:rPr>
            <a:t>,</a:t>
          </a:r>
        </a:p>
        <a:p>
          <a:pPr algn="l"/>
          <a:r>
            <a:rPr kumimoji="1" lang="en-US" altLang="ja-JP" sz="900" b="0">
              <a:solidFill>
                <a:schemeClr val="tx1"/>
              </a:solidFill>
              <a:latin typeface="ＭＳ ゴシック" panose="020B0609070205080204" pitchFamily="49" charset="-128"/>
              <a:ea typeface="ＭＳ ゴシック" panose="020B0609070205080204" pitchFamily="49" charset="-128"/>
            </a:rPr>
            <a:t>  </a:t>
          </a:r>
          <a:r>
            <a:rPr kumimoji="1" lang="ja-JP" altLang="en-US" sz="900" b="0">
              <a:solidFill>
                <a:schemeClr val="tx1"/>
              </a:solidFill>
              <a:latin typeface="ＭＳ ゴシック" panose="020B0609070205080204" pitchFamily="49" charset="-128"/>
              <a:ea typeface="ＭＳ ゴシック" panose="020B0609070205080204" pitchFamily="49" charset="-128"/>
            </a:rPr>
            <a:t>定格</a:t>
          </a:r>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運用状況</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900" b="0">
              <a:solidFill>
                <a:schemeClr val="tx1"/>
              </a:solidFill>
              <a:latin typeface="ＭＳ ゴシック" panose="020B0609070205080204" pitchFamily="49" charset="-128"/>
              <a:ea typeface="ＭＳ ゴシック" panose="020B0609070205080204" pitchFamily="49" charset="-128"/>
            </a:rPr>
            <a:t>等</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種別</a:t>
          </a:r>
          <a:r>
            <a:rPr kumimoji="1" lang="ja-JP" altLang="en-US" sz="900" b="0">
              <a:solidFill>
                <a:schemeClr val="tx1"/>
              </a:solidFill>
              <a:latin typeface="ＭＳ ゴシック" panose="020B0609070205080204" pitchFamily="49" charset="-128"/>
              <a:ea typeface="ＭＳ ゴシック" panose="020B0609070205080204" pitchFamily="49" charset="-128"/>
            </a:rPr>
            <a:t>を選択</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使用量</a:t>
          </a:r>
          <a:r>
            <a:rPr kumimoji="1" lang="ja-JP" altLang="en-US" sz="900" b="0">
              <a:solidFill>
                <a:schemeClr val="tx1"/>
              </a:solidFill>
              <a:latin typeface="ＭＳ ゴシック" panose="020B0609070205080204" pitchFamily="49" charset="-128"/>
              <a:ea typeface="ＭＳ ゴシック" panose="020B0609070205080204" pitchFamily="49" charset="-128"/>
            </a:rPr>
            <a:t>は</a:t>
          </a:r>
          <a:r>
            <a:rPr kumimoji="1" lang="en-US" altLang="ja-JP" sz="900" b="1">
              <a:solidFill>
                <a:schemeClr val="tx1"/>
              </a:solidFill>
              <a:latin typeface="ＭＳ ゴシック" panose="020B0609070205080204" pitchFamily="49" charset="-128"/>
              <a:ea typeface="ＭＳ ゴシック" panose="020B0609070205080204" pitchFamily="49" charset="-128"/>
            </a:rPr>
            <a:t>1</a:t>
          </a:r>
          <a:r>
            <a:rPr kumimoji="1" lang="ja-JP" altLang="en-US" sz="900" b="1">
              <a:solidFill>
                <a:schemeClr val="tx1"/>
              </a:solidFill>
              <a:latin typeface="ＭＳ ゴシック" panose="020B0609070205080204" pitchFamily="49" charset="-128"/>
              <a:ea typeface="ＭＳ ゴシック" panose="020B0609070205080204" pitchFamily="49" charset="-128"/>
            </a:rPr>
            <a:t>年分</a:t>
          </a:r>
          <a:endParaRPr kumimoji="1" lang="en-US" altLang="ja-JP" sz="9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800" b="0">
              <a:solidFill>
                <a:schemeClr val="tx1"/>
              </a:solidFill>
              <a:latin typeface="ＭＳ ゴシック" panose="020B0609070205080204" pitchFamily="49" charset="-128"/>
              <a:ea typeface="ＭＳ ゴシック" panose="020B0609070205080204" pitchFamily="49" charset="-128"/>
            </a:rPr>
            <a:t>　</a:t>
          </a:r>
          <a:r>
            <a:rPr kumimoji="1" lang="en-US" altLang="ja-JP" sz="800" b="0">
              <a:solidFill>
                <a:schemeClr val="tx1"/>
              </a:solidFill>
              <a:latin typeface="ＭＳ ゴシック" panose="020B0609070205080204" pitchFamily="49" charset="-128"/>
              <a:ea typeface="ＭＳ ゴシック" panose="020B0609070205080204" pitchFamily="49" charset="-128"/>
            </a:rPr>
            <a:t>(</a:t>
          </a:r>
          <a:r>
            <a:rPr kumimoji="1" lang="ja-JP" altLang="en-US" sz="800" b="0">
              <a:solidFill>
                <a:schemeClr val="tx1"/>
              </a:solidFill>
              <a:latin typeface="ＭＳ ゴシック" panose="020B0609070205080204" pitchFamily="49" charset="-128"/>
              <a:ea typeface="ＭＳ ゴシック" panose="020B0609070205080204" pitchFamily="49" charset="-128"/>
            </a:rPr>
            <a:t>実測</a:t>
          </a:r>
          <a:r>
            <a:rPr kumimoji="1" lang="en-US" altLang="ja-JP" sz="800" b="0">
              <a:solidFill>
                <a:schemeClr val="tx1"/>
              </a:solidFill>
              <a:latin typeface="ＭＳ ゴシック" panose="020B0609070205080204" pitchFamily="49" charset="-128"/>
              <a:ea typeface="ＭＳ ゴシック" panose="020B0609070205080204" pitchFamily="49" charset="-128"/>
            </a:rPr>
            <a:t>,</a:t>
          </a:r>
          <a:r>
            <a:rPr kumimoji="1" lang="ja-JP" altLang="en-US" sz="800" b="0">
              <a:solidFill>
                <a:schemeClr val="tx1"/>
              </a:solidFill>
              <a:latin typeface="ＭＳ ゴシック" panose="020B0609070205080204" pitchFamily="49" charset="-128"/>
              <a:ea typeface="ＭＳ ゴシック" panose="020B0609070205080204" pitchFamily="49" charset="-128"/>
            </a:rPr>
            <a:t>推計いずれ</a:t>
          </a:r>
          <a:endParaRPr kumimoji="1" lang="en-US" altLang="ja-JP" sz="8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800" b="0">
              <a:solidFill>
                <a:schemeClr val="tx1"/>
              </a:solidFill>
              <a:latin typeface="ＭＳ ゴシック" panose="020B0609070205080204" pitchFamily="49" charset="-128"/>
              <a:ea typeface="ＭＳ ゴシック" panose="020B0609070205080204" pitchFamily="49" charset="-128"/>
            </a:rPr>
            <a:t>　でも可、基点問わず）</a:t>
          </a:r>
          <a:endParaRPr kumimoji="1" lang="en-US" altLang="ja-JP" sz="8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単位</a:t>
          </a:r>
          <a:r>
            <a:rPr kumimoji="1" lang="ja-JP" altLang="en-US" sz="900" b="0">
              <a:solidFill>
                <a:schemeClr val="tx1"/>
              </a:solidFill>
              <a:latin typeface="ＭＳ ゴシック" panose="020B0609070205080204" pitchFamily="49" charset="-128"/>
              <a:ea typeface="ＭＳ ゴシック" panose="020B0609070205080204" pitchFamily="49" charset="-128"/>
            </a:rPr>
            <a:t>は種別に適した</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　ものを選択</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12</xdr:col>
      <xdr:colOff>95250</xdr:colOff>
      <xdr:row>12</xdr:row>
      <xdr:rowOff>74084</xdr:rowOff>
    </xdr:from>
    <xdr:to>
      <xdr:col>12</xdr:col>
      <xdr:colOff>1585807</xdr:colOff>
      <xdr:row>15</xdr:row>
      <xdr:rowOff>223024</xdr:rowOff>
    </xdr:to>
    <xdr:sp macro="" textlink="">
      <xdr:nvSpPr>
        <xdr:cNvPr id="8" name="角丸四角形吹き出し 7">
          <a:extLst>
            <a:ext uri="{FF2B5EF4-FFF2-40B4-BE49-F238E27FC236}">
              <a16:creationId xmlns:a16="http://schemas.microsoft.com/office/drawing/2014/main" id="{00000000-0008-0000-3F00-000008000000}"/>
            </a:ext>
          </a:extLst>
        </xdr:cNvPr>
        <xdr:cNvSpPr/>
      </xdr:nvSpPr>
      <xdr:spPr>
        <a:xfrm>
          <a:off x="6945630" y="4364144"/>
          <a:ext cx="1490557" cy="177200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lang="ja-JP" altLang="en-US" sz="1000">
              <a:solidFill>
                <a:schemeClr val="tx1"/>
              </a:solidFill>
              <a:effectLst/>
              <a:latin typeface="+mn-lt"/>
              <a:ea typeface="+mn-ea"/>
              <a:cs typeface="+mn-cs"/>
            </a:rPr>
            <a:t>左側の</a:t>
          </a:r>
          <a:r>
            <a:rPr lang="ja-JP" altLang="ja-JP" sz="1000">
              <a:solidFill>
                <a:schemeClr val="tx1"/>
              </a:solidFill>
              <a:effectLst/>
              <a:latin typeface="+mn-lt"/>
              <a:ea typeface="+mn-ea"/>
              <a:cs typeface="+mn-cs"/>
            </a:rPr>
            <a:t>「対策分類」</a:t>
          </a:r>
          <a:r>
            <a:rPr lang="ja-JP" altLang="en-US" sz="1000">
              <a:solidFill>
                <a:schemeClr val="tx1"/>
              </a:solidFill>
              <a:effectLst/>
              <a:latin typeface="+mn-lt"/>
              <a:ea typeface="+mn-ea"/>
              <a:cs typeface="+mn-cs"/>
            </a:rPr>
            <a:t>で、</a:t>
          </a:r>
          <a:endParaRPr lang="en-US" altLang="ja-JP" sz="1000">
            <a:solidFill>
              <a:schemeClr val="tx1"/>
            </a:solidFill>
            <a:effectLst/>
            <a:latin typeface="+mn-lt"/>
            <a:ea typeface="+mn-ea"/>
            <a:cs typeface="+mn-cs"/>
          </a:endParaRPr>
        </a:p>
        <a:p>
          <a:pPr algn="l"/>
          <a:r>
            <a:rPr lang="ja-JP" altLang="ja-JP" sz="1000">
              <a:solidFill>
                <a:schemeClr val="tx1"/>
              </a:solidFill>
              <a:effectLst/>
              <a:latin typeface="+mn-lt"/>
              <a:ea typeface="+mn-ea"/>
              <a:cs typeface="+mn-cs"/>
            </a:rPr>
            <a:t>「</a:t>
          </a:r>
          <a:r>
            <a:rPr lang="ja-JP" altLang="ja-JP" sz="1000" b="1">
              <a:solidFill>
                <a:srgbClr val="CC3300"/>
              </a:solidFill>
              <a:effectLst/>
              <a:latin typeface="+mn-lt"/>
              <a:ea typeface="+mn-ea"/>
              <a:cs typeface="+mn-cs"/>
            </a:rPr>
            <a:t>低炭素電気へ切替</a:t>
          </a:r>
          <a:r>
            <a:rPr lang="ja-JP" altLang="ja-JP" sz="1000">
              <a:solidFill>
                <a:schemeClr val="tx1"/>
              </a:solidFill>
              <a:effectLst/>
              <a:latin typeface="+mn-lt"/>
              <a:ea typeface="+mn-ea"/>
              <a:cs typeface="+mn-cs"/>
            </a:rPr>
            <a:t>」</a:t>
          </a:r>
          <a:endParaRPr lang="en-US" altLang="ja-JP" sz="100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を選択した場合、</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計算シート最右列の</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a:t>
          </a:r>
          <a:r>
            <a:rPr kumimoji="1" lang="ja-JP" altLang="en-US" sz="1000" b="1">
              <a:solidFill>
                <a:schemeClr val="tx1"/>
              </a:solidFill>
              <a:effectLst/>
              <a:latin typeface="+mn-lt"/>
              <a:ea typeface="+mn-ea"/>
              <a:cs typeface="+mn-cs"/>
            </a:rPr>
            <a:t>電気の調整後</a:t>
          </a:r>
          <a:endParaRPr kumimoji="1" lang="en-US" altLang="ja-JP" sz="1000" b="1">
            <a:solidFill>
              <a:schemeClr val="tx1"/>
            </a:solidFill>
            <a:effectLst/>
            <a:latin typeface="+mn-lt"/>
            <a:ea typeface="+mn-ea"/>
            <a:cs typeface="+mn-cs"/>
          </a:endParaRPr>
        </a:p>
        <a:p>
          <a:pPr algn="l"/>
          <a:r>
            <a:rPr kumimoji="1" lang="ja-JP" altLang="en-US" sz="1000" b="1">
              <a:solidFill>
                <a:schemeClr val="tx1"/>
              </a:solidFill>
              <a:effectLst/>
              <a:latin typeface="+mn-lt"/>
              <a:ea typeface="+mn-ea"/>
              <a:cs typeface="+mn-cs"/>
            </a:rPr>
            <a:t>排出係数</a:t>
          </a:r>
          <a:r>
            <a:rPr kumimoji="1" lang="en-US" altLang="ja-JP" sz="1000" b="0">
              <a:solidFill>
                <a:schemeClr val="tx1"/>
              </a:solidFill>
              <a:effectLst/>
              <a:latin typeface="+mn-lt"/>
              <a:ea typeface="+mn-ea"/>
              <a:cs typeface="+mn-cs"/>
            </a:rPr>
            <a:t>(t-CO2/kWh)</a:t>
          </a:r>
          <a:r>
            <a:rPr kumimoji="1" lang="ja-JP" altLang="en-US" sz="1000" b="0">
              <a:solidFill>
                <a:schemeClr val="tx1"/>
              </a:solidFill>
              <a:effectLst/>
              <a:latin typeface="+mn-lt"/>
              <a:ea typeface="+mn-ea"/>
              <a:cs typeface="+mn-cs"/>
            </a:rPr>
            <a:t>」</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について、</a:t>
          </a:r>
          <a:r>
            <a:rPr kumimoji="1" lang="ja-JP" altLang="en-US" sz="1000" b="1">
              <a:solidFill>
                <a:schemeClr val="tx1"/>
              </a:solidFill>
              <a:effectLst/>
              <a:latin typeface="+mn-lt"/>
              <a:ea typeface="+mn-ea"/>
              <a:cs typeface="+mn-cs"/>
            </a:rPr>
            <a:t>切替えの</a:t>
          </a:r>
          <a:endParaRPr kumimoji="1" lang="en-US" altLang="ja-JP" sz="1000" b="1">
            <a:solidFill>
              <a:schemeClr val="tx1"/>
            </a:solidFill>
            <a:effectLst/>
            <a:latin typeface="+mn-lt"/>
            <a:ea typeface="+mn-ea"/>
            <a:cs typeface="+mn-cs"/>
          </a:endParaRPr>
        </a:p>
        <a:p>
          <a:pPr algn="l"/>
          <a:r>
            <a:rPr kumimoji="1" lang="ja-JP" altLang="en-US" sz="1000" b="1">
              <a:solidFill>
                <a:schemeClr val="tx1"/>
              </a:solidFill>
              <a:effectLst/>
              <a:latin typeface="+mn-lt"/>
              <a:ea typeface="+mn-ea"/>
              <a:cs typeface="+mn-cs"/>
            </a:rPr>
            <a:t>前と後の値</a:t>
          </a:r>
          <a:r>
            <a:rPr kumimoji="1" lang="ja-JP" altLang="en-US" sz="1000" b="0">
              <a:solidFill>
                <a:schemeClr val="tx1"/>
              </a:solidFill>
              <a:effectLst/>
              <a:latin typeface="+mn-lt"/>
              <a:ea typeface="+mn-ea"/>
              <a:cs typeface="+mn-cs"/>
            </a:rPr>
            <a:t>を記入</a:t>
          </a:r>
          <a:endParaRPr kumimoji="1" lang="en-US" altLang="ja-JP" sz="1000" b="0">
            <a:solidFill>
              <a:schemeClr val="tx1"/>
            </a:solidFill>
            <a:effectLst/>
            <a:latin typeface="+mn-lt"/>
            <a:ea typeface="+mn-ea"/>
            <a:cs typeface="+mn-cs"/>
          </a:endParaRPr>
        </a:p>
      </xdr:txBody>
    </xdr:sp>
    <xdr:clientData/>
  </xdr:twoCellAnchor>
  <xdr:twoCellAnchor>
    <xdr:from>
      <xdr:col>12</xdr:col>
      <xdr:colOff>95250</xdr:colOff>
      <xdr:row>12</xdr:row>
      <xdr:rowOff>74084</xdr:rowOff>
    </xdr:from>
    <xdr:to>
      <xdr:col>12</xdr:col>
      <xdr:colOff>1585807</xdr:colOff>
      <xdr:row>15</xdr:row>
      <xdr:rowOff>223024</xdr:rowOff>
    </xdr:to>
    <xdr:sp macro="" textlink="">
      <xdr:nvSpPr>
        <xdr:cNvPr id="9" name="角丸四角形吹き出し 8">
          <a:extLst>
            <a:ext uri="{FF2B5EF4-FFF2-40B4-BE49-F238E27FC236}">
              <a16:creationId xmlns:a16="http://schemas.microsoft.com/office/drawing/2014/main" id="{00000000-0008-0000-3F00-000009000000}"/>
            </a:ext>
          </a:extLst>
        </xdr:cNvPr>
        <xdr:cNvSpPr/>
      </xdr:nvSpPr>
      <xdr:spPr>
        <a:xfrm>
          <a:off x="6945630" y="4364144"/>
          <a:ext cx="1490557" cy="177200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lang="ja-JP" altLang="en-US" sz="1000">
              <a:solidFill>
                <a:schemeClr val="tx1"/>
              </a:solidFill>
              <a:effectLst/>
              <a:latin typeface="+mn-lt"/>
              <a:ea typeface="+mn-ea"/>
              <a:cs typeface="+mn-cs"/>
            </a:rPr>
            <a:t>左側の</a:t>
          </a:r>
          <a:r>
            <a:rPr lang="ja-JP" altLang="ja-JP" sz="1000">
              <a:solidFill>
                <a:schemeClr val="tx1"/>
              </a:solidFill>
              <a:effectLst/>
              <a:latin typeface="+mn-lt"/>
              <a:ea typeface="+mn-ea"/>
              <a:cs typeface="+mn-cs"/>
            </a:rPr>
            <a:t>「対策分類」</a:t>
          </a:r>
          <a:r>
            <a:rPr lang="ja-JP" altLang="en-US" sz="1000">
              <a:solidFill>
                <a:schemeClr val="tx1"/>
              </a:solidFill>
              <a:effectLst/>
              <a:latin typeface="+mn-lt"/>
              <a:ea typeface="+mn-ea"/>
              <a:cs typeface="+mn-cs"/>
            </a:rPr>
            <a:t>で、</a:t>
          </a:r>
          <a:endParaRPr lang="en-US" altLang="ja-JP" sz="1000">
            <a:solidFill>
              <a:schemeClr val="tx1"/>
            </a:solidFill>
            <a:effectLst/>
            <a:latin typeface="+mn-lt"/>
            <a:ea typeface="+mn-ea"/>
            <a:cs typeface="+mn-cs"/>
          </a:endParaRPr>
        </a:p>
        <a:p>
          <a:pPr algn="l"/>
          <a:r>
            <a:rPr lang="ja-JP" altLang="ja-JP" sz="1000">
              <a:solidFill>
                <a:schemeClr val="tx1"/>
              </a:solidFill>
              <a:effectLst/>
              <a:latin typeface="+mn-lt"/>
              <a:ea typeface="+mn-ea"/>
              <a:cs typeface="+mn-cs"/>
            </a:rPr>
            <a:t>「</a:t>
          </a:r>
          <a:r>
            <a:rPr lang="ja-JP" altLang="ja-JP" sz="1000" b="1">
              <a:solidFill>
                <a:srgbClr val="CC3300"/>
              </a:solidFill>
              <a:effectLst/>
              <a:latin typeface="+mn-lt"/>
              <a:ea typeface="+mn-ea"/>
              <a:cs typeface="+mn-cs"/>
            </a:rPr>
            <a:t>低炭素電気へ切替</a:t>
          </a:r>
          <a:r>
            <a:rPr lang="ja-JP" altLang="ja-JP" sz="1000">
              <a:solidFill>
                <a:schemeClr val="tx1"/>
              </a:solidFill>
              <a:effectLst/>
              <a:latin typeface="+mn-lt"/>
              <a:ea typeface="+mn-ea"/>
              <a:cs typeface="+mn-cs"/>
            </a:rPr>
            <a:t>」</a:t>
          </a:r>
          <a:endParaRPr lang="en-US" altLang="ja-JP" sz="100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を選択した場合、</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計算シート最右列の</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a:t>
          </a:r>
          <a:r>
            <a:rPr kumimoji="1" lang="ja-JP" altLang="en-US" sz="1000" b="1">
              <a:solidFill>
                <a:schemeClr val="tx1"/>
              </a:solidFill>
              <a:effectLst/>
              <a:latin typeface="+mn-lt"/>
              <a:ea typeface="+mn-ea"/>
              <a:cs typeface="+mn-cs"/>
            </a:rPr>
            <a:t>電気の調整後</a:t>
          </a:r>
          <a:endParaRPr kumimoji="1" lang="en-US" altLang="ja-JP" sz="1000" b="1">
            <a:solidFill>
              <a:schemeClr val="tx1"/>
            </a:solidFill>
            <a:effectLst/>
            <a:latin typeface="+mn-lt"/>
            <a:ea typeface="+mn-ea"/>
            <a:cs typeface="+mn-cs"/>
          </a:endParaRPr>
        </a:p>
        <a:p>
          <a:pPr algn="l"/>
          <a:r>
            <a:rPr kumimoji="1" lang="ja-JP" altLang="en-US" sz="1000" b="1">
              <a:solidFill>
                <a:schemeClr val="tx1"/>
              </a:solidFill>
              <a:effectLst/>
              <a:latin typeface="+mn-lt"/>
              <a:ea typeface="+mn-ea"/>
              <a:cs typeface="+mn-cs"/>
            </a:rPr>
            <a:t>排出係数</a:t>
          </a:r>
          <a:r>
            <a:rPr kumimoji="1" lang="en-US" altLang="ja-JP" sz="1000" b="0">
              <a:solidFill>
                <a:schemeClr val="tx1"/>
              </a:solidFill>
              <a:effectLst/>
              <a:latin typeface="+mn-lt"/>
              <a:ea typeface="+mn-ea"/>
              <a:cs typeface="+mn-cs"/>
            </a:rPr>
            <a:t>(t-CO2/kWh)</a:t>
          </a:r>
          <a:r>
            <a:rPr kumimoji="1" lang="ja-JP" altLang="en-US" sz="1000" b="0">
              <a:solidFill>
                <a:schemeClr val="tx1"/>
              </a:solidFill>
              <a:effectLst/>
              <a:latin typeface="+mn-lt"/>
              <a:ea typeface="+mn-ea"/>
              <a:cs typeface="+mn-cs"/>
            </a:rPr>
            <a:t>」</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について、</a:t>
          </a:r>
          <a:r>
            <a:rPr kumimoji="1" lang="ja-JP" altLang="en-US" sz="1000" b="1">
              <a:solidFill>
                <a:schemeClr val="tx1"/>
              </a:solidFill>
              <a:effectLst/>
              <a:latin typeface="+mn-lt"/>
              <a:ea typeface="+mn-ea"/>
              <a:cs typeface="+mn-cs"/>
            </a:rPr>
            <a:t>切替えの</a:t>
          </a:r>
          <a:endParaRPr kumimoji="1" lang="en-US" altLang="ja-JP" sz="1000" b="1">
            <a:solidFill>
              <a:schemeClr val="tx1"/>
            </a:solidFill>
            <a:effectLst/>
            <a:latin typeface="+mn-lt"/>
            <a:ea typeface="+mn-ea"/>
            <a:cs typeface="+mn-cs"/>
          </a:endParaRPr>
        </a:p>
        <a:p>
          <a:pPr algn="l"/>
          <a:r>
            <a:rPr kumimoji="1" lang="ja-JP" altLang="en-US" sz="1000" b="1">
              <a:solidFill>
                <a:schemeClr val="tx1"/>
              </a:solidFill>
              <a:effectLst/>
              <a:latin typeface="+mn-lt"/>
              <a:ea typeface="+mn-ea"/>
              <a:cs typeface="+mn-cs"/>
            </a:rPr>
            <a:t>前と後の値</a:t>
          </a:r>
          <a:r>
            <a:rPr kumimoji="1" lang="ja-JP" altLang="en-US" sz="1000" b="0">
              <a:solidFill>
                <a:schemeClr val="tx1"/>
              </a:solidFill>
              <a:effectLst/>
              <a:latin typeface="+mn-lt"/>
              <a:ea typeface="+mn-ea"/>
              <a:cs typeface="+mn-cs"/>
            </a:rPr>
            <a:t>を記入</a:t>
          </a:r>
          <a:endParaRPr kumimoji="1" lang="en-US" altLang="ja-JP" sz="1000" b="0">
            <a:solidFill>
              <a:schemeClr val="tx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a:extLst>
            <a:ext uri="{FF2B5EF4-FFF2-40B4-BE49-F238E27FC236}">
              <a16:creationId xmlns:a16="http://schemas.microsoft.com/office/drawing/2014/main" id="{00000000-0008-0000-4000-000002000000}"/>
            </a:ext>
          </a:extLst>
        </xdr:cNvPr>
        <xdr:cNvSpPr>
          <a:spLocks noChangeShapeType="1"/>
        </xdr:cNvSpPr>
      </xdr:nvSpPr>
      <xdr:spPr bwMode="auto">
        <a:xfrm flipV="1">
          <a:off x="0" y="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2">
          <a:extLst>
            <a:ext uri="{FF2B5EF4-FFF2-40B4-BE49-F238E27FC236}">
              <a16:creationId xmlns:a16="http://schemas.microsoft.com/office/drawing/2014/main" id="{00000000-0008-0000-4000-000003000000}"/>
            </a:ext>
          </a:extLst>
        </xdr:cNvPr>
        <xdr:cNvSpPr>
          <a:spLocks noChangeShapeType="1"/>
        </xdr:cNvSpPr>
      </xdr:nvSpPr>
      <xdr:spPr bwMode="auto">
        <a:xfrm flipV="1">
          <a:off x="0" y="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 name="Line 3">
          <a:extLst>
            <a:ext uri="{FF2B5EF4-FFF2-40B4-BE49-F238E27FC236}">
              <a16:creationId xmlns:a16="http://schemas.microsoft.com/office/drawing/2014/main" id="{00000000-0008-0000-4000-000004000000}"/>
            </a:ext>
          </a:extLst>
        </xdr:cNvPr>
        <xdr:cNvSpPr>
          <a:spLocks noChangeShapeType="1"/>
        </xdr:cNvSpPr>
      </xdr:nvSpPr>
      <xdr:spPr bwMode="auto">
        <a:xfrm flipV="1">
          <a:off x="0" y="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66675</xdr:colOff>
          <xdr:row>5</xdr:row>
          <xdr:rowOff>38100</xdr:rowOff>
        </xdr:from>
        <xdr:to>
          <xdr:col>0</xdr:col>
          <xdr:colOff>285750</xdr:colOff>
          <xdr:row>5</xdr:row>
          <xdr:rowOff>171450</xdr:rowOff>
        </xdr:to>
        <xdr:sp macro="" textlink="">
          <xdr:nvSpPr>
            <xdr:cNvPr id="59404" name="Check Box 12" hidden="1">
              <a:extLst>
                <a:ext uri="{63B3BB69-23CF-44E3-9099-C40C66FF867C}">
                  <a14:compatExt spid="_x0000_s59404"/>
                </a:ext>
                <a:ext uri="{FF2B5EF4-FFF2-40B4-BE49-F238E27FC236}">
                  <a16:creationId xmlns:a16="http://schemas.microsoft.com/office/drawing/2014/main" id="{00000000-0008-0000-4000-00000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xdr:row>
          <xdr:rowOff>38100</xdr:rowOff>
        </xdr:from>
        <xdr:to>
          <xdr:col>0</xdr:col>
          <xdr:colOff>285750</xdr:colOff>
          <xdr:row>6</xdr:row>
          <xdr:rowOff>171450</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4000-00000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xdr:row>
          <xdr:rowOff>38100</xdr:rowOff>
        </xdr:from>
        <xdr:to>
          <xdr:col>0</xdr:col>
          <xdr:colOff>285750</xdr:colOff>
          <xdr:row>7</xdr:row>
          <xdr:rowOff>171450</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4000-00000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8</xdr:row>
          <xdr:rowOff>38100</xdr:rowOff>
        </xdr:from>
        <xdr:to>
          <xdr:col>0</xdr:col>
          <xdr:colOff>285750</xdr:colOff>
          <xdr:row>8</xdr:row>
          <xdr:rowOff>171450</xdr:rowOff>
        </xdr:to>
        <xdr:sp macro="" textlink="">
          <xdr:nvSpPr>
            <xdr:cNvPr id="59407" name="Check Box 15" hidden="1">
              <a:extLst>
                <a:ext uri="{63B3BB69-23CF-44E3-9099-C40C66FF867C}">
                  <a14:compatExt spid="_x0000_s59407"/>
                </a:ext>
                <a:ext uri="{FF2B5EF4-FFF2-40B4-BE49-F238E27FC236}">
                  <a16:creationId xmlns:a16="http://schemas.microsoft.com/office/drawing/2014/main" id="{00000000-0008-0000-4000-00000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xdr:row>
          <xdr:rowOff>38100</xdr:rowOff>
        </xdr:from>
        <xdr:to>
          <xdr:col>0</xdr:col>
          <xdr:colOff>285750</xdr:colOff>
          <xdr:row>9</xdr:row>
          <xdr:rowOff>171450</xdr:rowOff>
        </xdr:to>
        <xdr:sp macro="" textlink="">
          <xdr:nvSpPr>
            <xdr:cNvPr id="59408" name="Check Box 16" hidden="1">
              <a:extLst>
                <a:ext uri="{63B3BB69-23CF-44E3-9099-C40C66FF867C}">
                  <a14:compatExt spid="_x0000_s59408"/>
                </a:ext>
                <a:ext uri="{FF2B5EF4-FFF2-40B4-BE49-F238E27FC236}">
                  <a16:creationId xmlns:a16="http://schemas.microsoft.com/office/drawing/2014/main" id="{00000000-0008-0000-4000-00001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10</xdr:row>
          <xdr:rowOff>38100</xdr:rowOff>
        </xdr:from>
        <xdr:to>
          <xdr:col>0</xdr:col>
          <xdr:colOff>285750</xdr:colOff>
          <xdr:row>10</xdr:row>
          <xdr:rowOff>171450</xdr:rowOff>
        </xdr:to>
        <xdr:sp macro="" textlink="">
          <xdr:nvSpPr>
            <xdr:cNvPr id="59409" name="Check Box 17" hidden="1">
              <a:extLst>
                <a:ext uri="{63B3BB69-23CF-44E3-9099-C40C66FF867C}">
                  <a14:compatExt spid="_x0000_s59409"/>
                </a:ext>
                <a:ext uri="{FF2B5EF4-FFF2-40B4-BE49-F238E27FC236}">
                  <a16:creationId xmlns:a16="http://schemas.microsoft.com/office/drawing/2014/main" id="{00000000-0008-0000-4000-00001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xdr:row>
          <xdr:rowOff>38100</xdr:rowOff>
        </xdr:from>
        <xdr:to>
          <xdr:col>0</xdr:col>
          <xdr:colOff>285750</xdr:colOff>
          <xdr:row>11</xdr:row>
          <xdr:rowOff>171450</xdr:rowOff>
        </xdr:to>
        <xdr:sp macro="" textlink="">
          <xdr:nvSpPr>
            <xdr:cNvPr id="59410" name="Check Box 18" hidden="1">
              <a:extLst>
                <a:ext uri="{63B3BB69-23CF-44E3-9099-C40C66FF867C}">
                  <a14:compatExt spid="_x0000_s59410"/>
                </a:ext>
                <a:ext uri="{FF2B5EF4-FFF2-40B4-BE49-F238E27FC236}">
                  <a16:creationId xmlns:a16="http://schemas.microsoft.com/office/drawing/2014/main" id="{00000000-0008-0000-4000-00001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12</xdr:row>
          <xdr:rowOff>38100</xdr:rowOff>
        </xdr:from>
        <xdr:to>
          <xdr:col>0</xdr:col>
          <xdr:colOff>285750</xdr:colOff>
          <xdr:row>12</xdr:row>
          <xdr:rowOff>171450</xdr:rowOff>
        </xdr:to>
        <xdr:sp macro="" textlink="">
          <xdr:nvSpPr>
            <xdr:cNvPr id="59411" name="Check Box 19" hidden="1">
              <a:extLst>
                <a:ext uri="{63B3BB69-23CF-44E3-9099-C40C66FF867C}">
                  <a14:compatExt spid="_x0000_s59411"/>
                </a:ext>
                <a:ext uri="{FF2B5EF4-FFF2-40B4-BE49-F238E27FC236}">
                  <a16:creationId xmlns:a16="http://schemas.microsoft.com/office/drawing/2014/main" id="{00000000-0008-0000-4000-00001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15</xdr:col>
      <xdr:colOff>514351</xdr:colOff>
      <xdr:row>16</xdr:row>
      <xdr:rowOff>114300</xdr:rowOff>
    </xdr:from>
    <xdr:to>
      <xdr:col>15</xdr:col>
      <xdr:colOff>3048000</xdr:colOff>
      <xdr:row>20</xdr:row>
      <xdr:rowOff>438150</xdr:rowOff>
    </xdr:to>
    <xdr:sp macro="" textlink="">
      <xdr:nvSpPr>
        <xdr:cNvPr id="2" name="角丸四角形 1">
          <a:extLst>
            <a:ext uri="{FF2B5EF4-FFF2-40B4-BE49-F238E27FC236}">
              <a16:creationId xmlns:a16="http://schemas.microsoft.com/office/drawing/2014/main" id="{00000000-0008-0000-4100-000002000000}"/>
            </a:ext>
          </a:extLst>
        </xdr:cNvPr>
        <xdr:cNvSpPr/>
      </xdr:nvSpPr>
      <xdr:spPr>
        <a:xfrm>
          <a:off x="7590065" y="6183086"/>
          <a:ext cx="2533649" cy="1385207"/>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18</xdr:row>
          <xdr:rowOff>228600</xdr:rowOff>
        </xdr:from>
        <xdr:to>
          <xdr:col>15</xdr:col>
          <xdr:colOff>2600325</xdr:colOff>
          <xdr:row>20</xdr:row>
          <xdr:rowOff>57150</xdr:rowOff>
        </xdr:to>
        <xdr:sp macro="" textlink="">
          <xdr:nvSpPr>
            <xdr:cNvPr id="189442" name="Option Button 1記入する" hidden="1">
              <a:extLst>
                <a:ext uri="{63B3BB69-23CF-44E3-9099-C40C66FF867C}">
                  <a14:compatExt spid="_x0000_s189442"/>
                </a:ext>
                <a:ext uri="{FF2B5EF4-FFF2-40B4-BE49-F238E27FC236}">
                  <a16:creationId xmlns:a16="http://schemas.microsoft.com/office/drawing/2014/main" id="{00000000-0008-0000-4100-00000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20</xdr:row>
          <xdr:rowOff>114300</xdr:rowOff>
        </xdr:from>
        <xdr:to>
          <xdr:col>15</xdr:col>
          <xdr:colOff>1914525</xdr:colOff>
          <xdr:row>20</xdr:row>
          <xdr:rowOff>381000</xdr:rowOff>
        </xdr:to>
        <xdr:sp macro="" textlink="">
          <xdr:nvSpPr>
            <xdr:cNvPr id="189443" name="Option Button 1記入しない" hidden="1">
              <a:extLst>
                <a:ext uri="{63B3BB69-23CF-44E3-9099-C40C66FF867C}">
                  <a14:compatExt spid="_x0000_s189443"/>
                </a:ext>
                <a:ext uri="{FF2B5EF4-FFF2-40B4-BE49-F238E27FC236}">
                  <a16:creationId xmlns:a16="http://schemas.microsoft.com/office/drawing/2014/main" id="{00000000-0008-0000-4100-00000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xdr:twoCellAnchor>
    <xdr:from>
      <xdr:col>15</xdr:col>
      <xdr:colOff>514351</xdr:colOff>
      <xdr:row>41</xdr:row>
      <xdr:rowOff>114300</xdr:rowOff>
    </xdr:from>
    <xdr:to>
      <xdr:col>15</xdr:col>
      <xdr:colOff>3048000</xdr:colOff>
      <xdr:row>45</xdr:row>
      <xdr:rowOff>438150</xdr:rowOff>
    </xdr:to>
    <xdr:sp macro="" textlink="">
      <xdr:nvSpPr>
        <xdr:cNvPr id="6" name="角丸四角形 2">
          <a:extLst>
            <a:ext uri="{FF2B5EF4-FFF2-40B4-BE49-F238E27FC236}">
              <a16:creationId xmlns:a16="http://schemas.microsoft.com/office/drawing/2014/main" id="{00000000-0008-0000-4100-000006000000}"/>
            </a:ext>
          </a:extLst>
        </xdr:cNvPr>
        <xdr:cNvSpPr/>
      </xdr:nvSpPr>
      <xdr:spPr>
        <a:xfrm>
          <a:off x="6884671" y="613410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43</xdr:row>
          <xdr:rowOff>228600</xdr:rowOff>
        </xdr:from>
        <xdr:to>
          <xdr:col>15</xdr:col>
          <xdr:colOff>2600325</xdr:colOff>
          <xdr:row>45</xdr:row>
          <xdr:rowOff>57150</xdr:rowOff>
        </xdr:to>
        <xdr:sp macro="" textlink="">
          <xdr:nvSpPr>
            <xdr:cNvPr id="189446" name="Option Button 2記入する" hidden="1">
              <a:extLst>
                <a:ext uri="{63B3BB69-23CF-44E3-9099-C40C66FF867C}">
                  <a14:compatExt spid="_x0000_s189446"/>
                </a:ext>
                <a:ext uri="{FF2B5EF4-FFF2-40B4-BE49-F238E27FC236}">
                  <a16:creationId xmlns:a16="http://schemas.microsoft.com/office/drawing/2014/main" id="{00000000-0008-0000-4100-00000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45</xdr:row>
          <xdr:rowOff>114300</xdr:rowOff>
        </xdr:from>
        <xdr:to>
          <xdr:col>15</xdr:col>
          <xdr:colOff>1914525</xdr:colOff>
          <xdr:row>45</xdr:row>
          <xdr:rowOff>381000</xdr:rowOff>
        </xdr:to>
        <xdr:sp macro="" textlink="">
          <xdr:nvSpPr>
            <xdr:cNvPr id="189447" name="Option Button 2記入しない" hidden="1">
              <a:extLst>
                <a:ext uri="{63B3BB69-23CF-44E3-9099-C40C66FF867C}">
                  <a14:compatExt spid="_x0000_s189447"/>
                </a:ext>
                <a:ext uri="{FF2B5EF4-FFF2-40B4-BE49-F238E27FC236}">
                  <a16:creationId xmlns:a16="http://schemas.microsoft.com/office/drawing/2014/main" id="{00000000-0008-0000-4100-00000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43</xdr:row>
          <xdr:rowOff>133350</xdr:rowOff>
        </xdr:from>
        <xdr:to>
          <xdr:col>15</xdr:col>
          <xdr:colOff>2828925</xdr:colOff>
          <xdr:row>45</xdr:row>
          <xdr:rowOff>390525</xdr:rowOff>
        </xdr:to>
        <xdr:sp macro="" textlink="">
          <xdr:nvSpPr>
            <xdr:cNvPr id="189451" name="Group Box 2" hidden="1">
              <a:extLst>
                <a:ext uri="{63B3BB69-23CF-44E3-9099-C40C66FF867C}">
                  <a14:compatExt spid="_x0000_s189451"/>
                </a:ext>
                <a:ext uri="{FF2B5EF4-FFF2-40B4-BE49-F238E27FC236}">
                  <a16:creationId xmlns:a16="http://schemas.microsoft.com/office/drawing/2014/main" id="{00000000-0008-0000-4100-00000B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647700</xdr:colOff>
          <xdr:row>18</xdr:row>
          <xdr:rowOff>123825</xdr:rowOff>
        </xdr:from>
        <xdr:to>
          <xdr:col>15</xdr:col>
          <xdr:colOff>2838450</xdr:colOff>
          <xdr:row>20</xdr:row>
          <xdr:rowOff>400050</xdr:rowOff>
        </xdr:to>
        <xdr:sp macro="" textlink="">
          <xdr:nvSpPr>
            <xdr:cNvPr id="189453" name="Group Box 1" hidden="1">
              <a:extLst>
                <a:ext uri="{63B3BB69-23CF-44E3-9099-C40C66FF867C}">
                  <a14:compatExt spid="_x0000_s189453"/>
                </a:ext>
                <a:ext uri="{FF2B5EF4-FFF2-40B4-BE49-F238E27FC236}">
                  <a16:creationId xmlns:a16="http://schemas.microsoft.com/office/drawing/2014/main" id="{00000000-0008-0000-4100-00000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a:t>
              </a:r>
            </a:p>
          </xdr:txBody>
        </xdr:sp>
        <xdr:clientData/>
      </xdr:twoCellAnchor>
    </mc:Choice>
    <mc:Fallback/>
  </mc:AlternateContent>
  <xdr:twoCellAnchor>
    <xdr:from>
      <xdr:col>15</xdr:col>
      <xdr:colOff>514351</xdr:colOff>
      <xdr:row>66</xdr:row>
      <xdr:rowOff>114300</xdr:rowOff>
    </xdr:from>
    <xdr:to>
      <xdr:col>15</xdr:col>
      <xdr:colOff>3048000</xdr:colOff>
      <xdr:row>70</xdr:row>
      <xdr:rowOff>438150</xdr:rowOff>
    </xdr:to>
    <xdr:sp macro="" textlink="">
      <xdr:nvSpPr>
        <xdr:cNvPr id="14" name="角丸四角形 2">
          <a:extLst>
            <a:ext uri="{FF2B5EF4-FFF2-40B4-BE49-F238E27FC236}">
              <a16:creationId xmlns:a16="http://schemas.microsoft.com/office/drawing/2014/main" id="{00000000-0008-0000-4100-00000E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68</xdr:row>
          <xdr:rowOff>228600</xdr:rowOff>
        </xdr:from>
        <xdr:to>
          <xdr:col>15</xdr:col>
          <xdr:colOff>2600325</xdr:colOff>
          <xdr:row>70</xdr:row>
          <xdr:rowOff>57150</xdr:rowOff>
        </xdr:to>
        <xdr:sp macro="" textlink="">
          <xdr:nvSpPr>
            <xdr:cNvPr id="189458" name="Option Button 2記入する" hidden="1">
              <a:extLst>
                <a:ext uri="{63B3BB69-23CF-44E3-9099-C40C66FF867C}">
                  <a14:compatExt spid="_x0000_s189458"/>
                </a:ext>
                <a:ext uri="{FF2B5EF4-FFF2-40B4-BE49-F238E27FC236}">
                  <a16:creationId xmlns:a16="http://schemas.microsoft.com/office/drawing/2014/main" id="{00000000-0008-0000-4100-00001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70</xdr:row>
          <xdr:rowOff>114300</xdr:rowOff>
        </xdr:from>
        <xdr:to>
          <xdr:col>15</xdr:col>
          <xdr:colOff>1914525</xdr:colOff>
          <xdr:row>70</xdr:row>
          <xdr:rowOff>381000</xdr:rowOff>
        </xdr:to>
        <xdr:sp macro="" textlink="">
          <xdr:nvSpPr>
            <xdr:cNvPr id="189459" name="Option Button 2記入しない" hidden="1">
              <a:extLst>
                <a:ext uri="{63B3BB69-23CF-44E3-9099-C40C66FF867C}">
                  <a14:compatExt spid="_x0000_s189459"/>
                </a:ext>
                <a:ext uri="{FF2B5EF4-FFF2-40B4-BE49-F238E27FC236}">
                  <a16:creationId xmlns:a16="http://schemas.microsoft.com/office/drawing/2014/main" id="{00000000-0008-0000-4100-00001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68</xdr:row>
          <xdr:rowOff>133350</xdr:rowOff>
        </xdr:from>
        <xdr:to>
          <xdr:col>15</xdr:col>
          <xdr:colOff>2828925</xdr:colOff>
          <xdr:row>70</xdr:row>
          <xdr:rowOff>390525</xdr:rowOff>
        </xdr:to>
        <xdr:sp macro="" textlink="">
          <xdr:nvSpPr>
            <xdr:cNvPr id="189460" name="Group Box 2" hidden="1">
              <a:extLst>
                <a:ext uri="{63B3BB69-23CF-44E3-9099-C40C66FF867C}">
                  <a14:compatExt spid="_x0000_s189460"/>
                </a:ext>
                <a:ext uri="{FF2B5EF4-FFF2-40B4-BE49-F238E27FC236}">
                  <a16:creationId xmlns:a16="http://schemas.microsoft.com/office/drawing/2014/main" id="{00000000-0008-0000-4100-000014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91</xdr:row>
      <xdr:rowOff>114300</xdr:rowOff>
    </xdr:from>
    <xdr:to>
      <xdr:col>15</xdr:col>
      <xdr:colOff>3048000</xdr:colOff>
      <xdr:row>95</xdr:row>
      <xdr:rowOff>438150</xdr:rowOff>
    </xdr:to>
    <xdr:sp macro="" textlink="">
      <xdr:nvSpPr>
        <xdr:cNvPr id="18" name="角丸四角形 2">
          <a:extLst>
            <a:ext uri="{FF2B5EF4-FFF2-40B4-BE49-F238E27FC236}">
              <a16:creationId xmlns:a16="http://schemas.microsoft.com/office/drawing/2014/main" id="{00000000-0008-0000-4100-000012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93</xdr:row>
          <xdr:rowOff>228600</xdr:rowOff>
        </xdr:from>
        <xdr:to>
          <xdr:col>15</xdr:col>
          <xdr:colOff>2600325</xdr:colOff>
          <xdr:row>95</xdr:row>
          <xdr:rowOff>57150</xdr:rowOff>
        </xdr:to>
        <xdr:sp macro="" textlink="">
          <xdr:nvSpPr>
            <xdr:cNvPr id="189461" name="Option Button 2記入する" hidden="1">
              <a:extLst>
                <a:ext uri="{63B3BB69-23CF-44E3-9099-C40C66FF867C}">
                  <a14:compatExt spid="_x0000_s189461"/>
                </a:ext>
                <a:ext uri="{FF2B5EF4-FFF2-40B4-BE49-F238E27FC236}">
                  <a16:creationId xmlns:a16="http://schemas.microsoft.com/office/drawing/2014/main" id="{00000000-0008-0000-4100-00001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95</xdr:row>
          <xdr:rowOff>114300</xdr:rowOff>
        </xdr:from>
        <xdr:to>
          <xdr:col>15</xdr:col>
          <xdr:colOff>1914525</xdr:colOff>
          <xdr:row>95</xdr:row>
          <xdr:rowOff>381000</xdr:rowOff>
        </xdr:to>
        <xdr:sp macro="" textlink="">
          <xdr:nvSpPr>
            <xdr:cNvPr id="189462" name="Option Button 2記入しない" hidden="1">
              <a:extLst>
                <a:ext uri="{63B3BB69-23CF-44E3-9099-C40C66FF867C}">
                  <a14:compatExt spid="_x0000_s189462"/>
                </a:ext>
                <a:ext uri="{FF2B5EF4-FFF2-40B4-BE49-F238E27FC236}">
                  <a16:creationId xmlns:a16="http://schemas.microsoft.com/office/drawing/2014/main" id="{00000000-0008-0000-4100-00001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93</xdr:row>
          <xdr:rowOff>133350</xdr:rowOff>
        </xdr:from>
        <xdr:to>
          <xdr:col>15</xdr:col>
          <xdr:colOff>2828925</xdr:colOff>
          <xdr:row>95</xdr:row>
          <xdr:rowOff>390525</xdr:rowOff>
        </xdr:to>
        <xdr:sp macro="" textlink="">
          <xdr:nvSpPr>
            <xdr:cNvPr id="189463" name="Group Box 2" hidden="1">
              <a:extLst>
                <a:ext uri="{63B3BB69-23CF-44E3-9099-C40C66FF867C}">
                  <a14:compatExt spid="_x0000_s189463"/>
                </a:ext>
                <a:ext uri="{FF2B5EF4-FFF2-40B4-BE49-F238E27FC236}">
                  <a16:creationId xmlns:a16="http://schemas.microsoft.com/office/drawing/2014/main" id="{00000000-0008-0000-4100-000017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116</xdr:row>
      <xdr:rowOff>114300</xdr:rowOff>
    </xdr:from>
    <xdr:to>
      <xdr:col>15</xdr:col>
      <xdr:colOff>3048000</xdr:colOff>
      <xdr:row>120</xdr:row>
      <xdr:rowOff>438150</xdr:rowOff>
    </xdr:to>
    <xdr:sp macro="" textlink="">
      <xdr:nvSpPr>
        <xdr:cNvPr id="22" name="角丸四角形 2">
          <a:extLst>
            <a:ext uri="{FF2B5EF4-FFF2-40B4-BE49-F238E27FC236}">
              <a16:creationId xmlns:a16="http://schemas.microsoft.com/office/drawing/2014/main" id="{00000000-0008-0000-4100-000016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118</xdr:row>
          <xdr:rowOff>228600</xdr:rowOff>
        </xdr:from>
        <xdr:to>
          <xdr:col>15</xdr:col>
          <xdr:colOff>2600325</xdr:colOff>
          <xdr:row>120</xdr:row>
          <xdr:rowOff>57150</xdr:rowOff>
        </xdr:to>
        <xdr:sp macro="" textlink="">
          <xdr:nvSpPr>
            <xdr:cNvPr id="189464" name="Option Button 2記入する" hidden="1">
              <a:extLst>
                <a:ext uri="{63B3BB69-23CF-44E3-9099-C40C66FF867C}">
                  <a14:compatExt spid="_x0000_s189464"/>
                </a:ext>
                <a:ext uri="{FF2B5EF4-FFF2-40B4-BE49-F238E27FC236}">
                  <a16:creationId xmlns:a16="http://schemas.microsoft.com/office/drawing/2014/main" id="{00000000-0008-0000-4100-00001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120</xdr:row>
          <xdr:rowOff>114300</xdr:rowOff>
        </xdr:from>
        <xdr:to>
          <xdr:col>15</xdr:col>
          <xdr:colOff>1914525</xdr:colOff>
          <xdr:row>120</xdr:row>
          <xdr:rowOff>381000</xdr:rowOff>
        </xdr:to>
        <xdr:sp macro="" textlink="">
          <xdr:nvSpPr>
            <xdr:cNvPr id="189465" name="Option Button 2記入しない" hidden="1">
              <a:extLst>
                <a:ext uri="{63B3BB69-23CF-44E3-9099-C40C66FF867C}">
                  <a14:compatExt spid="_x0000_s189465"/>
                </a:ext>
                <a:ext uri="{FF2B5EF4-FFF2-40B4-BE49-F238E27FC236}">
                  <a16:creationId xmlns:a16="http://schemas.microsoft.com/office/drawing/2014/main" id="{00000000-0008-0000-4100-00001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118</xdr:row>
          <xdr:rowOff>133350</xdr:rowOff>
        </xdr:from>
        <xdr:to>
          <xdr:col>15</xdr:col>
          <xdr:colOff>2828925</xdr:colOff>
          <xdr:row>120</xdr:row>
          <xdr:rowOff>390525</xdr:rowOff>
        </xdr:to>
        <xdr:sp macro="" textlink="">
          <xdr:nvSpPr>
            <xdr:cNvPr id="189466" name="Group Box 2" hidden="1">
              <a:extLst>
                <a:ext uri="{63B3BB69-23CF-44E3-9099-C40C66FF867C}">
                  <a14:compatExt spid="_x0000_s189466"/>
                </a:ext>
                <a:ext uri="{FF2B5EF4-FFF2-40B4-BE49-F238E27FC236}">
                  <a16:creationId xmlns:a16="http://schemas.microsoft.com/office/drawing/2014/main" id="{00000000-0008-0000-4100-00001A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141</xdr:row>
      <xdr:rowOff>114300</xdr:rowOff>
    </xdr:from>
    <xdr:to>
      <xdr:col>15</xdr:col>
      <xdr:colOff>3048000</xdr:colOff>
      <xdr:row>145</xdr:row>
      <xdr:rowOff>438150</xdr:rowOff>
    </xdr:to>
    <xdr:sp macro="" textlink="">
      <xdr:nvSpPr>
        <xdr:cNvPr id="26" name="角丸四角形 2">
          <a:extLst>
            <a:ext uri="{FF2B5EF4-FFF2-40B4-BE49-F238E27FC236}">
              <a16:creationId xmlns:a16="http://schemas.microsoft.com/office/drawing/2014/main" id="{00000000-0008-0000-4100-00001A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143</xdr:row>
          <xdr:rowOff>228600</xdr:rowOff>
        </xdr:from>
        <xdr:to>
          <xdr:col>15</xdr:col>
          <xdr:colOff>2600325</xdr:colOff>
          <xdr:row>145</xdr:row>
          <xdr:rowOff>57150</xdr:rowOff>
        </xdr:to>
        <xdr:sp macro="" textlink="">
          <xdr:nvSpPr>
            <xdr:cNvPr id="189467" name="Option Button 2記入する" hidden="1">
              <a:extLst>
                <a:ext uri="{63B3BB69-23CF-44E3-9099-C40C66FF867C}">
                  <a14:compatExt spid="_x0000_s189467"/>
                </a:ext>
                <a:ext uri="{FF2B5EF4-FFF2-40B4-BE49-F238E27FC236}">
                  <a16:creationId xmlns:a16="http://schemas.microsoft.com/office/drawing/2014/main" id="{00000000-0008-0000-4100-00001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145</xdr:row>
          <xdr:rowOff>114300</xdr:rowOff>
        </xdr:from>
        <xdr:to>
          <xdr:col>15</xdr:col>
          <xdr:colOff>1914525</xdr:colOff>
          <xdr:row>145</xdr:row>
          <xdr:rowOff>381000</xdr:rowOff>
        </xdr:to>
        <xdr:sp macro="" textlink="">
          <xdr:nvSpPr>
            <xdr:cNvPr id="189468" name="Option Button 2記入しない" hidden="1">
              <a:extLst>
                <a:ext uri="{63B3BB69-23CF-44E3-9099-C40C66FF867C}">
                  <a14:compatExt spid="_x0000_s189468"/>
                </a:ext>
                <a:ext uri="{FF2B5EF4-FFF2-40B4-BE49-F238E27FC236}">
                  <a16:creationId xmlns:a16="http://schemas.microsoft.com/office/drawing/2014/main" id="{00000000-0008-0000-4100-00001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143</xdr:row>
          <xdr:rowOff>133350</xdr:rowOff>
        </xdr:from>
        <xdr:to>
          <xdr:col>15</xdr:col>
          <xdr:colOff>2828925</xdr:colOff>
          <xdr:row>145</xdr:row>
          <xdr:rowOff>390525</xdr:rowOff>
        </xdr:to>
        <xdr:sp macro="" textlink="">
          <xdr:nvSpPr>
            <xdr:cNvPr id="189469" name="Group Box 2" hidden="1">
              <a:extLst>
                <a:ext uri="{63B3BB69-23CF-44E3-9099-C40C66FF867C}">
                  <a14:compatExt spid="_x0000_s189469"/>
                </a:ext>
                <a:ext uri="{FF2B5EF4-FFF2-40B4-BE49-F238E27FC236}">
                  <a16:creationId xmlns:a16="http://schemas.microsoft.com/office/drawing/2014/main" id="{00000000-0008-0000-4100-00001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166</xdr:row>
      <xdr:rowOff>114300</xdr:rowOff>
    </xdr:from>
    <xdr:to>
      <xdr:col>15</xdr:col>
      <xdr:colOff>3048000</xdr:colOff>
      <xdr:row>170</xdr:row>
      <xdr:rowOff>438150</xdr:rowOff>
    </xdr:to>
    <xdr:sp macro="" textlink="">
      <xdr:nvSpPr>
        <xdr:cNvPr id="30" name="角丸四角形 2">
          <a:extLst>
            <a:ext uri="{FF2B5EF4-FFF2-40B4-BE49-F238E27FC236}">
              <a16:creationId xmlns:a16="http://schemas.microsoft.com/office/drawing/2014/main" id="{00000000-0008-0000-4100-00001E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168</xdr:row>
          <xdr:rowOff>228600</xdr:rowOff>
        </xdr:from>
        <xdr:to>
          <xdr:col>15</xdr:col>
          <xdr:colOff>2600325</xdr:colOff>
          <xdr:row>170</xdr:row>
          <xdr:rowOff>57150</xdr:rowOff>
        </xdr:to>
        <xdr:sp macro="" textlink="">
          <xdr:nvSpPr>
            <xdr:cNvPr id="189470" name="Option Button 2記入する" hidden="1">
              <a:extLst>
                <a:ext uri="{63B3BB69-23CF-44E3-9099-C40C66FF867C}">
                  <a14:compatExt spid="_x0000_s189470"/>
                </a:ext>
                <a:ext uri="{FF2B5EF4-FFF2-40B4-BE49-F238E27FC236}">
                  <a16:creationId xmlns:a16="http://schemas.microsoft.com/office/drawing/2014/main" id="{00000000-0008-0000-4100-00001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170</xdr:row>
          <xdr:rowOff>114300</xdr:rowOff>
        </xdr:from>
        <xdr:to>
          <xdr:col>15</xdr:col>
          <xdr:colOff>1914525</xdr:colOff>
          <xdr:row>170</xdr:row>
          <xdr:rowOff>381000</xdr:rowOff>
        </xdr:to>
        <xdr:sp macro="" textlink="">
          <xdr:nvSpPr>
            <xdr:cNvPr id="189471" name="Option Button 2記入しない" hidden="1">
              <a:extLst>
                <a:ext uri="{63B3BB69-23CF-44E3-9099-C40C66FF867C}">
                  <a14:compatExt spid="_x0000_s189471"/>
                </a:ext>
                <a:ext uri="{FF2B5EF4-FFF2-40B4-BE49-F238E27FC236}">
                  <a16:creationId xmlns:a16="http://schemas.microsoft.com/office/drawing/2014/main" id="{00000000-0008-0000-4100-00001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168</xdr:row>
          <xdr:rowOff>133350</xdr:rowOff>
        </xdr:from>
        <xdr:to>
          <xdr:col>15</xdr:col>
          <xdr:colOff>2828925</xdr:colOff>
          <xdr:row>170</xdr:row>
          <xdr:rowOff>390525</xdr:rowOff>
        </xdr:to>
        <xdr:sp macro="" textlink="">
          <xdr:nvSpPr>
            <xdr:cNvPr id="189472" name="Group Box 2" hidden="1">
              <a:extLst>
                <a:ext uri="{63B3BB69-23CF-44E3-9099-C40C66FF867C}">
                  <a14:compatExt spid="_x0000_s189472"/>
                </a:ext>
                <a:ext uri="{FF2B5EF4-FFF2-40B4-BE49-F238E27FC236}">
                  <a16:creationId xmlns:a16="http://schemas.microsoft.com/office/drawing/2014/main" id="{00000000-0008-0000-4100-000020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191</xdr:row>
      <xdr:rowOff>114300</xdr:rowOff>
    </xdr:from>
    <xdr:to>
      <xdr:col>15</xdr:col>
      <xdr:colOff>3048000</xdr:colOff>
      <xdr:row>195</xdr:row>
      <xdr:rowOff>438150</xdr:rowOff>
    </xdr:to>
    <xdr:sp macro="" textlink="">
      <xdr:nvSpPr>
        <xdr:cNvPr id="34" name="角丸四角形 2">
          <a:extLst>
            <a:ext uri="{FF2B5EF4-FFF2-40B4-BE49-F238E27FC236}">
              <a16:creationId xmlns:a16="http://schemas.microsoft.com/office/drawing/2014/main" id="{00000000-0008-0000-4100-000022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193</xdr:row>
          <xdr:rowOff>228600</xdr:rowOff>
        </xdr:from>
        <xdr:to>
          <xdr:col>15</xdr:col>
          <xdr:colOff>2600325</xdr:colOff>
          <xdr:row>195</xdr:row>
          <xdr:rowOff>57150</xdr:rowOff>
        </xdr:to>
        <xdr:sp macro="" textlink="">
          <xdr:nvSpPr>
            <xdr:cNvPr id="189473" name="Option Button 2記入する" hidden="1">
              <a:extLst>
                <a:ext uri="{63B3BB69-23CF-44E3-9099-C40C66FF867C}">
                  <a14:compatExt spid="_x0000_s189473"/>
                </a:ext>
                <a:ext uri="{FF2B5EF4-FFF2-40B4-BE49-F238E27FC236}">
                  <a16:creationId xmlns:a16="http://schemas.microsoft.com/office/drawing/2014/main" id="{00000000-0008-0000-4100-00002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195</xdr:row>
          <xdr:rowOff>114300</xdr:rowOff>
        </xdr:from>
        <xdr:to>
          <xdr:col>15</xdr:col>
          <xdr:colOff>1914525</xdr:colOff>
          <xdr:row>195</xdr:row>
          <xdr:rowOff>381000</xdr:rowOff>
        </xdr:to>
        <xdr:sp macro="" textlink="">
          <xdr:nvSpPr>
            <xdr:cNvPr id="189474" name="Option Button 2記入しない" hidden="1">
              <a:extLst>
                <a:ext uri="{63B3BB69-23CF-44E3-9099-C40C66FF867C}">
                  <a14:compatExt spid="_x0000_s189474"/>
                </a:ext>
                <a:ext uri="{FF2B5EF4-FFF2-40B4-BE49-F238E27FC236}">
                  <a16:creationId xmlns:a16="http://schemas.microsoft.com/office/drawing/2014/main" id="{00000000-0008-0000-4100-00002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193</xdr:row>
          <xdr:rowOff>133350</xdr:rowOff>
        </xdr:from>
        <xdr:to>
          <xdr:col>15</xdr:col>
          <xdr:colOff>2828925</xdr:colOff>
          <xdr:row>195</xdr:row>
          <xdr:rowOff>390525</xdr:rowOff>
        </xdr:to>
        <xdr:sp macro="" textlink="">
          <xdr:nvSpPr>
            <xdr:cNvPr id="189475" name="Group Box 2" hidden="1">
              <a:extLst>
                <a:ext uri="{63B3BB69-23CF-44E3-9099-C40C66FF867C}">
                  <a14:compatExt spid="_x0000_s189475"/>
                </a:ext>
                <a:ext uri="{FF2B5EF4-FFF2-40B4-BE49-F238E27FC236}">
                  <a16:creationId xmlns:a16="http://schemas.microsoft.com/office/drawing/2014/main" id="{00000000-0008-0000-4100-000023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216</xdr:row>
      <xdr:rowOff>114300</xdr:rowOff>
    </xdr:from>
    <xdr:to>
      <xdr:col>15</xdr:col>
      <xdr:colOff>3048000</xdr:colOff>
      <xdr:row>220</xdr:row>
      <xdr:rowOff>438150</xdr:rowOff>
    </xdr:to>
    <xdr:sp macro="" textlink="">
      <xdr:nvSpPr>
        <xdr:cNvPr id="38" name="角丸四角形 2">
          <a:extLst>
            <a:ext uri="{FF2B5EF4-FFF2-40B4-BE49-F238E27FC236}">
              <a16:creationId xmlns:a16="http://schemas.microsoft.com/office/drawing/2014/main" id="{00000000-0008-0000-4100-000026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218</xdr:row>
          <xdr:rowOff>228600</xdr:rowOff>
        </xdr:from>
        <xdr:to>
          <xdr:col>15</xdr:col>
          <xdr:colOff>2600325</xdr:colOff>
          <xdr:row>220</xdr:row>
          <xdr:rowOff>57150</xdr:rowOff>
        </xdr:to>
        <xdr:sp macro="" textlink="">
          <xdr:nvSpPr>
            <xdr:cNvPr id="189476" name="Option Button 2記入する" hidden="1">
              <a:extLst>
                <a:ext uri="{63B3BB69-23CF-44E3-9099-C40C66FF867C}">
                  <a14:compatExt spid="_x0000_s189476"/>
                </a:ext>
                <a:ext uri="{FF2B5EF4-FFF2-40B4-BE49-F238E27FC236}">
                  <a16:creationId xmlns:a16="http://schemas.microsoft.com/office/drawing/2014/main" id="{00000000-0008-0000-4100-00002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220</xdr:row>
          <xdr:rowOff>114300</xdr:rowOff>
        </xdr:from>
        <xdr:to>
          <xdr:col>15</xdr:col>
          <xdr:colOff>1914525</xdr:colOff>
          <xdr:row>220</xdr:row>
          <xdr:rowOff>381000</xdr:rowOff>
        </xdr:to>
        <xdr:sp macro="" textlink="">
          <xdr:nvSpPr>
            <xdr:cNvPr id="189477" name="Option Button 2記入しない" hidden="1">
              <a:extLst>
                <a:ext uri="{63B3BB69-23CF-44E3-9099-C40C66FF867C}">
                  <a14:compatExt spid="_x0000_s189477"/>
                </a:ext>
                <a:ext uri="{FF2B5EF4-FFF2-40B4-BE49-F238E27FC236}">
                  <a16:creationId xmlns:a16="http://schemas.microsoft.com/office/drawing/2014/main" id="{00000000-0008-0000-4100-00002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218</xdr:row>
          <xdr:rowOff>133350</xdr:rowOff>
        </xdr:from>
        <xdr:to>
          <xdr:col>15</xdr:col>
          <xdr:colOff>2828925</xdr:colOff>
          <xdr:row>220</xdr:row>
          <xdr:rowOff>390525</xdr:rowOff>
        </xdr:to>
        <xdr:sp macro="" textlink="">
          <xdr:nvSpPr>
            <xdr:cNvPr id="189478" name="Group Box 2" hidden="1">
              <a:extLst>
                <a:ext uri="{63B3BB69-23CF-44E3-9099-C40C66FF867C}">
                  <a14:compatExt spid="_x0000_s189478"/>
                </a:ext>
                <a:ext uri="{FF2B5EF4-FFF2-40B4-BE49-F238E27FC236}">
                  <a16:creationId xmlns:a16="http://schemas.microsoft.com/office/drawing/2014/main" id="{00000000-0008-0000-4100-000026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241</xdr:row>
      <xdr:rowOff>114300</xdr:rowOff>
    </xdr:from>
    <xdr:to>
      <xdr:col>15</xdr:col>
      <xdr:colOff>3048000</xdr:colOff>
      <xdr:row>245</xdr:row>
      <xdr:rowOff>438150</xdr:rowOff>
    </xdr:to>
    <xdr:sp macro="" textlink="">
      <xdr:nvSpPr>
        <xdr:cNvPr id="42" name="角丸四角形 2">
          <a:extLst>
            <a:ext uri="{FF2B5EF4-FFF2-40B4-BE49-F238E27FC236}">
              <a16:creationId xmlns:a16="http://schemas.microsoft.com/office/drawing/2014/main" id="{00000000-0008-0000-4100-00002A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243</xdr:row>
          <xdr:rowOff>228600</xdr:rowOff>
        </xdr:from>
        <xdr:to>
          <xdr:col>15</xdr:col>
          <xdr:colOff>2600325</xdr:colOff>
          <xdr:row>245</xdr:row>
          <xdr:rowOff>57150</xdr:rowOff>
        </xdr:to>
        <xdr:sp macro="" textlink="">
          <xdr:nvSpPr>
            <xdr:cNvPr id="189479" name="Option Button 2記入する" hidden="1">
              <a:extLst>
                <a:ext uri="{63B3BB69-23CF-44E3-9099-C40C66FF867C}">
                  <a14:compatExt spid="_x0000_s189479"/>
                </a:ext>
                <a:ext uri="{FF2B5EF4-FFF2-40B4-BE49-F238E27FC236}">
                  <a16:creationId xmlns:a16="http://schemas.microsoft.com/office/drawing/2014/main" id="{00000000-0008-0000-4100-00002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245</xdr:row>
          <xdr:rowOff>114300</xdr:rowOff>
        </xdr:from>
        <xdr:to>
          <xdr:col>15</xdr:col>
          <xdr:colOff>1914525</xdr:colOff>
          <xdr:row>245</xdr:row>
          <xdr:rowOff>381000</xdr:rowOff>
        </xdr:to>
        <xdr:sp macro="" textlink="">
          <xdr:nvSpPr>
            <xdr:cNvPr id="189480" name="Option Button 2記入しない" hidden="1">
              <a:extLst>
                <a:ext uri="{63B3BB69-23CF-44E3-9099-C40C66FF867C}">
                  <a14:compatExt spid="_x0000_s189480"/>
                </a:ext>
                <a:ext uri="{FF2B5EF4-FFF2-40B4-BE49-F238E27FC236}">
                  <a16:creationId xmlns:a16="http://schemas.microsoft.com/office/drawing/2014/main" id="{00000000-0008-0000-4100-00002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243</xdr:row>
          <xdr:rowOff>133350</xdr:rowOff>
        </xdr:from>
        <xdr:to>
          <xdr:col>15</xdr:col>
          <xdr:colOff>2828925</xdr:colOff>
          <xdr:row>245</xdr:row>
          <xdr:rowOff>390525</xdr:rowOff>
        </xdr:to>
        <xdr:sp macro="" textlink="">
          <xdr:nvSpPr>
            <xdr:cNvPr id="189481" name="Group Box 2" hidden="1">
              <a:extLst>
                <a:ext uri="{63B3BB69-23CF-44E3-9099-C40C66FF867C}">
                  <a14:compatExt spid="_x0000_s189481"/>
                </a:ext>
                <a:ext uri="{FF2B5EF4-FFF2-40B4-BE49-F238E27FC236}">
                  <a16:creationId xmlns:a16="http://schemas.microsoft.com/office/drawing/2014/main" id="{00000000-0008-0000-4100-000029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266</xdr:row>
      <xdr:rowOff>114300</xdr:rowOff>
    </xdr:from>
    <xdr:to>
      <xdr:col>15</xdr:col>
      <xdr:colOff>3048000</xdr:colOff>
      <xdr:row>270</xdr:row>
      <xdr:rowOff>438150</xdr:rowOff>
    </xdr:to>
    <xdr:sp macro="" textlink="">
      <xdr:nvSpPr>
        <xdr:cNvPr id="46" name="角丸四角形 2">
          <a:extLst>
            <a:ext uri="{FF2B5EF4-FFF2-40B4-BE49-F238E27FC236}">
              <a16:creationId xmlns:a16="http://schemas.microsoft.com/office/drawing/2014/main" id="{00000000-0008-0000-4100-00002E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268</xdr:row>
          <xdr:rowOff>228600</xdr:rowOff>
        </xdr:from>
        <xdr:to>
          <xdr:col>15</xdr:col>
          <xdr:colOff>2600325</xdr:colOff>
          <xdr:row>270</xdr:row>
          <xdr:rowOff>57150</xdr:rowOff>
        </xdr:to>
        <xdr:sp macro="" textlink="">
          <xdr:nvSpPr>
            <xdr:cNvPr id="189482" name="Option Button 2記入する" hidden="1">
              <a:extLst>
                <a:ext uri="{63B3BB69-23CF-44E3-9099-C40C66FF867C}">
                  <a14:compatExt spid="_x0000_s189482"/>
                </a:ext>
                <a:ext uri="{FF2B5EF4-FFF2-40B4-BE49-F238E27FC236}">
                  <a16:creationId xmlns:a16="http://schemas.microsoft.com/office/drawing/2014/main" id="{00000000-0008-0000-4100-00002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270</xdr:row>
          <xdr:rowOff>114300</xdr:rowOff>
        </xdr:from>
        <xdr:to>
          <xdr:col>15</xdr:col>
          <xdr:colOff>1914525</xdr:colOff>
          <xdr:row>270</xdr:row>
          <xdr:rowOff>381000</xdr:rowOff>
        </xdr:to>
        <xdr:sp macro="" textlink="">
          <xdr:nvSpPr>
            <xdr:cNvPr id="189483" name="Option Button 2記入しない" hidden="1">
              <a:extLst>
                <a:ext uri="{63B3BB69-23CF-44E3-9099-C40C66FF867C}">
                  <a14:compatExt spid="_x0000_s189483"/>
                </a:ext>
                <a:ext uri="{FF2B5EF4-FFF2-40B4-BE49-F238E27FC236}">
                  <a16:creationId xmlns:a16="http://schemas.microsoft.com/office/drawing/2014/main" id="{00000000-0008-0000-4100-00002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268</xdr:row>
          <xdr:rowOff>133350</xdr:rowOff>
        </xdr:from>
        <xdr:to>
          <xdr:col>15</xdr:col>
          <xdr:colOff>2828925</xdr:colOff>
          <xdr:row>270</xdr:row>
          <xdr:rowOff>390525</xdr:rowOff>
        </xdr:to>
        <xdr:sp macro="" textlink="">
          <xdr:nvSpPr>
            <xdr:cNvPr id="189484" name="Group Box 2" hidden="1">
              <a:extLst>
                <a:ext uri="{63B3BB69-23CF-44E3-9099-C40C66FF867C}">
                  <a14:compatExt spid="_x0000_s189484"/>
                </a:ext>
                <a:ext uri="{FF2B5EF4-FFF2-40B4-BE49-F238E27FC236}">
                  <a16:creationId xmlns:a16="http://schemas.microsoft.com/office/drawing/2014/main" id="{00000000-0008-0000-4100-00002C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291</xdr:row>
      <xdr:rowOff>114300</xdr:rowOff>
    </xdr:from>
    <xdr:to>
      <xdr:col>15</xdr:col>
      <xdr:colOff>3048000</xdr:colOff>
      <xdr:row>295</xdr:row>
      <xdr:rowOff>438150</xdr:rowOff>
    </xdr:to>
    <xdr:sp macro="" textlink="">
      <xdr:nvSpPr>
        <xdr:cNvPr id="50" name="角丸四角形 2">
          <a:extLst>
            <a:ext uri="{FF2B5EF4-FFF2-40B4-BE49-F238E27FC236}">
              <a16:creationId xmlns:a16="http://schemas.microsoft.com/office/drawing/2014/main" id="{00000000-0008-0000-4100-000032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293</xdr:row>
          <xdr:rowOff>228600</xdr:rowOff>
        </xdr:from>
        <xdr:to>
          <xdr:col>15</xdr:col>
          <xdr:colOff>2600325</xdr:colOff>
          <xdr:row>295</xdr:row>
          <xdr:rowOff>57150</xdr:rowOff>
        </xdr:to>
        <xdr:sp macro="" textlink="">
          <xdr:nvSpPr>
            <xdr:cNvPr id="189485" name="Option Button 2記入する" hidden="1">
              <a:extLst>
                <a:ext uri="{63B3BB69-23CF-44E3-9099-C40C66FF867C}">
                  <a14:compatExt spid="_x0000_s189485"/>
                </a:ext>
                <a:ext uri="{FF2B5EF4-FFF2-40B4-BE49-F238E27FC236}">
                  <a16:creationId xmlns:a16="http://schemas.microsoft.com/office/drawing/2014/main" id="{00000000-0008-0000-4100-00002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295</xdr:row>
          <xdr:rowOff>114300</xdr:rowOff>
        </xdr:from>
        <xdr:to>
          <xdr:col>15</xdr:col>
          <xdr:colOff>1914525</xdr:colOff>
          <xdr:row>295</xdr:row>
          <xdr:rowOff>381000</xdr:rowOff>
        </xdr:to>
        <xdr:sp macro="" textlink="">
          <xdr:nvSpPr>
            <xdr:cNvPr id="189486" name="Option Button 2記入しない" hidden="1">
              <a:extLst>
                <a:ext uri="{63B3BB69-23CF-44E3-9099-C40C66FF867C}">
                  <a14:compatExt spid="_x0000_s189486"/>
                </a:ext>
                <a:ext uri="{FF2B5EF4-FFF2-40B4-BE49-F238E27FC236}">
                  <a16:creationId xmlns:a16="http://schemas.microsoft.com/office/drawing/2014/main" id="{00000000-0008-0000-4100-00002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293</xdr:row>
          <xdr:rowOff>133350</xdr:rowOff>
        </xdr:from>
        <xdr:to>
          <xdr:col>15</xdr:col>
          <xdr:colOff>2828925</xdr:colOff>
          <xdr:row>295</xdr:row>
          <xdr:rowOff>390525</xdr:rowOff>
        </xdr:to>
        <xdr:sp macro="" textlink="">
          <xdr:nvSpPr>
            <xdr:cNvPr id="189487" name="Group Box 2" hidden="1">
              <a:extLst>
                <a:ext uri="{63B3BB69-23CF-44E3-9099-C40C66FF867C}">
                  <a14:compatExt spid="_x0000_s189487"/>
                </a:ext>
                <a:ext uri="{FF2B5EF4-FFF2-40B4-BE49-F238E27FC236}">
                  <a16:creationId xmlns:a16="http://schemas.microsoft.com/office/drawing/2014/main" id="{00000000-0008-0000-4100-00002F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316</xdr:row>
      <xdr:rowOff>114300</xdr:rowOff>
    </xdr:from>
    <xdr:to>
      <xdr:col>15</xdr:col>
      <xdr:colOff>3048000</xdr:colOff>
      <xdr:row>320</xdr:row>
      <xdr:rowOff>438150</xdr:rowOff>
    </xdr:to>
    <xdr:sp macro="" textlink="">
      <xdr:nvSpPr>
        <xdr:cNvPr id="54" name="角丸四角形 2">
          <a:extLst>
            <a:ext uri="{FF2B5EF4-FFF2-40B4-BE49-F238E27FC236}">
              <a16:creationId xmlns:a16="http://schemas.microsoft.com/office/drawing/2014/main" id="{00000000-0008-0000-4100-000036000000}"/>
            </a:ext>
          </a:extLst>
        </xdr:cNvPr>
        <xdr:cNvSpPr/>
      </xdr:nvSpPr>
      <xdr:spPr>
        <a:xfrm>
          <a:off x="6884671" y="236905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318</xdr:row>
          <xdr:rowOff>228600</xdr:rowOff>
        </xdr:from>
        <xdr:to>
          <xdr:col>15</xdr:col>
          <xdr:colOff>2600325</xdr:colOff>
          <xdr:row>320</xdr:row>
          <xdr:rowOff>57150</xdr:rowOff>
        </xdr:to>
        <xdr:sp macro="" textlink="">
          <xdr:nvSpPr>
            <xdr:cNvPr id="189488" name="Option Button 2記入する" hidden="1">
              <a:extLst>
                <a:ext uri="{63B3BB69-23CF-44E3-9099-C40C66FF867C}">
                  <a14:compatExt spid="_x0000_s189488"/>
                </a:ext>
                <a:ext uri="{FF2B5EF4-FFF2-40B4-BE49-F238E27FC236}">
                  <a16:creationId xmlns:a16="http://schemas.microsoft.com/office/drawing/2014/main" id="{00000000-0008-0000-4100-000030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320</xdr:row>
          <xdr:rowOff>114300</xdr:rowOff>
        </xdr:from>
        <xdr:to>
          <xdr:col>15</xdr:col>
          <xdr:colOff>1914525</xdr:colOff>
          <xdr:row>320</xdr:row>
          <xdr:rowOff>381000</xdr:rowOff>
        </xdr:to>
        <xdr:sp macro="" textlink="">
          <xdr:nvSpPr>
            <xdr:cNvPr id="189489" name="Option Button 2記入しない" hidden="1">
              <a:extLst>
                <a:ext uri="{63B3BB69-23CF-44E3-9099-C40C66FF867C}">
                  <a14:compatExt spid="_x0000_s189489"/>
                </a:ext>
                <a:ext uri="{FF2B5EF4-FFF2-40B4-BE49-F238E27FC236}">
                  <a16:creationId xmlns:a16="http://schemas.microsoft.com/office/drawing/2014/main" id="{00000000-0008-0000-4100-00003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318</xdr:row>
          <xdr:rowOff>133350</xdr:rowOff>
        </xdr:from>
        <xdr:to>
          <xdr:col>15</xdr:col>
          <xdr:colOff>2828925</xdr:colOff>
          <xdr:row>320</xdr:row>
          <xdr:rowOff>390525</xdr:rowOff>
        </xdr:to>
        <xdr:sp macro="" textlink="">
          <xdr:nvSpPr>
            <xdr:cNvPr id="189490" name="Group Box 2" hidden="1">
              <a:extLst>
                <a:ext uri="{63B3BB69-23CF-44E3-9099-C40C66FF867C}">
                  <a14:compatExt spid="_x0000_s189490"/>
                </a:ext>
                <a:ext uri="{FF2B5EF4-FFF2-40B4-BE49-F238E27FC236}">
                  <a16:creationId xmlns:a16="http://schemas.microsoft.com/office/drawing/2014/main" id="{00000000-0008-0000-4100-000032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341</xdr:row>
      <xdr:rowOff>114300</xdr:rowOff>
    </xdr:from>
    <xdr:to>
      <xdr:col>15</xdr:col>
      <xdr:colOff>3048000</xdr:colOff>
      <xdr:row>345</xdr:row>
      <xdr:rowOff>438150</xdr:rowOff>
    </xdr:to>
    <xdr:sp macro="" textlink="">
      <xdr:nvSpPr>
        <xdr:cNvPr id="58" name="角丸四角形 2">
          <a:extLst>
            <a:ext uri="{FF2B5EF4-FFF2-40B4-BE49-F238E27FC236}">
              <a16:creationId xmlns:a16="http://schemas.microsoft.com/office/drawing/2014/main" id="{00000000-0008-0000-4100-00003A000000}"/>
            </a:ext>
          </a:extLst>
        </xdr:cNvPr>
        <xdr:cNvSpPr/>
      </xdr:nvSpPr>
      <xdr:spPr>
        <a:xfrm>
          <a:off x="6884671" y="325297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343</xdr:row>
          <xdr:rowOff>228600</xdr:rowOff>
        </xdr:from>
        <xdr:to>
          <xdr:col>15</xdr:col>
          <xdr:colOff>2600325</xdr:colOff>
          <xdr:row>345</xdr:row>
          <xdr:rowOff>57150</xdr:rowOff>
        </xdr:to>
        <xdr:sp macro="" textlink="">
          <xdr:nvSpPr>
            <xdr:cNvPr id="189491" name="Option Button 2記入する" hidden="1">
              <a:extLst>
                <a:ext uri="{63B3BB69-23CF-44E3-9099-C40C66FF867C}">
                  <a14:compatExt spid="_x0000_s189491"/>
                </a:ext>
                <a:ext uri="{FF2B5EF4-FFF2-40B4-BE49-F238E27FC236}">
                  <a16:creationId xmlns:a16="http://schemas.microsoft.com/office/drawing/2014/main" id="{00000000-0008-0000-4100-00003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345</xdr:row>
          <xdr:rowOff>114300</xdr:rowOff>
        </xdr:from>
        <xdr:to>
          <xdr:col>15</xdr:col>
          <xdr:colOff>1914525</xdr:colOff>
          <xdr:row>345</xdr:row>
          <xdr:rowOff>381000</xdr:rowOff>
        </xdr:to>
        <xdr:sp macro="" textlink="">
          <xdr:nvSpPr>
            <xdr:cNvPr id="189492" name="Option Button 2記入しない" hidden="1">
              <a:extLst>
                <a:ext uri="{63B3BB69-23CF-44E3-9099-C40C66FF867C}">
                  <a14:compatExt spid="_x0000_s189492"/>
                </a:ext>
                <a:ext uri="{FF2B5EF4-FFF2-40B4-BE49-F238E27FC236}">
                  <a16:creationId xmlns:a16="http://schemas.microsoft.com/office/drawing/2014/main" id="{00000000-0008-0000-4100-00003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343</xdr:row>
          <xdr:rowOff>133350</xdr:rowOff>
        </xdr:from>
        <xdr:to>
          <xdr:col>15</xdr:col>
          <xdr:colOff>2828925</xdr:colOff>
          <xdr:row>345</xdr:row>
          <xdr:rowOff>390525</xdr:rowOff>
        </xdr:to>
        <xdr:sp macro="" textlink="">
          <xdr:nvSpPr>
            <xdr:cNvPr id="189493" name="Group Box 2" hidden="1">
              <a:extLst>
                <a:ext uri="{63B3BB69-23CF-44E3-9099-C40C66FF867C}">
                  <a14:compatExt spid="_x0000_s189493"/>
                </a:ext>
                <a:ext uri="{FF2B5EF4-FFF2-40B4-BE49-F238E27FC236}">
                  <a16:creationId xmlns:a16="http://schemas.microsoft.com/office/drawing/2014/main" id="{00000000-0008-0000-4100-000035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366</xdr:row>
      <xdr:rowOff>114300</xdr:rowOff>
    </xdr:from>
    <xdr:to>
      <xdr:col>15</xdr:col>
      <xdr:colOff>3048000</xdr:colOff>
      <xdr:row>370</xdr:row>
      <xdr:rowOff>438150</xdr:rowOff>
    </xdr:to>
    <xdr:sp macro="" textlink="">
      <xdr:nvSpPr>
        <xdr:cNvPr id="62" name="角丸四角形 2">
          <a:extLst>
            <a:ext uri="{FF2B5EF4-FFF2-40B4-BE49-F238E27FC236}">
              <a16:creationId xmlns:a16="http://schemas.microsoft.com/office/drawing/2014/main" id="{00000000-0008-0000-4100-00003E000000}"/>
            </a:ext>
          </a:extLst>
        </xdr:cNvPr>
        <xdr:cNvSpPr/>
      </xdr:nvSpPr>
      <xdr:spPr>
        <a:xfrm>
          <a:off x="6884671" y="413689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368</xdr:row>
          <xdr:rowOff>228600</xdr:rowOff>
        </xdr:from>
        <xdr:to>
          <xdr:col>15</xdr:col>
          <xdr:colOff>2600325</xdr:colOff>
          <xdr:row>370</xdr:row>
          <xdr:rowOff>57150</xdr:rowOff>
        </xdr:to>
        <xdr:sp macro="" textlink="">
          <xdr:nvSpPr>
            <xdr:cNvPr id="189494" name="Option Button 2記入する" hidden="1">
              <a:extLst>
                <a:ext uri="{63B3BB69-23CF-44E3-9099-C40C66FF867C}">
                  <a14:compatExt spid="_x0000_s189494"/>
                </a:ext>
                <a:ext uri="{FF2B5EF4-FFF2-40B4-BE49-F238E27FC236}">
                  <a16:creationId xmlns:a16="http://schemas.microsoft.com/office/drawing/2014/main" id="{00000000-0008-0000-4100-00003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370</xdr:row>
          <xdr:rowOff>114300</xdr:rowOff>
        </xdr:from>
        <xdr:to>
          <xdr:col>15</xdr:col>
          <xdr:colOff>1914525</xdr:colOff>
          <xdr:row>370</xdr:row>
          <xdr:rowOff>381000</xdr:rowOff>
        </xdr:to>
        <xdr:sp macro="" textlink="">
          <xdr:nvSpPr>
            <xdr:cNvPr id="189495" name="Option Button 2記入しない" hidden="1">
              <a:extLst>
                <a:ext uri="{63B3BB69-23CF-44E3-9099-C40C66FF867C}">
                  <a14:compatExt spid="_x0000_s189495"/>
                </a:ext>
                <a:ext uri="{FF2B5EF4-FFF2-40B4-BE49-F238E27FC236}">
                  <a16:creationId xmlns:a16="http://schemas.microsoft.com/office/drawing/2014/main" id="{00000000-0008-0000-4100-00003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368</xdr:row>
          <xdr:rowOff>133350</xdr:rowOff>
        </xdr:from>
        <xdr:to>
          <xdr:col>15</xdr:col>
          <xdr:colOff>2828925</xdr:colOff>
          <xdr:row>370</xdr:row>
          <xdr:rowOff>390525</xdr:rowOff>
        </xdr:to>
        <xdr:sp macro="" textlink="">
          <xdr:nvSpPr>
            <xdr:cNvPr id="189496" name="Group Box 2" hidden="1">
              <a:extLst>
                <a:ext uri="{63B3BB69-23CF-44E3-9099-C40C66FF867C}">
                  <a14:compatExt spid="_x0000_s189496"/>
                </a:ext>
                <a:ext uri="{FF2B5EF4-FFF2-40B4-BE49-F238E27FC236}">
                  <a16:creationId xmlns:a16="http://schemas.microsoft.com/office/drawing/2014/main" id="{00000000-0008-0000-4100-000038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391</xdr:row>
      <xdr:rowOff>114300</xdr:rowOff>
    </xdr:from>
    <xdr:to>
      <xdr:col>15</xdr:col>
      <xdr:colOff>3048000</xdr:colOff>
      <xdr:row>395</xdr:row>
      <xdr:rowOff>438150</xdr:rowOff>
    </xdr:to>
    <xdr:sp macro="" textlink="">
      <xdr:nvSpPr>
        <xdr:cNvPr id="66" name="角丸四角形 2">
          <a:extLst>
            <a:ext uri="{FF2B5EF4-FFF2-40B4-BE49-F238E27FC236}">
              <a16:creationId xmlns:a16="http://schemas.microsoft.com/office/drawing/2014/main" id="{00000000-0008-0000-4100-000042000000}"/>
            </a:ext>
          </a:extLst>
        </xdr:cNvPr>
        <xdr:cNvSpPr/>
      </xdr:nvSpPr>
      <xdr:spPr>
        <a:xfrm>
          <a:off x="6884671" y="502081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393</xdr:row>
          <xdr:rowOff>228600</xdr:rowOff>
        </xdr:from>
        <xdr:to>
          <xdr:col>15</xdr:col>
          <xdr:colOff>2600325</xdr:colOff>
          <xdr:row>395</xdr:row>
          <xdr:rowOff>57150</xdr:rowOff>
        </xdr:to>
        <xdr:sp macro="" textlink="">
          <xdr:nvSpPr>
            <xdr:cNvPr id="189497" name="Option Button 2記入する" hidden="1">
              <a:extLst>
                <a:ext uri="{63B3BB69-23CF-44E3-9099-C40C66FF867C}">
                  <a14:compatExt spid="_x0000_s189497"/>
                </a:ext>
                <a:ext uri="{FF2B5EF4-FFF2-40B4-BE49-F238E27FC236}">
                  <a16:creationId xmlns:a16="http://schemas.microsoft.com/office/drawing/2014/main" id="{00000000-0008-0000-4100-00003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395</xdr:row>
          <xdr:rowOff>114300</xdr:rowOff>
        </xdr:from>
        <xdr:to>
          <xdr:col>15</xdr:col>
          <xdr:colOff>1914525</xdr:colOff>
          <xdr:row>395</xdr:row>
          <xdr:rowOff>381000</xdr:rowOff>
        </xdr:to>
        <xdr:sp macro="" textlink="">
          <xdr:nvSpPr>
            <xdr:cNvPr id="189498" name="Option Button 2記入しない" hidden="1">
              <a:extLst>
                <a:ext uri="{63B3BB69-23CF-44E3-9099-C40C66FF867C}">
                  <a14:compatExt spid="_x0000_s189498"/>
                </a:ext>
                <a:ext uri="{FF2B5EF4-FFF2-40B4-BE49-F238E27FC236}">
                  <a16:creationId xmlns:a16="http://schemas.microsoft.com/office/drawing/2014/main" id="{00000000-0008-0000-4100-00003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393</xdr:row>
          <xdr:rowOff>133350</xdr:rowOff>
        </xdr:from>
        <xdr:to>
          <xdr:col>15</xdr:col>
          <xdr:colOff>2828925</xdr:colOff>
          <xdr:row>395</xdr:row>
          <xdr:rowOff>390525</xdr:rowOff>
        </xdr:to>
        <xdr:sp macro="" textlink="">
          <xdr:nvSpPr>
            <xdr:cNvPr id="189499" name="Group Box 2" hidden="1">
              <a:extLst>
                <a:ext uri="{63B3BB69-23CF-44E3-9099-C40C66FF867C}">
                  <a14:compatExt spid="_x0000_s189499"/>
                </a:ext>
                <a:ext uri="{FF2B5EF4-FFF2-40B4-BE49-F238E27FC236}">
                  <a16:creationId xmlns:a16="http://schemas.microsoft.com/office/drawing/2014/main" id="{00000000-0008-0000-4100-00003B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416</xdr:row>
      <xdr:rowOff>114300</xdr:rowOff>
    </xdr:from>
    <xdr:to>
      <xdr:col>15</xdr:col>
      <xdr:colOff>3048000</xdr:colOff>
      <xdr:row>420</xdr:row>
      <xdr:rowOff>438150</xdr:rowOff>
    </xdr:to>
    <xdr:sp macro="" textlink="">
      <xdr:nvSpPr>
        <xdr:cNvPr id="70" name="角丸四角形 2">
          <a:extLst>
            <a:ext uri="{FF2B5EF4-FFF2-40B4-BE49-F238E27FC236}">
              <a16:creationId xmlns:a16="http://schemas.microsoft.com/office/drawing/2014/main" id="{00000000-0008-0000-4100-000046000000}"/>
            </a:ext>
          </a:extLst>
        </xdr:cNvPr>
        <xdr:cNvSpPr/>
      </xdr:nvSpPr>
      <xdr:spPr>
        <a:xfrm>
          <a:off x="6884671" y="59047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418</xdr:row>
          <xdr:rowOff>228600</xdr:rowOff>
        </xdr:from>
        <xdr:to>
          <xdr:col>15</xdr:col>
          <xdr:colOff>2600325</xdr:colOff>
          <xdr:row>420</xdr:row>
          <xdr:rowOff>57150</xdr:rowOff>
        </xdr:to>
        <xdr:sp macro="" textlink="">
          <xdr:nvSpPr>
            <xdr:cNvPr id="189500" name="Option Button 2記入する" hidden="1">
              <a:extLst>
                <a:ext uri="{63B3BB69-23CF-44E3-9099-C40C66FF867C}">
                  <a14:compatExt spid="_x0000_s189500"/>
                </a:ext>
                <a:ext uri="{FF2B5EF4-FFF2-40B4-BE49-F238E27FC236}">
                  <a16:creationId xmlns:a16="http://schemas.microsoft.com/office/drawing/2014/main" id="{00000000-0008-0000-4100-00003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420</xdr:row>
          <xdr:rowOff>114300</xdr:rowOff>
        </xdr:from>
        <xdr:to>
          <xdr:col>15</xdr:col>
          <xdr:colOff>1914525</xdr:colOff>
          <xdr:row>420</xdr:row>
          <xdr:rowOff>381000</xdr:rowOff>
        </xdr:to>
        <xdr:sp macro="" textlink="">
          <xdr:nvSpPr>
            <xdr:cNvPr id="189501" name="Option Button 2記入しない" hidden="1">
              <a:extLst>
                <a:ext uri="{63B3BB69-23CF-44E3-9099-C40C66FF867C}">
                  <a14:compatExt spid="_x0000_s189501"/>
                </a:ext>
                <a:ext uri="{FF2B5EF4-FFF2-40B4-BE49-F238E27FC236}">
                  <a16:creationId xmlns:a16="http://schemas.microsoft.com/office/drawing/2014/main" id="{00000000-0008-0000-4100-00003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418</xdr:row>
          <xdr:rowOff>133350</xdr:rowOff>
        </xdr:from>
        <xdr:to>
          <xdr:col>15</xdr:col>
          <xdr:colOff>2828925</xdr:colOff>
          <xdr:row>420</xdr:row>
          <xdr:rowOff>390525</xdr:rowOff>
        </xdr:to>
        <xdr:sp macro="" textlink="">
          <xdr:nvSpPr>
            <xdr:cNvPr id="189502" name="Group Box 2" hidden="1">
              <a:extLst>
                <a:ext uri="{63B3BB69-23CF-44E3-9099-C40C66FF867C}">
                  <a14:compatExt spid="_x0000_s189502"/>
                </a:ext>
                <a:ext uri="{FF2B5EF4-FFF2-40B4-BE49-F238E27FC236}">
                  <a16:creationId xmlns:a16="http://schemas.microsoft.com/office/drawing/2014/main" id="{00000000-0008-0000-4100-00003E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441</xdr:row>
      <xdr:rowOff>114300</xdr:rowOff>
    </xdr:from>
    <xdr:to>
      <xdr:col>15</xdr:col>
      <xdr:colOff>3048000</xdr:colOff>
      <xdr:row>445</xdr:row>
      <xdr:rowOff>438150</xdr:rowOff>
    </xdr:to>
    <xdr:sp macro="" textlink="">
      <xdr:nvSpPr>
        <xdr:cNvPr id="74" name="角丸四角形 2">
          <a:extLst>
            <a:ext uri="{FF2B5EF4-FFF2-40B4-BE49-F238E27FC236}">
              <a16:creationId xmlns:a16="http://schemas.microsoft.com/office/drawing/2014/main" id="{00000000-0008-0000-4100-00004A000000}"/>
            </a:ext>
          </a:extLst>
        </xdr:cNvPr>
        <xdr:cNvSpPr/>
      </xdr:nvSpPr>
      <xdr:spPr>
        <a:xfrm>
          <a:off x="6884671" y="678865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443</xdr:row>
          <xdr:rowOff>228600</xdr:rowOff>
        </xdr:from>
        <xdr:to>
          <xdr:col>15</xdr:col>
          <xdr:colOff>2600325</xdr:colOff>
          <xdr:row>445</xdr:row>
          <xdr:rowOff>57150</xdr:rowOff>
        </xdr:to>
        <xdr:sp macro="" textlink="">
          <xdr:nvSpPr>
            <xdr:cNvPr id="189503" name="Option Button 2記入する" hidden="1">
              <a:extLst>
                <a:ext uri="{63B3BB69-23CF-44E3-9099-C40C66FF867C}">
                  <a14:compatExt spid="_x0000_s189503"/>
                </a:ext>
                <a:ext uri="{FF2B5EF4-FFF2-40B4-BE49-F238E27FC236}">
                  <a16:creationId xmlns:a16="http://schemas.microsoft.com/office/drawing/2014/main" id="{00000000-0008-0000-4100-00003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445</xdr:row>
          <xdr:rowOff>114300</xdr:rowOff>
        </xdr:from>
        <xdr:to>
          <xdr:col>15</xdr:col>
          <xdr:colOff>1914525</xdr:colOff>
          <xdr:row>445</xdr:row>
          <xdr:rowOff>381000</xdr:rowOff>
        </xdr:to>
        <xdr:sp macro="" textlink="">
          <xdr:nvSpPr>
            <xdr:cNvPr id="189504" name="Option Button 2記入しない" hidden="1">
              <a:extLst>
                <a:ext uri="{63B3BB69-23CF-44E3-9099-C40C66FF867C}">
                  <a14:compatExt spid="_x0000_s189504"/>
                </a:ext>
                <a:ext uri="{FF2B5EF4-FFF2-40B4-BE49-F238E27FC236}">
                  <a16:creationId xmlns:a16="http://schemas.microsoft.com/office/drawing/2014/main" id="{00000000-0008-0000-4100-000040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443</xdr:row>
          <xdr:rowOff>133350</xdr:rowOff>
        </xdr:from>
        <xdr:to>
          <xdr:col>15</xdr:col>
          <xdr:colOff>2828925</xdr:colOff>
          <xdr:row>445</xdr:row>
          <xdr:rowOff>390525</xdr:rowOff>
        </xdr:to>
        <xdr:sp macro="" textlink="">
          <xdr:nvSpPr>
            <xdr:cNvPr id="189505" name="Group Box 2" hidden="1">
              <a:extLst>
                <a:ext uri="{63B3BB69-23CF-44E3-9099-C40C66FF867C}">
                  <a14:compatExt spid="_x0000_s189505"/>
                </a:ext>
                <a:ext uri="{FF2B5EF4-FFF2-40B4-BE49-F238E27FC236}">
                  <a16:creationId xmlns:a16="http://schemas.microsoft.com/office/drawing/2014/main" id="{00000000-0008-0000-4100-000041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466</xdr:row>
      <xdr:rowOff>114300</xdr:rowOff>
    </xdr:from>
    <xdr:to>
      <xdr:col>15</xdr:col>
      <xdr:colOff>3048000</xdr:colOff>
      <xdr:row>470</xdr:row>
      <xdr:rowOff>438150</xdr:rowOff>
    </xdr:to>
    <xdr:sp macro="" textlink="">
      <xdr:nvSpPr>
        <xdr:cNvPr id="78" name="角丸四角形 2">
          <a:extLst>
            <a:ext uri="{FF2B5EF4-FFF2-40B4-BE49-F238E27FC236}">
              <a16:creationId xmlns:a16="http://schemas.microsoft.com/office/drawing/2014/main" id="{00000000-0008-0000-4100-00004E000000}"/>
            </a:ext>
          </a:extLst>
        </xdr:cNvPr>
        <xdr:cNvSpPr/>
      </xdr:nvSpPr>
      <xdr:spPr>
        <a:xfrm>
          <a:off x="6884671" y="767257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468</xdr:row>
          <xdr:rowOff>228600</xdr:rowOff>
        </xdr:from>
        <xdr:to>
          <xdr:col>15</xdr:col>
          <xdr:colOff>2600325</xdr:colOff>
          <xdr:row>470</xdr:row>
          <xdr:rowOff>57150</xdr:rowOff>
        </xdr:to>
        <xdr:sp macro="" textlink="">
          <xdr:nvSpPr>
            <xdr:cNvPr id="189506" name="Option Button 2記入する" hidden="1">
              <a:extLst>
                <a:ext uri="{63B3BB69-23CF-44E3-9099-C40C66FF867C}">
                  <a14:compatExt spid="_x0000_s189506"/>
                </a:ext>
                <a:ext uri="{FF2B5EF4-FFF2-40B4-BE49-F238E27FC236}">
                  <a16:creationId xmlns:a16="http://schemas.microsoft.com/office/drawing/2014/main" id="{00000000-0008-0000-4100-00004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470</xdr:row>
          <xdr:rowOff>114300</xdr:rowOff>
        </xdr:from>
        <xdr:to>
          <xdr:col>15</xdr:col>
          <xdr:colOff>1914525</xdr:colOff>
          <xdr:row>470</xdr:row>
          <xdr:rowOff>381000</xdr:rowOff>
        </xdr:to>
        <xdr:sp macro="" textlink="">
          <xdr:nvSpPr>
            <xdr:cNvPr id="189507" name="Option Button 2記入しない" hidden="1">
              <a:extLst>
                <a:ext uri="{63B3BB69-23CF-44E3-9099-C40C66FF867C}">
                  <a14:compatExt spid="_x0000_s189507"/>
                </a:ext>
                <a:ext uri="{FF2B5EF4-FFF2-40B4-BE49-F238E27FC236}">
                  <a16:creationId xmlns:a16="http://schemas.microsoft.com/office/drawing/2014/main" id="{00000000-0008-0000-4100-00004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468</xdr:row>
          <xdr:rowOff>133350</xdr:rowOff>
        </xdr:from>
        <xdr:to>
          <xdr:col>15</xdr:col>
          <xdr:colOff>2828925</xdr:colOff>
          <xdr:row>470</xdr:row>
          <xdr:rowOff>390525</xdr:rowOff>
        </xdr:to>
        <xdr:sp macro="" textlink="">
          <xdr:nvSpPr>
            <xdr:cNvPr id="189508" name="Group Box 2" hidden="1">
              <a:extLst>
                <a:ext uri="{63B3BB69-23CF-44E3-9099-C40C66FF867C}">
                  <a14:compatExt spid="_x0000_s189508"/>
                </a:ext>
                <a:ext uri="{FF2B5EF4-FFF2-40B4-BE49-F238E27FC236}">
                  <a16:creationId xmlns:a16="http://schemas.microsoft.com/office/drawing/2014/main" id="{00000000-0008-0000-4100-000044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491</xdr:row>
      <xdr:rowOff>114300</xdr:rowOff>
    </xdr:from>
    <xdr:to>
      <xdr:col>15</xdr:col>
      <xdr:colOff>3048000</xdr:colOff>
      <xdr:row>495</xdr:row>
      <xdr:rowOff>438150</xdr:rowOff>
    </xdr:to>
    <xdr:sp macro="" textlink="">
      <xdr:nvSpPr>
        <xdr:cNvPr id="82" name="角丸四角形 2">
          <a:extLst>
            <a:ext uri="{FF2B5EF4-FFF2-40B4-BE49-F238E27FC236}">
              <a16:creationId xmlns:a16="http://schemas.microsoft.com/office/drawing/2014/main" id="{00000000-0008-0000-4100-000052000000}"/>
            </a:ext>
          </a:extLst>
        </xdr:cNvPr>
        <xdr:cNvSpPr/>
      </xdr:nvSpPr>
      <xdr:spPr>
        <a:xfrm>
          <a:off x="6884671" y="855649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493</xdr:row>
          <xdr:rowOff>228600</xdr:rowOff>
        </xdr:from>
        <xdr:to>
          <xdr:col>15</xdr:col>
          <xdr:colOff>2600325</xdr:colOff>
          <xdr:row>495</xdr:row>
          <xdr:rowOff>57150</xdr:rowOff>
        </xdr:to>
        <xdr:sp macro="" textlink="">
          <xdr:nvSpPr>
            <xdr:cNvPr id="189509" name="Option Button 2記入する" hidden="1">
              <a:extLst>
                <a:ext uri="{63B3BB69-23CF-44E3-9099-C40C66FF867C}">
                  <a14:compatExt spid="_x0000_s189509"/>
                </a:ext>
                <a:ext uri="{FF2B5EF4-FFF2-40B4-BE49-F238E27FC236}">
                  <a16:creationId xmlns:a16="http://schemas.microsoft.com/office/drawing/2014/main" id="{00000000-0008-0000-4100-00004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495</xdr:row>
          <xdr:rowOff>114300</xdr:rowOff>
        </xdr:from>
        <xdr:to>
          <xdr:col>15</xdr:col>
          <xdr:colOff>1914525</xdr:colOff>
          <xdr:row>495</xdr:row>
          <xdr:rowOff>381000</xdr:rowOff>
        </xdr:to>
        <xdr:sp macro="" textlink="">
          <xdr:nvSpPr>
            <xdr:cNvPr id="189510" name="Option Button 2記入しない" hidden="1">
              <a:extLst>
                <a:ext uri="{63B3BB69-23CF-44E3-9099-C40C66FF867C}">
                  <a14:compatExt spid="_x0000_s189510"/>
                </a:ext>
                <a:ext uri="{FF2B5EF4-FFF2-40B4-BE49-F238E27FC236}">
                  <a16:creationId xmlns:a16="http://schemas.microsoft.com/office/drawing/2014/main" id="{00000000-0008-0000-4100-00004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493</xdr:row>
          <xdr:rowOff>133350</xdr:rowOff>
        </xdr:from>
        <xdr:to>
          <xdr:col>15</xdr:col>
          <xdr:colOff>2828925</xdr:colOff>
          <xdr:row>495</xdr:row>
          <xdr:rowOff>390525</xdr:rowOff>
        </xdr:to>
        <xdr:sp macro="" textlink="">
          <xdr:nvSpPr>
            <xdr:cNvPr id="189511" name="Group Box 2" hidden="1">
              <a:extLst>
                <a:ext uri="{63B3BB69-23CF-44E3-9099-C40C66FF867C}">
                  <a14:compatExt spid="_x0000_s189511"/>
                </a:ext>
                <a:ext uri="{FF2B5EF4-FFF2-40B4-BE49-F238E27FC236}">
                  <a16:creationId xmlns:a16="http://schemas.microsoft.com/office/drawing/2014/main" id="{00000000-0008-0000-4100-000047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516</xdr:row>
      <xdr:rowOff>114300</xdr:rowOff>
    </xdr:from>
    <xdr:to>
      <xdr:col>15</xdr:col>
      <xdr:colOff>3048000</xdr:colOff>
      <xdr:row>520</xdr:row>
      <xdr:rowOff>438150</xdr:rowOff>
    </xdr:to>
    <xdr:sp macro="" textlink="">
      <xdr:nvSpPr>
        <xdr:cNvPr id="86" name="角丸四角形 2">
          <a:extLst>
            <a:ext uri="{FF2B5EF4-FFF2-40B4-BE49-F238E27FC236}">
              <a16:creationId xmlns:a16="http://schemas.microsoft.com/office/drawing/2014/main" id="{00000000-0008-0000-4100-000056000000}"/>
            </a:ext>
          </a:extLst>
        </xdr:cNvPr>
        <xdr:cNvSpPr/>
      </xdr:nvSpPr>
      <xdr:spPr>
        <a:xfrm>
          <a:off x="6884671" y="944041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518</xdr:row>
          <xdr:rowOff>228600</xdr:rowOff>
        </xdr:from>
        <xdr:to>
          <xdr:col>15</xdr:col>
          <xdr:colOff>2600325</xdr:colOff>
          <xdr:row>520</xdr:row>
          <xdr:rowOff>57150</xdr:rowOff>
        </xdr:to>
        <xdr:sp macro="" textlink="">
          <xdr:nvSpPr>
            <xdr:cNvPr id="189512" name="Option Button 2記入する" hidden="1">
              <a:extLst>
                <a:ext uri="{63B3BB69-23CF-44E3-9099-C40C66FF867C}">
                  <a14:compatExt spid="_x0000_s189512"/>
                </a:ext>
                <a:ext uri="{FF2B5EF4-FFF2-40B4-BE49-F238E27FC236}">
                  <a16:creationId xmlns:a16="http://schemas.microsoft.com/office/drawing/2014/main" id="{00000000-0008-0000-4100-00004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520</xdr:row>
          <xdr:rowOff>114300</xdr:rowOff>
        </xdr:from>
        <xdr:to>
          <xdr:col>15</xdr:col>
          <xdr:colOff>1914525</xdr:colOff>
          <xdr:row>520</xdr:row>
          <xdr:rowOff>381000</xdr:rowOff>
        </xdr:to>
        <xdr:sp macro="" textlink="">
          <xdr:nvSpPr>
            <xdr:cNvPr id="189513" name="Option Button 2記入しない" hidden="1">
              <a:extLst>
                <a:ext uri="{63B3BB69-23CF-44E3-9099-C40C66FF867C}">
                  <a14:compatExt spid="_x0000_s189513"/>
                </a:ext>
                <a:ext uri="{FF2B5EF4-FFF2-40B4-BE49-F238E27FC236}">
                  <a16:creationId xmlns:a16="http://schemas.microsoft.com/office/drawing/2014/main" id="{00000000-0008-0000-4100-00004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518</xdr:row>
          <xdr:rowOff>133350</xdr:rowOff>
        </xdr:from>
        <xdr:to>
          <xdr:col>15</xdr:col>
          <xdr:colOff>2828925</xdr:colOff>
          <xdr:row>520</xdr:row>
          <xdr:rowOff>390525</xdr:rowOff>
        </xdr:to>
        <xdr:sp macro="" textlink="">
          <xdr:nvSpPr>
            <xdr:cNvPr id="189514" name="Group Box 2" hidden="1">
              <a:extLst>
                <a:ext uri="{63B3BB69-23CF-44E3-9099-C40C66FF867C}">
                  <a14:compatExt spid="_x0000_s189514"/>
                </a:ext>
                <a:ext uri="{FF2B5EF4-FFF2-40B4-BE49-F238E27FC236}">
                  <a16:creationId xmlns:a16="http://schemas.microsoft.com/office/drawing/2014/main" id="{00000000-0008-0000-4100-00004A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541</xdr:row>
      <xdr:rowOff>114300</xdr:rowOff>
    </xdr:from>
    <xdr:to>
      <xdr:col>15</xdr:col>
      <xdr:colOff>3048000</xdr:colOff>
      <xdr:row>545</xdr:row>
      <xdr:rowOff>438150</xdr:rowOff>
    </xdr:to>
    <xdr:sp macro="" textlink="">
      <xdr:nvSpPr>
        <xdr:cNvPr id="90" name="角丸四角形 2">
          <a:extLst>
            <a:ext uri="{FF2B5EF4-FFF2-40B4-BE49-F238E27FC236}">
              <a16:creationId xmlns:a16="http://schemas.microsoft.com/office/drawing/2014/main" id="{00000000-0008-0000-4100-00005A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543</xdr:row>
          <xdr:rowOff>228600</xdr:rowOff>
        </xdr:from>
        <xdr:to>
          <xdr:col>15</xdr:col>
          <xdr:colOff>2600325</xdr:colOff>
          <xdr:row>545</xdr:row>
          <xdr:rowOff>57150</xdr:rowOff>
        </xdr:to>
        <xdr:sp macro="" textlink="">
          <xdr:nvSpPr>
            <xdr:cNvPr id="189515" name="Option Button 2記入する" hidden="1">
              <a:extLst>
                <a:ext uri="{63B3BB69-23CF-44E3-9099-C40C66FF867C}">
                  <a14:compatExt spid="_x0000_s189515"/>
                </a:ext>
                <a:ext uri="{FF2B5EF4-FFF2-40B4-BE49-F238E27FC236}">
                  <a16:creationId xmlns:a16="http://schemas.microsoft.com/office/drawing/2014/main" id="{00000000-0008-0000-4100-00004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545</xdr:row>
          <xdr:rowOff>114300</xdr:rowOff>
        </xdr:from>
        <xdr:to>
          <xdr:col>15</xdr:col>
          <xdr:colOff>1914525</xdr:colOff>
          <xdr:row>545</xdr:row>
          <xdr:rowOff>381000</xdr:rowOff>
        </xdr:to>
        <xdr:sp macro="" textlink="">
          <xdr:nvSpPr>
            <xdr:cNvPr id="189516" name="Option Button 2記入しない" hidden="1">
              <a:extLst>
                <a:ext uri="{63B3BB69-23CF-44E3-9099-C40C66FF867C}">
                  <a14:compatExt spid="_x0000_s189516"/>
                </a:ext>
                <a:ext uri="{FF2B5EF4-FFF2-40B4-BE49-F238E27FC236}">
                  <a16:creationId xmlns:a16="http://schemas.microsoft.com/office/drawing/2014/main" id="{00000000-0008-0000-4100-00004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543</xdr:row>
          <xdr:rowOff>133350</xdr:rowOff>
        </xdr:from>
        <xdr:to>
          <xdr:col>15</xdr:col>
          <xdr:colOff>2828925</xdr:colOff>
          <xdr:row>545</xdr:row>
          <xdr:rowOff>390525</xdr:rowOff>
        </xdr:to>
        <xdr:sp macro="" textlink="">
          <xdr:nvSpPr>
            <xdr:cNvPr id="189517" name="Group Box 2" hidden="1">
              <a:extLst>
                <a:ext uri="{63B3BB69-23CF-44E3-9099-C40C66FF867C}">
                  <a14:compatExt spid="_x0000_s189517"/>
                </a:ext>
                <a:ext uri="{FF2B5EF4-FFF2-40B4-BE49-F238E27FC236}">
                  <a16:creationId xmlns:a16="http://schemas.microsoft.com/office/drawing/2014/main" id="{00000000-0008-0000-4100-00004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566</xdr:row>
      <xdr:rowOff>114300</xdr:rowOff>
    </xdr:from>
    <xdr:to>
      <xdr:col>15</xdr:col>
      <xdr:colOff>3048000</xdr:colOff>
      <xdr:row>570</xdr:row>
      <xdr:rowOff>438150</xdr:rowOff>
    </xdr:to>
    <xdr:sp macro="" textlink="">
      <xdr:nvSpPr>
        <xdr:cNvPr id="94" name="角丸四角形 2">
          <a:extLst>
            <a:ext uri="{FF2B5EF4-FFF2-40B4-BE49-F238E27FC236}">
              <a16:creationId xmlns:a16="http://schemas.microsoft.com/office/drawing/2014/main" id="{00000000-0008-0000-4100-00005E000000}"/>
            </a:ext>
          </a:extLst>
        </xdr:cNvPr>
        <xdr:cNvSpPr/>
      </xdr:nvSpPr>
      <xdr:spPr>
        <a:xfrm>
          <a:off x="6884671" y="236905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568</xdr:row>
          <xdr:rowOff>228600</xdr:rowOff>
        </xdr:from>
        <xdr:to>
          <xdr:col>15</xdr:col>
          <xdr:colOff>2600325</xdr:colOff>
          <xdr:row>570</xdr:row>
          <xdr:rowOff>57150</xdr:rowOff>
        </xdr:to>
        <xdr:sp macro="" textlink="">
          <xdr:nvSpPr>
            <xdr:cNvPr id="189518" name="Option Button 2記入する" hidden="1">
              <a:extLst>
                <a:ext uri="{63B3BB69-23CF-44E3-9099-C40C66FF867C}">
                  <a14:compatExt spid="_x0000_s189518"/>
                </a:ext>
                <a:ext uri="{FF2B5EF4-FFF2-40B4-BE49-F238E27FC236}">
                  <a16:creationId xmlns:a16="http://schemas.microsoft.com/office/drawing/2014/main" id="{00000000-0008-0000-4100-00004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570</xdr:row>
          <xdr:rowOff>114300</xdr:rowOff>
        </xdr:from>
        <xdr:to>
          <xdr:col>15</xdr:col>
          <xdr:colOff>1914525</xdr:colOff>
          <xdr:row>570</xdr:row>
          <xdr:rowOff>381000</xdr:rowOff>
        </xdr:to>
        <xdr:sp macro="" textlink="">
          <xdr:nvSpPr>
            <xdr:cNvPr id="189519" name="Option Button 2記入しない" hidden="1">
              <a:extLst>
                <a:ext uri="{63B3BB69-23CF-44E3-9099-C40C66FF867C}">
                  <a14:compatExt spid="_x0000_s189519"/>
                </a:ext>
                <a:ext uri="{FF2B5EF4-FFF2-40B4-BE49-F238E27FC236}">
                  <a16:creationId xmlns:a16="http://schemas.microsoft.com/office/drawing/2014/main" id="{00000000-0008-0000-4100-00004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568</xdr:row>
          <xdr:rowOff>133350</xdr:rowOff>
        </xdr:from>
        <xdr:to>
          <xdr:col>15</xdr:col>
          <xdr:colOff>2828925</xdr:colOff>
          <xdr:row>570</xdr:row>
          <xdr:rowOff>390525</xdr:rowOff>
        </xdr:to>
        <xdr:sp macro="" textlink="">
          <xdr:nvSpPr>
            <xdr:cNvPr id="189520" name="Group Box 2" hidden="1">
              <a:extLst>
                <a:ext uri="{63B3BB69-23CF-44E3-9099-C40C66FF867C}">
                  <a14:compatExt spid="_x0000_s189520"/>
                </a:ext>
                <a:ext uri="{FF2B5EF4-FFF2-40B4-BE49-F238E27FC236}">
                  <a16:creationId xmlns:a16="http://schemas.microsoft.com/office/drawing/2014/main" id="{00000000-0008-0000-4100-000050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591</xdr:row>
      <xdr:rowOff>114300</xdr:rowOff>
    </xdr:from>
    <xdr:to>
      <xdr:col>15</xdr:col>
      <xdr:colOff>3048000</xdr:colOff>
      <xdr:row>595</xdr:row>
      <xdr:rowOff>438150</xdr:rowOff>
    </xdr:to>
    <xdr:sp macro="" textlink="">
      <xdr:nvSpPr>
        <xdr:cNvPr id="98" name="角丸四角形 2">
          <a:extLst>
            <a:ext uri="{FF2B5EF4-FFF2-40B4-BE49-F238E27FC236}">
              <a16:creationId xmlns:a16="http://schemas.microsoft.com/office/drawing/2014/main" id="{00000000-0008-0000-4100-000062000000}"/>
            </a:ext>
          </a:extLst>
        </xdr:cNvPr>
        <xdr:cNvSpPr/>
      </xdr:nvSpPr>
      <xdr:spPr>
        <a:xfrm>
          <a:off x="6884671" y="325297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593</xdr:row>
          <xdr:rowOff>228600</xdr:rowOff>
        </xdr:from>
        <xdr:to>
          <xdr:col>15</xdr:col>
          <xdr:colOff>2600325</xdr:colOff>
          <xdr:row>595</xdr:row>
          <xdr:rowOff>57150</xdr:rowOff>
        </xdr:to>
        <xdr:sp macro="" textlink="">
          <xdr:nvSpPr>
            <xdr:cNvPr id="189521" name="Option Button 2記入する" hidden="1">
              <a:extLst>
                <a:ext uri="{63B3BB69-23CF-44E3-9099-C40C66FF867C}">
                  <a14:compatExt spid="_x0000_s189521"/>
                </a:ext>
                <a:ext uri="{FF2B5EF4-FFF2-40B4-BE49-F238E27FC236}">
                  <a16:creationId xmlns:a16="http://schemas.microsoft.com/office/drawing/2014/main" id="{00000000-0008-0000-4100-00005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595</xdr:row>
          <xdr:rowOff>114300</xdr:rowOff>
        </xdr:from>
        <xdr:to>
          <xdr:col>15</xdr:col>
          <xdr:colOff>1914525</xdr:colOff>
          <xdr:row>595</xdr:row>
          <xdr:rowOff>381000</xdr:rowOff>
        </xdr:to>
        <xdr:sp macro="" textlink="">
          <xdr:nvSpPr>
            <xdr:cNvPr id="189522" name="Option Button 2記入しない" hidden="1">
              <a:extLst>
                <a:ext uri="{63B3BB69-23CF-44E3-9099-C40C66FF867C}">
                  <a14:compatExt spid="_x0000_s189522"/>
                </a:ext>
                <a:ext uri="{FF2B5EF4-FFF2-40B4-BE49-F238E27FC236}">
                  <a16:creationId xmlns:a16="http://schemas.microsoft.com/office/drawing/2014/main" id="{00000000-0008-0000-4100-00005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593</xdr:row>
          <xdr:rowOff>133350</xdr:rowOff>
        </xdr:from>
        <xdr:to>
          <xdr:col>15</xdr:col>
          <xdr:colOff>2828925</xdr:colOff>
          <xdr:row>595</xdr:row>
          <xdr:rowOff>390525</xdr:rowOff>
        </xdr:to>
        <xdr:sp macro="" textlink="">
          <xdr:nvSpPr>
            <xdr:cNvPr id="189523" name="Group Box 2" hidden="1">
              <a:extLst>
                <a:ext uri="{63B3BB69-23CF-44E3-9099-C40C66FF867C}">
                  <a14:compatExt spid="_x0000_s189523"/>
                </a:ext>
                <a:ext uri="{FF2B5EF4-FFF2-40B4-BE49-F238E27FC236}">
                  <a16:creationId xmlns:a16="http://schemas.microsoft.com/office/drawing/2014/main" id="{00000000-0008-0000-4100-000053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616</xdr:row>
      <xdr:rowOff>114300</xdr:rowOff>
    </xdr:from>
    <xdr:to>
      <xdr:col>15</xdr:col>
      <xdr:colOff>3048000</xdr:colOff>
      <xdr:row>620</xdr:row>
      <xdr:rowOff>438150</xdr:rowOff>
    </xdr:to>
    <xdr:sp macro="" textlink="">
      <xdr:nvSpPr>
        <xdr:cNvPr id="102" name="角丸四角形 2">
          <a:extLst>
            <a:ext uri="{FF2B5EF4-FFF2-40B4-BE49-F238E27FC236}">
              <a16:creationId xmlns:a16="http://schemas.microsoft.com/office/drawing/2014/main" id="{00000000-0008-0000-4100-000066000000}"/>
            </a:ext>
          </a:extLst>
        </xdr:cNvPr>
        <xdr:cNvSpPr/>
      </xdr:nvSpPr>
      <xdr:spPr>
        <a:xfrm>
          <a:off x="6884671" y="413689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618</xdr:row>
          <xdr:rowOff>228600</xdr:rowOff>
        </xdr:from>
        <xdr:to>
          <xdr:col>15</xdr:col>
          <xdr:colOff>2600325</xdr:colOff>
          <xdr:row>620</xdr:row>
          <xdr:rowOff>57150</xdr:rowOff>
        </xdr:to>
        <xdr:sp macro="" textlink="">
          <xdr:nvSpPr>
            <xdr:cNvPr id="189524" name="Option Button 2記入する" hidden="1">
              <a:extLst>
                <a:ext uri="{63B3BB69-23CF-44E3-9099-C40C66FF867C}">
                  <a14:compatExt spid="_x0000_s189524"/>
                </a:ext>
                <a:ext uri="{FF2B5EF4-FFF2-40B4-BE49-F238E27FC236}">
                  <a16:creationId xmlns:a16="http://schemas.microsoft.com/office/drawing/2014/main" id="{00000000-0008-0000-4100-00005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620</xdr:row>
          <xdr:rowOff>114300</xdr:rowOff>
        </xdr:from>
        <xdr:to>
          <xdr:col>15</xdr:col>
          <xdr:colOff>1914525</xdr:colOff>
          <xdr:row>620</xdr:row>
          <xdr:rowOff>381000</xdr:rowOff>
        </xdr:to>
        <xdr:sp macro="" textlink="">
          <xdr:nvSpPr>
            <xdr:cNvPr id="189525" name="Option Button 2記入しない" hidden="1">
              <a:extLst>
                <a:ext uri="{63B3BB69-23CF-44E3-9099-C40C66FF867C}">
                  <a14:compatExt spid="_x0000_s189525"/>
                </a:ext>
                <a:ext uri="{FF2B5EF4-FFF2-40B4-BE49-F238E27FC236}">
                  <a16:creationId xmlns:a16="http://schemas.microsoft.com/office/drawing/2014/main" id="{00000000-0008-0000-4100-00005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618</xdr:row>
          <xdr:rowOff>133350</xdr:rowOff>
        </xdr:from>
        <xdr:to>
          <xdr:col>15</xdr:col>
          <xdr:colOff>2828925</xdr:colOff>
          <xdr:row>620</xdr:row>
          <xdr:rowOff>390525</xdr:rowOff>
        </xdr:to>
        <xdr:sp macro="" textlink="">
          <xdr:nvSpPr>
            <xdr:cNvPr id="189526" name="Group Box 2" hidden="1">
              <a:extLst>
                <a:ext uri="{63B3BB69-23CF-44E3-9099-C40C66FF867C}">
                  <a14:compatExt spid="_x0000_s189526"/>
                </a:ext>
                <a:ext uri="{FF2B5EF4-FFF2-40B4-BE49-F238E27FC236}">
                  <a16:creationId xmlns:a16="http://schemas.microsoft.com/office/drawing/2014/main" id="{00000000-0008-0000-4100-000056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641</xdr:row>
      <xdr:rowOff>114300</xdr:rowOff>
    </xdr:from>
    <xdr:to>
      <xdr:col>15</xdr:col>
      <xdr:colOff>3048000</xdr:colOff>
      <xdr:row>645</xdr:row>
      <xdr:rowOff>438150</xdr:rowOff>
    </xdr:to>
    <xdr:sp macro="" textlink="">
      <xdr:nvSpPr>
        <xdr:cNvPr id="106" name="角丸四角形 2">
          <a:extLst>
            <a:ext uri="{FF2B5EF4-FFF2-40B4-BE49-F238E27FC236}">
              <a16:creationId xmlns:a16="http://schemas.microsoft.com/office/drawing/2014/main" id="{00000000-0008-0000-4100-00006A000000}"/>
            </a:ext>
          </a:extLst>
        </xdr:cNvPr>
        <xdr:cNvSpPr/>
      </xdr:nvSpPr>
      <xdr:spPr>
        <a:xfrm>
          <a:off x="6884671" y="502081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643</xdr:row>
          <xdr:rowOff>228600</xdr:rowOff>
        </xdr:from>
        <xdr:to>
          <xdr:col>15</xdr:col>
          <xdr:colOff>2600325</xdr:colOff>
          <xdr:row>645</xdr:row>
          <xdr:rowOff>57150</xdr:rowOff>
        </xdr:to>
        <xdr:sp macro="" textlink="">
          <xdr:nvSpPr>
            <xdr:cNvPr id="189527" name="Option Button 2記入する" hidden="1">
              <a:extLst>
                <a:ext uri="{63B3BB69-23CF-44E3-9099-C40C66FF867C}">
                  <a14:compatExt spid="_x0000_s189527"/>
                </a:ext>
                <a:ext uri="{FF2B5EF4-FFF2-40B4-BE49-F238E27FC236}">
                  <a16:creationId xmlns:a16="http://schemas.microsoft.com/office/drawing/2014/main" id="{00000000-0008-0000-4100-00005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645</xdr:row>
          <xdr:rowOff>114300</xdr:rowOff>
        </xdr:from>
        <xdr:to>
          <xdr:col>15</xdr:col>
          <xdr:colOff>1914525</xdr:colOff>
          <xdr:row>645</xdr:row>
          <xdr:rowOff>381000</xdr:rowOff>
        </xdr:to>
        <xdr:sp macro="" textlink="">
          <xdr:nvSpPr>
            <xdr:cNvPr id="189528" name="Option Button 2記入しない" hidden="1">
              <a:extLst>
                <a:ext uri="{63B3BB69-23CF-44E3-9099-C40C66FF867C}">
                  <a14:compatExt spid="_x0000_s189528"/>
                </a:ext>
                <a:ext uri="{FF2B5EF4-FFF2-40B4-BE49-F238E27FC236}">
                  <a16:creationId xmlns:a16="http://schemas.microsoft.com/office/drawing/2014/main" id="{00000000-0008-0000-4100-00005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643</xdr:row>
          <xdr:rowOff>133350</xdr:rowOff>
        </xdr:from>
        <xdr:to>
          <xdr:col>15</xdr:col>
          <xdr:colOff>2828925</xdr:colOff>
          <xdr:row>645</xdr:row>
          <xdr:rowOff>390525</xdr:rowOff>
        </xdr:to>
        <xdr:sp macro="" textlink="">
          <xdr:nvSpPr>
            <xdr:cNvPr id="189529" name="Group Box 2" hidden="1">
              <a:extLst>
                <a:ext uri="{63B3BB69-23CF-44E3-9099-C40C66FF867C}">
                  <a14:compatExt spid="_x0000_s189529"/>
                </a:ext>
                <a:ext uri="{FF2B5EF4-FFF2-40B4-BE49-F238E27FC236}">
                  <a16:creationId xmlns:a16="http://schemas.microsoft.com/office/drawing/2014/main" id="{00000000-0008-0000-4100-000059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666</xdr:row>
      <xdr:rowOff>114300</xdr:rowOff>
    </xdr:from>
    <xdr:to>
      <xdr:col>15</xdr:col>
      <xdr:colOff>3048000</xdr:colOff>
      <xdr:row>670</xdr:row>
      <xdr:rowOff>438150</xdr:rowOff>
    </xdr:to>
    <xdr:sp macro="" textlink="">
      <xdr:nvSpPr>
        <xdr:cNvPr id="110" name="角丸四角形 2">
          <a:extLst>
            <a:ext uri="{FF2B5EF4-FFF2-40B4-BE49-F238E27FC236}">
              <a16:creationId xmlns:a16="http://schemas.microsoft.com/office/drawing/2014/main" id="{00000000-0008-0000-4100-00006E000000}"/>
            </a:ext>
          </a:extLst>
        </xdr:cNvPr>
        <xdr:cNvSpPr/>
      </xdr:nvSpPr>
      <xdr:spPr>
        <a:xfrm>
          <a:off x="6884671" y="59047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668</xdr:row>
          <xdr:rowOff>228600</xdr:rowOff>
        </xdr:from>
        <xdr:to>
          <xdr:col>15</xdr:col>
          <xdr:colOff>2600325</xdr:colOff>
          <xdr:row>670</xdr:row>
          <xdr:rowOff>57150</xdr:rowOff>
        </xdr:to>
        <xdr:sp macro="" textlink="">
          <xdr:nvSpPr>
            <xdr:cNvPr id="189530" name="Option Button 2記入する" hidden="1">
              <a:extLst>
                <a:ext uri="{63B3BB69-23CF-44E3-9099-C40C66FF867C}">
                  <a14:compatExt spid="_x0000_s189530"/>
                </a:ext>
                <a:ext uri="{FF2B5EF4-FFF2-40B4-BE49-F238E27FC236}">
                  <a16:creationId xmlns:a16="http://schemas.microsoft.com/office/drawing/2014/main" id="{00000000-0008-0000-4100-00005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670</xdr:row>
          <xdr:rowOff>114300</xdr:rowOff>
        </xdr:from>
        <xdr:to>
          <xdr:col>15</xdr:col>
          <xdr:colOff>1914525</xdr:colOff>
          <xdr:row>670</xdr:row>
          <xdr:rowOff>381000</xdr:rowOff>
        </xdr:to>
        <xdr:sp macro="" textlink="">
          <xdr:nvSpPr>
            <xdr:cNvPr id="189531" name="Option Button 2記入しない" hidden="1">
              <a:extLst>
                <a:ext uri="{63B3BB69-23CF-44E3-9099-C40C66FF867C}">
                  <a14:compatExt spid="_x0000_s189531"/>
                </a:ext>
                <a:ext uri="{FF2B5EF4-FFF2-40B4-BE49-F238E27FC236}">
                  <a16:creationId xmlns:a16="http://schemas.microsoft.com/office/drawing/2014/main" id="{00000000-0008-0000-4100-00005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668</xdr:row>
          <xdr:rowOff>133350</xdr:rowOff>
        </xdr:from>
        <xdr:to>
          <xdr:col>15</xdr:col>
          <xdr:colOff>2828925</xdr:colOff>
          <xdr:row>670</xdr:row>
          <xdr:rowOff>390525</xdr:rowOff>
        </xdr:to>
        <xdr:sp macro="" textlink="">
          <xdr:nvSpPr>
            <xdr:cNvPr id="189532" name="Group Box 2" hidden="1">
              <a:extLst>
                <a:ext uri="{63B3BB69-23CF-44E3-9099-C40C66FF867C}">
                  <a14:compatExt spid="_x0000_s189532"/>
                </a:ext>
                <a:ext uri="{FF2B5EF4-FFF2-40B4-BE49-F238E27FC236}">
                  <a16:creationId xmlns:a16="http://schemas.microsoft.com/office/drawing/2014/main" id="{00000000-0008-0000-4100-00005C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691</xdr:row>
      <xdr:rowOff>114300</xdr:rowOff>
    </xdr:from>
    <xdr:to>
      <xdr:col>15</xdr:col>
      <xdr:colOff>3048000</xdr:colOff>
      <xdr:row>695</xdr:row>
      <xdr:rowOff>438150</xdr:rowOff>
    </xdr:to>
    <xdr:sp macro="" textlink="">
      <xdr:nvSpPr>
        <xdr:cNvPr id="114" name="角丸四角形 2">
          <a:extLst>
            <a:ext uri="{FF2B5EF4-FFF2-40B4-BE49-F238E27FC236}">
              <a16:creationId xmlns:a16="http://schemas.microsoft.com/office/drawing/2014/main" id="{00000000-0008-0000-4100-000072000000}"/>
            </a:ext>
          </a:extLst>
        </xdr:cNvPr>
        <xdr:cNvSpPr/>
      </xdr:nvSpPr>
      <xdr:spPr>
        <a:xfrm>
          <a:off x="6884671" y="678865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693</xdr:row>
          <xdr:rowOff>228600</xdr:rowOff>
        </xdr:from>
        <xdr:to>
          <xdr:col>15</xdr:col>
          <xdr:colOff>2600325</xdr:colOff>
          <xdr:row>695</xdr:row>
          <xdr:rowOff>57150</xdr:rowOff>
        </xdr:to>
        <xdr:sp macro="" textlink="">
          <xdr:nvSpPr>
            <xdr:cNvPr id="189533" name="Option Button 2記入する" hidden="1">
              <a:extLst>
                <a:ext uri="{63B3BB69-23CF-44E3-9099-C40C66FF867C}">
                  <a14:compatExt spid="_x0000_s189533"/>
                </a:ext>
                <a:ext uri="{FF2B5EF4-FFF2-40B4-BE49-F238E27FC236}">
                  <a16:creationId xmlns:a16="http://schemas.microsoft.com/office/drawing/2014/main" id="{00000000-0008-0000-4100-00005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695</xdr:row>
          <xdr:rowOff>114300</xdr:rowOff>
        </xdr:from>
        <xdr:to>
          <xdr:col>15</xdr:col>
          <xdr:colOff>1914525</xdr:colOff>
          <xdr:row>695</xdr:row>
          <xdr:rowOff>381000</xdr:rowOff>
        </xdr:to>
        <xdr:sp macro="" textlink="">
          <xdr:nvSpPr>
            <xdr:cNvPr id="189534" name="Option Button 2記入しない" hidden="1">
              <a:extLst>
                <a:ext uri="{63B3BB69-23CF-44E3-9099-C40C66FF867C}">
                  <a14:compatExt spid="_x0000_s189534"/>
                </a:ext>
                <a:ext uri="{FF2B5EF4-FFF2-40B4-BE49-F238E27FC236}">
                  <a16:creationId xmlns:a16="http://schemas.microsoft.com/office/drawing/2014/main" id="{00000000-0008-0000-4100-00005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693</xdr:row>
          <xdr:rowOff>133350</xdr:rowOff>
        </xdr:from>
        <xdr:to>
          <xdr:col>15</xdr:col>
          <xdr:colOff>2828925</xdr:colOff>
          <xdr:row>695</xdr:row>
          <xdr:rowOff>390525</xdr:rowOff>
        </xdr:to>
        <xdr:sp macro="" textlink="">
          <xdr:nvSpPr>
            <xdr:cNvPr id="189535" name="Group Box 2" hidden="1">
              <a:extLst>
                <a:ext uri="{63B3BB69-23CF-44E3-9099-C40C66FF867C}">
                  <a14:compatExt spid="_x0000_s189535"/>
                </a:ext>
                <a:ext uri="{FF2B5EF4-FFF2-40B4-BE49-F238E27FC236}">
                  <a16:creationId xmlns:a16="http://schemas.microsoft.com/office/drawing/2014/main" id="{00000000-0008-0000-4100-00005F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716</xdr:row>
      <xdr:rowOff>114300</xdr:rowOff>
    </xdr:from>
    <xdr:to>
      <xdr:col>15</xdr:col>
      <xdr:colOff>3048000</xdr:colOff>
      <xdr:row>720</xdr:row>
      <xdr:rowOff>438150</xdr:rowOff>
    </xdr:to>
    <xdr:sp macro="" textlink="">
      <xdr:nvSpPr>
        <xdr:cNvPr id="118" name="角丸四角形 2">
          <a:extLst>
            <a:ext uri="{FF2B5EF4-FFF2-40B4-BE49-F238E27FC236}">
              <a16:creationId xmlns:a16="http://schemas.microsoft.com/office/drawing/2014/main" id="{00000000-0008-0000-4100-000076000000}"/>
            </a:ext>
          </a:extLst>
        </xdr:cNvPr>
        <xdr:cNvSpPr/>
      </xdr:nvSpPr>
      <xdr:spPr>
        <a:xfrm>
          <a:off x="6884671" y="767257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718</xdr:row>
          <xdr:rowOff>228600</xdr:rowOff>
        </xdr:from>
        <xdr:to>
          <xdr:col>15</xdr:col>
          <xdr:colOff>2600325</xdr:colOff>
          <xdr:row>720</xdr:row>
          <xdr:rowOff>57150</xdr:rowOff>
        </xdr:to>
        <xdr:sp macro="" textlink="">
          <xdr:nvSpPr>
            <xdr:cNvPr id="189536" name="Option Button 2記入する" hidden="1">
              <a:extLst>
                <a:ext uri="{63B3BB69-23CF-44E3-9099-C40C66FF867C}">
                  <a14:compatExt spid="_x0000_s189536"/>
                </a:ext>
                <a:ext uri="{FF2B5EF4-FFF2-40B4-BE49-F238E27FC236}">
                  <a16:creationId xmlns:a16="http://schemas.microsoft.com/office/drawing/2014/main" id="{00000000-0008-0000-4100-000060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720</xdr:row>
          <xdr:rowOff>114300</xdr:rowOff>
        </xdr:from>
        <xdr:to>
          <xdr:col>15</xdr:col>
          <xdr:colOff>1914525</xdr:colOff>
          <xdr:row>720</xdr:row>
          <xdr:rowOff>381000</xdr:rowOff>
        </xdr:to>
        <xdr:sp macro="" textlink="">
          <xdr:nvSpPr>
            <xdr:cNvPr id="189537" name="Option Button 2記入しない" hidden="1">
              <a:extLst>
                <a:ext uri="{63B3BB69-23CF-44E3-9099-C40C66FF867C}">
                  <a14:compatExt spid="_x0000_s189537"/>
                </a:ext>
                <a:ext uri="{FF2B5EF4-FFF2-40B4-BE49-F238E27FC236}">
                  <a16:creationId xmlns:a16="http://schemas.microsoft.com/office/drawing/2014/main" id="{00000000-0008-0000-4100-00006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718</xdr:row>
          <xdr:rowOff>133350</xdr:rowOff>
        </xdr:from>
        <xdr:to>
          <xdr:col>15</xdr:col>
          <xdr:colOff>2828925</xdr:colOff>
          <xdr:row>720</xdr:row>
          <xdr:rowOff>390525</xdr:rowOff>
        </xdr:to>
        <xdr:sp macro="" textlink="">
          <xdr:nvSpPr>
            <xdr:cNvPr id="189538" name="Group Box 2" hidden="1">
              <a:extLst>
                <a:ext uri="{63B3BB69-23CF-44E3-9099-C40C66FF867C}">
                  <a14:compatExt spid="_x0000_s189538"/>
                </a:ext>
                <a:ext uri="{FF2B5EF4-FFF2-40B4-BE49-F238E27FC236}">
                  <a16:creationId xmlns:a16="http://schemas.microsoft.com/office/drawing/2014/main" id="{00000000-0008-0000-4100-000062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741</xdr:row>
      <xdr:rowOff>114300</xdr:rowOff>
    </xdr:from>
    <xdr:to>
      <xdr:col>15</xdr:col>
      <xdr:colOff>3048000</xdr:colOff>
      <xdr:row>745</xdr:row>
      <xdr:rowOff>438150</xdr:rowOff>
    </xdr:to>
    <xdr:sp macro="" textlink="">
      <xdr:nvSpPr>
        <xdr:cNvPr id="122" name="角丸四角形 2">
          <a:extLst>
            <a:ext uri="{FF2B5EF4-FFF2-40B4-BE49-F238E27FC236}">
              <a16:creationId xmlns:a16="http://schemas.microsoft.com/office/drawing/2014/main" id="{00000000-0008-0000-4100-00007A000000}"/>
            </a:ext>
          </a:extLst>
        </xdr:cNvPr>
        <xdr:cNvSpPr/>
      </xdr:nvSpPr>
      <xdr:spPr>
        <a:xfrm>
          <a:off x="6884671" y="855649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743</xdr:row>
          <xdr:rowOff>228600</xdr:rowOff>
        </xdr:from>
        <xdr:to>
          <xdr:col>15</xdr:col>
          <xdr:colOff>2600325</xdr:colOff>
          <xdr:row>745</xdr:row>
          <xdr:rowOff>57150</xdr:rowOff>
        </xdr:to>
        <xdr:sp macro="" textlink="">
          <xdr:nvSpPr>
            <xdr:cNvPr id="189539" name="Option Button 2記入する" hidden="1">
              <a:extLst>
                <a:ext uri="{63B3BB69-23CF-44E3-9099-C40C66FF867C}">
                  <a14:compatExt spid="_x0000_s189539"/>
                </a:ext>
                <a:ext uri="{FF2B5EF4-FFF2-40B4-BE49-F238E27FC236}">
                  <a16:creationId xmlns:a16="http://schemas.microsoft.com/office/drawing/2014/main" id="{00000000-0008-0000-4100-00006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745</xdr:row>
          <xdr:rowOff>114300</xdr:rowOff>
        </xdr:from>
        <xdr:to>
          <xdr:col>15</xdr:col>
          <xdr:colOff>1914525</xdr:colOff>
          <xdr:row>745</xdr:row>
          <xdr:rowOff>381000</xdr:rowOff>
        </xdr:to>
        <xdr:sp macro="" textlink="">
          <xdr:nvSpPr>
            <xdr:cNvPr id="189540" name="Option Button 2記入しない" hidden="1">
              <a:extLst>
                <a:ext uri="{63B3BB69-23CF-44E3-9099-C40C66FF867C}">
                  <a14:compatExt spid="_x0000_s189540"/>
                </a:ext>
                <a:ext uri="{FF2B5EF4-FFF2-40B4-BE49-F238E27FC236}">
                  <a16:creationId xmlns:a16="http://schemas.microsoft.com/office/drawing/2014/main" id="{00000000-0008-0000-4100-00006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743</xdr:row>
          <xdr:rowOff>133350</xdr:rowOff>
        </xdr:from>
        <xdr:to>
          <xdr:col>15</xdr:col>
          <xdr:colOff>2828925</xdr:colOff>
          <xdr:row>745</xdr:row>
          <xdr:rowOff>390525</xdr:rowOff>
        </xdr:to>
        <xdr:sp macro="" textlink="">
          <xdr:nvSpPr>
            <xdr:cNvPr id="189541" name="Group Box 2" hidden="1">
              <a:extLst>
                <a:ext uri="{63B3BB69-23CF-44E3-9099-C40C66FF867C}">
                  <a14:compatExt spid="_x0000_s189541"/>
                </a:ext>
                <a:ext uri="{FF2B5EF4-FFF2-40B4-BE49-F238E27FC236}">
                  <a16:creationId xmlns:a16="http://schemas.microsoft.com/office/drawing/2014/main" id="{00000000-0008-0000-4100-000065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766</xdr:row>
      <xdr:rowOff>114300</xdr:rowOff>
    </xdr:from>
    <xdr:to>
      <xdr:col>15</xdr:col>
      <xdr:colOff>3048000</xdr:colOff>
      <xdr:row>770</xdr:row>
      <xdr:rowOff>438150</xdr:rowOff>
    </xdr:to>
    <xdr:sp macro="" textlink="">
      <xdr:nvSpPr>
        <xdr:cNvPr id="126" name="角丸四角形 2">
          <a:extLst>
            <a:ext uri="{FF2B5EF4-FFF2-40B4-BE49-F238E27FC236}">
              <a16:creationId xmlns:a16="http://schemas.microsoft.com/office/drawing/2014/main" id="{00000000-0008-0000-4100-00007E000000}"/>
            </a:ext>
          </a:extLst>
        </xdr:cNvPr>
        <xdr:cNvSpPr/>
      </xdr:nvSpPr>
      <xdr:spPr>
        <a:xfrm>
          <a:off x="6884671" y="944041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768</xdr:row>
          <xdr:rowOff>228600</xdr:rowOff>
        </xdr:from>
        <xdr:to>
          <xdr:col>15</xdr:col>
          <xdr:colOff>2600325</xdr:colOff>
          <xdr:row>770</xdr:row>
          <xdr:rowOff>57150</xdr:rowOff>
        </xdr:to>
        <xdr:sp macro="" textlink="">
          <xdr:nvSpPr>
            <xdr:cNvPr id="189542" name="Option Button 2記入する" hidden="1">
              <a:extLst>
                <a:ext uri="{63B3BB69-23CF-44E3-9099-C40C66FF867C}">
                  <a14:compatExt spid="_x0000_s189542"/>
                </a:ext>
                <a:ext uri="{FF2B5EF4-FFF2-40B4-BE49-F238E27FC236}">
                  <a16:creationId xmlns:a16="http://schemas.microsoft.com/office/drawing/2014/main" id="{00000000-0008-0000-4100-00006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770</xdr:row>
          <xdr:rowOff>114300</xdr:rowOff>
        </xdr:from>
        <xdr:to>
          <xdr:col>15</xdr:col>
          <xdr:colOff>1914525</xdr:colOff>
          <xdr:row>770</xdr:row>
          <xdr:rowOff>381000</xdr:rowOff>
        </xdr:to>
        <xdr:sp macro="" textlink="">
          <xdr:nvSpPr>
            <xdr:cNvPr id="189543" name="Option Button 2記入しない" hidden="1">
              <a:extLst>
                <a:ext uri="{63B3BB69-23CF-44E3-9099-C40C66FF867C}">
                  <a14:compatExt spid="_x0000_s189543"/>
                </a:ext>
                <a:ext uri="{FF2B5EF4-FFF2-40B4-BE49-F238E27FC236}">
                  <a16:creationId xmlns:a16="http://schemas.microsoft.com/office/drawing/2014/main" id="{00000000-0008-0000-4100-00006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768</xdr:row>
          <xdr:rowOff>133350</xdr:rowOff>
        </xdr:from>
        <xdr:to>
          <xdr:col>15</xdr:col>
          <xdr:colOff>2828925</xdr:colOff>
          <xdr:row>770</xdr:row>
          <xdr:rowOff>390525</xdr:rowOff>
        </xdr:to>
        <xdr:sp macro="" textlink="">
          <xdr:nvSpPr>
            <xdr:cNvPr id="189544" name="Group Box 2" hidden="1">
              <a:extLst>
                <a:ext uri="{63B3BB69-23CF-44E3-9099-C40C66FF867C}">
                  <a14:compatExt spid="_x0000_s189544"/>
                </a:ext>
                <a:ext uri="{FF2B5EF4-FFF2-40B4-BE49-F238E27FC236}">
                  <a16:creationId xmlns:a16="http://schemas.microsoft.com/office/drawing/2014/main" id="{00000000-0008-0000-4100-000068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791</xdr:row>
      <xdr:rowOff>114300</xdr:rowOff>
    </xdr:from>
    <xdr:to>
      <xdr:col>15</xdr:col>
      <xdr:colOff>3048000</xdr:colOff>
      <xdr:row>795</xdr:row>
      <xdr:rowOff>438150</xdr:rowOff>
    </xdr:to>
    <xdr:sp macro="" textlink="">
      <xdr:nvSpPr>
        <xdr:cNvPr id="130" name="角丸四角形 2">
          <a:extLst>
            <a:ext uri="{FF2B5EF4-FFF2-40B4-BE49-F238E27FC236}">
              <a16:creationId xmlns:a16="http://schemas.microsoft.com/office/drawing/2014/main" id="{00000000-0008-0000-4100-000082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793</xdr:row>
          <xdr:rowOff>228600</xdr:rowOff>
        </xdr:from>
        <xdr:to>
          <xdr:col>15</xdr:col>
          <xdr:colOff>2600325</xdr:colOff>
          <xdr:row>795</xdr:row>
          <xdr:rowOff>57150</xdr:rowOff>
        </xdr:to>
        <xdr:sp macro="" textlink="">
          <xdr:nvSpPr>
            <xdr:cNvPr id="189545" name="Option Button 2記入する" hidden="1">
              <a:extLst>
                <a:ext uri="{63B3BB69-23CF-44E3-9099-C40C66FF867C}">
                  <a14:compatExt spid="_x0000_s189545"/>
                </a:ext>
                <a:ext uri="{FF2B5EF4-FFF2-40B4-BE49-F238E27FC236}">
                  <a16:creationId xmlns:a16="http://schemas.microsoft.com/office/drawing/2014/main" id="{00000000-0008-0000-4100-00006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795</xdr:row>
          <xdr:rowOff>114300</xdr:rowOff>
        </xdr:from>
        <xdr:to>
          <xdr:col>15</xdr:col>
          <xdr:colOff>1914525</xdr:colOff>
          <xdr:row>795</xdr:row>
          <xdr:rowOff>381000</xdr:rowOff>
        </xdr:to>
        <xdr:sp macro="" textlink="">
          <xdr:nvSpPr>
            <xdr:cNvPr id="189546" name="Option Button 2記入しない" hidden="1">
              <a:extLst>
                <a:ext uri="{63B3BB69-23CF-44E3-9099-C40C66FF867C}">
                  <a14:compatExt spid="_x0000_s189546"/>
                </a:ext>
                <a:ext uri="{FF2B5EF4-FFF2-40B4-BE49-F238E27FC236}">
                  <a16:creationId xmlns:a16="http://schemas.microsoft.com/office/drawing/2014/main" id="{00000000-0008-0000-4100-00006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793</xdr:row>
          <xdr:rowOff>133350</xdr:rowOff>
        </xdr:from>
        <xdr:to>
          <xdr:col>15</xdr:col>
          <xdr:colOff>2828925</xdr:colOff>
          <xdr:row>795</xdr:row>
          <xdr:rowOff>390525</xdr:rowOff>
        </xdr:to>
        <xdr:sp macro="" textlink="">
          <xdr:nvSpPr>
            <xdr:cNvPr id="189547" name="Group Box 2" hidden="1">
              <a:extLst>
                <a:ext uri="{63B3BB69-23CF-44E3-9099-C40C66FF867C}">
                  <a14:compatExt spid="_x0000_s189547"/>
                </a:ext>
                <a:ext uri="{FF2B5EF4-FFF2-40B4-BE49-F238E27FC236}">
                  <a16:creationId xmlns:a16="http://schemas.microsoft.com/office/drawing/2014/main" id="{00000000-0008-0000-4100-00006B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816</xdr:row>
      <xdr:rowOff>114300</xdr:rowOff>
    </xdr:from>
    <xdr:to>
      <xdr:col>15</xdr:col>
      <xdr:colOff>3048000</xdr:colOff>
      <xdr:row>820</xdr:row>
      <xdr:rowOff>438150</xdr:rowOff>
    </xdr:to>
    <xdr:sp macro="" textlink="">
      <xdr:nvSpPr>
        <xdr:cNvPr id="134" name="角丸四角形 2">
          <a:extLst>
            <a:ext uri="{FF2B5EF4-FFF2-40B4-BE49-F238E27FC236}">
              <a16:creationId xmlns:a16="http://schemas.microsoft.com/office/drawing/2014/main" id="{00000000-0008-0000-4100-000086000000}"/>
            </a:ext>
          </a:extLst>
        </xdr:cNvPr>
        <xdr:cNvSpPr/>
      </xdr:nvSpPr>
      <xdr:spPr>
        <a:xfrm>
          <a:off x="6884671" y="236905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818</xdr:row>
          <xdr:rowOff>228600</xdr:rowOff>
        </xdr:from>
        <xdr:to>
          <xdr:col>15</xdr:col>
          <xdr:colOff>2600325</xdr:colOff>
          <xdr:row>820</xdr:row>
          <xdr:rowOff>57150</xdr:rowOff>
        </xdr:to>
        <xdr:sp macro="" textlink="">
          <xdr:nvSpPr>
            <xdr:cNvPr id="189548" name="Option Button 2記入する" hidden="1">
              <a:extLst>
                <a:ext uri="{63B3BB69-23CF-44E3-9099-C40C66FF867C}">
                  <a14:compatExt spid="_x0000_s189548"/>
                </a:ext>
                <a:ext uri="{FF2B5EF4-FFF2-40B4-BE49-F238E27FC236}">
                  <a16:creationId xmlns:a16="http://schemas.microsoft.com/office/drawing/2014/main" id="{00000000-0008-0000-4100-00006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820</xdr:row>
          <xdr:rowOff>114300</xdr:rowOff>
        </xdr:from>
        <xdr:to>
          <xdr:col>15</xdr:col>
          <xdr:colOff>1914525</xdr:colOff>
          <xdr:row>820</xdr:row>
          <xdr:rowOff>381000</xdr:rowOff>
        </xdr:to>
        <xdr:sp macro="" textlink="">
          <xdr:nvSpPr>
            <xdr:cNvPr id="189549" name="Option Button 2記入しない" hidden="1">
              <a:extLst>
                <a:ext uri="{63B3BB69-23CF-44E3-9099-C40C66FF867C}">
                  <a14:compatExt spid="_x0000_s189549"/>
                </a:ext>
                <a:ext uri="{FF2B5EF4-FFF2-40B4-BE49-F238E27FC236}">
                  <a16:creationId xmlns:a16="http://schemas.microsoft.com/office/drawing/2014/main" id="{00000000-0008-0000-4100-00006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818</xdr:row>
          <xdr:rowOff>133350</xdr:rowOff>
        </xdr:from>
        <xdr:to>
          <xdr:col>15</xdr:col>
          <xdr:colOff>2828925</xdr:colOff>
          <xdr:row>820</xdr:row>
          <xdr:rowOff>390525</xdr:rowOff>
        </xdr:to>
        <xdr:sp macro="" textlink="">
          <xdr:nvSpPr>
            <xdr:cNvPr id="189550" name="Group Box 2" hidden="1">
              <a:extLst>
                <a:ext uri="{63B3BB69-23CF-44E3-9099-C40C66FF867C}">
                  <a14:compatExt spid="_x0000_s189550"/>
                </a:ext>
                <a:ext uri="{FF2B5EF4-FFF2-40B4-BE49-F238E27FC236}">
                  <a16:creationId xmlns:a16="http://schemas.microsoft.com/office/drawing/2014/main" id="{00000000-0008-0000-4100-00006E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841</xdr:row>
      <xdr:rowOff>114300</xdr:rowOff>
    </xdr:from>
    <xdr:to>
      <xdr:col>15</xdr:col>
      <xdr:colOff>3048000</xdr:colOff>
      <xdr:row>845</xdr:row>
      <xdr:rowOff>438150</xdr:rowOff>
    </xdr:to>
    <xdr:sp macro="" textlink="">
      <xdr:nvSpPr>
        <xdr:cNvPr id="138" name="角丸四角形 2">
          <a:extLst>
            <a:ext uri="{FF2B5EF4-FFF2-40B4-BE49-F238E27FC236}">
              <a16:creationId xmlns:a16="http://schemas.microsoft.com/office/drawing/2014/main" id="{00000000-0008-0000-4100-00008A000000}"/>
            </a:ext>
          </a:extLst>
        </xdr:cNvPr>
        <xdr:cNvSpPr/>
      </xdr:nvSpPr>
      <xdr:spPr>
        <a:xfrm>
          <a:off x="6884671" y="325297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843</xdr:row>
          <xdr:rowOff>228600</xdr:rowOff>
        </xdr:from>
        <xdr:to>
          <xdr:col>15</xdr:col>
          <xdr:colOff>2600325</xdr:colOff>
          <xdr:row>845</xdr:row>
          <xdr:rowOff>57150</xdr:rowOff>
        </xdr:to>
        <xdr:sp macro="" textlink="">
          <xdr:nvSpPr>
            <xdr:cNvPr id="189551" name="Option Button 2記入する" hidden="1">
              <a:extLst>
                <a:ext uri="{63B3BB69-23CF-44E3-9099-C40C66FF867C}">
                  <a14:compatExt spid="_x0000_s189551"/>
                </a:ext>
                <a:ext uri="{FF2B5EF4-FFF2-40B4-BE49-F238E27FC236}">
                  <a16:creationId xmlns:a16="http://schemas.microsoft.com/office/drawing/2014/main" id="{00000000-0008-0000-4100-00006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845</xdr:row>
          <xdr:rowOff>114300</xdr:rowOff>
        </xdr:from>
        <xdr:to>
          <xdr:col>15</xdr:col>
          <xdr:colOff>1914525</xdr:colOff>
          <xdr:row>845</xdr:row>
          <xdr:rowOff>381000</xdr:rowOff>
        </xdr:to>
        <xdr:sp macro="" textlink="">
          <xdr:nvSpPr>
            <xdr:cNvPr id="189552" name="Option Button 2記入しない" hidden="1">
              <a:extLst>
                <a:ext uri="{63B3BB69-23CF-44E3-9099-C40C66FF867C}">
                  <a14:compatExt spid="_x0000_s189552"/>
                </a:ext>
                <a:ext uri="{FF2B5EF4-FFF2-40B4-BE49-F238E27FC236}">
                  <a16:creationId xmlns:a16="http://schemas.microsoft.com/office/drawing/2014/main" id="{00000000-0008-0000-4100-000070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843</xdr:row>
          <xdr:rowOff>133350</xdr:rowOff>
        </xdr:from>
        <xdr:to>
          <xdr:col>15</xdr:col>
          <xdr:colOff>2828925</xdr:colOff>
          <xdr:row>845</xdr:row>
          <xdr:rowOff>390525</xdr:rowOff>
        </xdr:to>
        <xdr:sp macro="" textlink="">
          <xdr:nvSpPr>
            <xdr:cNvPr id="189553" name="Group Box 2" hidden="1">
              <a:extLst>
                <a:ext uri="{63B3BB69-23CF-44E3-9099-C40C66FF867C}">
                  <a14:compatExt spid="_x0000_s189553"/>
                </a:ext>
                <a:ext uri="{FF2B5EF4-FFF2-40B4-BE49-F238E27FC236}">
                  <a16:creationId xmlns:a16="http://schemas.microsoft.com/office/drawing/2014/main" id="{00000000-0008-0000-4100-000071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866</xdr:row>
      <xdr:rowOff>114300</xdr:rowOff>
    </xdr:from>
    <xdr:to>
      <xdr:col>15</xdr:col>
      <xdr:colOff>3048000</xdr:colOff>
      <xdr:row>870</xdr:row>
      <xdr:rowOff>438150</xdr:rowOff>
    </xdr:to>
    <xdr:sp macro="" textlink="">
      <xdr:nvSpPr>
        <xdr:cNvPr id="142" name="角丸四角形 2">
          <a:extLst>
            <a:ext uri="{FF2B5EF4-FFF2-40B4-BE49-F238E27FC236}">
              <a16:creationId xmlns:a16="http://schemas.microsoft.com/office/drawing/2014/main" id="{00000000-0008-0000-4100-00008E000000}"/>
            </a:ext>
          </a:extLst>
        </xdr:cNvPr>
        <xdr:cNvSpPr/>
      </xdr:nvSpPr>
      <xdr:spPr>
        <a:xfrm>
          <a:off x="6884671" y="413689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868</xdr:row>
          <xdr:rowOff>228600</xdr:rowOff>
        </xdr:from>
        <xdr:to>
          <xdr:col>15</xdr:col>
          <xdr:colOff>2600325</xdr:colOff>
          <xdr:row>870</xdr:row>
          <xdr:rowOff>57150</xdr:rowOff>
        </xdr:to>
        <xdr:sp macro="" textlink="">
          <xdr:nvSpPr>
            <xdr:cNvPr id="189554" name="Option Button 2記入する" hidden="1">
              <a:extLst>
                <a:ext uri="{63B3BB69-23CF-44E3-9099-C40C66FF867C}">
                  <a14:compatExt spid="_x0000_s189554"/>
                </a:ext>
                <a:ext uri="{FF2B5EF4-FFF2-40B4-BE49-F238E27FC236}">
                  <a16:creationId xmlns:a16="http://schemas.microsoft.com/office/drawing/2014/main" id="{00000000-0008-0000-4100-00007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870</xdr:row>
          <xdr:rowOff>114300</xdr:rowOff>
        </xdr:from>
        <xdr:to>
          <xdr:col>15</xdr:col>
          <xdr:colOff>1914525</xdr:colOff>
          <xdr:row>870</xdr:row>
          <xdr:rowOff>381000</xdr:rowOff>
        </xdr:to>
        <xdr:sp macro="" textlink="">
          <xdr:nvSpPr>
            <xdr:cNvPr id="189555" name="Option Button 2記入しない" hidden="1">
              <a:extLst>
                <a:ext uri="{63B3BB69-23CF-44E3-9099-C40C66FF867C}">
                  <a14:compatExt spid="_x0000_s189555"/>
                </a:ext>
                <a:ext uri="{FF2B5EF4-FFF2-40B4-BE49-F238E27FC236}">
                  <a16:creationId xmlns:a16="http://schemas.microsoft.com/office/drawing/2014/main" id="{00000000-0008-0000-4100-00007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868</xdr:row>
          <xdr:rowOff>133350</xdr:rowOff>
        </xdr:from>
        <xdr:to>
          <xdr:col>15</xdr:col>
          <xdr:colOff>2828925</xdr:colOff>
          <xdr:row>870</xdr:row>
          <xdr:rowOff>390525</xdr:rowOff>
        </xdr:to>
        <xdr:sp macro="" textlink="">
          <xdr:nvSpPr>
            <xdr:cNvPr id="189556" name="Group Box 2" hidden="1">
              <a:extLst>
                <a:ext uri="{63B3BB69-23CF-44E3-9099-C40C66FF867C}">
                  <a14:compatExt spid="_x0000_s189556"/>
                </a:ext>
                <a:ext uri="{FF2B5EF4-FFF2-40B4-BE49-F238E27FC236}">
                  <a16:creationId xmlns:a16="http://schemas.microsoft.com/office/drawing/2014/main" id="{00000000-0008-0000-4100-000074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891</xdr:row>
      <xdr:rowOff>114300</xdr:rowOff>
    </xdr:from>
    <xdr:to>
      <xdr:col>15</xdr:col>
      <xdr:colOff>3048000</xdr:colOff>
      <xdr:row>895</xdr:row>
      <xdr:rowOff>438150</xdr:rowOff>
    </xdr:to>
    <xdr:sp macro="" textlink="">
      <xdr:nvSpPr>
        <xdr:cNvPr id="146" name="角丸四角形 2">
          <a:extLst>
            <a:ext uri="{FF2B5EF4-FFF2-40B4-BE49-F238E27FC236}">
              <a16:creationId xmlns:a16="http://schemas.microsoft.com/office/drawing/2014/main" id="{00000000-0008-0000-4100-000092000000}"/>
            </a:ext>
          </a:extLst>
        </xdr:cNvPr>
        <xdr:cNvSpPr/>
      </xdr:nvSpPr>
      <xdr:spPr>
        <a:xfrm>
          <a:off x="6884671" y="502081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893</xdr:row>
          <xdr:rowOff>228600</xdr:rowOff>
        </xdr:from>
        <xdr:to>
          <xdr:col>15</xdr:col>
          <xdr:colOff>2600325</xdr:colOff>
          <xdr:row>895</xdr:row>
          <xdr:rowOff>57150</xdr:rowOff>
        </xdr:to>
        <xdr:sp macro="" textlink="">
          <xdr:nvSpPr>
            <xdr:cNvPr id="189557" name="Option Button 2記入する" hidden="1">
              <a:extLst>
                <a:ext uri="{63B3BB69-23CF-44E3-9099-C40C66FF867C}">
                  <a14:compatExt spid="_x0000_s189557"/>
                </a:ext>
                <a:ext uri="{FF2B5EF4-FFF2-40B4-BE49-F238E27FC236}">
                  <a16:creationId xmlns:a16="http://schemas.microsoft.com/office/drawing/2014/main" id="{00000000-0008-0000-4100-00007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895</xdr:row>
          <xdr:rowOff>114300</xdr:rowOff>
        </xdr:from>
        <xdr:to>
          <xdr:col>15</xdr:col>
          <xdr:colOff>1914525</xdr:colOff>
          <xdr:row>895</xdr:row>
          <xdr:rowOff>381000</xdr:rowOff>
        </xdr:to>
        <xdr:sp macro="" textlink="">
          <xdr:nvSpPr>
            <xdr:cNvPr id="189558" name="Option Button 2記入しない" hidden="1">
              <a:extLst>
                <a:ext uri="{63B3BB69-23CF-44E3-9099-C40C66FF867C}">
                  <a14:compatExt spid="_x0000_s189558"/>
                </a:ext>
                <a:ext uri="{FF2B5EF4-FFF2-40B4-BE49-F238E27FC236}">
                  <a16:creationId xmlns:a16="http://schemas.microsoft.com/office/drawing/2014/main" id="{00000000-0008-0000-4100-00007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893</xdr:row>
          <xdr:rowOff>133350</xdr:rowOff>
        </xdr:from>
        <xdr:to>
          <xdr:col>15</xdr:col>
          <xdr:colOff>2828925</xdr:colOff>
          <xdr:row>895</xdr:row>
          <xdr:rowOff>390525</xdr:rowOff>
        </xdr:to>
        <xdr:sp macro="" textlink="">
          <xdr:nvSpPr>
            <xdr:cNvPr id="189559" name="Group Box 2" hidden="1">
              <a:extLst>
                <a:ext uri="{63B3BB69-23CF-44E3-9099-C40C66FF867C}">
                  <a14:compatExt spid="_x0000_s189559"/>
                </a:ext>
                <a:ext uri="{FF2B5EF4-FFF2-40B4-BE49-F238E27FC236}">
                  <a16:creationId xmlns:a16="http://schemas.microsoft.com/office/drawing/2014/main" id="{00000000-0008-0000-4100-000077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916</xdr:row>
      <xdr:rowOff>114300</xdr:rowOff>
    </xdr:from>
    <xdr:to>
      <xdr:col>15</xdr:col>
      <xdr:colOff>3048000</xdr:colOff>
      <xdr:row>920</xdr:row>
      <xdr:rowOff>438150</xdr:rowOff>
    </xdr:to>
    <xdr:sp macro="" textlink="">
      <xdr:nvSpPr>
        <xdr:cNvPr id="150" name="角丸四角形 2">
          <a:extLst>
            <a:ext uri="{FF2B5EF4-FFF2-40B4-BE49-F238E27FC236}">
              <a16:creationId xmlns:a16="http://schemas.microsoft.com/office/drawing/2014/main" id="{00000000-0008-0000-4100-000096000000}"/>
            </a:ext>
          </a:extLst>
        </xdr:cNvPr>
        <xdr:cNvSpPr/>
      </xdr:nvSpPr>
      <xdr:spPr>
        <a:xfrm>
          <a:off x="6884671" y="59047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918</xdr:row>
          <xdr:rowOff>228600</xdr:rowOff>
        </xdr:from>
        <xdr:to>
          <xdr:col>15</xdr:col>
          <xdr:colOff>2600325</xdr:colOff>
          <xdr:row>920</xdr:row>
          <xdr:rowOff>57150</xdr:rowOff>
        </xdr:to>
        <xdr:sp macro="" textlink="">
          <xdr:nvSpPr>
            <xdr:cNvPr id="189560" name="Option Button 2記入する" hidden="1">
              <a:extLst>
                <a:ext uri="{63B3BB69-23CF-44E3-9099-C40C66FF867C}">
                  <a14:compatExt spid="_x0000_s189560"/>
                </a:ext>
                <a:ext uri="{FF2B5EF4-FFF2-40B4-BE49-F238E27FC236}">
                  <a16:creationId xmlns:a16="http://schemas.microsoft.com/office/drawing/2014/main" id="{00000000-0008-0000-4100-00007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920</xdr:row>
          <xdr:rowOff>114300</xdr:rowOff>
        </xdr:from>
        <xdr:to>
          <xdr:col>15</xdr:col>
          <xdr:colOff>1914525</xdr:colOff>
          <xdr:row>920</xdr:row>
          <xdr:rowOff>381000</xdr:rowOff>
        </xdr:to>
        <xdr:sp macro="" textlink="">
          <xdr:nvSpPr>
            <xdr:cNvPr id="189561" name="Option Button 2記入しない" hidden="1">
              <a:extLst>
                <a:ext uri="{63B3BB69-23CF-44E3-9099-C40C66FF867C}">
                  <a14:compatExt spid="_x0000_s189561"/>
                </a:ext>
                <a:ext uri="{FF2B5EF4-FFF2-40B4-BE49-F238E27FC236}">
                  <a16:creationId xmlns:a16="http://schemas.microsoft.com/office/drawing/2014/main" id="{00000000-0008-0000-4100-00007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918</xdr:row>
          <xdr:rowOff>133350</xdr:rowOff>
        </xdr:from>
        <xdr:to>
          <xdr:col>15</xdr:col>
          <xdr:colOff>2828925</xdr:colOff>
          <xdr:row>920</xdr:row>
          <xdr:rowOff>390525</xdr:rowOff>
        </xdr:to>
        <xdr:sp macro="" textlink="">
          <xdr:nvSpPr>
            <xdr:cNvPr id="189562" name="Group Box 2" hidden="1">
              <a:extLst>
                <a:ext uri="{63B3BB69-23CF-44E3-9099-C40C66FF867C}">
                  <a14:compatExt spid="_x0000_s189562"/>
                </a:ext>
                <a:ext uri="{FF2B5EF4-FFF2-40B4-BE49-F238E27FC236}">
                  <a16:creationId xmlns:a16="http://schemas.microsoft.com/office/drawing/2014/main" id="{00000000-0008-0000-4100-00007A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941</xdr:row>
      <xdr:rowOff>114300</xdr:rowOff>
    </xdr:from>
    <xdr:to>
      <xdr:col>15</xdr:col>
      <xdr:colOff>3048000</xdr:colOff>
      <xdr:row>945</xdr:row>
      <xdr:rowOff>438150</xdr:rowOff>
    </xdr:to>
    <xdr:sp macro="" textlink="">
      <xdr:nvSpPr>
        <xdr:cNvPr id="154" name="角丸四角形 2">
          <a:extLst>
            <a:ext uri="{FF2B5EF4-FFF2-40B4-BE49-F238E27FC236}">
              <a16:creationId xmlns:a16="http://schemas.microsoft.com/office/drawing/2014/main" id="{00000000-0008-0000-4100-00009A000000}"/>
            </a:ext>
          </a:extLst>
        </xdr:cNvPr>
        <xdr:cNvSpPr/>
      </xdr:nvSpPr>
      <xdr:spPr>
        <a:xfrm>
          <a:off x="6884671" y="678865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943</xdr:row>
          <xdr:rowOff>228600</xdr:rowOff>
        </xdr:from>
        <xdr:to>
          <xdr:col>15</xdr:col>
          <xdr:colOff>2600325</xdr:colOff>
          <xdr:row>945</xdr:row>
          <xdr:rowOff>57150</xdr:rowOff>
        </xdr:to>
        <xdr:sp macro="" textlink="">
          <xdr:nvSpPr>
            <xdr:cNvPr id="189563" name="Option Button 2記入する" hidden="1">
              <a:extLst>
                <a:ext uri="{63B3BB69-23CF-44E3-9099-C40C66FF867C}">
                  <a14:compatExt spid="_x0000_s189563"/>
                </a:ext>
                <a:ext uri="{FF2B5EF4-FFF2-40B4-BE49-F238E27FC236}">
                  <a16:creationId xmlns:a16="http://schemas.microsoft.com/office/drawing/2014/main" id="{00000000-0008-0000-4100-00007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945</xdr:row>
          <xdr:rowOff>114300</xdr:rowOff>
        </xdr:from>
        <xdr:to>
          <xdr:col>15</xdr:col>
          <xdr:colOff>1914525</xdr:colOff>
          <xdr:row>945</xdr:row>
          <xdr:rowOff>381000</xdr:rowOff>
        </xdr:to>
        <xdr:sp macro="" textlink="">
          <xdr:nvSpPr>
            <xdr:cNvPr id="189564" name="Option Button 2記入しない" hidden="1">
              <a:extLst>
                <a:ext uri="{63B3BB69-23CF-44E3-9099-C40C66FF867C}">
                  <a14:compatExt spid="_x0000_s189564"/>
                </a:ext>
                <a:ext uri="{FF2B5EF4-FFF2-40B4-BE49-F238E27FC236}">
                  <a16:creationId xmlns:a16="http://schemas.microsoft.com/office/drawing/2014/main" id="{00000000-0008-0000-4100-00007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943</xdr:row>
          <xdr:rowOff>133350</xdr:rowOff>
        </xdr:from>
        <xdr:to>
          <xdr:col>15</xdr:col>
          <xdr:colOff>2828925</xdr:colOff>
          <xdr:row>945</xdr:row>
          <xdr:rowOff>390525</xdr:rowOff>
        </xdr:to>
        <xdr:sp macro="" textlink="">
          <xdr:nvSpPr>
            <xdr:cNvPr id="189565" name="Group Box 2" hidden="1">
              <a:extLst>
                <a:ext uri="{63B3BB69-23CF-44E3-9099-C40C66FF867C}">
                  <a14:compatExt spid="_x0000_s189565"/>
                </a:ext>
                <a:ext uri="{FF2B5EF4-FFF2-40B4-BE49-F238E27FC236}">
                  <a16:creationId xmlns:a16="http://schemas.microsoft.com/office/drawing/2014/main" id="{00000000-0008-0000-4100-00007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966</xdr:row>
      <xdr:rowOff>114300</xdr:rowOff>
    </xdr:from>
    <xdr:to>
      <xdr:col>15</xdr:col>
      <xdr:colOff>3048000</xdr:colOff>
      <xdr:row>970</xdr:row>
      <xdr:rowOff>438150</xdr:rowOff>
    </xdr:to>
    <xdr:sp macro="" textlink="">
      <xdr:nvSpPr>
        <xdr:cNvPr id="158" name="角丸四角形 2">
          <a:extLst>
            <a:ext uri="{FF2B5EF4-FFF2-40B4-BE49-F238E27FC236}">
              <a16:creationId xmlns:a16="http://schemas.microsoft.com/office/drawing/2014/main" id="{00000000-0008-0000-4100-00009E000000}"/>
            </a:ext>
          </a:extLst>
        </xdr:cNvPr>
        <xdr:cNvSpPr/>
      </xdr:nvSpPr>
      <xdr:spPr>
        <a:xfrm>
          <a:off x="6884671" y="767257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968</xdr:row>
          <xdr:rowOff>228600</xdr:rowOff>
        </xdr:from>
        <xdr:to>
          <xdr:col>15</xdr:col>
          <xdr:colOff>2600325</xdr:colOff>
          <xdr:row>970</xdr:row>
          <xdr:rowOff>57150</xdr:rowOff>
        </xdr:to>
        <xdr:sp macro="" textlink="">
          <xdr:nvSpPr>
            <xdr:cNvPr id="189566" name="Option Button 2記入する" hidden="1">
              <a:extLst>
                <a:ext uri="{63B3BB69-23CF-44E3-9099-C40C66FF867C}">
                  <a14:compatExt spid="_x0000_s189566"/>
                </a:ext>
                <a:ext uri="{FF2B5EF4-FFF2-40B4-BE49-F238E27FC236}">
                  <a16:creationId xmlns:a16="http://schemas.microsoft.com/office/drawing/2014/main" id="{00000000-0008-0000-4100-00007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970</xdr:row>
          <xdr:rowOff>114300</xdr:rowOff>
        </xdr:from>
        <xdr:to>
          <xdr:col>15</xdr:col>
          <xdr:colOff>1914525</xdr:colOff>
          <xdr:row>970</xdr:row>
          <xdr:rowOff>381000</xdr:rowOff>
        </xdr:to>
        <xdr:sp macro="" textlink="">
          <xdr:nvSpPr>
            <xdr:cNvPr id="189567" name="Option Button 2記入しない" hidden="1">
              <a:extLst>
                <a:ext uri="{63B3BB69-23CF-44E3-9099-C40C66FF867C}">
                  <a14:compatExt spid="_x0000_s189567"/>
                </a:ext>
                <a:ext uri="{FF2B5EF4-FFF2-40B4-BE49-F238E27FC236}">
                  <a16:creationId xmlns:a16="http://schemas.microsoft.com/office/drawing/2014/main" id="{00000000-0008-0000-4100-00007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968</xdr:row>
          <xdr:rowOff>133350</xdr:rowOff>
        </xdr:from>
        <xdr:to>
          <xdr:col>15</xdr:col>
          <xdr:colOff>2828925</xdr:colOff>
          <xdr:row>970</xdr:row>
          <xdr:rowOff>390525</xdr:rowOff>
        </xdr:to>
        <xdr:sp macro="" textlink="">
          <xdr:nvSpPr>
            <xdr:cNvPr id="189568" name="Group Box 2" hidden="1">
              <a:extLst>
                <a:ext uri="{63B3BB69-23CF-44E3-9099-C40C66FF867C}">
                  <a14:compatExt spid="_x0000_s189568"/>
                </a:ext>
                <a:ext uri="{FF2B5EF4-FFF2-40B4-BE49-F238E27FC236}">
                  <a16:creationId xmlns:a16="http://schemas.microsoft.com/office/drawing/2014/main" id="{00000000-0008-0000-4100-000080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991</xdr:row>
      <xdr:rowOff>114300</xdr:rowOff>
    </xdr:from>
    <xdr:to>
      <xdr:col>15</xdr:col>
      <xdr:colOff>3048000</xdr:colOff>
      <xdr:row>995</xdr:row>
      <xdr:rowOff>438150</xdr:rowOff>
    </xdr:to>
    <xdr:sp macro="" textlink="">
      <xdr:nvSpPr>
        <xdr:cNvPr id="162" name="角丸四角形 2">
          <a:extLst>
            <a:ext uri="{FF2B5EF4-FFF2-40B4-BE49-F238E27FC236}">
              <a16:creationId xmlns:a16="http://schemas.microsoft.com/office/drawing/2014/main" id="{00000000-0008-0000-4100-0000A2000000}"/>
            </a:ext>
          </a:extLst>
        </xdr:cNvPr>
        <xdr:cNvSpPr/>
      </xdr:nvSpPr>
      <xdr:spPr>
        <a:xfrm>
          <a:off x="6884671" y="855649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993</xdr:row>
          <xdr:rowOff>228600</xdr:rowOff>
        </xdr:from>
        <xdr:to>
          <xdr:col>15</xdr:col>
          <xdr:colOff>2600325</xdr:colOff>
          <xdr:row>995</xdr:row>
          <xdr:rowOff>57150</xdr:rowOff>
        </xdr:to>
        <xdr:sp macro="" textlink="">
          <xdr:nvSpPr>
            <xdr:cNvPr id="189569" name="Option Button 2記入する" hidden="1">
              <a:extLst>
                <a:ext uri="{63B3BB69-23CF-44E3-9099-C40C66FF867C}">
                  <a14:compatExt spid="_x0000_s189569"/>
                </a:ext>
                <a:ext uri="{FF2B5EF4-FFF2-40B4-BE49-F238E27FC236}">
                  <a16:creationId xmlns:a16="http://schemas.microsoft.com/office/drawing/2014/main" id="{00000000-0008-0000-4100-00008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995</xdr:row>
          <xdr:rowOff>114300</xdr:rowOff>
        </xdr:from>
        <xdr:to>
          <xdr:col>15</xdr:col>
          <xdr:colOff>1914525</xdr:colOff>
          <xdr:row>995</xdr:row>
          <xdr:rowOff>381000</xdr:rowOff>
        </xdr:to>
        <xdr:sp macro="" textlink="">
          <xdr:nvSpPr>
            <xdr:cNvPr id="189570" name="Option Button 2記入しない" hidden="1">
              <a:extLst>
                <a:ext uri="{63B3BB69-23CF-44E3-9099-C40C66FF867C}">
                  <a14:compatExt spid="_x0000_s189570"/>
                </a:ext>
                <a:ext uri="{FF2B5EF4-FFF2-40B4-BE49-F238E27FC236}">
                  <a16:creationId xmlns:a16="http://schemas.microsoft.com/office/drawing/2014/main" id="{00000000-0008-0000-4100-00008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993</xdr:row>
          <xdr:rowOff>133350</xdr:rowOff>
        </xdr:from>
        <xdr:to>
          <xdr:col>15</xdr:col>
          <xdr:colOff>2828925</xdr:colOff>
          <xdr:row>995</xdr:row>
          <xdr:rowOff>390525</xdr:rowOff>
        </xdr:to>
        <xdr:sp macro="" textlink="">
          <xdr:nvSpPr>
            <xdr:cNvPr id="189571" name="Group Box 2" hidden="1">
              <a:extLst>
                <a:ext uri="{63B3BB69-23CF-44E3-9099-C40C66FF867C}">
                  <a14:compatExt spid="_x0000_s189571"/>
                </a:ext>
                <a:ext uri="{FF2B5EF4-FFF2-40B4-BE49-F238E27FC236}">
                  <a16:creationId xmlns:a16="http://schemas.microsoft.com/office/drawing/2014/main" id="{00000000-0008-0000-4100-000083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3156858</xdr:colOff>
      <xdr:row>16</xdr:row>
      <xdr:rowOff>301263</xdr:rowOff>
    </xdr:from>
    <xdr:to>
      <xdr:col>16</xdr:col>
      <xdr:colOff>4990</xdr:colOff>
      <xdr:row>17</xdr:row>
      <xdr:rowOff>115299</xdr:rowOff>
    </xdr:to>
    <xdr:sp macro="" textlink="">
      <xdr:nvSpPr>
        <xdr:cNvPr id="163" name="左矢印 162">
          <a:extLst>
            <a:ext uri="{FF2B5EF4-FFF2-40B4-BE49-F238E27FC236}">
              <a16:creationId xmlns:a16="http://schemas.microsoft.com/office/drawing/2014/main" id="{00000000-0008-0000-4100-0000A3000000}"/>
            </a:ext>
          </a:extLst>
        </xdr:cNvPr>
        <xdr:cNvSpPr/>
      </xdr:nvSpPr>
      <xdr:spPr>
        <a:xfrm>
          <a:off x="10232572" y="6370049"/>
          <a:ext cx="209097"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3357790</xdr:colOff>
      <xdr:row>16</xdr:row>
      <xdr:rowOff>78922</xdr:rowOff>
    </xdr:from>
    <xdr:to>
      <xdr:col>24</xdr:col>
      <xdr:colOff>698047</xdr:colOff>
      <xdr:row>18</xdr:row>
      <xdr:rowOff>89264</xdr:rowOff>
    </xdr:to>
    <xdr:sp macro="" textlink="">
      <xdr:nvSpPr>
        <xdr:cNvPr id="164" name="角丸四角形吹き出し 163">
          <a:extLst>
            <a:ext uri="{FF2B5EF4-FFF2-40B4-BE49-F238E27FC236}">
              <a16:creationId xmlns:a16="http://schemas.microsoft.com/office/drawing/2014/main" id="{00000000-0008-0000-4100-0000A4000000}"/>
            </a:ext>
          </a:extLst>
        </xdr:cNvPr>
        <xdr:cNvSpPr/>
      </xdr:nvSpPr>
      <xdr:spPr>
        <a:xfrm>
          <a:off x="10425340" y="6136822"/>
          <a:ext cx="7474857" cy="638992"/>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41</xdr:row>
      <xdr:rowOff>274049</xdr:rowOff>
    </xdr:from>
    <xdr:to>
      <xdr:col>16</xdr:col>
      <xdr:colOff>0</xdr:colOff>
      <xdr:row>42</xdr:row>
      <xdr:rowOff>88085</xdr:rowOff>
    </xdr:to>
    <xdr:sp macro="" textlink="">
      <xdr:nvSpPr>
        <xdr:cNvPr id="167" name="左矢印 166">
          <a:extLst>
            <a:ext uri="{FF2B5EF4-FFF2-40B4-BE49-F238E27FC236}">
              <a16:creationId xmlns:a16="http://schemas.microsoft.com/office/drawing/2014/main" id="{00000000-0008-0000-4100-0000A7000000}"/>
            </a:ext>
          </a:extLst>
        </xdr:cNvPr>
        <xdr:cNvSpPr/>
      </xdr:nvSpPr>
      <xdr:spPr>
        <a:xfrm>
          <a:off x="10232572" y="15105835"/>
          <a:ext cx="204107"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41</xdr:row>
      <xdr:rowOff>108858</xdr:rowOff>
    </xdr:from>
    <xdr:to>
      <xdr:col>24</xdr:col>
      <xdr:colOff>707572</xdr:colOff>
      <xdr:row>43</xdr:row>
      <xdr:rowOff>119200</xdr:rowOff>
    </xdr:to>
    <xdr:sp macro="" textlink="">
      <xdr:nvSpPr>
        <xdr:cNvPr id="168" name="角丸四角形吹き出し 167">
          <a:extLst>
            <a:ext uri="{FF2B5EF4-FFF2-40B4-BE49-F238E27FC236}">
              <a16:creationId xmlns:a16="http://schemas.microsoft.com/office/drawing/2014/main" id="{00000000-0008-0000-4100-0000A8000000}"/>
            </a:ext>
          </a:extLst>
        </xdr:cNvPr>
        <xdr:cNvSpPr/>
      </xdr:nvSpPr>
      <xdr:spPr>
        <a:xfrm>
          <a:off x="10436679" y="14940644"/>
          <a:ext cx="2939143" cy="63627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67</xdr:row>
      <xdr:rowOff>1907</xdr:rowOff>
    </xdr:from>
    <xdr:to>
      <xdr:col>16</xdr:col>
      <xdr:colOff>0</xdr:colOff>
      <xdr:row>67</xdr:row>
      <xdr:rowOff>128907</xdr:rowOff>
    </xdr:to>
    <xdr:sp macro="" textlink="">
      <xdr:nvSpPr>
        <xdr:cNvPr id="169" name="左矢印 168">
          <a:extLst>
            <a:ext uri="{FF2B5EF4-FFF2-40B4-BE49-F238E27FC236}">
              <a16:creationId xmlns:a16="http://schemas.microsoft.com/office/drawing/2014/main" id="{00000000-0008-0000-4100-0000A9000000}"/>
            </a:ext>
          </a:extLst>
        </xdr:cNvPr>
        <xdr:cNvSpPr/>
      </xdr:nvSpPr>
      <xdr:spPr>
        <a:xfrm>
          <a:off x="10232572" y="24032121"/>
          <a:ext cx="204107"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66</xdr:row>
      <xdr:rowOff>149680</xdr:rowOff>
    </xdr:from>
    <xdr:to>
      <xdr:col>24</xdr:col>
      <xdr:colOff>707572</xdr:colOff>
      <xdr:row>68</xdr:row>
      <xdr:rowOff>160021</xdr:rowOff>
    </xdr:to>
    <xdr:sp macro="" textlink="">
      <xdr:nvSpPr>
        <xdr:cNvPr id="170" name="角丸四角形吹き出し 169">
          <a:extLst>
            <a:ext uri="{FF2B5EF4-FFF2-40B4-BE49-F238E27FC236}">
              <a16:creationId xmlns:a16="http://schemas.microsoft.com/office/drawing/2014/main" id="{00000000-0008-0000-4100-0000AA000000}"/>
            </a:ext>
          </a:extLst>
        </xdr:cNvPr>
        <xdr:cNvSpPr/>
      </xdr:nvSpPr>
      <xdr:spPr>
        <a:xfrm>
          <a:off x="10436679" y="23866930"/>
          <a:ext cx="2939143" cy="63627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91</xdr:row>
      <xdr:rowOff>260443</xdr:rowOff>
    </xdr:from>
    <xdr:to>
      <xdr:col>16</xdr:col>
      <xdr:colOff>0</xdr:colOff>
      <xdr:row>92</xdr:row>
      <xdr:rowOff>74478</xdr:rowOff>
    </xdr:to>
    <xdr:sp macro="" textlink="">
      <xdr:nvSpPr>
        <xdr:cNvPr id="171" name="左矢印 170">
          <a:extLst>
            <a:ext uri="{FF2B5EF4-FFF2-40B4-BE49-F238E27FC236}">
              <a16:creationId xmlns:a16="http://schemas.microsoft.com/office/drawing/2014/main" id="{00000000-0008-0000-4100-0000AB000000}"/>
            </a:ext>
          </a:extLst>
        </xdr:cNvPr>
        <xdr:cNvSpPr/>
      </xdr:nvSpPr>
      <xdr:spPr>
        <a:xfrm>
          <a:off x="10232572" y="32863157"/>
          <a:ext cx="204107"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91</xdr:row>
      <xdr:rowOff>95252</xdr:rowOff>
    </xdr:from>
    <xdr:to>
      <xdr:col>24</xdr:col>
      <xdr:colOff>707572</xdr:colOff>
      <xdr:row>93</xdr:row>
      <xdr:rowOff>105593</xdr:rowOff>
    </xdr:to>
    <xdr:sp macro="" textlink="">
      <xdr:nvSpPr>
        <xdr:cNvPr id="172" name="角丸四角形吹き出し 171">
          <a:extLst>
            <a:ext uri="{FF2B5EF4-FFF2-40B4-BE49-F238E27FC236}">
              <a16:creationId xmlns:a16="http://schemas.microsoft.com/office/drawing/2014/main" id="{00000000-0008-0000-4100-0000AC000000}"/>
            </a:ext>
          </a:extLst>
        </xdr:cNvPr>
        <xdr:cNvSpPr/>
      </xdr:nvSpPr>
      <xdr:spPr>
        <a:xfrm>
          <a:off x="10436679" y="32697966"/>
          <a:ext cx="2939143" cy="63627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116</xdr:row>
      <xdr:rowOff>243125</xdr:rowOff>
    </xdr:from>
    <xdr:to>
      <xdr:col>16</xdr:col>
      <xdr:colOff>0</xdr:colOff>
      <xdr:row>117</xdr:row>
      <xdr:rowOff>57160</xdr:rowOff>
    </xdr:to>
    <xdr:sp macro="" textlink="">
      <xdr:nvSpPr>
        <xdr:cNvPr id="173" name="左矢印 172">
          <a:extLst>
            <a:ext uri="{FF2B5EF4-FFF2-40B4-BE49-F238E27FC236}">
              <a16:creationId xmlns:a16="http://schemas.microsoft.com/office/drawing/2014/main" id="{00000000-0008-0000-4100-0000AD000000}"/>
            </a:ext>
          </a:extLst>
        </xdr:cNvPr>
        <xdr:cNvSpPr/>
      </xdr:nvSpPr>
      <xdr:spPr>
        <a:xfrm>
          <a:off x="10257313" y="41668216"/>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116</xdr:row>
      <xdr:rowOff>77934</xdr:rowOff>
    </xdr:from>
    <xdr:to>
      <xdr:col>24</xdr:col>
      <xdr:colOff>707572</xdr:colOff>
      <xdr:row>118</xdr:row>
      <xdr:rowOff>88275</xdr:rowOff>
    </xdr:to>
    <xdr:sp macro="" textlink="">
      <xdr:nvSpPr>
        <xdr:cNvPr id="174" name="角丸四角形吹き出し 173">
          <a:extLst>
            <a:ext uri="{FF2B5EF4-FFF2-40B4-BE49-F238E27FC236}">
              <a16:creationId xmlns:a16="http://schemas.microsoft.com/office/drawing/2014/main" id="{00000000-0008-0000-4100-0000AE000000}"/>
            </a:ext>
          </a:extLst>
        </xdr:cNvPr>
        <xdr:cNvSpPr/>
      </xdr:nvSpPr>
      <xdr:spPr>
        <a:xfrm>
          <a:off x="10460182" y="41503025"/>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141</xdr:row>
      <xdr:rowOff>277762</xdr:rowOff>
    </xdr:from>
    <xdr:to>
      <xdr:col>16</xdr:col>
      <xdr:colOff>0</xdr:colOff>
      <xdr:row>142</xdr:row>
      <xdr:rowOff>91797</xdr:rowOff>
    </xdr:to>
    <xdr:sp macro="" textlink="">
      <xdr:nvSpPr>
        <xdr:cNvPr id="175" name="左矢印 174">
          <a:extLst>
            <a:ext uri="{FF2B5EF4-FFF2-40B4-BE49-F238E27FC236}">
              <a16:creationId xmlns:a16="http://schemas.microsoft.com/office/drawing/2014/main" id="{00000000-0008-0000-4100-0000AF000000}"/>
            </a:ext>
          </a:extLst>
        </xdr:cNvPr>
        <xdr:cNvSpPr/>
      </xdr:nvSpPr>
      <xdr:spPr>
        <a:xfrm>
          <a:off x="10257313" y="50569762"/>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141</xdr:row>
      <xdr:rowOff>112571</xdr:rowOff>
    </xdr:from>
    <xdr:to>
      <xdr:col>24</xdr:col>
      <xdr:colOff>707572</xdr:colOff>
      <xdr:row>143</xdr:row>
      <xdr:rowOff>122911</xdr:rowOff>
    </xdr:to>
    <xdr:sp macro="" textlink="">
      <xdr:nvSpPr>
        <xdr:cNvPr id="176" name="角丸四角形吹き出し 175">
          <a:extLst>
            <a:ext uri="{FF2B5EF4-FFF2-40B4-BE49-F238E27FC236}">
              <a16:creationId xmlns:a16="http://schemas.microsoft.com/office/drawing/2014/main" id="{00000000-0008-0000-4100-0000B0000000}"/>
            </a:ext>
          </a:extLst>
        </xdr:cNvPr>
        <xdr:cNvSpPr/>
      </xdr:nvSpPr>
      <xdr:spPr>
        <a:xfrm>
          <a:off x="10460182" y="50404571"/>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166</xdr:row>
      <xdr:rowOff>295080</xdr:rowOff>
    </xdr:from>
    <xdr:to>
      <xdr:col>16</xdr:col>
      <xdr:colOff>0</xdr:colOff>
      <xdr:row>167</xdr:row>
      <xdr:rowOff>109115</xdr:rowOff>
    </xdr:to>
    <xdr:sp macro="" textlink="">
      <xdr:nvSpPr>
        <xdr:cNvPr id="177" name="左矢印 176">
          <a:extLst>
            <a:ext uri="{FF2B5EF4-FFF2-40B4-BE49-F238E27FC236}">
              <a16:creationId xmlns:a16="http://schemas.microsoft.com/office/drawing/2014/main" id="{00000000-0008-0000-4100-0000B1000000}"/>
            </a:ext>
          </a:extLst>
        </xdr:cNvPr>
        <xdr:cNvSpPr/>
      </xdr:nvSpPr>
      <xdr:spPr>
        <a:xfrm>
          <a:off x="10257313" y="59453989"/>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166</xdr:row>
      <xdr:rowOff>129889</xdr:rowOff>
    </xdr:from>
    <xdr:to>
      <xdr:col>24</xdr:col>
      <xdr:colOff>707572</xdr:colOff>
      <xdr:row>168</xdr:row>
      <xdr:rowOff>140229</xdr:rowOff>
    </xdr:to>
    <xdr:sp macro="" textlink="">
      <xdr:nvSpPr>
        <xdr:cNvPr id="178" name="角丸四角形吹き出し 177">
          <a:extLst>
            <a:ext uri="{FF2B5EF4-FFF2-40B4-BE49-F238E27FC236}">
              <a16:creationId xmlns:a16="http://schemas.microsoft.com/office/drawing/2014/main" id="{00000000-0008-0000-4100-0000B2000000}"/>
            </a:ext>
          </a:extLst>
        </xdr:cNvPr>
        <xdr:cNvSpPr/>
      </xdr:nvSpPr>
      <xdr:spPr>
        <a:xfrm>
          <a:off x="10460182" y="59288798"/>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191</xdr:row>
      <xdr:rowOff>277762</xdr:rowOff>
    </xdr:from>
    <xdr:to>
      <xdr:col>16</xdr:col>
      <xdr:colOff>0</xdr:colOff>
      <xdr:row>192</xdr:row>
      <xdr:rowOff>91797</xdr:rowOff>
    </xdr:to>
    <xdr:sp macro="" textlink="">
      <xdr:nvSpPr>
        <xdr:cNvPr id="179" name="左矢印 178">
          <a:extLst>
            <a:ext uri="{FF2B5EF4-FFF2-40B4-BE49-F238E27FC236}">
              <a16:creationId xmlns:a16="http://schemas.microsoft.com/office/drawing/2014/main" id="{00000000-0008-0000-4100-0000B3000000}"/>
            </a:ext>
          </a:extLst>
        </xdr:cNvPr>
        <xdr:cNvSpPr/>
      </xdr:nvSpPr>
      <xdr:spPr>
        <a:xfrm>
          <a:off x="10257313" y="68303580"/>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191</xdr:row>
      <xdr:rowOff>112571</xdr:rowOff>
    </xdr:from>
    <xdr:to>
      <xdr:col>24</xdr:col>
      <xdr:colOff>707572</xdr:colOff>
      <xdr:row>193</xdr:row>
      <xdr:rowOff>122911</xdr:rowOff>
    </xdr:to>
    <xdr:sp macro="" textlink="">
      <xdr:nvSpPr>
        <xdr:cNvPr id="180" name="角丸四角形吹き出し 179">
          <a:extLst>
            <a:ext uri="{FF2B5EF4-FFF2-40B4-BE49-F238E27FC236}">
              <a16:creationId xmlns:a16="http://schemas.microsoft.com/office/drawing/2014/main" id="{00000000-0008-0000-4100-0000B4000000}"/>
            </a:ext>
          </a:extLst>
        </xdr:cNvPr>
        <xdr:cNvSpPr/>
      </xdr:nvSpPr>
      <xdr:spPr>
        <a:xfrm>
          <a:off x="10460182" y="68138389"/>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216</xdr:row>
      <xdr:rowOff>295081</xdr:rowOff>
    </xdr:from>
    <xdr:to>
      <xdr:col>16</xdr:col>
      <xdr:colOff>0</xdr:colOff>
      <xdr:row>217</xdr:row>
      <xdr:rowOff>109115</xdr:rowOff>
    </xdr:to>
    <xdr:sp macro="" textlink="">
      <xdr:nvSpPr>
        <xdr:cNvPr id="181" name="左矢印 180">
          <a:extLst>
            <a:ext uri="{FF2B5EF4-FFF2-40B4-BE49-F238E27FC236}">
              <a16:creationId xmlns:a16="http://schemas.microsoft.com/office/drawing/2014/main" id="{00000000-0008-0000-4100-0000B5000000}"/>
            </a:ext>
          </a:extLst>
        </xdr:cNvPr>
        <xdr:cNvSpPr/>
      </xdr:nvSpPr>
      <xdr:spPr>
        <a:xfrm>
          <a:off x="10257313" y="77187808"/>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216</xdr:row>
      <xdr:rowOff>129890</xdr:rowOff>
    </xdr:from>
    <xdr:to>
      <xdr:col>24</xdr:col>
      <xdr:colOff>707572</xdr:colOff>
      <xdr:row>218</xdr:row>
      <xdr:rowOff>140230</xdr:rowOff>
    </xdr:to>
    <xdr:sp macro="" textlink="">
      <xdr:nvSpPr>
        <xdr:cNvPr id="182" name="角丸四角形吹き出し 181">
          <a:extLst>
            <a:ext uri="{FF2B5EF4-FFF2-40B4-BE49-F238E27FC236}">
              <a16:creationId xmlns:a16="http://schemas.microsoft.com/office/drawing/2014/main" id="{00000000-0008-0000-4100-0000B6000000}"/>
            </a:ext>
          </a:extLst>
        </xdr:cNvPr>
        <xdr:cNvSpPr/>
      </xdr:nvSpPr>
      <xdr:spPr>
        <a:xfrm>
          <a:off x="10460182" y="77022617"/>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241</xdr:row>
      <xdr:rowOff>295081</xdr:rowOff>
    </xdr:from>
    <xdr:to>
      <xdr:col>16</xdr:col>
      <xdr:colOff>0</xdr:colOff>
      <xdr:row>242</xdr:row>
      <xdr:rowOff>109115</xdr:rowOff>
    </xdr:to>
    <xdr:sp macro="" textlink="">
      <xdr:nvSpPr>
        <xdr:cNvPr id="183" name="左矢印 182">
          <a:extLst>
            <a:ext uri="{FF2B5EF4-FFF2-40B4-BE49-F238E27FC236}">
              <a16:creationId xmlns:a16="http://schemas.microsoft.com/office/drawing/2014/main" id="{00000000-0008-0000-4100-0000B7000000}"/>
            </a:ext>
          </a:extLst>
        </xdr:cNvPr>
        <xdr:cNvSpPr/>
      </xdr:nvSpPr>
      <xdr:spPr>
        <a:xfrm>
          <a:off x="10257313" y="86054717"/>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241</xdr:row>
      <xdr:rowOff>129890</xdr:rowOff>
    </xdr:from>
    <xdr:to>
      <xdr:col>24</xdr:col>
      <xdr:colOff>707572</xdr:colOff>
      <xdr:row>243</xdr:row>
      <xdr:rowOff>140230</xdr:rowOff>
    </xdr:to>
    <xdr:sp macro="" textlink="">
      <xdr:nvSpPr>
        <xdr:cNvPr id="184" name="角丸四角形吹き出し 183">
          <a:extLst>
            <a:ext uri="{FF2B5EF4-FFF2-40B4-BE49-F238E27FC236}">
              <a16:creationId xmlns:a16="http://schemas.microsoft.com/office/drawing/2014/main" id="{00000000-0008-0000-4100-0000B8000000}"/>
            </a:ext>
          </a:extLst>
        </xdr:cNvPr>
        <xdr:cNvSpPr/>
      </xdr:nvSpPr>
      <xdr:spPr>
        <a:xfrm>
          <a:off x="10460182" y="85889526"/>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266</xdr:row>
      <xdr:rowOff>295081</xdr:rowOff>
    </xdr:from>
    <xdr:to>
      <xdr:col>16</xdr:col>
      <xdr:colOff>0</xdr:colOff>
      <xdr:row>267</xdr:row>
      <xdr:rowOff>109115</xdr:rowOff>
    </xdr:to>
    <xdr:sp macro="" textlink="">
      <xdr:nvSpPr>
        <xdr:cNvPr id="185" name="左矢印 184">
          <a:extLst>
            <a:ext uri="{FF2B5EF4-FFF2-40B4-BE49-F238E27FC236}">
              <a16:creationId xmlns:a16="http://schemas.microsoft.com/office/drawing/2014/main" id="{00000000-0008-0000-4100-0000B9000000}"/>
            </a:ext>
          </a:extLst>
        </xdr:cNvPr>
        <xdr:cNvSpPr/>
      </xdr:nvSpPr>
      <xdr:spPr>
        <a:xfrm>
          <a:off x="10257313" y="94921626"/>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266</xdr:row>
      <xdr:rowOff>129890</xdr:rowOff>
    </xdr:from>
    <xdr:to>
      <xdr:col>24</xdr:col>
      <xdr:colOff>707572</xdr:colOff>
      <xdr:row>268</xdr:row>
      <xdr:rowOff>140230</xdr:rowOff>
    </xdr:to>
    <xdr:sp macro="" textlink="">
      <xdr:nvSpPr>
        <xdr:cNvPr id="186" name="角丸四角形吹き出し 185">
          <a:extLst>
            <a:ext uri="{FF2B5EF4-FFF2-40B4-BE49-F238E27FC236}">
              <a16:creationId xmlns:a16="http://schemas.microsoft.com/office/drawing/2014/main" id="{00000000-0008-0000-4100-0000BA000000}"/>
            </a:ext>
          </a:extLst>
        </xdr:cNvPr>
        <xdr:cNvSpPr/>
      </xdr:nvSpPr>
      <xdr:spPr>
        <a:xfrm>
          <a:off x="10460182" y="94756435"/>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292</xdr:row>
      <xdr:rowOff>671</xdr:rowOff>
    </xdr:from>
    <xdr:to>
      <xdr:col>16</xdr:col>
      <xdr:colOff>0</xdr:colOff>
      <xdr:row>292</xdr:row>
      <xdr:rowOff>126433</xdr:rowOff>
    </xdr:to>
    <xdr:sp macro="" textlink="">
      <xdr:nvSpPr>
        <xdr:cNvPr id="187" name="左矢印 186">
          <a:extLst>
            <a:ext uri="{FF2B5EF4-FFF2-40B4-BE49-F238E27FC236}">
              <a16:creationId xmlns:a16="http://schemas.microsoft.com/office/drawing/2014/main" id="{00000000-0008-0000-4100-0000BB000000}"/>
            </a:ext>
          </a:extLst>
        </xdr:cNvPr>
        <xdr:cNvSpPr/>
      </xdr:nvSpPr>
      <xdr:spPr>
        <a:xfrm>
          <a:off x="10257313" y="103805853"/>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291</xdr:row>
      <xdr:rowOff>147207</xdr:rowOff>
    </xdr:from>
    <xdr:to>
      <xdr:col>24</xdr:col>
      <xdr:colOff>707572</xdr:colOff>
      <xdr:row>293</xdr:row>
      <xdr:rowOff>157548</xdr:rowOff>
    </xdr:to>
    <xdr:sp macro="" textlink="">
      <xdr:nvSpPr>
        <xdr:cNvPr id="188" name="角丸四角形吹き出し 187">
          <a:extLst>
            <a:ext uri="{FF2B5EF4-FFF2-40B4-BE49-F238E27FC236}">
              <a16:creationId xmlns:a16="http://schemas.microsoft.com/office/drawing/2014/main" id="{00000000-0008-0000-4100-0000BC000000}"/>
            </a:ext>
          </a:extLst>
        </xdr:cNvPr>
        <xdr:cNvSpPr/>
      </xdr:nvSpPr>
      <xdr:spPr>
        <a:xfrm>
          <a:off x="10460182" y="103640662"/>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316</xdr:row>
      <xdr:rowOff>295079</xdr:rowOff>
    </xdr:from>
    <xdr:to>
      <xdr:col>16</xdr:col>
      <xdr:colOff>0</xdr:colOff>
      <xdr:row>317</xdr:row>
      <xdr:rowOff>109114</xdr:rowOff>
    </xdr:to>
    <xdr:sp macro="" textlink="">
      <xdr:nvSpPr>
        <xdr:cNvPr id="189" name="左矢印 188">
          <a:extLst>
            <a:ext uri="{FF2B5EF4-FFF2-40B4-BE49-F238E27FC236}">
              <a16:creationId xmlns:a16="http://schemas.microsoft.com/office/drawing/2014/main" id="{00000000-0008-0000-4100-0000BD000000}"/>
            </a:ext>
          </a:extLst>
        </xdr:cNvPr>
        <xdr:cNvSpPr/>
      </xdr:nvSpPr>
      <xdr:spPr>
        <a:xfrm>
          <a:off x="10257313" y="112655443"/>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316</xdr:row>
      <xdr:rowOff>129888</xdr:rowOff>
    </xdr:from>
    <xdr:to>
      <xdr:col>24</xdr:col>
      <xdr:colOff>707572</xdr:colOff>
      <xdr:row>318</xdr:row>
      <xdr:rowOff>140229</xdr:rowOff>
    </xdr:to>
    <xdr:sp macro="" textlink="">
      <xdr:nvSpPr>
        <xdr:cNvPr id="190" name="角丸四角形吹き出し 189">
          <a:extLst>
            <a:ext uri="{FF2B5EF4-FFF2-40B4-BE49-F238E27FC236}">
              <a16:creationId xmlns:a16="http://schemas.microsoft.com/office/drawing/2014/main" id="{00000000-0008-0000-4100-0000BE000000}"/>
            </a:ext>
          </a:extLst>
        </xdr:cNvPr>
        <xdr:cNvSpPr/>
      </xdr:nvSpPr>
      <xdr:spPr>
        <a:xfrm>
          <a:off x="10460182" y="112490252"/>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341</xdr:row>
      <xdr:rowOff>295079</xdr:rowOff>
    </xdr:from>
    <xdr:to>
      <xdr:col>16</xdr:col>
      <xdr:colOff>0</xdr:colOff>
      <xdr:row>342</xdr:row>
      <xdr:rowOff>109114</xdr:rowOff>
    </xdr:to>
    <xdr:sp macro="" textlink="">
      <xdr:nvSpPr>
        <xdr:cNvPr id="191" name="左矢印 190">
          <a:extLst>
            <a:ext uri="{FF2B5EF4-FFF2-40B4-BE49-F238E27FC236}">
              <a16:creationId xmlns:a16="http://schemas.microsoft.com/office/drawing/2014/main" id="{00000000-0008-0000-4100-0000BF000000}"/>
            </a:ext>
          </a:extLst>
        </xdr:cNvPr>
        <xdr:cNvSpPr/>
      </xdr:nvSpPr>
      <xdr:spPr>
        <a:xfrm>
          <a:off x="10257313" y="121522352"/>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341</xdr:row>
      <xdr:rowOff>129888</xdr:rowOff>
    </xdr:from>
    <xdr:to>
      <xdr:col>24</xdr:col>
      <xdr:colOff>707572</xdr:colOff>
      <xdr:row>343</xdr:row>
      <xdr:rowOff>140229</xdr:rowOff>
    </xdr:to>
    <xdr:sp macro="" textlink="">
      <xdr:nvSpPr>
        <xdr:cNvPr id="192" name="角丸四角形吹き出し 191">
          <a:extLst>
            <a:ext uri="{FF2B5EF4-FFF2-40B4-BE49-F238E27FC236}">
              <a16:creationId xmlns:a16="http://schemas.microsoft.com/office/drawing/2014/main" id="{00000000-0008-0000-4100-0000C0000000}"/>
            </a:ext>
          </a:extLst>
        </xdr:cNvPr>
        <xdr:cNvSpPr/>
      </xdr:nvSpPr>
      <xdr:spPr>
        <a:xfrm>
          <a:off x="10460182" y="121357161"/>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366</xdr:row>
      <xdr:rowOff>295079</xdr:rowOff>
    </xdr:from>
    <xdr:to>
      <xdr:col>16</xdr:col>
      <xdr:colOff>0</xdr:colOff>
      <xdr:row>367</xdr:row>
      <xdr:rowOff>109114</xdr:rowOff>
    </xdr:to>
    <xdr:sp macro="" textlink="">
      <xdr:nvSpPr>
        <xdr:cNvPr id="193" name="左矢印 192">
          <a:extLst>
            <a:ext uri="{FF2B5EF4-FFF2-40B4-BE49-F238E27FC236}">
              <a16:creationId xmlns:a16="http://schemas.microsoft.com/office/drawing/2014/main" id="{00000000-0008-0000-4100-0000C1000000}"/>
            </a:ext>
          </a:extLst>
        </xdr:cNvPr>
        <xdr:cNvSpPr/>
      </xdr:nvSpPr>
      <xdr:spPr>
        <a:xfrm>
          <a:off x="10257313" y="130389261"/>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366</xdr:row>
      <xdr:rowOff>129888</xdr:rowOff>
    </xdr:from>
    <xdr:to>
      <xdr:col>24</xdr:col>
      <xdr:colOff>707572</xdr:colOff>
      <xdr:row>368</xdr:row>
      <xdr:rowOff>140229</xdr:rowOff>
    </xdr:to>
    <xdr:sp macro="" textlink="">
      <xdr:nvSpPr>
        <xdr:cNvPr id="194" name="角丸四角形吹き出し 193">
          <a:extLst>
            <a:ext uri="{FF2B5EF4-FFF2-40B4-BE49-F238E27FC236}">
              <a16:creationId xmlns:a16="http://schemas.microsoft.com/office/drawing/2014/main" id="{00000000-0008-0000-4100-0000C2000000}"/>
            </a:ext>
          </a:extLst>
        </xdr:cNvPr>
        <xdr:cNvSpPr/>
      </xdr:nvSpPr>
      <xdr:spPr>
        <a:xfrm>
          <a:off x="10460182" y="130224070"/>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391</xdr:row>
      <xdr:rowOff>277761</xdr:rowOff>
    </xdr:from>
    <xdr:to>
      <xdr:col>16</xdr:col>
      <xdr:colOff>0</xdr:colOff>
      <xdr:row>392</xdr:row>
      <xdr:rowOff>91796</xdr:rowOff>
    </xdr:to>
    <xdr:sp macro="" textlink="">
      <xdr:nvSpPr>
        <xdr:cNvPr id="195" name="左矢印 194">
          <a:extLst>
            <a:ext uri="{FF2B5EF4-FFF2-40B4-BE49-F238E27FC236}">
              <a16:creationId xmlns:a16="http://schemas.microsoft.com/office/drawing/2014/main" id="{00000000-0008-0000-4100-0000C3000000}"/>
            </a:ext>
          </a:extLst>
        </xdr:cNvPr>
        <xdr:cNvSpPr/>
      </xdr:nvSpPr>
      <xdr:spPr>
        <a:xfrm>
          <a:off x="10257313" y="139238852"/>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391</xdr:row>
      <xdr:rowOff>112570</xdr:rowOff>
    </xdr:from>
    <xdr:to>
      <xdr:col>24</xdr:col>
      <xdr:colOff>707572</xdr:colOff>
      <xdr:row>393</xdr:row>
      <xdr:rowOff>122911</xdr:rowOff>
    </xdr:to>
    <xdr:sp macro="" textlink="">
      <xdr:nvSpPr>
        <xdr:cNvPr id="196" name="角丸四角形吹き出し 195">
          <a:extLst>
            <a:ext uri="{FF2B5EF4-FFF2-40B4-BE49-F238E27FC236}">
              <a16:creationId xmlns:a16="http://schemas.microsoft.com/office/drawing/2014/main" id="{00000000-0008-0000-4100-0000C4000000}"/>
            </a:ext>
          </a:extLst>
        </xdr:cNvPr>
        <xdr:cNvSpPr/>
      </xdr:nvSpPr>
      <xdr:spPr>
        <a:xfrm>
          <a:off x="10460182" y="139073661"/>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416</xdr:row>
      <xdr:rowOff>260443</xdr:rowOff>
    </xdr:from>
    <xdr:to>
      <xdr:col>16</xdr:col>
      <xdr:colOff>0</xdr:colOff>
      <xdr:row>417</xdr:row>
      <xdr:rowOff>74478</xdr:rowOff>
    </xdr:to>
    <xdr:sp macro="" textlink="">
      <xdr:nvSpPr>
        <xdr:cNvPr id="197" name="左矢印 196">
          <a:extLst>
            <a:ext uri="{FF2B5EF4-FFF2-40B4-BE49-F238E27FC236}">
              <a16:creationId xmlns:a16="http://schemas.microsoft.com/office/drawing/2014/main" id="{00000000-0008-0000-4100-0000C5000000}"/>
            </a:ext>
          </a:extLst>
        </xdr:cNvPr>
        <xdr:cNvSpPr/>
      </xdr:nvSpPr>
      <xdr:spPr>
        <a:xfrm>
          <a:off x="10257313" y="148088443"/>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416</xdr:row>
      <xdr:rowOff>95252</xdr:rowOff>
    </xdr:from>
    <xdr:to>
      <xdr:col>24</xdr:col>
      <xdr:colOff>707572</xdr:colOff>
      <xdr:row>418</xdr:row>
      <xdr:rowOff>105592</xdr:rowOff>
    </xdr:to>
    <xdr:sp macro="" textlink="">
      <xdr:nvSpPr>
        <xdr:cNvPr id="198" name="角丸四角形吹き出し 197">
          <a:extLst>
            <a:ext uri="{FF2B5EF4-FFF2-40B4-BE49-F238E27FC236}">
              <a16:creationId xmlns:a16="http://schemas.microsoft.com/office/drawing/2014/main" id="{00000000-0008-0000-4100-0000C6000000}"/>
            </a:ext>
          </a:extLst>
        </xdr:cNvPr>
        <xdr:cNvSpPr/>
      </xdr:nvSpPr>
      <xdr:spPr>
        <a:xfrm>
          <a:off x="10460182" y="147923252"/>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441</xdr:row>
      <xdr:rowOff>260443</xdr:rowOff>
    </xdr:from>
    <xdr:to>
      <xdr:col>16</xdr:col>
      <xdr:colOff>0</xdr:colOff>
      <xdr:row>442</xdr:row>
      <xdr:rowOff>74478</xdr:rowOff>
    </xdr:to>
    <xdr:sp macro="" textlink="">
      <xdr:nvSpPr>
        <xdr:cNvPr id="199" name="左矢印 198">
          <a:extLst>
            <a:ext uri="{FF2B5EF4-FFF2-40B4-BE49-F238E27FC236}">
              <a16:creationId xmlns:a16="http://schemas.microsoft.com/office/drawing/2014/main" id="{00000000-0008-0000-4100-0000C7000000}"/>
            </a:ext>
          </a:extLst>
        </xdr:cNvPr>
        <xdr:cNvSpPr/>
      </xdr:nvSpPr>
      <xdr:spPr>
        <a:xfrm>
          <a:off x="10257313" y="156955352"/>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441</xdr:row>
      <xdr:rowOff>95252</xdr:rowOff>
    </xdr:from>
    <xdr:to>
      <xdr:col>24</xdr:col>
      <xdr:colOff>707572</xdr:colOff>
      <xdr:row>443</xdr:row>
      <xdr:rowOff>105592</xdr:rowOff>
    </xdr:to>
    <xdr:sp macro="" textlink="">
      <xdr:nvSpPr>
        <xdr:cNvPr id="200" name="角丸四角形吹き出し 199">
          <a:extLst>
            <a:ext uri="{FF2B5EF4-FFF2-40B4-BE49-F238E27FC236}">
              <a16:creationId xmlns:a16="http://schemas.microsoft.com/office/drawing/2014/main" id="{00000000-0008-0000-4100-0000C8000000}"/>
            </a:ext>
          </a:extLst>
        </xdr:cNvPr>
        <xdr:cNvSpPr/>
      </xdr:nvSpPr>
      <xdr:spPr>
        <a:xfrm>
          <a:off x="10460182" y="156790161"/>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466</xdr:row>
      <xdr:rowOff>277762</xdr:rowOff>
    </xdr:from>
    <xdr:to>
      <xdr:col>16</xdr:col>
      <xdr:colOff>0</xdr:colOff>
      <xdr:row>467</xdr:row>
      <xdr:rowOff>91797</xdr:rowOff>
    </xdr:to>
    <xdr:sp macro="" textlink="">
      <xdr:nvSpPr>
        <xdr:cNvPr id="201" name="左矢印 200">
          <a:extLst>
            <a:ext uri="{FF2B5EF4-FFF2-40B4-BE49-F238E27FC236}">
              <a16:creationId xmlns:a16="http://schemas.microsoft.com/office/drawing/2014/main" id="{00000000-0008-0000-4100-0000C9000000}"/>
            </a:ext>
          </a:extLst>
        </xdr:cNvPr>
        <xdr:cNvSpPr/>
      </xdr:nvSpPr>
      <xdr:spPr>
        <a:xfrm>
          <a:off x="10257313" y="165839580"/>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466</xdr:row>
      <xdr:rowOff>112571</xdr:rowOff>
    </xdr:from>
    <xdr:to>
      <xdr:col>24</xdr:col>
      <xdr:colOff>707572</xdr:colOff>
      <xdr:row>468</xdr:row>
      <xdr:rowOff>122911</xdr:rowOff>
    </xdr:to>
    <xdr:sp macro="" textlink="">
      <xdr:nvSpPr>
        <xdr:cNvPr id="202" name="角丸四角形吹き出し 201">
          <a:extLst>
            <a:ext uri="{FF2B5EF4-FFF2-40B4-BE49-F238E27FC236}">
              <a16:creationId xmlns:a16="http://schemas.microsoft.com/office/drawing/2014/main" id="{00000000-0008-0000-4100-0000CA000000}"/>
            </a:ext>
          </a:extLst>
        </xdr:cNvPr>
        <xdr:cNvSpPr/>
      </xdr:nvSpPr>
      <xdr:spPr>
        <a:xfrm>
          <a:off x="10460182" y="165674389"/>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491</xdr:row>
      <xdr:rowOff>243126</xdr:rowOff>
    </xdr:from>
    <xdr:to>
      <xdr:col>16</xdr:col>
      <xdr:colOff>0</xdr:colOff>
      <xdr:row>492</xdr:row>
      <xdr:rowOff>57160</xdr:rowOff>
    </xdr:to>
    <xdr:sp macro="" textlink="">
      <xdr:nvSpPr>
        <xdr:cNvPr id="203" name="左矢印 202">
          <a:extLst>
            <a:ext uri="{FF2B5EF4-FFF2-40B4-BE49-F238E27FC236}">
              <a16:creationId xmlns:a16="http://schemas.microsoft.com/office/drawing/2014/main" id="{00000000-0008-0000-4100-0000CB000000}"/>
            </a:ext>
          </a:extLst>
        </xdr:cNvPr>
        <xdr:cNvSpPr/>
      </xdr:nvSpPr>
      <xdr:spPr>
        <a:xfrm>
          <a:off x="10257313" y="174671853"/>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491</xdr:row>
      <xdr:rowOff>77935</xdr:rowOff>
    </xdr:from>
    <xdr:to>
      <xdr:col>24</xdr:col>
      <xdr:colOff>707572</xdr:colOff>
      <xdr:row>493</xdr:row>
      <xdr:rowOff>88275</xdr:rowOff>
    </xdr:to>
    <xdr:sp macro="" textlink="">
      <xdr:nvSpPr>
        <xdr:cNvPr id="204" name="角丸四角形吹き出し 203">
          <a:extLst>
            <a:ext uri="{FF2B5EF4-FFF2-40B4-BE49-F238E27FC236}">
              <a16:creationId xmlns:a16="http://schemas.microsoft.com/office/drawing/2014/main" id="{00000000-0008-0000-4100-0000CC000000}"/>
            </a:ext>
          </a:extLst>
        </xdr:cNvPr>
        <xdr:cNvSpPr/>
      </xdr:nvSpPr>
      <xdr:spPr>
        <a:xfrm>
          <a:off x="10460182" y="174506662"/>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516</xdr:row>
      <xdr:rowOff>295081</xdr:rowOff>
    </xdr:from>
    <xdr:to>
      <xdr:col>16</xdr:col>
      <xdr:colOff>0</xdr:colOff>
      <xdr:row>517</xdr:row>
      <xdr:rowOff>109115</xdr:rowOff>
    </xdr:to>
    <xdr:sp macro="" textlink="">
      <xdr:nvSpPr>
        <xdr:cNvPr id="205" name="左矢印 204">
          <a:extLst>
            <a:ext uri="{FF2B5EF4-FFF2-40B4-BE49-F238E27FC236}">
              <a16:creationId xmlns:a16="http://schemas.microsoft.com/office/drawing/2014/main" id="{00000000-0008-0000-4100-0000CD000000}"/>
            </a:ext>
          </a:extLst>
        </xdr:cNvPr>
        <xdr:cNvSpPr/>
      </xdr:nvSpPr>
      <xdr:spPr>
        <a:xfrm>
          <a:off x="10257313" y="183590717"/>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516</xdr:row>
      <xdr:rowOff>129890</xdr:rowOff>
    </xdr:from>
    <xdr:to>
      <xdr:col>24</xdr:col>
      <xdr:colOff>707572</xdr:colOff>
      <xdr:row>518</xdr:row>
      <xdr:rowOff>140230</xdr:rowOff>
    </xdr:to>
    <xdr:sp macro="" textlink="">
      <xdr:nvSpPr>
        <xdr:cNvPr id="206" name="角丸四角形吹き出し 205">
          <a:extLst>
            <a:ext uri="{FF2B5EF4-FFF2-40B4-BE49-F238E27FC236}">
              <a16:creationId xmlns:a16="http://schemas.microsoft.com/office/drawing/2014/main" id="{00000000-0008-0000-4100-0000CE000000}"/>
            </a:ext>
          </a:extLst>
        </xdr:cNvPr>
        <xdr:cNvSpPr/>
      </xdr:nvSpPr>
      <xdr:spPr>
        <a:xfrm>
          <a:off x="10460182" y="183425526"/>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541</xdr:row>
      <xdr:rowOff>260445</xdr:rowOff>
    </xdr:from>
    <xdr:to>
      <xdr:col>16</xdr:col>
      <xdr:colOff>0</xdr:colOff>
      <xdr:row>542</xdr:row>
      <xdr:rowOff>74479</xdr:rowOff>
    </xdr:to>
    <xdr:sp macro="" textlink="">
      <xdr:nvSpPr>
        <xdr:cNvPr id="207" name="左矢印 206">
          <a:extLst>
            <a:ext uri="{FF2B5EF4-FFF2-40B4-BE49-F238E27FC236}">
              <a16:creationId xmlns:a16="http://schemas.microsoft.com/office/drawing/2014/main" id="{00000000-0008-0000-4100-0000CF000000}"/>
            </a:ext>
          </a:extLst>
        </xdr:cNvPr>
        <xdr:cNvSpPr/>
      </xdr:nvSpPr>
      <xdr:spPr>
        <a:xfrm>
          <a:off x="10257313" y="192422990"/>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541</xdr:row>
      <xdr:rowOff>95254</xdr:rowOff>
    </xdr:from>
    <xdr:to>
      <xdr:col>24</xdr:col>
      <xdr:colOff>707572</xdr:colOff>
      <xdr:row>543</xdr:row>
      <xdr:rowOff>105594</xdr:rowOff>
    </xdr:to>
    <xdr:sp macro="" textlink="">
      <xdr:nvSpPr>
        <xdr:cNvPr id="208" name="角丸四角形吹き出し 207">
          <a:extLst>
            <a:ext uri="{FF2B5EF4-FFF2-40B4-BE49-F238E27FC236}">
              <a16:creationId xmlns:a16="http://schemas.microsoft.com/office/drawing/2014/main" id="{00000000-0008-0000-4100-0000D0000000}"/>
            </a:ext>
          </a:extLst>
        </xdr:cNvPr>
        <xdr:cNvSpPr/>
      </xdr:nvSpPr>
      <xdr:spPr>
        <a:xfrm>
          <a:off x="10460182" y="192257799"/>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566</xdr:row>
      <xdr:rowOff>260444</xdr:rowOff>
    </xdr:from>
    <xdr:to>
      <xdr:col>16</xdr:col>
      <xdr:colOff>0</xdr:colOff>
      <xdr:row>567</xdr:row>
      <xdr:rowOff>74479</xdr:rowOff>
    </xdr:to>
    <xdr:sp macro="" textlink="">
      <xdr:nvSpPr>
        <xdr:cNvPr id="209" name="左矢印 208">
          <a:extLst>
            <a:ext uri="{FF2B5EF4-FFF2-40B4-BE49-F238E27FC236}">
              <a16:creationId xmlns:a16="http://schemas.microsoft.com/office/drawing/2014/main" id="{00000000-0008-0000-4100-0000D1000000}"/>
            </a:ext>
          </a:extLst>
        </xdr:cNvPr>
        <xdr:cNvSpPr/>
      </xdr:nvSpPr>
      <xdr:spPr>
        <a:xfrm>
          <a:off x="10257313" y="201289899"/>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566</xdr:row>
      <xdr:rowOff>95253</xdr:rowOff>
    </xdr:from>
    <xdr:to>
      <xdr:col>24</xdr:col>
      <xdr:colOff>707572</xdr:colOff>
      <xdr:row>568</xdr:row>
      <xdr:rowOff>105594</xdr:rowOff>
    </xdr:to>
    <xdr:sp macro="" textlink="">
      <xdr:nvSpPr>
        <xdr:cNvPr id="210" name="角丸四角形吹き出し 209">
          <a:extLst>
            <a:ext uri="{FF2B5EF4-FFF2-40B4-BE49-F238E27FC236}">
              <a16:creationId xmlns:a16="http://schemas.microsoft.com/office/drawing/2014/main" id="{00000000-0008-0000-4100-0000D2000000}"/>
            </a:ext>
          </a:extLst>
        </xdr:cNvPr>
        <xdr:cNvSpPr/>
      </xdr:nvSpPr>
      <xdr:spPr>
        <a:xfrm>
          <a:off x="10460182" y="201124708"/>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592</xdr:row>
      <xdr:rowOff>671</xdr:rowOff>
    </xdr:from>
    <xdr:to>
      <xdr:col>16</xdr:col>
      <xdr:colOff>0</xdr:colOff>
      <xdr:row>592</xdr:row>
      <xdr:rowOff>126433</xdr:rowOff>
    </xdr:to>
    <xdr:sp macro="" textlink="">
      <xdr:nvSpPr>
        <xdr:cNvPr id="211" name="左矢印 210">
          <a:extLst>
            <a:ext uri="{FF2B5EF4-FFF2-40B4-BE49-F238E27FC236}">
              <a16:creationId xmlns:a16="http://schemas.microsoft.com/office/drawing/2014/main" id="{00000000-0008-0000-4100-0000D3000000}"/>
            </a:ext>
          </a:extLst>
        </xdr:cNvPr>
        <xdr:cNvSpPr/>
      </xdr:nvSpPr>
      <xdr:spPr>
        <a:xfrm>
          <a:off x="10257313" y="210208762"/>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591</xdr:row>
      <xdr:rowOff>147207</xdr:rowOff>
    </xdr:from>
    <xdr:to>
      <xdr:col>24</xdr:col>
      <xdr:colOff>707572</xdr:colOff>
      <xdr:row>593</xdr:row>
      <xdr:rowOff>157548</xdr:rowOff>
    </xdr:to>
    <xdr:sp macro="" textlink="">
      <xdr:nvSpPr>
        <xdr:cNvPr id="212" name="角丸四角形吹き出し 211">
          <a:extLst>
            <a:ext uri="{FF2B5EF4-FFF2-40B4-BE49-F238E27FC236}">
              <a16:creationId xmlns:a16="http://schemas.microsoft.com/office/drawing/2014/main" id="{00000000-0008-0000-4100-0000D4000000}"/>
            </a:ext>
          </a:extLst>
        </xdr:cNvPr>
        <xdr:cNvSpPr/>
      </xdr:nvSpPr>
      <xdr:spPr>
        <a:xfrm>
          <a:off x="10460182" y="210043571"/>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616</xdr:row>
      <xdr:rowOff>277762</xdr:rowOff>
    </xdr:from>
    <xdr:to>
      <xdr:col>16</xdr:col>
      <xdr:colOff>0</xdr:colOff>
      <xdr:row>617</xdr:row>
      <xdr:rowOff>91797</xdr:rowOff>
    </xdr:to>
    <xdr:sp macro="" textlink="">
      <xdr:nvSpPr>
        <xdr:cNvPr id="213" name="左矢印 212">
          <a:extLst>
            <a:ext uri="{FF2B5EF4-FFF2-40B4-BE49-F238E27FC236}">
              <a16:creationId xmlns:a16="http://schemas.microsoft.com/office/drawing/2014/main" id="{00000000-0008-0000-4100-0000D5000000}"/>
            </a:ext>
          </a:extLst>
        </xdr:cNvPr>
        <xdr:cNvSpPr/>
      </xdr:nvSpPr>
      <xdr:spPr>
        <a:xfrm>
          <a:off x="10257313" y="219041035"/>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616</xdr:row>
      <xdr:rowOff>112571</xdr:rowOff>
    </xdr:from>
    <xdr:to>
      <xdr:col>24</xdr:col>
      <xdr:colOff>707572</xdr:colOff>
      <xdr:row>618</xdr:row>
      <xdr:rowOff>122912</xdr:rowOff>
    </xdr:to>
    <xdr:sp macro="" textlink="">
      <xdr:nvSpPr>
        <xdr:cNvPr id="214" name="角丸四角形吹き出し 213">
          <a:extLst>
            <a:ext uri="{FF2B5EF4-FFF2-40B4-BE49-F238E27FC236}">
              <a16:creationId xmlns:a16="http://schemas.microsoft.com/office/drawing/2014/main" id="{00000000-0008-0000-4100-0000D6000000}"/>
            </a:ext>
          </a:extLst>
        </xdr:cNvPr>
        <xdr:cNvSpPr/>
      </xdr:nvSpPr>
      <xdr:spPr>
        <a:xfrm>
          <a:off x="10460182" y="218875844"/>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641</xdr:row>
      <xdr:rowOff>277762</xdr:rowOff>
    </xdr:from>
    <xdr:to>
      <xdr:col>16</xdr:col>
      <xdr:colOff>0</xdr:colOff>
      <xdr:row>642</xdr:row>
      <xdr:rowOff>91797</xdr:rowOff>
    </xdr:to>
    <xdr:sp macro="" textlink="">
      <xdr:nvSpPr>
        <xdr:cNvPr id="215" name="左矢印 214">
          <a:extLst>
            <a:ext uri="{FF2B5EF4-FFF2-40B4-BE49-F238E27FC236}">
              <a16:creationId xmlns:a16="http://schemas.microsoft.com/office/drawing/2014/main" id="{00000000-0008-0000-4100-0000D7000000}"/>
            </a:ext>
          </a:extLst>
        </xdr:cNvPr>
        <xdr:cNvSpPr/>
      </xdr:nvSpPr>
      <xdr:spPr>
        <a:xfrm>
          <a:off x="10257313" y="227907944"/>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641</xdr:row>
      <xdr:rowOff>112571</xdr:rowOff>
    </xdr:from>
    <xdr:to>
      <xdr:col>24</xdr:col>
      <xdr:colOff>707572</xdr:colOff>
      <xdr:row>643</xdr:row>
      <xdr:rowOff>122912</xdr:rowOff>
    </xdr:to>
    <xdr:sp macro="" textlink="">
      <xdr:nvSpPr>
        <xdr:cNvPr id="216" name="角丸四角形吹き出し 215">
          <a:extLst>
            <a:ext uri="{FF2B5EF4-FFF2-40B4-BE49-F238E27FC236}">
              <a16:creationId xmlns:a16="http://schemas.microsoft.com/office/drawing/2014/main" id="{00000000-0008-0000-4100-0000D8000000}"/>
            </a:ext>
          </a:extLst>
        </xdr:cNvPr>
        <xdr:cNvSpPr/>
      </xdr:nvSpPr>
      <xdr:spPr>
        <a:xfrm>
          <a:off x="10460182" y="227742753"/>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666</xdr:row>
      <xdr:rowOff>243126</xdr:rowOff>
    </xdr:from>
    <xdr:to>
      <xdr:col>16</xdr:col>
      <xdr:colOff>0</xdr:colOff>
      <xdr:row>667</xdr:row>
      <xdr:rowOff>57161</xdr:rowOff>
    </xdr:to>
    <xdr:sp macro="" textlink="">
      <xdr:nvSpPr>
        <xdr:cNvPr id="217" name="左矢印 216">
          <a:extLst>
            <a:ext uri="{FF2B5EF4-FFF2-40B4-BE49-F238E27FC236}">
              <a16:creationId xmlns:a16="http://schemas.microsoft.com/office/drawing/2014/main" id="{00000000-0008-0000-4100-0000D9000000}"/>
            </a:ext>
          </a:extLst>
        </xdr:cNvPr>
        <xdr:cNvSpPr/>
      </xdr:nvSpPr>
      <xdr:spPr>
        <a:xfrm>
          <a:off x="10257313" y="236740217"/>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666</xdr:row>
      <xdr:rowOff>77935</xdr:rowOff>
    </xdr:from>
    <xdr:to>
      <xdr:col>24</xdr:col>
      <xdr:colOff>707572</xdr:colOff>
      <xdr:row>668</xdr:row>
      <xdr:rowOff>88276</xdr:rowOff>
    </xdr:to>
    <xdr:sp macro="" textlink="">
      <xdr:nvSpPr>
        <xdr:cNvPr id="218" name="角丸四角形吹き出し 217">
          <a:extLst>
            <a:ext uri="{FF2B5EF4-FFF2-40B4-BE49-F238E27FC236}">
              <a16:creationId xmlns:a16="http://schemas.microsoft.com/office/drawing/2014/main" id="{00000000-0008-0000-4100-0000DA000000}"/>
            </a:ext>
          </a:extLst>
        </xdr:cNvPr>
        <xdr:cNvSpPr/>
      </xdr:nvSpPr>
      <xdr:spPr>
        <a:xfrm>
          <a:off x="10460182" y="236575026"/>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691</xdr:row>
      <xdr:rowOff>260444</xdr:rowOff>
    </xdr:from>
    <xdr:to>
      <xdr:col>16</xdr:col>
      <xdr:colOff>0</xdr:colOff>
      <xdr:row>692</xdr:row>
      <xdr:rowOff>74479</xdr:rowOff>
    </xdr:to>
    <xdr:sp macro="" textlink="">
      <xdr:nvSpPr>
        <xdr:cNvPr id="219" name="左矢印 218">
          <a:extLst>
            <a:ext uri="{FF2B5EF4-FFF2-40B4-BE49-F238E27FC236}">
              <a16:creationId xmlns:a16="http://schemas.microsoft.com/office/drawing/2014/main" id="{00000000-0008-0000-4100-0000DB000000}"/>
            </a:ext>
          </a:extLst>
        </xdr:cNvPr>
        <xdr:cNvSpPr/>
      </xdr:nvSpPr>
      <xdr:spPr>
        <a:xfrm>
          <a:off x="10257313" y="245624444"/>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691</xdr:row>
      <xdr:rowOff>95253</xdr:rowOff>
    </xdr:from>
    <xdr:to>
      <xdr:col>24</xdr:col>
      <xdr:colOff>707572</xdr:colOff>
      <xdr:row>693</xdr:row>
      <xdr:rowOff>105593</xdr:rowOff>
    </xdr:to>
    <xdr:sp macro="" textlink="">
      <xdr:nvSpPr>
        <xdr:cNvPr id="220" name="角丸四角形吹き出し 219">
          <a:extLst>
            <a:ext uri="{FF2B5EF4-FFF2-40B4-BE49-F238E27FC236}">
              <a16:creationId xmlns:a16="http://schemas.microsoft.com/office/drawing/2014/main" id="{00000000-0008-0000-4100-0000DC000000}"/>
            </a:ext>
          </a:extLst>
        </xdr:cNvPr>
        <xdr:cNvSpPr/>
      </xdr:nvSpPr>
      <xdr:spPr>
        <a:xfrm>
          <a:off x="10460182" y="245459253"/>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717</xdr:row>
      <xdr:rowOff>671</xdr:rowOff>
    </xdr:from>
    <xdr:to>
      <xdr:col>16</xdr:col>
      <xdr:colOff>0</xdr:colOff>
      <xdr:row>717</xdr:row>
      <xdr:rowOff>126433</xdr:rowOff>
    </xdr:to>
    <xdr:sp macro="" textlink="">
      <xdr:nvSpPr>
        <xdr:cNvPr id="221" name="左矢印 220">
          <a:extLst>
            <a:ext uri="{FF2B5EF4-FFF2-40B4-BE49-F238E27FC236}">
              <a16:creationId xmlns:a16="http://schemas.microsoft.com/office/drawing/2014/main" id="{00000000-0008-0000-4100-0000DD000000}"/>
            </a:ext>
          </a:extLst>
        </xdr:cNvPr>
        <xdr:cNvSpPr/>
      </xdr:nvSpPr>
      <xdr:spPr>
        <a:xfrm>
          <a:off x="10257313" y="254543307"/>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716</xdr:row>
      <xdr:rowOff>147207</xdr:rowOff>
    </xdr:from>
    <xdr:to>
      <xdr:col>24</xdr:col>
      <xdr:colOff>707572</xdr:colOff>
      <xdr:row>718</xdr:row>
      <xdr:rowOff>157547</xdr:rowOff>
    </xdr:to>
    <xdr:sp macro="" textlink="">
      <xdr:nvSpPr>
        <xdr:cNvPr id="222" name="角丸四角形吹き出し 221">
          <a:extLst>
            <a:ext uri="{FF2B5EF4-FFF2-40B4-BE49-F238E27FC236}">
              <a16:creationId xmlns:a16="http://schemas.microsoft.com/office/drawing/2014/main" id="{00000000-0008-0000-4100-0000DE000000}"/>
            </a:ext>
          </a:extLst>
        </xdr:cNvPr>
        <xdr:cNvSpPr/>
      </xdr:nvSpPr>
      <xdr:spPr>
        <a:xfrm>
          <a:off x="10460182" y="254378116"/>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741</xdr:row>
      <xdr:rowOff>277761</xdr:rowOff>
    </xdr:from>
    <xdr:to>
      <xdr:col>16</xdr:col>
      <xdr:colOff>0</xdr:colOff>
      <xdr:row>742</xdr:row>
      <xdr:rowOff>91796</xdr:rowOff>
    </xdr:to>
    <xdr:sp macro="" textlink="">
      <xdr:nvSpPr>
        <xdr:cNvPr id="223" name="左矢印 222">
          <a:extLst>
            <a:ext uri="{FF2B5EF4-FFF2-40B4-BE49-F238E27FC236}">
              <a16:creationId xmlns:a16="http://schemas.microsoft.com/office/drawing/2014/main" id="{00000000-0008-0000-4100-0000DF000000}"/>
            </a:ext>
          </a:extLst>
        </xdr:cNvPr>
        <xdr:cNvSpPr/>
      </xdr:nvSpPr>
      <xdr:spPr>
        <a:xfrm>
          <a:off x="10257313" y="263375579"/>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741</xdr:row>
      <xdr:rowOff>112570</xdr:rowOff>
    </xdr:from>
    <xdr:to>
      <xdr:col>24</xdr:col>
      <xdr:colOff>707572</xdr:colOff>
      <xdr:row>743</xdr:row>
      <xdr:rowOff>122910</xdr:rowOff>
    </xdr:to>
    <xdr:sp macro="" textlink="">
      <xdr:nvSpPr>
        <xdr:cNvPr id="224" name="角丸四角形吹き出し 223">
          <a:extLst>
            <a:ext uri="{FF2B5EF4-FFF2-40B4-BE49-F238E27FC236}">
              <a16:creationId xmlns:a16="http://schemas.microsoft.com/office/drawing/2014/main" id="{00000000-0008-0000-4100-0000E0000000}"/>
            </a:ext>
          </a:extLst>
        </xdr:cNvPr>
        <xdr:cNvSpPr/>
      </xdr:nvSpPr>
      <xdr:spPr>
        <a:xfrm>
          <a:off x="10460182" y="263210388"/>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766</xdr:row>
      <xdr:rowOff>295079</xdr:rowOff>
    </xdr:from>
    <xdr:to>
      <xdr:col>16</xdr:col>
      <xdr:colOff>0</xdr:colOff>
      <xdr:row>767</xdr:row>
      <xdr:rowOff>109113</xdr:rowOff>
    </xdr:to>
    <xdr:sp macro="" textlink="">
      <xdr:nvSpPr>
        <xdr:cNvPr id="225" name="左矢印 224">
          <a:extLst>
            <a:ext uri="{FF2B5EF4-FFF2-40B4-BE49-F238E27FC236}">
              <a16:creationId xmlns:a16="http://schemas.microsoft.com/office/drawing/2014/main" id="{00000000-0008-0000-4100-0000E1000000}"/>
            </a:ext>
          </a:extLst>
        </xdr:cNvPr>
        <xdr:cNvSpPr/>
      </xdr:nvSpPr>
      <xdr:spPr>
        <a:xfrm>
          <a:off x="10257313" y="272259806"/>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766</xdr:row>
      <xdr:rowOff>129888</xdr:rowOff>
    </xdr:from>
    <xdr:to>
      <xdr:col>24</xdr:col>
      <xdr:colOff>707572</xdr:colOff>
      <xdr:row>768</xdr:row>
      <xdr:rowOff>140228</xdr:rowOff>
    </xdr:to>
    <xdr:sp macro="" textlink="">
      <xdr:nvSpPr>
        <xdr:cNvPr id="226" name="角丸四角形吹き出し 225">
          <a:extLst>
            <a:ext uri="{FF2B5EF4-FFF2-40B4-BE49-F238E27FC236}">
              <a16:creationId xmlns:a16="http://schemas.microsoft.com/office/drawing/2014/main" id="{00000000-0008-0000-4100-0000E2000000}"/>
            </a:ext>
          </a:extLst>
        </xdr:cNvPr>
        <xdr:cNvSpPr/>
      </xdr:nvSpPr>
      <xdr:spPr>
        <a:xfrm>
          <a:off x="10460182" y="272094615"/>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791</xdr:row>
      <xdr:rowOff>243125</xdr:rowOff>
    </xdr:from>
    <xdr:to>
      <xdr:col>16</xdr:col>
      <xdr:colOff>0</xdr:colOff>
      <xdr:row>792</xdr:row>
      <xdr:rowOff>57159</xdr:rowOff>
    </xdr:to>
    <xdr:sp macro="" textlink="">
      <xdr:nvSpPr>
        <xdr:cNvPr id="227" name="左矢印 226">
          <a:extLst>
            <a:ext uri="{FF2B5EF4-FFF2-40B4-BE49-F238E27FC236}">
              <a16:creationId xmlns:a16="http://schemas.microsoft.com/office/drawing/2014/main" id="{00000000-0008-0000-4100-0000E3000000}"/>
            </a:ext>
          </a:extLst>
        </xdr:cNvPr>
        <xdr:cNvSpPr/>
      </xdr:nvSpPr>
      <xdr:spPr>
        <a:xfrm>
          <a:off x="10257313" y="281074761"/>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791</xdr:row>
      <xdr:rowOff>77934</xdr:rowOff>
    </xdr:from>
    <xdr:to>
      <xdr:col>24</xdr:col>
      <xdr:colOff>707572</xdr:colOff>
      <xdr:row>793</xdr:row>
      <xdr:rowOff>88274</xdr:rowOff>
    </xdr:to>
    <xdr:sp macro="" textlink="">
      <xdr:nvSpPr>
        <xdr:cNvPr id="228" name="角丸四角形吹き出し 227">
          <a:extLst>
            <a:ext uri="{FF2B5EF4-FFF2-40B4-BE49-F238E27FC236}">
              <a16:creationId xmlns:a16="http://schemas.microsoft.com/office/drawing/2014/main" id="{00000000-0008-0000-4100-0000E4000000}"/>
            </a:ext>
          </a:extLst>
        </xdr:cNvPr>
        <xdr:cNvSpPr/>
      </xdr:nvSpPr>
      <xdr:spPr>
        <a:xfrm>
          <a:off x="10460182" y="280909570"/>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816</xdr:row>
      <xdr:rowOff>260443</xdr:rowOff>
    </xdr:from>
    <xdr:to>
      <xdr:col>16</xdr:col>
      <xdr:colOff>0</xdr:colOff>
      <xdr:row>817</xdr:row>
      <xdr:rowOff>74477</xdr:rowOff>
    </xdr:to>
    <xdr:sp macro="" textlink="">
      <xdr:nvSpPr>
        <xdr:cNvPr id="229" name="左矢印 228">
          <a:extLst>
            <a:ext uri="{FF2B5EF4-FFF2-40B4-BE49-F238E27FC236}">
              <a16:creationId xmlns:a16="http://schemas.microsoft.com/office/drawing/2014/main" id="{00000000-0008-0000-4100-0000E5000000}"/>
            </a:ext>
          </a:extLst>
        </xdr:cNvPr>
        <xdr:cNvSpPr/>
      </xdr:nvSpPr>
      <xdr:spPr>
        <a:xfrm>
          <a:off x="10257313" y="289958988"/>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816</xdr:row>
      <xdr:rowOff>95252</xdr:rowOff>
    </xdr:from>
    <xdr:to>
      <xdr:col>24</xdr:col>
      <xdr:colOff>707572</xdr:colOff>
      <xdr:row>818</xdr:row>
      <xdr:rowOff>105592</xdr:rowOff>
    </xdr:to>
    <xdr:sp macro="" textlink="">
      <xdr:nvSpPr>
        <xdr:cNvPr id="230" name="角丸四角形吹き出し 229">
          <a:extLst>
            <a:ext uri="{FF2B5EF4-FFF2-40B4-BE49-F238E27FC236}">
              <a16:creationId xmlns:a16="http://schemas.microsoft.com/office/drawing/2014/main" id="{00000000-0008-0000-4100-0000E6000000}"/>
            </a:ext>
          </a:extLst>
        </xdr:cNvPr>
        <xdr:cNvSpPr/>
      </xdr:nvSpPr>
      <xdr:spPr>
        <a:xfrm>
          <a:off x="10460182" y="289793797"/>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841</xdr:row>
      <xdr:rowOff>243123</xdr:rowOff>
    </xdr:from>
    <xdr:to>
      <xdr:col>16</xdr:col>
      <xdr:colOff>0</xdr:colOff>
      <xdr:row>842</xdr:row>
      <xdr:rowOff>57158</xdr:rowOff>
    </xdr:to>
    <xdr:sp macro="" textlink="">
      <xdr:nvSpPr>
        <xdr:cNvPr id="231" name="左矢印 230">
          <a:extLst>
            <a:ext uri="{FF2B5EF4-FFF2-40B4-BE49-F238E27FC236}">
              <a16:creationId xmlns:a16="http://schemas.microsoft.com/office/drawing/2014/main" id="{00000000-0008-0000-4100-0000E7000000}"/>
            </a:ext>
          </a:extLst>
        </xdr:cNvPr>
        <xdr:cNvSpPr/>
      </xdr:nvSpPr>
      <xdr:spPr>
        <a:xfrm>
          <a:off x="10257313" y="298808578"/>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841</xdr:row>
      <xdr:rowOff>77932</xdr:rowOff>
    </xdr:from>
    <xdr:to>
      <xdr:col>24</xdr:col>
      <xdr:colOff>707572</xdr:colOff>
      <xdr:row>843</xdr:row>
      <xdr:rowOff>88273</xdr:rowOff>
    </xdr:to>
    <xdr:sp macro="" textlink="">
      <xdr:nvSpPr>
        <xdr:cNvPr id="232" name="角丸四角形吹き出し 231">
          <a:extLst>
            <a:ext uri="{FF2B5EF4-FFF2-40B4-BE49-F238E27FC236}">
              <a16:creationId xmlns:a16="http://schemas.microsoft.com/office/drawing/2014/main" id="{00000000-0008-0000-4100-0000E8000000}"/>
            </a:ext>
          </a:extLst>
        </xdr:cNvPr>
        <xdr:cNvSpPr/>
      </xdr:nvSpPr>
      <xdr:spPr>
        <a:xfrm>
          <a:off x="10460182" y="298643387"/>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866</xdr:row>
      <xdr:rowOff>295078</xdr:rowOff>
    </xdr:from>
    <xdr:to>
      <xdr:col>16</xdr:col>
      <xdr:colOff>0</xdr:colOff>
      <xdr:row>867</xdr:row>
      <xdr:rowOff>109113</xdr:rowOff>
    </xdr:to>
    <xdr:sp macro="" textlink="">
      <xdr:nvSpPr>
        <xdr:cNvPr id="233" name="左矢印 232">
          <a:extLst>
            <a:ext uri="{FF2B5EF4-FFF2-40B4-BE49-F238E27FC236}">
              <a16:creationId xmlns:a16="http://schemas.microsoft.com/office/drawing/2014/main" id="{00000000-0008-0000-4100-0000E9000000}"/>
            </a:ext>
          </a:extLst>
        </xdr:cNvPr>
        <xdr:cNvSpPr/>
      </xdr:nvSpPr>
      <xdr:spPr>
        <a:xfrm>
          <a:off x="10257313" y="307727442"/>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866</xdr:row>
      <xdr:rowOff>129887</xdr:rowOff>
    </xdr:from>
    <xdr:to>
      <xdr:col>24</xdr:col>
      <xdr:colOff>707572</xdr:colOff>
      <xdr:row>868</xdr:row>
      <xdr:rowOff>140228</xdr:rowOff>
    </xdr:to>
    <xdr:sp macro="" textlink="">
      <xdr:nvSpPr>
        <xdr:cNvPr id="234" name="角丸四角形吹き出し 233">
          <a:extLst>
            <a:ext uri="{FF2B5EF4-FFF2-40B4-BE49-F238E27FC236}">
              <a16:creationId xmlns:a16="http://schemas.microsoft.com/office/drawing/2014/main" id="{00000000-0008-0000-4100-0000EA000000}"/>
            </a:ext>
          </a:extLst>
        </xdr:cNvPr>
        <xdr:cNvSpPr/>
      </xdr:nvSpPr>
      <xdr:spPr>
        <a:xfrm>
          <a:off x="10460182" y="307562251"/>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891</xdr:row>
      <xdr:rowOff>243123</xdr:rowOff>
    </xdr:from>
    <xdr:to>
      <xdr:col>16</xdr:col>
      <xdr:colOff>0</xdr:colOff>
      <xdr:row>892</xdr:row>
      <xdr:rowOff>57158</xdr:rowOff>
    </xdr:to>
    <xdr:sp macro="" textlink="">
      <xdr:nvSpPr>
        <xdr:cNvPr id="235" name="左矢印 234">
          <a:extLst>
            <a:ext uri="{FF2B5EF4-FFF2-40B4-BE49-F238E27FC236}">
              <a16:creationId xmlns:a16="http://schemas.microsoft.com/office/drawing/2014/main" id="{00000000-0008-0000-4100-0000EB000000}"/>
            </a:ext>
          </a:extLst>
        </xdr:cNvPr>
        <xdr:cNvSpPr/>
      </xdr:nvSpPr>
      <xdr:spPr>
        <a:xfrm>
          <a:off x="10257313" y="316542396"/>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891</xdr:row>
      <xdr:rowOff>77932</xdr:rowOff>
    </xdr:from>
    <xdr:to>
      <xdr:col>24</xdr:col>
      <xdr:colOff>707572</xdr:colOff>
      <xdr:row>893</xdr:row>
      <xdr:rowOff>88273</xdr:rowOff>
    </xdr:to>
    <xdr:sp macro="" textlink="">
      <xdr:nvSpPr>
        <xdr:cNvPr id="236" name="角丸四角形吹き出し 235">
          <a:extLst>
            <a:ext uri="{FF2B5EF4-FFF2-40B4-BE49-F238E27FC236}">
              <a16:creationId xmlns:a16="http://schemas.microsoft.com/office/drawing/2014/main" id="{00000000-0008-0000-4100-0000EC000000}"/>
            </a:ext>
          </a:extLst>
        </xdr:cNvPr>
        <xdr:cNvSpPr/>
      </xdr:nvSpPr>
      <xdr:spPr>
        <a:xfrm>
          <a:off x="10460182" y="316377205"/>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917</xdr:row>
      <xdr:rowOff>17987</xdr:rowOff>
    </xdr:from>
    <xdr:to>
      <xdr:col>16</xdr:col>
      <xdr:colOff>0</xdr:colOff>
      <xdr:row>917</xdr:row>
      <xdr:rowOff>143749</xdr:rowOff>
    </xdr:to>
    <xdr:sp macro="" textlink="">
      <xdr:nvSpPr>
        <xdr:cNvPr id="237" name="左矢印 236">
          <a:extLst>
            <a:ext uri="{FF2B5EF4-FFF2-40B4-BE49-F238E27FC236}">
              <a16:creationId xmlns:a16="http://schemas.microsoft.com/office/drawing/2014/main" id="{00000000-0008-0000-4100-0000ED000000}"/>
            </a:ext>
          </a:extLst>
        </xdr:cNvPr>
        <xdr:cNvSpPr/>
      </xdr:nvSpPr>
      <xdr:spPr>
        <a:xfrm>
          <a:off x="10257313" y="325495896"/>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916</xdr:row>
      <xdr:rowOff>164523</xdr:rowOff>
    </xdr:from>
    <xdr:to>
      <xdr:col>24</xdr:col>
      <xdr:colOff>707572</xdr:colOff>
      <xdr:row>918</xdr:row>
      <xdr:rowOff>174864</xdr:rowOff>
    </xdr:to>
    <xdr:sp macro="" textlink="">
      <xdr:nvSpPr>
        <xdr:cNvPr id="238" name="角丸四角形吹き出し 237">
          <a:extLst>
            <a:ext uri="{FF2B5EF4-FFF2-40B4-BE49-F238E27FC236}">
              <a16:creationId xmlns:a16="http://schemas.microsoft.com/office/drawing/2014/main" id="{00000000-0008-0000-4100-0000EE000000}"/>
            </a:ext>
          </a:extLst>
        </xdr:cNvPr>
        <xdr:cNvSpPr/>
      </xdr:nvSpPr>
      <xdr:spPr>
        <a:xfrm>
          <a:off x="10460182" y="325330705"/>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941</xdr:row>
      <xdr:rowOff>277759</xdr:rowOff>
    </xdr:from>
    <xdr:to>
      <xdr:col>16</xdr:col>
      <xdr:colOff>0</xdr:colOff>
      <xdr:row>942</xdr:row>
      <xdr:rowOff>91794</xdr:rowOff>
    </xdr:to>
    <xdr:sp macro="" textlink="">
      <xdr:nvSpPr>
        <xdr:cNvPr id="239" name="左矢印 238">
          <a:extLst>
            <a:ext uri="{FF2B5EF4-FFF2-40B4-BE49-F238E27FC236}">
              <a16:creationId xmlns:a16="http://schemas.microsoft.com/office/drawing/2014/main" id="{00000000-0008-0000-4100-0000EF000000}"/>
            </a:ext>
          </a:extLst>
        </xdr:cNvPr>
        <xdr:cNvSpPr/>
      </xdr:nvSpPr>
      <xdr:spPr>
        <a:xfrm>
          <a:off x="10257313" y="334310850"/>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941</xdr:row>
      <xdr:rowOff>112568</xdr:rowOff>
    </xdr:from>
    <xdr:to>
      <xdr:col>24</xdr:col>
      <xdr:colOff>707572</xdr:colOff>
      <xdr:row>943</xdr:row>
      <xdr:rowOff>122909</xdr:rowOff>
    </xdr:to>
    <xdr:sp macro="" textlink="">
      <xdr:nvSpPr>
        <xdr:cNvPr id="240" name="角丸四角形吹き出し 239">
          <a:extLst>
            <a:ext uri="{FF2B5EF4-FFF2-40B4-BE49-F238E27FC236}">
              <a16:creationId xmlns:a16="http://schemas.microsoft.com/office/drawing/2014/main" id="{00000000-0008-0000-4100-0000F0000000}"/>
            </a:ext>
          </a:extLst>
        </xdr:cNvPr>
        <xdr:cNvSpPr/>
      </xdr:nvSpPr>
      <xdr:spPr>
        <a:xfrm>
          <a:off x="10460182" y="334145659"/>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966</xdr:row>
      <xdr:rowOff>295077</xdr:rowOff>
    </xdr:from>
    <xdr:to>
      <xdr:col>16</xdr:col>
      <xdr:colOff>0</xdr:colOff>
      <xdr:row>967</xdr:row>
      <xdr:rowOff>109112</xdr:rowOff>
    </xdr:to>
    <xdr:sp macro="" textlink="">
      <xdr:nvSpPr>
        <xdr:cNvPr id="241" name="左矢印 240">
          <a:extLst>
            <a:ext uri="{FF2B5EF4-FFF2-40B4-BE49-F238E27FC236}">
              <a16:creationId xmlns:a16="http://schemas.microsoft.com/office/drawing/2014/main" id="{00000000-0008-0000-4100-0000F1000000}"/>
            </a:ext>
          </a:extLst>
        </xdr:cNvPr>
        <xdr:cNvSpPr/>
      </xdr:nvSpPr>
      <xdr:spPr>
        <a:xfrm>
          <a:off x="10257313" y="343195077"/>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966</xdr:row>
      <xdr:rowOff>129886</xdr:rowOff>
    </xdr:from>
    <xdr:to>
      <xdr:col>24</xdr:col>
      <xdr:colOff>707572</xdr:colOff>
      <xdr:row>968</xdr:row>
      <xdr:rowOff>140226</xdr:rowOff>
    </xdr:to>
    <xdr:sp macro="" textlink="">
      <xdr:nvSpPr>
        <xdr:cNvPr id="242" name="角丸四角形吹き出し 241">
          <a:extLst>
            <a:ext uri="{FF2B5EF4-FFF2-40B4-BE49-F238E27FC236}">
              <a16:creationId xmlns:a16="http://schemas.microsoft.com/office/drawing/2014/main" id="{00000000-0008-0000-4100-0000F2000000}"/>
            </a:ext>
          </a:extLst>
        </xdr:cNvPr>
        <xdr:cNvSpPr/>
      </xdr:nvSpPr>
      <xdr:spPr>
        <a:xfrm>
          <a:off x="10460182" y="343029886"/>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twoCellAnchor>
    <xdr:from>
      <xdr:col>15</xdr:col>
      <xdr:colOff>3156858</xdr:colOff>
      <xdr:row>991</xdr:row>
      <xdr:rowOff>277759</xdr:rowOff>
    </xdr:from>
    <xdr:to>
      <xdr:col>16</xdr:col>
      <xdr:colOff>0</xdr:colOff>
      <xdr:row>992</xdr:row>
      <xdr:rowOff>91794</xdr:rowOff>
    </xdr:to>
    <xdr:sp macro="" textlink="">
      <xdr:nvSpPr>
        <xdr:cNvPr id="243" name="左矢印 242">
          <a:extLst>
            <a:ext uri="{FF2B5EF4-FFF2-40B4-BE49-F238E27FC236}">
              <a16:creationId xmlns:a16="http://schemas.microsoft.com/office/drawing/2014/main" id="{00000000-0008-0000-4100-0000F3000000}"/>
            </a:ext>
          </a:extLst>
        </xdr:cNvPr>
        <xdr:cNvSpPr/>
      </xdr:nvSpPr>
      <xdr:spPr>
        <a:xfrm>
          <a:off x="10257313" y="352044668"/>
          <a:ext cx="202869" cy="125762"/>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0</xdr:colOff>
      <xdr:row>991</xdr:row>
      <xdr:rowOff>112568</xdr:rowOff>
    </xdr:from>
    <xdr:to>
      <xdr:col>24</xdr:col>
      <xdr:colOff>707572</xdr:colOff>
      <xdr:row>993</xdr:row>
      <xdr:rowOff>122908</xdr:rowOff>
    </xdr:to>
    <xdr:sp macro="" textlink="">
      <xdr:nvSpPr>
        <xdr:cNvPr id="244" name="角丸四角形吹き出し 243">
          <a:extLst>
            <a:ext uri="{FF2B5EF4-FFF2-40B4-BE49-F238E27FC236}">
              <a16:creationId xmlns:a16="http://schemas.microsoft.com/office/drawing/2014/main" id="{00000000-0008-0000-4100-0000F4000000}"/>
            </a:ext>
          </a:extLst>
        </xdr:cNvPr>
        <xdr:cNvSpPr/>
      </xdr:nvSpPr>
      <xdr:spPr>
        <a:xfrm>
          <a:off x="10460182" y="351879477"/>
          <a:ext cx="2924299" cy="6337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原単位の記入欄、目標の進捗及び達成状況の説明の記入欄については計画作成時に目標を設定していない場合は記入ができません。</a:t>
          </a:r>
          <a:endParaRPr kumimoji="1" lang="en-US" altLang="ja-JP" sz="1000" b="0">
            <a:solidFill>
              <a:schemeClr val="tx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19050</xdr:rowOff>
        </xdr:from>
        <xdr:to>
          <xdr:col>4</xdr:col>
          <xdr:colOff>19050</xdr:colOff>
          <xdr:row>18</xdr:row>
          <xdr:rowOff>323850</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42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xdr:row>
          <xdr:rowOff>28575</xdr:rowOff>
        </xdr:from>
        <xdr:to>
          <xdr:col>4</xdr:col>
          <xdr:colOff>0</xdr:colOff>
          <xdr:row>19</xdr:row>
          <xdr:rowOff>295275</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42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20</xdr:row>
          <xdr:rowOff>66675</xdr:rowOff>
        </xdr:from>
        <xdr:to>
          <xdr:col>4</xdr:col>
          <xdr:colOff>19050</xdr:colOff>
          <xdr:row>20</xdr:row>
          <xdr:rowOff>295275</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4200-00000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21</xdr:row>
          <xdr:rowOff>66675</xdr:rowOff>
        </xdr:from>
        <xdr:to>
          <xdr:col>9</xdr:col>
          <xdr:colOff>276225</xdr:colOff>
          <xdr:row>21</xdr:row>
          <xdr:rowOff>295275</xdr:rowOff>
        </xdr:to>
        <xdr:sp macro="" textlink="">
          <xdr:nvSpPr>
            <xdr:cNvPr id="78856" name="Check Box 8" hidden="1">
              <a:extLst>
                <a:ext uri="{63B3BB69-23CF-44E3-9099-C40C66FF867C}">
                  <a14:compatExt spid="_x0000_s78856"/>
                </a:ext>
                <a:ext uri="{FF2B5EF4-FFF2-40B4-BE49-F238E27FC236}">
                  <a16:creationId xmlns:a16="http://schemas.microsoft.com/office/drawing/2014/main" id="{00000000-0008-0000-4200-00000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21</xdr:row>
          <xdr:rowOff>47625</xdr:rowOff>
        </xdr:from>
        <xdr:to>
          <xdr:col>12</xdr:col>
          <xdr:colOff>0</xdr:colOff>
          <xdr:row>21</xdr:row>
          <xdr:rowOff>276225</xdr:rowOff>
        </xdr:to>
        <xdr:sp macro="" textlink="">
          <xdr:nvSpPr>
            <xdr:cNvPr id="78857" name="Check Box 9" hidden="1">
              <a:extLst>
                <a:ext uri="{63B3BB69-23CF-44E3-9099-C40C66FF867C}">
                  <a14:compatExt spid="_x0000_s78857"/>
                </a:ext>
                <a:ext uri="{FF2B5EF4-FFF2-40B4-BE49-F238E27FC236}">
                  <a16:creationId xmlns:a16="http://schemas.microsoft.com/office/drawing/2014/main" id="{00000000-0008-0000-4200-00000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66675</xdr:rowOff>
        </xdr:from>
        <xdr:to>
          <xdr:col>4</xdr:col>
          <xdr:colOff>19050</xdr:colOff>
          <xdr:row>21</xdr:row>
          <xdr:rowOff>295275</xdr:rowOff>
        </xdr:to>
        <xdr:sp macro="" textlink="">
          <xdr:nvSpPr>
            <xdr:cNvPr id="78859" name="Check Box 11" hidden="1">
              <a:extLst>
                <a:ext uri="{63B3BB69-23CF-44E3-9099-C40C66FF867C}">
                  <a14:compatExt spid="_x0000_s78859"/>
                </a:ext>
                <a:ext uri="{FF2B5EF4-FFF2-40B4-BE49-F238E27FC236}">
                  <a16:creationId xmlns:a16="http://schemas.microsoft.com/office/drawing/2014/main" id="{00000000-0008-0000-4200-00000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313027</xdr:colOff>
      <xdr:row>3</xdr:row>
      <xdr:rowOff>156575</xdr:rowOff>
    </xdr:from>
    <xdr:to>
      <xdr:col>48</xdr:col>
      <xdr:colOff>271397</xdr:colOff>
      <xdr:row>5</xdr:row>
      <xdr:rowOff>158563</xdr:rowOff>
    </xdr:to>
    <xdr:sp macro="" textlink="">
      <xdr:nvSpPr>
        <xdr:cNvPr id="8" name="角丸四角形吹き出し 7">
          <a:extLst>
            <a:ext uri="{FF2B5EF4-FFF2-40B4-BE49-F238E27FC236}">
              <a16:creationId xmlns:a16="http://schemas.microsoft.com/office/drawing/2014/main" id="{00000000-0008-0000-4200-000008000000}"/>
            </a:ext>
          </a:extLst>
        </xdr:cNvPr>
        <xdr:cNvSpPr/>
      </xdr:nvSpPr>
      <xdr:spPr>
        <a:xfrm>
          <a:off x="6889191" y="772438"/>
          <a:ext cx="2202617" cy="471714"/>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提出日を必ずご記入ください。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電子申請する日付を記入してください。</a:t>
          </a:r>
          <a:endParaRPr kumimoji="1" lang="en-US" altLang="ja-JP" sz="1000" b="0">
            <a:solidFill>
              <a:schemeClr val="tx1"/>
            </a:solidFill>
            <a:effectLst/>
            <a:latin typeface="+mn-lt"/>
            <a:ea typeface="+mn-ea"/>
            <a:cs typeface="+mn-cs"/>
          </a:endParaRPr>
        </a:p>
      </xdr:txBody>
    </xdr:sp>
    <xdr:clientData/>
  </xdr:twoCellAnchor>
  <xdr:twoCellAnchor>
    <xdr:from>
      <xdr:col>14</xdr:col>
      <xdr:colOff>104384</xdr:colOff>
      <xdr:row>4</xdr:row>
      <xdr:rowOff>99286</xdr:rowOff>
    </xdr:from>
    <xdr:to>
      <xdr:col>14</xdr:col>
      <xdr:colOff>303956</xdr:colOff>
      <xdr:row>4</xdr:row>
      <xdr:rowOff>226286</xdr:rowOff>
    </xdr:to>
    <xdr:sp macro="" textlink="">
      <xdr:nvSpPr>
        <xdr:cNvPr id="9" name="左矢印 8">
          <a:extLst>
            <a:ext uri="{FF2B5EF4-FFF2-40B4-BE49-F238E27FC236}">
              <a16:creationId xmlns:a16="http://schemas.microsoft.com/office/drawing/2014/main" id="{00000000-0008-0000-4200-000009000000}"/>
            </a:ext>
          </a:extLst>
        </xdr:cNvPr>
        <xdr:cNvSpPr/>
      </xdr:nvSpPr>
      <xdr:spPr>
        <a:xfrm>
          <a:off x="6680548" y="944793"/>
          <a:ext cx="199572"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3</xdr:row>
          <xdr:rowOff>85725</xdr:rowOff>
        </xdr:from>
        <xdr:to>
          <xdr:col>1</xdr:col>
          <xdr:colOff>9525</xdr:colOff>
          <xdr:row>3</xdr:row>
          <xdr:rowOff>342900</xdr:rowOff>
        </xdr:to>
        <xdr:sp macro="" textlink="">
          <xdr:nvSpPr>
            <xdr:cNvPr id="256001" name="Check Box 1" hidden="1">
              <a:extLst>
                <a:ext uri="{63B3BB69-23CF-44E3-9099-C40C66FF867C}">
                  <a14:compatExt spid="_x0000_s256001"/>
                </a:ext>
                <a:ext uri="{FF2B5EF4-FFF2-40B4-BE49-F238E27FC236}">
                  <a16:creationId xmlns:a16="http://schemas.microsoft.com/office/drawing/2014/main" id="{00000000-0008-0000-4300-000001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xdr:row>
          <xdr:rowOff>66675</xdr:rowOff>
        </xdr:from>
        <xdr:to>
          <xdr:col>1</xdr:col>
          <xdr:colOff>9525</xdr:colOff>
          <xdr:row>5</xdr:row>
          <xdr:rowOff>295275</xdr:rowOff>
        </xdr:to>
        <xdr:sp macro="" textlink="">
          <xdr:nvSpPr>
            <xdr:cNvPr id="256002" name="Check Box 2" hidden="1">
              <a:extLst>
                <a:ext uri="{63B3BB69-23CF-44E3-9099-C40C66FF867C}">
                  <a14:compatExt spid="_x0000_s256002"/>
                </a:ext>
                <a:ext uri="{FF2B5EF4-FFF2-40B4-BE49-F238E27FC236}">
                  <a16:creationId xmlns:a16="http://schemas.microsoft.com/office/drawing/2014/main" id="{00000000-0008-0000-4300-000002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7</xdr:row>
          <xdr:rowOff>85725</xdr:rowOff>
        </xdr:from>
        <xdr:to>
          <xdr:col>1</xdr:col>
          <xdr:colOff>19050</xdr:colOff>
          <xdr:row>7</xdr:row>
          <xdr:rowOff>342900</xdr:rowOff>
        </xdr:to>
        <xdr:sp macro="" textlink="">
          <xdr:nvSpPr>
            <xdr:cNvPr id="256003" name="Check Box 3" hidden="1">
              <a:extLst>
                <a:ext uri="{63B3BB69-23CF-44E3-9099-C40C66FF867C}">
                  <a14:compatExt spid="_x0000_s256003"/>
                </a:ext>
                <a:ext uri="{FF2B5EF4-FFF2-40B4-BE49-F238E27FC236}">
                  <a16:creationId xmlns:a16="http://schemas.microsoft.com/office/drawing/2014/main" id="{00000000-0008-0000-4300-00000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0</xdr:col>
      <xdr:colOff>0</xdr:colOff>
      <xdr:row>11</xdr:row>
      <xdr:rowOff>0</xdr:rowOff>
    </xdr:from>
    <xdr:to>
      <xdr:col>0</xdr:col>
      <xdr:colOff>0</xdr:colOff>
      <xdr:row>11</xdr:row>
      <xdr:rowOff>0</xdr:rowOff>
    </xdr:to>
    <xdr:sp macro="" textlink="">
      <xdr:nvSpPr>
        <xdr:cNvPr id="2" name="Line 1">
          <a:extLst>
            <a:ext uri="{FF2B5EF4-FFF2-40B4-BE49-F238E27FC236}">
              <a16:creationId xmlns:a16="http://schemas.microsoft.com/office/drawing/2014/main" id="{00000000-0008-0000-4400-000002000000}"/>
            </a:ext>
          </a:extLst>
        </xdr:cNvPr>
        <xdr:cNvSpPr>
          <a:spLocks noChangeShapeType="1"/>
        </xdr:cNvSpPr>
      </xdr:nvSpPr>
      <xdr:spPr bwMode="auto">
        <a:xfrm flipV="1">
          <a:off x="0" y="18859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3" name="Line 2">
          <a:extLst>
            <a:ext uri="{FF2B5EF4-FFF2-40B4-BE49-F238E27FC236}">
              <a16:creationId xmlns:a16="http://schemas.microsoft.com/office/drawing/2014/main" id="{00000000-0008-0000-4400-000003000000}"/>
            </a:ext>
          </a:extLst>
        </xdr:cNvPr>
        <xdr:cNvSpPr>
          <a:spLocks noChangeShapeType="1"/>
        </xdr:cNvSpPr>
      </xdr:nvSpPr>
      <xdr:spPr bwMode="auto">
        <a:xfrm flipV="1">
          <a:off x="0" y="18859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4" name="Line 3">
          <a:extLst>
            <a:ext uri="{FF2B5EF4-FFF2-40B4-BE49-F238E27FC236}">
              <a16:creationId xmlns:a16="http://schemas.microsoft.com/office/drawing/2014/main" id="{00000000-0008-0000-4400-000004000000}"/>
            </a:ext>
          </a:extLst>
        </xdr:cNvPr>
        <xdr:cNvSpPr>
          <a:spLocks noChangeShapeType="1"/>
        </xdr:cNvSpPr>
      </xdr:nvSpPr>
      <xdr:spPr bwMode="auto">
        <a:xfrm flipV="1">
          <a:off x="0" y="18859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95250</xdr:colOff>
          <xdr:row>12</xdr:row>
          <xdr:rowOff>209550</xdr:rowOff>
        </xdr:from>
        <xdr:to>
          <xdr:col>6</xdr:col>
          <xdr:colOff>9525</xdr:colOff>
          <xdr:row>14</xdr:row>
          <xdr:rowOff>28575</xdr:rowOff>
        </xdr:to>
        <xdr:sp macro="" textlink="">
          <xdr:nvSpPr>
            <xdr:cNvPr id="79873" name="Option Button 1" hidden="1">
              <a:extLst>
                <a:ext uri="{63B3BB69-23CF-44E3-9099-C40C66FF867C}">
                  <a14:compatExt spid="_x0000_s79873"/>
                </a:ext>
                <a:ext uri="{FF2B5EF4-FFF2-40B4-BE49-F238E27FC236}">
                  <a16:creationId xmlns:a16="http://schemas.microsoft.com/office/drawing/2014/main" id="{00000000-0008-0000-4400-00000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209550</xdr:rowOff>
        </xdr:from>
        <xdr:to>
          <xdr:col>8</xdr:col>
          <xdr:colOff>38100</xdr:colOff>
          <xdr:row>14</xdr:row>
          <xdr:rowOff>28575</xdr:rowOff>
        </xdr:to>
        <xdr:sp macro="" textlink="">
          <xdr:nvSpPr>
            <xdr:cNvPr id="79874" name="Option Button 2" hidden="1">
              <a:extLst>
                <a:ext uri="{63B3BB69-23CF-44E3-9099-C40C66FF867C}">
                  <a14:compatExt spid="_x0000_s79874"/>
                </a:ext>
                <a:ext uri="{FF2B5EF4-FFF2-40B4-BE49-F238E27FC236}">
                  <a16:creationId xmlns:a16="http://schemas.microsoft.com/office/drawing/2014/main" id="{00000000-0008-0000-44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12</xdr:row>
          <xdr:rowOff>133350</xdr:rowOff>
        </xdr:from>
        <xdr:to>
          <xdr:col>9</xdr:col>
          <xdr:colOff>180975</xdr:colOff>
          <xdr:row>14</xdr:row>
          <xdr:rowOff>114300</xdr:rowOff>
        </xdr:to>
        <xdr:sp macro="" textlink="">
          <xdr:nvSpPr>
            <xdr:cNvPr id="79875" name="Group Box 3" hidden="1">
              <a:extLst>
                <a:ext uri="{63B3BB69-23CF-44E3-9099-C40C66FF867C}">
                  <a14:compatExt spid="_x0000_s79875"/>
                </a:ext>
                <a:ext uri="{FF2B5EF4-FFF2-40B4-BE49-F238E27FC236}">
                  <a16:creationId xmlns:a16="http://schemas.microsoft.com/office/drawing/2014/main" id="{00000000-0008-0000-4400-000003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15</xdr:row>
          <xdr:rowOff>0</xdr:rowOff>
        </xdr:from>
        <xdr:to>
          <xdr:col>6</xdr:col>
          <xdr:colOff>19050</xdr:colOff>
          <xdr:row>16</xdr:row>
          <xdr:rowOff>38100</xdr:rowOff>
        </xdr:to>
        <xdr:sp macro="" textlink="">
          <xdr:nvSpPr>
            <xdr:cNvPr id="79876" name="Option Button 4" hidden="1">
              <a:extLst>
                <a:ext uri="{63B3BB69-23CF-44E3-9099-C40C66FF867C}">
                  <a14:compatExt spid="_x0000_s79876"/>
                </a:ext>
                <a:ext uri="{FF2B5EF4-FFF2-40B4-BE49-F238E27FC236}">
                  <a16:creationId xmlns:a16="http://schemas.microsoft.com/office/drawing/2014/main" id="{00000000-0008-0000-4400-00000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15</xdr:row>
          <xdr:rowOff>0</xdr:rowOff>
        </xdr:from>
        <xdr:to>
          <xdr:col>8</xdr:col>
          <xdr:colOff>47625</xdr:colOff>
          <xdr:row>16</xdr:row>
          <xdr:rowOff>38100</xdr:rowOff>
        </xdr:to>
        <xdr:sp macro="" textlink="">
          <xdr:nvSpPr>
            <xdr:cNvPr id="79877" name="Option Button 5" hidden="1">
              <a:extLst>
                <a:ext uri="{63B3BB69-23CF-44E3-9099-C40C66FF867C}">
                  <a14:compatExt spid="_x0000_s79877"/>
                </a:ext>
                <a:ext uri="{FF2B5EF4-FFF2-40B4-BE49-F238E27FC236}">
                  <a16:creationId xmlns:a16="http://schemas.microsoft.com/office/drawing/2014/main" id="{00000000-0008-0000-4400-00000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19</xdr:row>
          <xdr:rowOff>0</xdr:rowOff>
        </xdr:from>
        <xdr:to>
          <xdr:col>6</xdr:col>
          <xdr:colOff>19050</xdr:colOff>
          <xdr:row>20</xdr:row>
          <xdr:rowOff>28575</xdr:rowOff>
        </xdr:to>
        <xdr:sp macro="" textlink="">
          <xdr:nvSpPr>
            <xdr:cNvPr id="79878" name="Option Button 6" hidden="1">
              <a:extLst>
                <a:ext uri="{63B3BB69-23CF-44E3-9099-C40C66FF867C}">
                  <a14:compatExt spid="_x0000_s79878"/>
                </a:ext>
                <a:ext uri="{FF2B5EF4-FFF2-40B4-BE49-F238E27FC236}">
                  <a16:creationId xmlns:a16="http://schemas.microsoft.com/office/drawing/2014/main" id="{00000000-0008-0000-4400-00000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19</xdr:row>
          <xdr:rowOff>0</xdr:rowOff>
        </xdr:from>
        <xdr:to>
          <xdr:col>8</xdr:col>
          <xdr:colOff>47625</xdr:colOff>
          <xdr:row>20</xdr:row>
          <xdr:rowOff>28575</xdr:rowOff>
        </xdr:to>
        <xdr:sp macro="" textlink="">
          <xdr:nvSpPr>
            <xdr:cNvPr id="79879" name="Option Button 7" hidden="1">
              <a:extLst>
                <a:ext uri="{63B3BB69-23CF-44E3-9099-C40C66FF867C}">
                  <a14:compatExt spid="_x0000_s79879"/>
                </a:ext>
                <a:ext uri="{FF2B5EF4-FFF2-40B4-BE49-F238E27FC236}">
                  <a16:creationId xmlns:a16="http://schemas.microsoft.com/office/drawing/2014/main" id="{00000000-0008-0000-4400-00000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15</xdr:row>
          <xdr:rowOff>0</xdr:rowOff>
        </xdr:from>
        <xdr:to>
          <xdr:col>9</xdr:col>
          <xdr:colOff>95250</xdr:colOff>
          <xdr:row>16</xdr:row>
          <xdr:rowOff>152400</xdr:rowOff>
        </xdr:to>
        <xdr:sp macro="" textlink="">
          <xdr:nvSpPr>
            <xdr:cNvPr id="79880" name="Group Box 8" hidden="1">
              <a:extLst>
                <a:ext uri="{63B3BB69-23CF-44E3-9099-C40C66FF867C}">
                  <a14:compatExt spid="_x0000_s79880"/>
                </a:ext>
                <a:ext uri="{FF2B5EF4-FFF2-40B4-BE49-F238E27FC236}">
                  <a16:creationId xmlns:a16="http://schemas.microsoft.com/office/drawing/2014/main" id="{00000000-0008-0000-4400-000008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19</xdr:row>
          <xdr:rowOff>0</xdr:rowOff>
        </xdr:from>
        <xdr:to>
          <xdr:col>9</xdr:col>
          <xdr:colOff>171450</xdr:colOff>
          <xdr:row>20</xdr:row>
          <xdr:rowOff>219075</xdr:rowOff>
        </xdr:to>
        <xdr:sp macro="" textlink="">
          <xdr:nvSpPr>
            <xdr:cNvPr id="79881" name="Group Box 9" hidden="1">
              <a:extLst>
                <a:ext uri="{63B3BB69-23CF-44E3-9099-C40C66FF867C}">
                  <a14:compatExt spid="_x0000_s79881"/>
                </a:ext>
                <a:ext uri="{FF2B5EF4-FFF2-40B4-BE49-F238E27FC236}">
                  <a16:creationId xmlns:a16="http://schemas.microsoft.com/office/drawing/2014/main" id="{00000000-0008-0000-4400-000009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24</xdr:row>
          <xdr:rowOff>57150</xdr:rowOff>
        </xdr:from>
        <xdr:to>
          <xdr:col>4</xdr:col>
          <xdr:colOff>28575</xdr:colOff>
          <xdr:row>24</xdr:row>
          <xdr:rowOff>333375</xdr:rowOff>
        </xdr:to>
        <xdr:sp macro="" textlink="">
          <xdr:nvSpPr>
            <xdr:cNvPr id="79882" name="Option Button 10" hidden="1">
              <a:extLst>
                <a:ext uri="{63B3BB69-23CF-44E3-9099-C40C66FF867C}">
                  <a14:compatExt spid="_x0000_s79882"/>
                </a:ext>
                <a:ext uri="{FF2B5EF4-FFF2-40B4-BE49-F238E27FC236}">
                  <a16:creationId xmlns:a16="http://schemas.microsoft.com/office/drawing/2014/main" id="{00000000-0008-0000-4400-00000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24</xdr:row>
          <xdr:rowOff>57150</xdr:rowOff>
        </xdr:from>
        <xdr:to>
          <xdr:col>6</xdr:col>
          <xdr:colOff>85725</xdr:colOff>
          <xdr:row>24</xdr:row>
          <xdr:rowOff>333375</xdr:rowOff>
        </xdr:to>
        <xdr:sp macro="" textlink="">
          <xdr:nvSpPr>
            <xdr:cNvPr id="79883" name="Option Button 11" hidden="1">
              <a:extLst>
                <a:ext uri="{63B3BB69-23CF-44E3-9099-C40C66FF867C}">
                  <a14:compatExt spid="_x0000_s79883"/>
                </a:ext>
                <a:ext uri="{FF2B5EF4-FFF2-40B4-BE49-F238E27FC236}">
                  <a16:creationId xmlns:a16="http://schemas.microsoft.com/office/drawing/2014/main" id="{00000000-0008-0000-4400-00000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23</xdr:row>
          <xdr:rowOff>171450</xdr:rowOff>
        </xdr:from>
        <xdr:to>
          <xdr:col>8</xdr:col>
          <xdr:colOff>219075</xdr:colOff>
          <xdr:row>25</xdr:row>
          <xdr:rowOff>180975</xdr:rowOff>
        </xdr:to>
        <xdr:sp macro="" textlink="">
          <xdr:nvSpPr>
            <xdr:cNvPr id="79884" name="Group Box 12" hidden="1">
              <a:extLst>
                <a:ext uri="{63B3BB69-23CF-44E3-9099-C40C66FF867C}">
                  <a14:compatExt spid="_x0000_s79884"/>
                </a:ext>
                <a:ext uri="{FF2B5EF4-FFF2-40B4-BE49-F238E27FC236}">
                  <a16:creationId xmlns:a16="http://schemas.microsoft.com/office/drawing/2014/main" id="{00000000-0008-0000-4400-00000C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19</xdr:col>
      <xdr:colOff>314325</xdr:colOff>
      <xdr:row>25</xdr:row>
      <xdr:rowOff>180975</xdr:rowOff>
    </xdr:from>
    <xdr:to>
      <xdr:col>33</xdr:col>
      <xdr:colOff>476250</xdr:colOff>
      <xdr:row>28</xdr:row>
      <xdr:rowOff>283845</xdr:rowOff>
    </xdr:to>
    <xdr:sp macro="" textlink="">
      <xdr:nvSpPr>
        <xdr:cNvPr id="18" name="角丸四角形吹き出し 2">
          <a:extLst>
            <a:ext uri="{FF2B5EF4-FFF2-40B4-BE49-F238E27FC236}">
              <a16:creationId xmlns:a16="http://schemas.microsoft.com/office/drawing/2014/main" id="{00000000-0008-0000-4400-000012000000}"/>
            </a:ext>
          </a:extLst>
        </xdr:cNvPr>
        <xdr:cNvSpPr/>
      </xdr:nvSpPr>
      <xdr:spPr>
        <a:xfrm>
          <a:off x="7200900" y="9744075"/>
          <a:ext cx="4210050" cy="8362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「導入台数」には、デフォルトで「０」値が入っています。</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「０」値以外の場合、正味の導入台数を次式により</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（導入台数）＝｛（新規台数）＋（転入台数）｝－｛（廃止台数）＋（転出台数）｝</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算出し、記入してください。</a:t>
          </a:r>
          <a:endParaRPr kumimoji="1" lang="en-US" altLang="ja-JP" sz="1000" b="0">
            <a:solidFill>
              <a:schemeClr val="tx1"/>
            </a:solidFill>
            <a:effectLst/>
            <a:latin typeface="+mn-lt"/>
            <a:ea typeface="+mn-ea"/>
            <a:cs typeface="+mn-cs"/>
          </a:endParaRPr>
        </a:p>
      </xdr:txBody>
    </xdr:sp>
    <xdr:clientData/>
  </xdr:twoCellAnchor>
  <xdr:twoCellAnchor>
    <xdr:from>
      <xdr:col>19</xdr:col>
      <xdr:colOff>104775</xdr:colOff>
      <xdr:row>27</xdr:row>
      <xdr:rowOff>152400</xdr:rowOff>
    </xdr:from>
    <xdr:to>
      <xdr:col>19</xdr:col>
      <xdr:colOff>313872</xdr:colOff>
      <xdr:row>27</xdr:row>
      <xdr:rowOff>279400</xdr:rowOff>
    </xdr:to>
    <xdr:sp macro="" textlink="">
      <xdr:nvSpPr>
        <xdr:cNvPr id="19" name="左矢印 1">
          <a:extLst>
            <a:ext uri="{FF2B5EF4-FFF2-40B4-BE49-F238E27FC236}">
              <a16:creationId xmlns:a16="http://schemas.microsoft.com/office/drawing/2014/main" id="{00000000-0008-0000-4400-000013000000}"/>
            </a:ext>
          </a:extLst>
        </xdr:cNvPr>
        <xdr:cNvSpPr/>
      </xdr:nvSpPr>
      <xdr:spPr>
        <a:xfrm>
          <a:off x="6991350" y="10096500"/>
          <a:ext cx="209097"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28575</xdr:colOff>
          <xdr:row>5</xdr:row>
          <xdr:rowOff>66675</xdr:rowOff>
        </xdr:from>
        <xdr:to>
          <xdr:col>8</xdr:col>
          <xdr:colOff>57150</xdr:colOff>
          <xdr:row>5</xdr:row>
          <xdr:rowOff>238125</xdr:rowOff>
        </xdr:to>
        <xdr:sp macro="" textlink="">
          <xdr:nvSpPr>
            <xdr:cNvPr id="80897" name="Option Button 1" hidden="1">
              <a:extLst>
                <a:ext uri="{63B3BB69-23CF-44E3-9099-C40C66FF867C}">
                  <a14:compatExt spid="_x0000_s80897"/>
                </a:ext>
                <a:ext uri="{FF2B5EF4-FFF2-40B4-BE49-F238E27FC236}">
                  <a16:creationId xmlns:a16="http://schemas.microsoft.com/office/drawing/2014/main" id="{00000000-0008-0000-4500-00000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6</xdr:row>
          <xdr:rowOff>66675</xdr:rowOff>
        </xdr:from>
        <xdr:to>
          <xdr:col>8</xdr:col>
          <xdr:colOff>57150</xdr:colOff>
          <xdr:row>6</xdr:row>
          <xdr:rowOff>238125</xdr:rowOff>
        </xdr:to>
        <xdr:sp macro="" textlink="">
          <xdr:nvSpPr>
            <xdr:cNvPr id="80898" name="Option Button 2" hidden="1">
              <a:extLst>
                <a:ext uri="{63B3BB69-23CF-44E3-9099-C40C66FF867C}">
                  <a14:compatExt spid="_x0000_s80898"/>
                </a:ext>
                <a:ext uri="{FF2B5EF4-FFF2-40B4-BE49-F238E27FC236}">
                  <a16:creationId xmlns:a16="http://schemas.microsoft.com/office/drawing/2014/main" id="{00000000-0008-0000-4500-00000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xdr:row>
          <xdr:rowOff>66675</xdr:rowOff>
        </xdr:from>
        <xdr:to>
          <xdr:col>8</xdr:col>
          <xdr:colOff>57150</xdr:colOff>
          <xdr:row>7</xdr:row>
          <xdr:rowOff>238125</xdr:rowOff>
        </xdr:to>
        <xdr:sp macro="" textlink="">
          <xdr:nvSpPr>
            <xdr:cNvPr id="80899" name="Option Button 3" hidden="1">
              <a:extLst>
                <a:ext uri="{63B3BB69-23CF-44E3-9099-C40C66FF867C}">
                  <a14:compatExt spid="_x0000_s80899"/>
                </a:ext>
                <a:ext uri="{FF2B5EF4-FFF2-40B4-BE49-F238E27FC236}">
                  <a16:creationId xmlns:a16="http://schemas.microsoft.com/office/drawing/2014/main" id="{00000000-0008-0000-4500-00000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8</xdr:row>
          <xdr:rowOff>66675</xdr:rowOff>
        </xdr:from>
        <xdr:to>
          <xdr:col>8</xdr:col>
          <xdr:colOff>57150</xdr:colOff>
          <xdr:row>8</xdr:row>
          <xdr:rowOff>238125</xdr:rowOff>
        </xdr:to>
        <xdr:sp macro="" textlink="">
          <xdr:nvSpPr>
            <xdr:cNvPr id="80900" name="Option Button 4" hidden="1">
              <a:extLst>
                <a:ext uri="{63B3BB69-23CF-44E3-9099-C40C66FF867C}">
                  <a14:compatExt spid="_x0000_s80900"/>
                </a:ext>
                <a:ext uri="{FF2B5EF4-FFF2-40B4-BE49-F238E27FC236}">
                  <a16:creationId xmlns:a16="http://schemas.microsoft.com/office/drawing/2014/main" id="{00000000-0008-0000-4500-00000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xdr:row>
          <xdr:rowOff>285750</xdr:rowOff>
        </xdr:from>
        <xdr:to>
          <xdr:col>8</xdr:col>
          <xdr:colOff>685800</xdr:colOff>
          <xdr:row>8</xdr:row>
          <xdr:rowOff>266700</xdr:rowOff>
        </xdr:to>
        <xdr:sp macro="" textlink="">
          <xdr:nvSpPr>
            <xdr:cNvPr id="80901" name="Group Box 5" hidden="1">
              <a:extLst>
                <a:ext uri="{63B3BB69-23CF-44E3-9099-C40C66FF867C}">
                  <a14:compatExt spid="_x0000_s80901"/>
                </a:ext>
                <a:ext uri="{FF2B5EF4-FFF2-40B4-BE49-F238E27FC236}">
                  <a16:creationId xmlns:a16="http://schemas.microsoft.com/office/drawing/2014/main" id="{00000000-0008-0000-4500-000005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xdr:row>
          <xdr:rowOff>66675</xdr:rowOff>
        </xdr:from>
        <xdr:to>
          <xdr:col>10</xdr:col>
          <xdr:colOff>66675</xdr:colOff>
          <xdr:row>5</xdr:row>
          <xdr:rowOff>238125</xdr:rowOff>
        </xdr:to>
        <xdr:sp macro="" textlink="">
          <xdr:nvSpPr>
            <xdr:cNvPr id="80902" name="Option Button 6" hidden="1">
              <a:extLst>
                <a:ext uri="{63B3BB69-23CF-44E3-9099-C40C66FF867C}">
                  <a14:compatExt spid="_x0000_s80902"/>
                </a:ext>
                <a:ext uri="{FF2B5EF4-FFF2-40B4-BE49-F238E27FC236}">
                  <a16:creationId xmlns:a16="http://schemas.microsoft.com/office/drawing/2014/main" id="{00000000-0008-0000-4500-00000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6</xdr:row>
          <xdr:rowOff>66675</xdr:rowOff>
        </xdr:from>
        <xdr:to>
          <xdr:col>10</xdr:col>
          <xdr:colOff>66675</xdr:colOff>
          <xdr:row>6</xdr:row>
          <xdr:rowOff>238125</xdr:rowOff>
        </xdr:to>
        <xdr:sp macro="" textlink="">
          <xdr:nvSpPr>
            <xdr:cNvPr id="80903" name="Option Button 7" hidden="1">
              <a:extLst>
                <a:ext uri="{63B3BB69-23CF-44E3-9099-C40C66FF867C}">
                  <a14:compatExt spid="_x0000_s80903"/>
                </a:ext>
                <a:ext uri="{FF2B5EF4-FFF2-40B4-BE49-F238E27FC236}">
                  <a16:creationId xmlns:a16="http://schemas.microsoft.com/office/drawing/2014/main" id="{00000000-0008-0000-4500-00000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7</xdr:row>
          <xdr:rowOff>66675</xdr:rowOff>
        </xdr:from>
        <xdr:to>
          <xdr:col>10</xdr:col>
          <xdr:colOff>66675</xdr:colOff>
          <xdr:row>7</xdr:row>
          <xdr:rowOff>238125</xdr:rowOff>
        </xdr:to>
        <xdr:sp macro="" textlink="">
          <xdr:nvSpPr>
            <xdr:cNvPr id="80904" name="Option Button 8" hidden="1">
              <a:extLst>
                <a:ext uri="{63B3BB69-23CF-44E3-9099-C40C66FF867C}">
                  <a14:compatExt spid="_x0000_s80904"/>
                </a:ext>
                <a:ext uri="{FF2B5EF4-FFF2-40B4-BE49-F238E27FC236}">
                  <a16:creationId xmlns:a16="http://schemas.microsoft.com/office/drawing/2014/main" id="{00000000-0008-0000-4500-00000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8</xdr:row>
          <xdr:rowOff>66675</xdr:rowOff>
        </xdr:from>
        <xdr:to>
          <xdr:col>10</xdr:col>
          <xdr:colOff>66675</xdr:colOff>
          <xdr:row>8</xdr:row>
          <xdr:rowOff>238125</xdr:rowOff>
        </xdr:to>
        <xdr:sp macro="" textlink="">
          <xdr:nvSpPr>
            <xdr:cNvPr id="80905" name="Option Button 9" hidden="1">
              <a:extLst>
                <a:ext uri="{63B3BB69-23CF-44E3-9099-C40C66FF867C}">
                  <a14:compatExt spid="_x0000_s80905"/>
                </a:ext>
                <a:ext uri="{FF2B5EF4-FFF2-40B4-BE49-F238E27FC236}">
                  <a16:creationId xmlns:a16="http://schemas.microsoft.com/office/drawing/2014/main" id="{00000000-0008-0000-4500-00000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xdr:row>
          <xdr:rowOff>285750</xdr:rowOff>
        </xdr:from>
        <xdr:to>
          <xdr:col>10</xdr:col>
          <xdr:colOff>685800</xdr:colOff>
          <xdr:row>8</xdr:row>
          <xdr:rowOff>266700</xdr:rowOff>
        </xdr:to>
        <xdr:sp macro="" textlink="">
          <xdr:nvSpPr>
            <xdr:cNvPr id="80906" name="Group Box 10" hidden="1">
              <a:extLst>
                <a:ext uri="{63B3BB69-23CF-44E3-9099-C40C66FF867C}">
                  <a14:compatExt spid="_x0000_s80906"/>
                </a:ext>
                <a:ext uri="{FF2B5EF4-FFF2-40B4-BE49-F238E27FC236}">
                  <a16:creationId xmlns:a16="http://schemas.microsoft.com/office/drawing/2014/main" id="{00000000-0008-0000-4500-00000A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9</xdr:row>
          <xdr:rowOff>57150</xdr:rowOff>
        </xdr:from>
        <xdr:to>
          <xdr:col>8</xdr:col>
          <xdr:colOff>57150</xdr:colOff>
          <xdr:row>9</xdr:row>
          <xdr:rowOff>228600</xdr:rowOff>
        </xdr:to>
        <xdr:sp macro="" textlink="">
          <xdr:nvSpPr>
            <xdr:cNvPr id="80907" name="Option Button 11" hidden="1">
              <a:extLst>
                <a:ext uri="{63B3BB69-23CF-44E3-9099-C40C66FF867C}">
                  <a14:compatExt spid="_x0000_s80907"/>
                </a:ext>
                <a:ext uri="{FF2B5EF4-FFF2-40B4-BE49-F238E27FC236}">
                  <a16:creationId xmlns:a16="http://schemas.microsoft.com/office/drawing/2014/main" id="{00000000-0008-0000-4500-00000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10</xdr:row>
          <xdr:rowOff>57150</xdr:rowOff>
        </xdr:from>
        <xdr:to>
          <xdr:col>8</xdr:col>
          <xdr:colOff>57150</xdr:colOff>
          <xdr:row>10</xdr:row>
          <xdr:rowOff>228600</xdr:rowOff>
        </xdr:to>
        <xdr:sp macro="" textlink="">
          <xdr:nvSpPr>
            <xdr:cNvPr id="80908" name="Option Button 12" hidden="1">
              <a:extLst>
                <a:ext uri="{63B3BB69-23CF-44E3-9099-C40C66FF867C}">
                  <a14:compatExt spid="_x0000_s80908"/>
                </a:ext>
                <a:ext uri="{FF2B5EF4-FFF2-40B4-BE49-F238E27FC236}">
                  <a16:creationId xmlns:a16="http://schemas.microsoft.com/office/drawing/2014/main" id="{00000000-0008-0000-4500-00000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11</xdr:row>
          <xdr:rowOff>57150</xdr:rowOff>
        </xdr:from>
        <xdr:to>
          <xdr:col>8</xdr:col>
          <xdr:colOff>57150</xdr:colOff>
          <xdr:row>11</xdr:row>
          <xdr:rowOff>228600</xdr:rowOff>
        </xdr:to>
        <xdr:sp macro="" textlink="">
          <xdr:nvSpPr>
            <xdr:cNvPr id="80909" name="Option Button 13" hidden="1">
              <a:extLst>
                <a:ext uri="{63B3BB69-23CF-44E3-9099-C40C66FF867C}">
                  <a14:compatExt spid="_x0000_s80909"/>
                </a:ext>
                <a:ext uri="{FF2B5EF4-FFF2-40B4-BE49-F238E27FC236}">
                  <a16:creationId xmlns:a16="http://schemas.microsoft.com/office/drawing/2014/main" id="{00000000-0008-0000-4500-00000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12</xdr:row>
          <xdr:rowOff>57150</xdr:rowOff>
        </xdr:from>
        <xdr:to>
          <xdr:col>8</xdr:col>
          <xdr:colOff>57150</xdr:colOff>
          <xdr:row>12</xdr:row>
          <xdr:rowOff>228600</xdr:rowOff>
        </xdr:to>
        <xdr:sp macro="" textlink="">
          <xdr:nvSpPr>
            <xdr:cNvPr id="80910" name="Option Button 14" hidden="1">
              <a:extLst>
                <a:ext uri="{63B3BB69-23CF-44E3-9099-C40C66FF867C}">
                  <a14:compatExt spid="_x0000_s80910"/>
                </a:ext>
                <a:ext uri="{FF2B5EF4-FFF2-40B4-BE49-F238E27FC236}">
                  <a16:creationId xmlns:a16="http://schemas.microsoft.com/office/drawing/2014/main" id="{00000000-0008-0000-4500-00000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xdr:row>
          <xdr:rowOff>0</xdr:rowOff>
        </xdr:from>
        <xdr:to>
          <xdr:col>8</xdr:col>
          <xdr:colOff>685800</xdr:colOff>
          <xdr:row>12</xdr:row>
          <xdr:rowOff>266700</xdr:rowOff>
        </xdr:to>
        <xdr:sp macro="" textlink="">
          <xdr:nvSpPr>
            <xdr:cNvPr id="80911" name="Group Box 15" hidden="1">
              <a:extLst>
                <a:ext uri="{63B3BB69-23CF-44E3-9099-C40C66FF867C}">
                  <a14:compatExt spid="_x0000_s80911"/>
                </a:ext>
                <a:ext uri="{FF2B5EF4-FFF2-40B4-BE49-F238E27FC236}">
                  <a16:creationId xmlns:a16="http://schemas.microsoft.com/office/drawing/2014/main" id="{00000000-0008-0000-4500-00000F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9</xdr:row>
          <xdr:rowOff>57150</xdr:rowOff>
        </xdr:from>
        <xdr:to>
          <xdr:col>10</xdr:col>
          <xdr:colOff>66675</xdr:colOff>
          <xdr:row>9</xdr:row>
          <xdr:rowOff>228600</xdr:rowOff>
        </xdr:to>
        <xdr:sp macro="" textlink="">
          <xdr:nvSpPr>
            <xdr:cNvPr id="80912" name="Option Button 16" hidden="1">
              <a:extLst>
                <a:ext uri="{63B3BB69-23CF-44E3-9099-C40C66FF867C}">
                  <a14:compatExt spid="_x0000_s80912"/>
                </a:ext>
                <a:ext uri="{FF2B5EF4-FFF2-40B4-BE49-F238E27FC236}">
                  <a16:creationId xmlns:a16="http://schemas.microsoft.com/office/drawing/2014/main" id="{00000000-0008-0000-4500-00001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10</xdr:row>
          <xdr:rowOff>57150</xdr:rowOff>
        </xdr:from>
        <xdr:to>
          <xdr:col>10</xdr:col>
          <xdr:colOff>66675</xdr:colOff>
          <xdr:row>10</xdr:row>
          <xdr:rowOff>228600</xdr:rowOff>
        </xdr:to>
        <xdr:sp macro="" textlink="">
          <xdr:nvSpPr>
            <xdr:cNvPr id="80913" name="Option Button 17" hidden="1">
              <a:extLst>
                <a:ext uri="{63B3BB69-23CF-44E3-9099-C40C66FF867C}">
                  <a14:compatExt spid="_x0000_s80913"/>
                </a:ext>
                <a:ext uri="{FF2B5EF4-FFF2-40B4-BE49-F238E27FC236}">
                  <a16:creationId xmlns:a16="http://schemas.microsoft.com/office/drawing/2014/main" id="{00000000-0008-0000-4500-00001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11</xdr:row>
          <xdr:rowOff>57150</xdr:rowOff>
        </xdr:from>
        <xdr:to>
          <xdr:col>10</xdr:col>
          <xdr:colOff>66675</xdr:colOff>
          <xdr:row>11</xdr:row>
          <xdr:rowOff>228600</xdr:rowOff>
        </xdr:to>
        <xdr:sp macro="" textlink="">
          <xdr:nvSpPr>
            <xdr:cNvPr id="80914" name="Option Button 18" hidden="1">
              <a:extLst>
                <a:ext uri="{63B3BB69-23CF-44E3-9099-C40C66FF867C}">
                  <a14:compatExt spid="_x0000_s80914"/>
                </a:ext>
                <a:ext uri="{FF2B5EF4-FFF2-40B4-BE49-F238E27FC236}">
                  <a16:creationId xmlns:a16="http://schemas.microsoft.com/office/drawing/2014/main" id="{00000000-0008-0000-4500-00001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12</xdr:row>
          <xdr:rowOff>57150</xdr:rowOff>
        </xdr:from>
        <xdr:to>
          <xdr:col>10</xdr:col>
          <xdr:colOff>66675</xdr:colOff>
          <xdr:row>12</xdr:row>
          <xdr:rowOff>228600</xdr:rowOff>
        </xdr:to>
        <xdr:sp macro="" textlink="">
          <xdr:nvSpPr>
            <xdr:cNvPr id="80915" name="Option Button 19" hidden="1">
              <a:extLst>
                <a:ext uri="{63B3BB69-23CF-44E3-9099-C40C66FF867C}">
                  <a14:compatExt spid="_x0000_s80915"/>
                </a:ext>
                <a:ext uri="{FF2B5EF4-FFF2-40B4-BE49-F238E27FC236}">
                  <a16:creationId xmlns:a16="http://schemas.microsoft.com/office/drawing/2014/main" id="{00000000-0008-0000-4500-00001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0</xdr:rowOff>
        </xdr:from>
        <xdr:to>
          <xdr:col>10</xdr:col>
          <xdr:colOff>685800</xdr:colOff>
          <xdr:row>12</xdr:row>
          <xdr:rowOff>266700</xdr:rowOff>
        </xdr:to>
        <xdr:sp macro="" textlink="">
          <xdr:nvSpPr>
            <xdr:cNvPr id="80916" name="Group Box 20" hidden="1">
              <a:extLst>
                <a:ext uri="{63B3BB69-23CF-44E3-9099-C40C66FF867C}">
                  <a14:compatExt spid="_x0000_s80916"/>
                </a:ext>
                <a:ext uri="{FF2B5EF4-FFF2-40B4-BE49-F238E27FC236}">
                  <a16:creationId xmlns:a16="http://schemas.microsoft.com/office/drawing/2014/main" id="{00000000-0008-0000-4500-000014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13</xdr:row>
          <xdr:rowOff>47625</xdr:rowOff>
        </xdr:from>
        <xdr:to>
          <xdr:col>8</xdr:col>
          <xdr:colOff>57150</xdr:colOff>
          <xdr:row>13</xdr:row>
          <xdr:rowOff>219075</xdr:rowOff>
        </xdr:to>
        <xdr:sp macro="" textlink="">
          <xdr:nvSpPr>
            <xdr:cNvPr id="80917" name="Option Button 21" hidden="1">
              <a:extLst>
                <a:ext uri="{63B3BB69-23CF-44E3-9099-C40C66FF867C}">
                  <a14:compatExt spid="_x0000_s80917"/>
                </a:ext>
                <a:ext uri="{FF2B5EF4-FFF2-40B4-BE49-F238E27FC236}">
                  <a16:creationId xmlns:a16="http://schemas.microsoft.com/office/drawing/2014/main" id="{00000000-0008-0000-4500-00001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14</xdr:row>
          <xdr:rowOff>47625</xdr:rowOff>
        </xdr:from>
        <xdr:to>
          <xdr:col>8</xdr:col>
          <xdr:colOff>57150</xdr:colOff>
          <xdr:row>14</xdr:row>
          <xdr:rowOff>219075</xdr:rowOff>
        </xdr:to>
        <xdr:sp macro="" textlink="">
          <xdr:nvSpPr>
            <xdr:cNvPr id="80918" name="Option Button 22" hidden="1">
              <a:extLst>
                <a:ext uri="{63B3BB69-23CF-44E3-9099-C40C66FF867C}">
                  <a14:compatExt spid="_x0000_s80918"/>
                </a:ext>
                <a:ext uri="{FF2B5EF4-FFF2-40B4-BE49-F238E27FC236}">
                  <a16:creationId xmlns:a16="http://schemas.microsoft.com/office/drawing/2014/main" id="{00000000-0008-0000-4500-00001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15</xdr:row>
          <xdr:rowOff>47625</xdr:rowOff>
        </xdr:from>
        <xdr:to>
          <xdr:col>8</xdr:col>
          <xdr:colOff>57150</xdr:colOff>
          <xdr:row>15</xdr:row>
          <xdr:rowOff>219075</xdr:rowOff>
        </xdr:to>
        <xdr:sp macro="" textlink="">
          <xdr:nvSpPr>
            <xdr:cNvPr id="80919" name="Option Button 23" hidden="1">
              <a:extLst>
                <a:ext uri="{63B3BB69-23CF-44E3-9099-C40C66FF867C}">
                  <a14:compatExt spid="_x0000_s80919"/>
                </a:ext>
                <a:ext uri="{FF2B5EF4-FFF2-40B4-BE49-F238E27FC236}">
                  <a16:creationId xmlns:a16="http://schemas.microsoft.com/office/drawing/2014/main" id="{00000000-0008-0000-4500-00001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16</xdr:row>
          <xdr:rowOff>47625</xdr:rowOff>
        </xdr:from>
        <xdr:to>
          <xdr:col>8</xdr:col>
          <xdr:colOff>57150</xdr:colOff>
          <xdr:row>16</xdr:row>
          <xdr:rowOff>219075</xdr:rowOff>
        </xdr:to>
        <xdr:sp macro="" textlink="">
          <xdr:nvSpPr>
            <xdr:cNvPr id="80920" name="Option Button 24" hidden="1">
              <a:extLst>
                <a:ext uri="{63B3BB69-23CF-44E3-9099-C40C66FF867C}">
                  <a14:compatExt spid="_x0000_s80920"/>
                </a:ext>
                <a:ext uri="{FF2B5EF4-FFF2-40B4-BE49-F238E27FC236}">
                  <a16:creationId xmlns:a16="http://schemas.microsoft.com/office/drawing/2014/main" id="{00000000-0008-0000-4500-00001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13</xdr:row>
          <xdr:rowOff>0</xdr:rowOff>
        </xdr:from>
        <xdr:to>
          <xdr:col>8</xdr:col>
          <xdr:colOff>685800</xdr:colOff>
          <xdr:row>16</xdr:row>
          <xdr:rowOff>266700</xdr:rowOff>
        </xdr:to>
        <xdr:sp macro="" textlink="">
          <xdr:nvSpPr>
            <xdr:cNvPr id="80921" name="Group Box 25" hidden="1">
              <a:extLst>
                <a:ext uri="{63B3BB69-23CF-44E3-9099-C40C66FF867C}">
                  <a14:compatExt spid="_x0000_s80921"/>
                </a:ext>
                <a:ext uri="{FF2B5EF4-FFF2-40B4-BE49-F238E27FC236}">
                  <a16:creationId xmlns:a16="http://schemas.microsoft.com/office/drawing/2014/main" id="{00000000-0008-0000-4500-000019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13</xdr:row>
          <xdr:rowOff>47625</xdr:rowOff>
        </xdr:from>
        <xdr:to>
          <xdr:col>10</xdr:col>
          <xdr:colOff>66675</xdr:colOff>
          <xdr:row>13</xdr:row>
          <xdr:rowOff>219075</xdr:rowOff>
        </xdr:to>
        <xdr:sp macro="" textlink="">
          <xdr:nvSpPr>
            <xdr:cNvPr id="80922" name="Option Button 26" hidden="1">
              <a:extLst>
                <a:ext uri="{63B3BB69-23CF-44E3-9099-C40C66FF867C}">
                  <a14:compatExt spid="_x0000_s80922"/>
                </a:ext>
                <a:ext uri="{FF2B5EF4-FFF2-40B4-BE49-F238E27FC236}">
                  <a16:creationId xmlns:a16="http://schemas.microsoft.com/office/drawing/2014/main" id="{00000000-0008-0000-4500-00001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14</xdr:row>
          <xdr:rowOff>47625</xdr:rowOff>
        </xdr:from>
        <xdr:to>
          <xdr:col>10</xdr:col>
          <xdr:colOff>66675</xdr:colOff>
          <xdr:row>14</xdr:row>
          <xdr:rowOff>219075</xdr:rowOff>
        </xdr:to>
        <xdr:sp macro="" textlink="">
          <xdr:nvSpPr>
            <xdr:cNvPr id="80923" name="Option Button 27" hidden="1">
              <a:extLst>
                <a:ext uri="{63B3BB69-23CF-44E3-9099-C40C66FF867C}">
                  <a14:compatExt spid="_x0000_s80923"/>
                </a:ext>
                <a:ext uri="{FF2B5EF4-FFF2-40B4-BE49-F238E27FC236}">
                  <a16:creationId xmlns:a16="http://schemas.microsoft.com/office/drawing/2014/main" id="{00000000-0008-0000-4500-00001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15</xdr:row>
          <xdr:rowOff>47625</xdr:rowOff>
        </xdr:from>
        <xdr:to>
          <xdr:col>10</xdr:col>
          <xdr:colOff>66675</xdr:colOff>
          <xdr:row>15</xdr:row>
          <xdr:rowOff>219075</xdr:rowOff>
        </xdr:to>
        <xdr:sp macro="" textlink="">
          <xdr:nvSpPr>
            <xdr:cNvPr id="80924" name="Option Button 28" hidden="1">
              <a:extLst>
                <a:ext uri="{63B3BB69-23CF-44E3-9099-C40C66FF867C}">
                  <a14:compatExt spid="_x0000_s80924"/>
                </a:ext>
                <a:ext uri="{FF2B5EF4-FFF2-40B4-BE49-F238E27FC236}">
                  <a16:creationId xmlns:a16="http://schemas.microsoft.com/office/drawing/2014/main" id="{00000000-0008-0000-4500-00001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9525</xdr:colOff>
          <xdr:row>16</xdr:row>
          <xdr:rowOff>47625</xdr:rowOff>
        </xdr:from>
        <xdr:to>
          <xdr:col>10</xdr:col>
          <xdr:colOff>47625</xdr:colOff>
          <xdr:row>16</xdr:row>
          <xdr:rowOff>219075</xdr:rowOff>
        </xdr:to>
        <xdr:sp macro="" textlink="">
          <xdr:nvSpPr>
            <xdr:cNvPr id="80925" name="Option Button 29" hidden="1">
              <a:extLst>
                <a:ext uri="{63B3BB69-23CF-44E3-9099-C40C66FF867C}">
                  <a14:compatExt spid="_x0000_s80925"/>
                </a:ext>
                <a:ext uri="{FF2B5EF4-FFF2-40B4-BE49-F238E27FC236}">
                  <a16:creationId xmlns:a16="http://schemas.microsoft.com/office/drawing/2014/main" id="{00000000-0008-0000-4500-00001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17</xdr:row>
          <xdr:rowOff>38100</xdr:rowOff>
        </xdr:from>
        <xdr:to>
          <xdr:col>8</xdr:col>
          <xdr:colOff>57150</xdr:colOff>
          <xdr:row>17</xdr:row>
          <xdr:rowOff>209550</xdr:rowOff>
        </xdr:to>
        <xdr:sp macro="" textlink="">
          <xdr:nvSpPr>
            <xdr:cNvPr id="80926" name="Option Button 30" hidden="1">
              <a:extLst>
                <a:ext uri="{63B3BB69-23CF-44E3-9099-C40C66FF867C}">
                  <a14:compatExt spid="_x0000_s80926"/>
                </a:ext>
                <a:ext uri="{FF2B5EF4-FFF2-40B4-BE49-F238E27FC236}">
                  <a16:creationId xmlns:a16="http://schemas.microsoft.com/office/drawing/2014/main" id="{00000000-0008-0000-4500-00001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18</xdr:row>
          <xdr:rowOff>38100</xdr:rowOff>
        </xdr:from>
        <xdr:to>
          <xdr:col>8</xdr:col>
          <xdr:colOff>57150</xdr:colOff>
          <xdr:row>18</xdr:row>
          <xdr:rowOff>209550</xdr:rowOff>
        </xdr:to>
        <xdr:sp macro="" textlink="">
          <xdr:nvSpPr>
            <xdr:cNvPr id="80927" name="Option Button 31" hidden="1">
              <a:extLst>
                <a:ext uri="{63B3BB69-23CF-44E3-9099-C40C66FF867C}">
                  <a14:compatExt spid="_x0000_s80927"/>
                </a:ext>
                <a:ext uri="{FF2B5EF4-FFF2-40B4-BE49-F238E27FC236}">
                  <a16:creationId xmlns:a16="http://schemas.microsoft.com/office/drawing/2014/main" id="{00000000-0008-0000-4500-00001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19</xdr:row>
          <xdr:rowOff>38100</xdr:rowOff>
        </xdr:from>
        <xdr:to>
          <xdr:col>8</xdr:col>
          <xdr:colOff>57150</xdr:colOff>
          <xdr:row>19</xdr:row>
          <xdr:rowOff>209550</xdr:rowOff>
        </xdr:to>
        <xdr:sp macro="" textlink="">
          <xdr:nvSpPr>
            <xdr:cNvPr id="80928" name="Option Button 32" hidden="1">
              <a:extLst>
                <a:ext uri="{63B3BB69-23CF-44E3-9099-C40C66FF867C}">
                  <a14:compatExt spid="_x0000_s80928"/>
                </a:ext>
                <a:ext uri="{FF2B5EF4-FFF2-40B4-BE49-F238E27FC236}">
                  <a16:creationId xmlns:a16="http://schemas.microsoft.com/office/drawing/2014/main" id="{00000000-0008-0000-4500-00002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20</xdr:row>
          <xdr:rowOff>38100</xdr:rowOff>
        </xdr:from>
        <xdr:to>
          <xdr:col>8</xdr:col>
          <xdr:colOff>57150</xdr:colOff>
          <xdr:row>20</xdr:row>
          <xdr:rowOff>209550</xdr:rowOff>
        </xdr:to>
        <xdr:sp macro="" textlink="">
          <xdr:nvSpPr>
            <xdr:cNvPr id="80929" name="Option Button 33" hidden="1">
              <a:extLst>
                <a:ext uri="{63B3BB69-23CF-44E3-9099-C40C66FF867C}">
                  <a14:compatExt spid="_x0000_s80929"/>
                </a:ext>
                <a:ext uri="{FF2B5EF4-FFF2-40B4-BE49-F238E27FC236}">
                  <a16:creationId xmlns:a16="http://schemas.microsoft.com/office/drawing/2014/main" id="{00000000-0008-0000-4500-00002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17</xdr:row>
          <xdr:rowOff>0</xdr:rowOff>
        </xdr:from>
        <xdr:to>
          <xdr:col>8</xdr:col>
          <xdr:colOff>685800</xdr:colOff>
          <xdr:row>20</xdr:row>
          <xdr:rowOff>266700</xdr:rowOff>
        </xdr:to>
        <xdr:sp macro="" textlink="">
          <xdr:nvSpPr>
            <xdr:cNvPr id="80930" name="Group Box 34" hidden="1">
              <a:extLst>
                <a:ext uri="{63B3BB69-23CF-44E3-9099-C40C66FF867C}">
                  <a14:compatExt spid="_x0000_s80930"/>
                </a:ext>
                <a:ext uri="{FF2B5EF4-FFF2-40B4-BE49-F238E27FC236}">
                  <a16:creationId xmlns:a16="http://schemas.microsoft.com/office/drawing/2014/main" id="{00000000-0008-0000-4500-000022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17</xdr:row>
          <xdr:rowOff>38100</xdr:rowOff>
        </xdr:from>
        <xdr:to>
          <xdr:col>10</xdr:col>
          <xdr:colOff>66675</xdr:colOff>
          <xdr:row>17</xdr:row>
          <xdr:rowOff>209550</xdr:rowOff>
        </xdr:to>
        <xdr:sp macro="" textlink="">
          <xdr:nvSpPr>
            <xdr:cNvPr id="80931" name="Option Button 35" hidden="1">
              <a:extLst>
                <a:ext uri="{63B3BB69-23CF-44E3-9099-C40C66FF867C}">
                  <a14:compatExt spid="_x0000_s80931"/>
                </a:ext>
                <a:ext uri="{FF2B5EF4-FFF2-40B4-BE49-F238E27FC236}">
                  <a16:creationId xmlns:a16="http://schemas.microsoft.com/office/drawing/2014/main" id="{00000000-0008-0000-4500-00002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18</xdr:row>
          <xdr:rowOff>38100</xdr:rowOff>
        </xdr:from>
        <xdr:to>
          <xdr:col>10</xdr:col>
          <xdr:colOff>66675</xdr:colOff>
          <xdr:row>18</xdr:row>
          <xdr:rowOff>209550</xdr:rowOff>
        </xdr:to>
        <xdr:sp macro="" textlink="">
          <xdr:nvSpPr>
            <xdr:cNvPr id="80932" name="Option Button 36" hidden="1">
              <a:extLst>
                <a:ext uri="{63B3BB69-23CF-44E3-9099-C40C66FF867C}">
                  <a14:compatExt spid="_x0000_s80932"/>
                </a:ext>
                <a:ext uri="{FF2B5EF4-FFF2-40B4-BE49-F238E27FC236}">
                  <a16:creationId xmlns:a16="http://schemas.microsoft.com/office/drawing/2014/main" id="{00000000-0008-0000-4500-00002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19</xdr:row>
          <xdr:rowOff>38100</xdr:rowOff>
        </xdr:from>
        <xdr:to>
          <xdr:col>10</xdr:col>
          <xdr:colOff>66675</xdr:colOff>
          <xdr:row>19</xdr:row>
          <xdr:rowOff>209550</xdr:rowOff>
        </xdr:to>
        <xdr:sp macro="" textlink="">
          <xdr:nvSpPr>
            <xdr:cNvPr id="80933" name="Option Button 37" hidden="1">
              <a:extLst>
                <a:ext uri="{63B3BB69-23CF-44E3-9099-C40C66FF867C}">
                  <a14:compatExt spid="_x0000_s80933"/>
                </a:ext>
                <a:ext uri="{FF2B5EF4-FFF2-40B4-BE49-F238E27FC236}">
                  <a16:creationId xmlns:a16="http://schemas.microsoft.com/office/drawing/2014/main" id="{00000000-0008-0000-4500-00002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20</xdr:row>
          <xdr:rowOff>38100</xdr:rowOff>
        </xdr:from>
        <xdr:to>
          <xdr:col>10</xdr:col>
          <xdr:colOff>66675</xdr:colOff>
          <xdr:row>20</xdr:row>
          <xdr:rowOff>209550</xdr:rowOff>
        </xdr:to>
        <xdr:sp macro="" textlink="">
          <xdr:nvSpPr>
            <xdr:cNvPr id="80934" name="Option Button 38" hidden="1">
              <a:extLst>
                <a:ext uri="{63B3BB69-23CF-44E3-9099-C40C66FF867C}">
                  <a14:compatExt spid="_x0000_s80934"/>
                </a:ext>
                <a:ext uri="{FF2B5EF4-FFF2-40B4-BE49-F238E27FC236}">
                  <a16:creationId xmlns:a16="http://schemas.microsoft.com/office/drawing/2014/main" id="{00000000-0008-0000-4500-00002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17</xdr:row>
          <xdr:rowOff>0</xdr:rowOff>
        </xdr:from>
        <xdr:to>
          <xdr:col>10</xdr:col>
          <xdr:colOff>685800</xdr:colOff>
          <xdr:row>20</xdr:row>
          <xdr:rowOff>266700</xdr:rowOff>
        </xdr:to>
        <xdr:sp macro="" textlink="">
          <xdr:nvSpPr>
            <xdr:cNvPr id="80935" name="Group Box 39" hidden="1">
              <a:extLst>
                <a:ext uri="{63B3BB69-23CF-44E3-9099-C40C66FF867C}">
                  <a14:compatExt spid="_x0000_s80935"/>
                </a:ext>
                <a:ext uri="{FF2B5EF4-FFF2-40B4-BE49-F238E27FC236}">
                  <a16:creationId xmlns:a16="http://schemas.microsoft.com/office/drawing/2014/main" id="{00000000-0008-0000-4500-000027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19050</xdr:rowOff>
        </xdr:from>
        <xdr:to>
          <xdr:col>10</xdr:col>
          <xdr:colOff>666750</xdr:colOff>
          <xdr:row>16</xdr:row>
          <xdr:rowOff>238125</xdr:rowOff>
        </xdr:to>
        <xdr:sp macro="" textlink="">
          <xdr:nvSpPr>
            <xdr:cNvPr id="80936" name="Group Box 40" hidden="1">
              <a:extLst>
                <a:ext uri="{63B3BB69-23CF-44E3-9099-C40C66FF867C}">
                  <a14:compatExt spid="_x0000_s80936"/>
                </a:ext>
                <a:ext uri="{FF2B5EF4-FFF2-40B4-BE49-F238E27FC236}">
                  <a16:creationId xmlns:a16="http://schemas.microsoft.com/office/drawing/2014/main" id="{00000000-0008-0000-4500-000028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21</xdr:row>
          <xdr:rowOff>47625</xdr:rowOff>
        </xdr:from>
        <xdr:to>
          <xdr:col>8</xdr:col>
          <xdr:colOff>57150</xdr:colOff>
          <xdr:row>21</xdr:row>
          <xdr:rowOff>219075</xdr:rowOff>
        </xdr:to>
        <xdr:sp macro="" textlink="">
          <xdr:nvSpPr>
            <xdr:cNvPr id="80937" name="Option Button 41" hidden="1">
              <a:extLst>
                <a:ext uri="{63B3BB69-23CF-44E3-9099-C40C66FF867C}">
                  <a14:compatExt spid="_x0000_s80937"/>
                </a:ext>
                <a:ext uri="{FF2B5EF4-FFF2-40B4-BE49-F238E27FC236}">
                  <a16:creationId xmlns:a16="http://schemas.microsoft.com/office/drawing/2014/main" id="{00000000-0008-0000-4500-00002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22</xdr:row>
          <xdr:rowOff>47625</xdr:rowOff>
        </xdr:from>
        <xdr:to>
          <xdr:col>8</xdr:col>
          <xdr:colOff>57150</xdr:colOff>
          <xdr:row>22</xdr:row>
          <xdr:rowOff>219075</xdr:rowOff>
        </xdr:to>
        <xdr:sp macro="" textlink="">
          <xdr:nvSpPr>
            <xdr:cNvPr id="80938" name="Option Button 42" hidden="1">
              <a:extLst>
                <a:ext uri="{63B3BB69-23CF-44E3-9099-C40C66FF867C}">
                  <a14:compatExt spid="_x0000_s80938"/>
                </a:ext>
                <a:ext uri="{FF2B5EF4-FFF2-40B4-BE49-F238E27FC236}">
                  <a16:creationId xmlns:a16="http://schemas.microsoft.com/office/drawing/2014/main" id="{00000000-0008-0000-4500-00002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23</xdr:row>
          <xdr:rowOff>47625</xdr:rowOff>
        </xdr:from>
        <xdr:to>
          <xdr:col>8</xdr:col>
          <xdr:colOff>57150</xdr:colOff>
          <xdr:row>23</xdr:row>
          <xdr:rowOff>219075</xdr:rowOff>
        </xdr:to>
        <xdr:sp macro="" textlink="">
          <xdr:nvSpPr>
            <xdr:cNvPr id="80939" name="Option Button 43" hidden="1">
              <a:extLst>
                <a:ext uri="{63B3BB69-23CF-44E3-9099-C40C66FF867C}">
                  <a14:compatExt spid="_x0000_s80939"/>
                </a:ext>
                <a:ext uri="{FF2B5EF4-FFF2-40B4-BE49-F238E27FC236}">
                  <a16:creationId xmlns:a16="http://schemas.microsoft.com/office/drawing/2014/main" id="{00000000-0008-0000-4500-00002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24</xdr:row>
          <xdr:rowOff>47625</xdr:rowOff>
        </xdr:from>
        <xdr:to>
          <xdr:col>8</xdr:col>
          <xdr:colOff>57150</xdr:colOff>
          <xdr:row>24</xdr:row>
          <xdr:rowOff>219075</xdr:rowOff>
        </xdr:to>
        <xdr:sp macro="" textlink="">
          <xdr:nvSpPr>
            <xdr:cNvPr id="80940" name="Option Button 44" hidden="1">
              <a:extLst>
                <a:ext uri="{63B3BB69-23CF-44E3-9099-C40C66FF867C}">
                  <a14:compatExt spid="_x0000_s80940"/>
                </a:ext>
                <a:ext uri="{FF2B5EF4-FFF2-40B4-BE49-F238E27FC236}">
                  <a16:creationId xmlns:a16="http://schemas.microsoft.com/office/drawing/2014/main" id="{00000000-0008-0000-4500-00002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21</xdr:row>
          <xdr:rowOff>0</xdr:rowOff>
        </xdr:from>
        <xdr:to>
          <xdr:col>8</xdr:col>
          <xdr:colOff>685800</xdr:colOff>
          <xdr:row>24</xdr:row>
          <xdr:rowOff>266700</xdr:rowOff>
        </xdr:to>
        <xdr:sp macro="" textlink="">
          <xdr:nvSpPr>
            <xdr:cNvPr id="80941" name="Group Box 45" hidden="1">
              <a:extLst>
                <a:ext uri="{63B3BB69-23CF-44E3-9099-C40C66FF867C}">
                  <a14:compatExt spid="_x0000_s80941"/>
                </a:ext>
                <a:ext uri="{FF2B5EF4-FFF2-40B4-BE49-F238E27FC236}">
                  <a16:creationId xmlns:a16="http://schemas.microsoft.com/office/drawing/2014/main" id="{00000000-0008-0000-4500-00002D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21</xdr:row>
          <xdr:rowOff>47625</xdr:rowOff>
        </xdr:from>
        <xdr:to>
          <xdr:col>10</xdr:col>
          <xdr:colOff>66675</xdr:colOff>
          <xdr:row>21</xdr:row>
          <xdr:rowOff>219075</xdr:rowOff>
        </xdr:to>
        <xdr:sp macro="" textlink="">
          <xdr:nvSpPr>
            <xdr:cNvPr id="80942" name="Option Button 46" hidden="1">
              <a:extLst>
                <a:ext uri="{63B3BB69-23CF-44E3-9099-C40C66FF867C}">
                  <a14:compatExt spid="_x0000_s80942"/>
                </a:ext>
                <a:ext uri="{FF2B5EF4-FFF2-40B4-BE49-F238E27FC236}">
                  <a16:creationId xmlns:a16="http://schemas.microsoft.com/office/drawing/2014/main" id="{00000000-0008-0000-4500-00002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22</xdr:row>
          <xdr:rowOff>38100</xdr:rowOff>
        </xdr:from>
        <xdr:to>
          <xdr:col>10</xdr:col>
          <xdr:colOff>66675</xdr:colOff>
          <xdr:row>22</xdr:row>
          <xdr:rowOff>209550</xdr:rowOff>
        </xdr:to>
        <xdr:sp macro="" textlink="">
          <xdr:nvSpPr>
            <xdr:cNvPr id="80943" name="Option Button 47" hidden="1">
              <a:extLst>
                <a:ext uri="{63B3BB69-23CF-44E3-9099-C40C66FF867C}">
                  <a14:compatExt spid="_x0000_s80943"/>
                </a:ext>
                <a:ext uri="{FF2B5EF4-FFF2-40B4-BE49-F238E27FC236}">
                  <a16:creationId xmlns:a16="http://schemas.microsoft.com/office/drawing/2014/main" id="{00000000-0008-0000-4500-00002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23</xdr:row>
          <xdr:rowOff>28575</xdr:rowOff>
        </xdr:from>
        <xdr:to>
          <xdr:col>10</xdr:col>
          <xdr:colOff>66675</xdr:colOff>
          <xdr:row>23</xdr:row>
          <xdr:rowOff>200025</xdr:rowOff>
        </xdr:to>
        <xdr:sp macro="" textlink="">
          <xdr:nvSpPr>
            <xdr:cNvPr id="80944" name="Option Button 48" hidden="1">
              <a:extLst>
                <a:ext uri="{63B3BB69-23CF-44E3-9099-C40C66FF867C}">
                  <a14:compatExt spid="_x0000_s80944"/>
                </a:ext>
                <a:ext uri="{FF2B5EF4-FFF2-40B4-BE49-F238E27FC236}">
                  <a16:creationId xmlns:a16="http://schemas.microsoft.com/office/drawing/2014/main" id="{00000000-0008-0000-4500-00003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24</xdr:row>
          <xdr:rowOff>38100</xdr:rowOff>
        </xdr:from>
        <xdr:to>
          <xdr:col>10</xdr:col>
          <xdr:colOff>66675</xdr:colOff>
          <xdr:row>24</xdr:row>
          <xdr:rowOff>209550</xdr:rowOff>
        </xdr:to>
        <xdr:sp macro="" textlink="">
          <xdr:nvSpPr>
            <xdr:cNvPr id="80945" name="Option Button 49" hidden="1">
              <a:extLst>
                <a:ext uri="{63B3BB69-23CF-44E3-9099-C40C66FF867C}">
                  <a14:compatExt spid="_x0000_s80945"/>
                </a:ext>
                <a:ext uri="{FF2B5EF4-FFF2-40B4-BE49-F238E27FC236}">
                  <a16:creationId xmlns:a16="http://schemas.microsoft.com/office/drawing/2014/main" id="{00000000-0008-0000-4500-00003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xdr:row>
          <xdr:rowOff>0</xdr:rowOff>
        </xdr:from>
        <xdr:to>
          <xdr:col>10</xdr:col>
          <xdr:colOff>685800</xdr:colOff>
          <xdr:row>24</xdr:row>
          <xdr:rowOff>266700</xdr:rowOff>
        </xdr:to>
        <xdr:sp macro="" textlink="">
          <xdr:nvSpPr>
            <xdr:cNvPr id="80946" name="Group Box 50" hidden="1">
              <a:extLst>
                <a:ext uri="{63B3BB69-23CF-44E3-9099-C40C66FF867C}">
                  <a14:compatExt spid="_x0000_s80946"/>
                </a:ext>
                <a:ext uri="{FF2B5EF4-FFF2-40B4-BE49-F238E27FC236}">
                  <a16:creationId xmlns:a16="http://schemas.microsoft.com/office/drawing/2014/main" id="{00000000-0008-0000-4500-000032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25</xdr:row>
          <xdr:rowOff>38100</xdr:rowOff>
        </xdr:from>
        <xdr:to>
          <xdr:col>8</xdr:col>
          <xdr:colOff>57150</xdr:colOff>
          <xdr:row>25</xdr:row>
          <xdr:rowOff>209550</xdr:rowOff>
        </xdr:to>
        <xdr:sp macro="" textlink="">
          <xdr:nvSpPr>
            <xdr:cNvPr id="80947" name="Option Button 51" hidden="1">
              <a:extLst>
                <a:ext uri="{63B3BB69-23CF-44E3-9099-C40C66FF867C}">
                  <a14:compatExt spid="_x0000_s80947"/>
                </a:ext>
                <a:ext uri="{FF2B5EF4-FFF2-40B4-BE49-F238E27FC236}">
                  <a16:creationId xmlns:a16="http://schemas.microsoft.com/office/drawing/2014/main" id="{00000000-0008-0000-4500-00003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26</xdr:row>
          <xdr:rowOff>19050</xdr:rowOff>
        </xdr:from>
        <xdr:to>
          <xdr:col>8</xdr:col>
          <xdr:colOff>57150</xdr:colOff>
          <xdr:row>26</xdr:row>
          <xdr:rowOff>190500</xdr:rowOff>
        </xdr:to>
        <xdr:sp macro="" textlink="">
          <xdr:nvSpPr>
            <xdr:cNvPr id="80948" name="Option Button 52" hidden="1">
              <a:extLst>
                <a:ext uri="{63B3BB69-23CF-44E3-9099-C40C66FF867C}">
                  <a14:compatExt spid="_x0000_s80948"/>
                </a:ext>
                <a:ext uri="{FF2B5EF4-FFF2-40B4-BE49-F238E27FC236}">
                  <a16:creationId xmlns:a16="http://schemas.microsoft.com/office/drawing/2014/main" id="{00000000-0008-0000-4500-00003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27</xdr:row>
          <xdr:rowOff>19050</xdr:rowOff>
        </xdr:from>
        <xdr:to>
          <xdr:col>8</xdr:col>
          <xdr:colOff>57150</xdr:colOff>
          <xdr:row>27</xdr:row>
          <xdr:rowOff>190500</xdr:rowOff>
        </xdr:to>
        <xdr:sp macro="" textlink="">
          <xdr:nvSpPr>
            <xdr:cNvPr id="80949" name="Option Button 53" hidden="1">
              <a:extLst>
                <a:ext uri="{63B3BB69-23CF-44E3-9099-C40C66FF867C}">
                  <a14:compatExt spid="_x0000_s80949"/>
                </a:ext>
                <a:ext uri="{FF2B5EF4-FFF2-40B4-BE49-F238E27FC236}">
                  <a16:creationId xmlns:a16="http://schemas.microsoft.com/office/drawing/2014/main" id="{00000000-0008-0000-4500-00003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28</xdr:row>
          <xdr:rowOff>19050</xdr:rowOff>
        </xdr:from>
        <xdr:to>
          <xdr:col>8</xdr:col>
          <xdr:colOff>57150</xdr:colOff>
          <xdr:row>28</xdr:row>
          <xdr:rowOff>190500</xdr:rowOff>
        </xdr:to>
        <xdr:sp macro="" textlink="">
          <xdr:nvSpPr>
            <xdr:cNvPr id="80950" name="Option Button 54" hidden="1">
              <a:extLst>
                <a:ext uri="{63B3BB69-23CF-44E3-9099-C40C66FF867C}">
                  <a14:compatExt spid="_x0000_s80950"/>
                </a:ext>
                <a:ext uri="{FF2B5EF4-FFF2-40B4-BE49-F238E27FC236}">
                  <a16:creationId xmlns:a16="http://schemas.microsoft.com/office/drawing/2014/main" id="{00000000-0008-0000-4500-00003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25</xdr:row>
          <xdr:rowOff>0</xdr:rowOff>
        </xdr:from>
        <xdr:to>
          <xdr:col>8</xdr:col>
          <xdr:colOff>685800</xdr:colOff>
          <xdr:row>28</xdr:row>
          <xdr:rowOff>266700</xdr:rowOff>
        </xdr:to>
        <xdr:sp macro="" textlink="">
          <xdr:nvSpPr>
            <xdr:cNvPr id="80951" name="Group Box 55" hidden="1">
              <a:extLst>
                <a:ext uri="{63B3BB69-23CF-44E3-9099-C40C66FF867C}">
                  <a14:compatExt spid="_x0000_s80951"/>
                </a:ext>
                <a:ext uri="{FF2B5EF4-FFF2-40B4-BE49-F238E27FC236}">
                  <a16:creationId xmlns:a16="http://schemas.microsoft.com/office/drawing/2014/main" id="{00000000-0008-0000-4500-000037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25</xdr:row>
          <xdr:rowOff>38100</xdr:rowOff>
        </xdr:from>
        <xdr:to>
          <xdr:col>10</xdr:col>
          <xdr:colOff>66675</xdr:colOff>
          <xdr:row>25</xdr:row>
          <xdr:rowOff>209550</xdr:rowOff>
        </xdr:to>
        <xdr:sp macro="" textlink="">
          <xdr:nvSpPr>
            <xdr:cNvPr id="80952" name="Option Button 56" hidden="1">
              <a:extLst>
                <a:ext uri="{63B3BB69-23CF-44E3-9099-C40C66FF867C}">
                  <a14:compatExt spid="_x0000_s80952"/>
                </a:ext>
                <a:ext uri="{FF2B5EF4-FFF2-40B4-BE49-F238E27FC236}">
                  <a16:creationId xmlns:a16="http://schemas.microsoft.com/office/drawing/2014/main" id="{00000000-0008-0000-4500-00003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26</xdr:row>
          <xdr:rowOff>19050</xdr:rowOff>
        </xdr:from>
        <xdr:to>
          <xdr:col>10</xdr:col>
          <xdr:colOff>66675</xdr:colOff>
          <xdr:row>26</xdr:row>
          <xdr:rowOff>190500</xdr:rowOff>
        </xdr:to>
        <xdr:sp macro="" textlink="">
          <xdr:nvSpPr>
            <xdr:cNvPr id="80953" name="Option Button 57" hidden="1">
              <a:extLst>
                <a:ext uri="{63B3BB69-23CF-44E3-9099-C40C66FF867C}">
                  <a14:compatExt spid="_x0000_s80953"/>
                </a:ext>
                <a:ext uri="{FF2B5EF4-FFF2-40B4-BE49-F238E27FC236}">
                  <a16:creationId xmlns:a16="http://schemas.microsoft.com/office/drawing/2014/main" id="{00000000-0008-0000-4500-00003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27</xdr:row>
          <xdr:rowOff>28575</xdr:rowOff>
        </xdr:from>
        <xdr:to>
          <xdr:col>10</xdr:col>
          <xdr:colOff>66675</xdr:colOff>
          <xdr:row>27</xdr:row>
          <xdr:rowOff>200025</xdr:rowOff>
        </xdr:to>
        <xdr:sp macro="" textlink="">
          <xdr:nvSpPr>
            <xdr:cNvPr id="80954" name="Option Button 58" hidden="1">
              <a:extLst>
                <a:ext uri="{63B3BB69-23CF-44E3-9099-C40C66FF867C}">
                  <a14:compatExt spid="_x0000_s80954"/>
                </a:ext>
                <a:ext uri="{FF2B5EF4-FFF2-40B4-BE49-F238E27FC236}">
                  <a16:creationId xmlns:a16="http://schemas.microsoft.com/office/drawing/2014/main" id="{00000000-0008-0000-4500-00003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28</xdr:row>
          <xdr:rowOff>38100</xdr:rowOff>
        </xdr:from>
        <xdr:to>
          <xdr:col>10</xdr:col>
          <xdr:colOff>66675</xdr:colOff>
          <xdr:row>28</xdr:row>
          <xdr:rowOff>209550</xdr:rowOff>
        </xdr:to>
        <xdr:sp macro="" textlink="">
          <xdr:nvSpPr>
            <xdr:cNvPr id="80955" name="Option Button 59" hidden="1">
              <a:extLst>
                <a:ext uri="{63B3BB69-23CF-44E3-9099-C40C66FF867C}">
                  <a14:compatExt spid="_x0000_s80955"/>
                </a:ext>
                <a:ext uri="{FF2B5EF4-FFF2-40B4-BE49-F238E27FC236}">
                  <a16:creationId xmlns:a16="http://schemas.microsoft.com/office/drawing/2014/main" id="{00000000-0008-0000-4500-00003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25</xdr:row>
          <xdr:rowOff>0</xdr:rowOff>
        </xdr:from>
        <xdr:to>
          <xdr:col>10</xdr:col>
          <xdr:colOff>685800</xdr:colOff>
          <xdr:row>28</xdr:row>
          <xdr:rowOff>266700</xdr:rowOff>
        </xdr:to>
        <xdr:sp macro="" textlink="">
          <xdr:nvSpPr>
            <xdr:cNvPr id="80956" name="Group Box 60" hidden="1">
              <a:extLst>
                <a:ext uri="{63B3BB69-23CF-44E3-9099-C40C66FF867C}">
                  <a14:compatExt spid="_x0000_s80956"/>
                </a:ext>
                <a:ext uri="{FF2B5EF4-FFF2-40B4-BE49-F238E27FC236}">
                  <a16:creationId xmlns:a16="http://schemas.microsoft.com/office/drawing/2014/main" id="{00000000-0008-0000-4500-00003C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29</xdr:row>
          <xdr:rowOff>47625</xdr:rowOff>
        </xdr:from>
        <xdr:to>
          <xdr:col>8</xdr:col>
          <xdr:colOff>57150</xdr:colOff>
          <xdr:row>29</xdr:row>
          <xdr:rowOff>219075</xdr:rowOff>
        </xdr:to>
        <xdr:sp macro="" textlink="">
          <xdr:nvSpPr>
            <xdr:cNvPr id="80957" name="Option Button 61" hidden="1">
              <a:extLst>
                <a:ext uri="{63B3BB69-23CF-44E3-9099-C40C66FF867C}">
                  <a14:compatExt spid="_x0000_s80957"/>
                </a:ext>
                <a:ext uri="{FF2B5EF4-FFF2-40B4-BE49-F238E27FC236}">
                  <a16:creationId xmlns:a16="http://schemas.microsoft.com/office/drawing/2014/main" id="{00000000-0008-0000-4500-00003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30</xdr:row>
          <xdr:rowOff>47625</xdr:rowOff>
        </xdr:from>
        <xdr:to>
          <xdr:col>8</xdr:col>
          <xdr:colOff>57150</xdr:colOff>
          <xdr:row>30</xdr:row>
          <xdr:rowOff>219075</xdr:rowOff>
        </xdr:to>
        <xdr:sp macro="" textlink="">
          <xdr:nvSpPr>
            <xdr:cNvPr id="80958" name="Option Button 62" hidden="1">
              <a:extLst>
                <a:ext uri="{63B3BB69-23CF-44E3-9099-C40C66FF867C}">
                  <a14:compatExt spid="_x0000_s80958"/>
                </a:ext>
                <a:ext uri="{FF2B5EF4-FFF2-40B4-BE49-F238E27FC236}">
                  <a16:creationId xmlns:a16="http://schemas.microsoft.com/office/drawing/2014/main" id="{00000000-0008-0000-4500-00003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31</xdr:row>
          <xdr:rowOff>47625</xdr:rowOff>
        </xdr:from>
        <xdr:to>
          <xdr:col>8</xdr:col>
          <xdr:colOff>57150</xdr:colOff>
          <xdr:row>31</xdr:row>
          <xdr:rowOff>219075</xdr:rowOff>
        </xdr:to>
        <xdr:sp macro="" textlink="">
          <xdr:nvSpPr>
            <xdr:cNvPr id="80959" name="Option Button 63" hidden="1">
              <a:extLst>
                <a:ext uri="{63B3BB69-23CF-44E3-9099-C40C66FF867C}">
                  <a14:compatExt spid="_x0000_s80959"/>
                </a:ext>
                <a:ext uri="{FF2B5EF4-FFF2-40B4-BE49-F238E27FC236}">
                  <a16:creationId xmlns:a16="http://schemas.microsoft.com/office/drawing/2014/main" id="{00000000-0008-0000-4500-00003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32</xdr:row>
          <xdr:rowOff>47625</xdr:rowOff>
        </xdr:from>
        <xdr:to>
          <xdr:col>8</xdr:col>
          <xdr:colOff>57150</xdr:colOff>
          <xdr:row>32</xdr:row>
          <xdr:rowOff>219075</xdr:rowOff>
        </xdr:to>
        <xdr:sp macro="" textlink="">
          <xdr:nvSpPr>
            <xdr:cNvPr id="80960" name="Option Button 64" hidden="1">
              <a:extLst>
                <a:ext uri="{63B3BB69-23CF-44E3-9099-C40C66FF867C}">
                  <a14:compatExt spid="_x0000_s80960"/>
                </a:ext>
                <a:ext uri="{FF2B5EF4-FFF2-40B4-BE49-F238E27FC236}">
                  <a16:creationId xmlns:a16="http://schemas.microsoft.com/office/drawing/2014/main" id="{00000000-0008-0000-4500-00004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29</xdr:row>
          <xdr:rowOff>0</xdr:rowOff>
        </xdr:from>
        <xdr:to>
          <xdr:col>8</xdr:col>
          <xdr:colOff>685800</xdr:colOff>
          <xdr:row>32</xdr:row>
          <xdr:rowOff>266700</xdr:rowOff>
        </xdr:to>
        <xdr:sp macro="" textlink="">
          <xdr:nvSpPr>
            <xdr:cNvPr id="80961" name="Group Box 65" hidden="1">
              <a:extLst>
                <a:ext uri="{63B3BB69-23CF-44E3-9099-C40C66FF867C}">
                  <a14:compatExt spid="_x0000_s80961"/>
                </a:ext>
                <a:ext uri="{FF2B5EF4-FFF2-40B4-BE49-F238E27FC236}">
                  <a16:creationId xmlns:a16="http://schemas.microsoft.com/office/drawing/2014/main" id="{00000000-0008-0000-4500-000041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29</xdr:row>
          <xdr:rowOff>28575</xdr:rowOff>
        </xdr:from>
        <xdr:to>
          <xdr:col>10</xdr:col>
          <xdr:colOff>66675</xdr:colOff>
          <xdr:row>29</xdr:row>
          <xdr:rowOff>200025</xdr:rowOff>
        </xdr:to>
        <xdr:sp macro="" textlink="">
          <xdr:nvSpPr>
            <xdr:cNvPr id="80962" name="Option Button 66" hidden="1">
              <a:extLst>
                <a:ext uri="{63B3BB69-23CF-44E3-9099-C40C66FF867C}">
                  <a14:compatExt spid="_x0000_s80962"/>
                </a:ext>
                <a:ext uri="{FF2B5EF4-FFF2-40B4-BE49-F238E27FC236}">
                  <a16:creationId xmlns:a16="http://schemas.microsoft.com/office/drawing/2014/main" id="{00000000-0008-0000-4500-00004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30</xdr:row>
          <xdr:rowOff>9525</xdr:rowOff>
        </xdr:from>
        <xdr:to>
          <xdr:col>10</xdr:col>
          <xdr:colOff>66675</xdr:colOff>
          <xdr:row>30</xdr:row>
          <xdr:rowOff>180975</xdr:rowOff>
        </xdr:to>
        <xdr:sp macro="" textlink="">
          <xdr:nvSpPr>
            <xdr:cNvPr id="80963" name="Option Button 67" hidden="1">
              <a:extLst>
                <a:ext uri="{63B3BB69-23CF-44E3-9099-C40C66FF867C}">
                  <a14:compatExt spid="_x0000_s80963"/>
                </a:ext>
                <a:ext uri="{FF2B5EF4-FFF2-40B4-BE49-F238E27FC236}">
                  <a16:creationId xmlns:a16="http://schemas.microsoft.com/office/drawing/2014/main" id="{00000000-0008-0000-4500-00004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31</xdr:row>
          <xdr:rowOff>28575</xdr:rowOff>
        </xdr:from>
        <xdr:to>
          <xdr:col>10</xdr:col>
          <xdr:colOff>66675</xdr:colOff>
          <xdr:row>31</xdr:row>
          <xdr:rowOff>200025</xdr:rowOff>
        </xdr:to>
        <xdr:sp macro="" textlink="">
          <xdr:nvSpPr>
            <xdr:cNvPr id="80964" name="Option Button 68" hidden="1">
              <a:extLst>
                <a:ext uri="{63B3BB69-23CF-44E3-9099-C40C66FF867C}">
                  <a14:compatExt spid="_x0000_s80964"/>
                </a:ext>
                <a:ext uri="{FF2B5EF4-FFF2-40B4-BE49-F238E27FC236}">
                  <a16:creationId xmlns:a16="http://schemas.microsoft.com/office/drawing/2014/main" id="{00000000-0008-0000-4500-00004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32</xdr:row>
          <xdr:rowOff>28575</xdr:rowOff>
        </xdr:from>
        <xdr:to>
          <xdr:col>10</xdr:col>
          <xdr:colOff>66675</xdr:colOff>
          <xdr:row>32</xdr:row>
          <xdr:rowOff>200025</xdr:rowOff>
        </xdr:to>
        <xdr:sp macro="" textlink="">
          <xdr:nvSpPr>
            <xdr:cNvPr id="80965" name="Option Button 69" hidden="1">
              <a:extLst>
                <a:ext uri="{63B3BB69-23CF-44E3-9099-C40C66FF867C}">
                  <a14:compatExt spid="_x0000_s80965"/>
                </a:ext>
                <a:ext uri="{FF2B5EF4-FFF2-40B4-BE49-F238E27FC236}">
                  <a16:creationId xmlns:a16="http://schemas.microsoft.com/office/drawing/2014/main" id="{00000000-0008-0000-4500-00004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29</xdr:row>
          <xdr:rowOff>0</xdr:rowOff>
        </xdr:from>
        <xdr:to>
          <xdr:col>10</xdr:col>
          <xdr:colOff>685800</xdr:colOff>
          <xdr:row>32</xdr:row>
          <xdr:rowOff>266700</xdr:rowOff>
        </xdr:to>
        <xdr:sp macro="" textlink="">
          <xdr:nvSpPr>
            <xdr:cNvPr id="80966" name="Group Box 70" hidden="1">
              <a:extLst>
                <a:ext uri="{63B3BB69-23CF-44E3-9099-C40C66FF867C}">
                  <a14:compatExt spid="_x0000_s80966"/>
                </a:ext>
                <a:ext uri="{FF2B5EF4-FFF2-40B4-BE49-F238E27FC236}">
                  <a16:creationId xmlns:a16="http://schemas.microsoft.com/office/drawing/2014/main" id="{00000000-0008-0000-4500-000046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33</xdr:row>
          <xdr:rowOff>0</xdr:rowOff>
        </xdr:from>
        <xdr:to>
          <xdr:col>8</xdr:col>
          <xdr:colOff>57150</xdr:colOff>
          <xdr:row>33</xdr:row>
          <xdr:rowOff>171450</xdr:rowOff>
        </xdr:to>
        <xdr:sp macro="" textlink="">
          <xdr:nvSpPr>
            <xdr:cNvPr id="80967" name="Option Button 71" hidden="1">
              <a:extLst>
                <a:ext uri="{63B3BB69-23CF-44E3-9099-C40C66FF867C}">
                  <a14:compatExt spid="_x0000_s80967"/>
                </a:ext>
                <a:ext uri="{FF2B5EF4-FFF2-40B4-BE49-F238E27FC236}">
                  <a16:creationId xmlns:a16="http://schemas.microsoft.com/office/drawing/2014/main" id="{00000000-0008-0000-4500-00004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34</xdr:row>
          <xdr:rowOff>0</xdr:rowOff>
        </xdr:from>
        <xdr:to>
          <xdr:col>8</xdr:col>
          <xdr:colOff>57150</xdr:colOff>
          <xdr:row>34</xdr:row>
          <xdr:rowOff>171450</xdr:rowOff>
        </xdr:to>
        <xdr:sp macro="" textlink="">
          <xdr:nvSpPr>
            <xdr:cNvPr id="80968" name="Option Button 72" hidden="1">
              <a:extLst>
                <a:ext uri="{63B3BB69-23CF-44E3-9099-C40C66FF867C}">
                  <a14:compatExt spid="_x0000_s80968"/>
                </a:ext>
                <a:ext uri="{FF2B5EF4-FFF2-40B4-BE49-F238E27FC236}">
                  <a16:creationId xmlns:a16="http://schemas.microsoft.com/office/drawing/2014/main" id="{00000000-0008-0000-4500-00004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35</xdr:row>
          <xdr:rowOff>0</xdr:rowOff>
        </xdr:from>
        <xdr:to>
          <xdr:col>8</xdr:col>
          <xdr:colOff>57150</xdr:colOff>
          <xdr:row>35</xdr:row>
          <xdr:rowOff>171450</xdr:rowOff>
        </xdr:to>
        <xdr:sp macro="" textlink="">
          <xdr:nvSpPr>
            <xdr:cNvPr id="80969" name="Option Button 73" hidden="1">
              <a:extLst>
                <a:ext uri="{63B3BB69-23CF-44E3-9099-C40C66FF867C}">
                  <a14:compatExt spid="_x0000_s80969"/>
                </a:ext>
                <a:ext uri="{FF2B5EF4-FFF2-40B4-BE49-F238E27FC236}">
                  <a16:creationId xmlns:a16="http://schemas.microsoft.com/office/drawing/2014/main" id="{00000000-0008-0000-4500-00004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36</xdr:row>
          <xdr:rowOff>0</xdr:rowOff>
        </xdr:from>
        <xdr:to>
          <xdr:col>8</xdr:col>
          <xdr:colOff>57150</xdr:colOff>
          <xdr:row>36</xdr:row>
          <xdr:rowOff>171450</xdr:rowOff>
        </xdr:to>
        <xdr:sp macro="" textlink="">
          <xdr:nvSpPr>
            <xdr:cNvPr id="80970" name="Option Button 74" hidden="1">
              <a:extLst>
                <a:ext uri="{63B3BB69-23CF-44E3-9099-C40C66FF867C}">
                  <a14:compatExt spid="_x0000_s80970"/>
                </a:ext>
                <a:ext uri="{FF2B5EF4-FFF2-40B4-BE49-F238E27FC236}">
                  <a16:creationId xmlns:a16="http://schemas.microsoft.com/office/drawing/2014/main" id="{00000000-0008-0000-4500-00004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33</xdr:row>
          <xdr:rowOff>0</xdr:rowOff>
        </xdr:from>
        <xdr:to>
          <xdr:col>8</xdr:col>
          <xdr:colOff>685800</xdr:colOff>
          <xdr:row>36</xdr:row>
          <xdr:rowOff>266700</xdr:rowOff>
        </xdr:to>
        <xdr:sp macro="" textlink="">
          <xdr:nvSpPr>
            <xdr:cNvPr id="80971" name="Group Box 75" hidden="1">
              <a:extLst>
                <a:ext uri="{63B3BB69-23CF-44E3-9099-C40C66FF867C}">
                  <a14:compatExt spid="_x0000_s80971"/>
                </a:ext>
                <a:ext uri="{FF2B5EF4-FFF2-40B4-BE49-F238E27FC236}">
                  <a16:creationId xmlns:a16="http://schemas.microsoft.com/office/drawing/2014/main" id="{00000000-0008-0000-4500-00004B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33</xdr:row>
          <xdr:rowOff>0</xdr:rowOff>
        </xdr:from>
        <xdr:to>
          <xdr:col>10</xdr:col>
          <xdr:colOff>66675</xdr:colOff>
          <xdr:row>33</xdr:row>
          <xdr:rowOff>171450</xdr:rowOff>
        </xdr:to>
        <xdr:sp macro="" textlink="">
          <xdr:nvSpPr>
            <xdr:cNvPr id="80972" name="Option Button 76" hidden="1">
              <a:extLst>
                <a:ext uri="{63B3BB69-23CF-44E3-9099-C40C66FF867C}">
                  <a14:compatExt spid="_x0000_s80972"/>
                </a:ext>
                <a:ext uri="{FF2B5EF4-FFF2-40B4-BE49-F238E27FC236}">
                  <a16:creationId xmlns:a16="http://schemas.microsoft.com/office/drawing/2014/main" id="{00000000-0008-0000-4500-00004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34</xdr:row>
          <xdr:rowOff>0</xdr:rowOff>
        </xdr:from>
        <xdr:to>
          <xdr:col>10</xdr:col>
          <xdr:colOff>66675</xdr:colOff>
          <xdr:row>34</xdr:row>
          <xdr:rowOff>171450</xdr:rowOff>
        </xdr:to>
        <xdr:sp macro="" textlink="">
          <xdr:nvSpPr>
            <xdr:cNvPr id="80973" name="Option Button 77" hidden="1">
              <a:extLst>
                <a:ext uri="{63B3BB69-23CF-44E3-9099-C40C66FF867C}">
                  <a14:compatExt spid="_x0000_s80973"/>
                </a:ext>
                <a:ext uri="{FF2B5EF4-FFF2-40B4-BE49-F238E27FC236}">
                  <a16:creationId xmlns:a16="http://schemas.microsoft.com/office/drawing/2014/main" id="{00000000-0008-0000-4500-00004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35</xdr:row>
          <xdr:rowOff>0</xdr:rowOff>
        </xdr:from>
        <xdr:to>
          <xdr:col>10</xdr:col>
          <xdr:colOff>66675</xdr:colOff>
          <xdr:row>35</xdr:row>
          <xdr:rowOff>171450</xdr:rowOff>
        </xdr:to>
        <xdr:sp macro="" textlink="">
          <xdr:nvSpPr>
            <xdr:cNvPr id="80974" name="Option Button 78" hidden="1">
              <a:extLst>
                <a:ext uri="{63B3BB69-23CF-44E3-9099-C40C66FF867C}">
                  <a14:compatExt spid="_x0000_s80974"/>
                </a:ext>
                <a:ext uri="{FF2B5EF4-FFF2-40B4-BE49-F238E27FC236}">
                  <a16:creationId xmlns:a16="http://schemas.microsoft.com/office/drawing/2014/main" id="{00000000-0008-0000-4500-00004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36</xdr:row>
          <xdr:rowOff>0</xdr:rowOff>
        </xdr:from>
        <xdr:to>
          <xdr:col>10</xdr:col>
          <xdr:colOff>66675</xdr:colOff>
          <xdr:row>36</xdr:row>
          <xdr:rowOff>171450</xdr:rowOff>
        </xdr:to>
        <xdr:sp macro="" textlink="">
          <xdr:nvSpPr>
            <xdr:cNvPr id="80975" name="Option Button 79" hidden="1">
              <a:extLst>
                <a:ext uri="{63B3BB69-23CF-44E3-9099-C40C66FF867C}">
                  <a14:compatExt spid="_x0000_s80975"/>
                </a:ext>
                <a:ext uri="{FF2B5EF4-FFF2-40B4-BE49-F238E27FC236}">
                  <a16:creationId xmlns:a16="http://schemas.microsoft.com/office/drawing/2014/main" id="{00000000-0008-0000-4500-00004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33</xdr:row>
          <xdr:rowOff>0</xdr:rowOff>
        </xdr:from>
        <xdr:to>
          <xdr:col>10</xdr:col>
          <xdr:colOff>685800</xdr:colOff>
          <xdr:row>36</xdr:row>
          <xdr:rowOff>266700</xdr:rowOff>
        </xdr:to>
        <xdr:sp macro="" textlink="">
          <xdr:nvSpPr>
            <xdr:cNvPr id="80976" name="Group Box 80" hidden="1">
              <a:extLst>
                <a:ext uri="{63B3BB69-23CF-44E3-9099-C40C66FF867C}">
                  <a14:compatExt spid="_x0000_s80976"/>
                </a:ext>
                <a:ext uri="{FF2B5EF4-FFF2-40B4-BE49-F238E27FC236}">
                  <a16:creationId xmlns:a16="http://schemas.microsoft.com/office/drawing/2014/main" id="{00000000-0008-0000-4500-000050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37</xdr:row>
          <xdr:rowOff>38100</xdr:rowOff>
        </xdr:from>
        <xdr:to>
          <xdr:col>8</xdr:col>
          <xdr:colOff>57150</xdr:colOff>
          <xdr:row>37</xdr:row>
          <xdr:rowOff>209550</xdr:rowOff>
        </xdr:to>
        <xdr:sp macro="" textlink="">
          <xdr:nvSpPr>
            <xdr:cNvPr id="80977" name="Option Button 81" hidden="1">
              <a:extLst>
                <a:ext uri="{63B3BB69-23CF-44E3-9099-C40C66FF867C}">
                  <a14:compatExt spid="_x0000_s80977"/>
                </a:ext>
                <a:ext uri="{FF2B5EF4-FFF2-40B4-BE49-F238E27FC236}">
                  <a16:creationId xmlns:a16="http://schemas.microsoft.com/office/drawing/2014/main" id="{00000000-0008-0000-4500-00005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38</xdr:row>
          <xdr:rowOff>28575</xdr:rowOff>
        </xdr:from>
        <xdr:to>
          <xdr:col>8</xdr:col>
          <xdr:colOff>57150</xdr:colOff>
          <xdr:row>38</xdr:row>
          <xdr:rowOff>200025</xdr:rowOff>
        </xdr:to>
        <xdr:sp macro="" textlink="">
          <xdr:nvSpPr>
            <xdr:cNvPr id="80978" name="Option Button 82" hidden="1">
              <a:extLst>
                <a:ext uri="{63B3BB69-23CF-44E3-9099-C40C66FF867C}">
                  <a14:compatExt spid="_x0000_s80978"/>
                </a:ext>
                <a:ext uri="{FF2B5EF4-FFF2-40B4-BE49-F238E27FC236}">
                  <a16:creationId xmlns:a16="http://schemas.microsoft.com/office/drawing/2014/main" id="{00000000-0008-0000-4500-00005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39</xdr:row>
          <xdr:rowOff>28575</xdr:rowOff>
        </xdr:from>
        <xdr:to>
          <xdr:col>8</xdr:col>
          <xdr:colOff>57150</xdr:colOff>
          <xdr:row>39</xdr:row>
          <xdr:rowOff>200025</xdr:rowOff>
        </xdr:to>
        <xdr:sp macro="" textlink="">
          <xdr:nvSpPr>
            <xdr:cNvPr id="80979" name="Option Button 83" hidden="1">
              <a:extLst>
                <a:ext uri="{63B3BB69-23CF-44E3-9099-C40C66FF867C}">
                  <a14:compatExt spid="_x0000_s80979"/>
                </a:ext>
                <a:ext uri="{FF2B5EF4-FFF2-40B4-BE49-F238E27FC236}">
                  <a16:creationId xmlns:a16="http://schemas.microsoft.com/office/drawing/2014/main" id="{00000000-0008-0000-4500-00005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40</xdr:row>
          <xdr:rowOff>28575</xdr:rowOff>
        </xdr:from>
        <xdr:to>
          <xdr:col>8</xdr:col>
          <xdr:colOff>57150</xdr:colOff>
          <xdr:row>40</xdr:row>
          <xdr:rowOff>200025</xdr:rowOff>
        </xdr:to>
        <xdr:sp macro="" textlink="">
          <xdr:nvSpPr>
            <xdr:cNvPr id="80980" name="Option Button 84" hidden="1">
              <a:extLst>
                <a:ext uri="{63B3BB69-23CF-44E3-9099-C40C66FF867C}">
                  <a14:compatExt spid="_x0000_s80980"/>
                </a:ext>
                <a:ext uri="{FF2B5EF4-FFF2-40B4-BE49-F238E27FC236}">
                  <a16:creationId xmlns:a16="http://schemas.microsoft.com/office/drawing/2014/main" id="{00000000-0008-0000-4500-00005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37</xdr:row>
          <xdr:rowOff>0</xdr:rowOff>
        </xdr:from>
        <xdr:to>
          <xdr:col>8</xdr:col>
          <xdr:colOff>685800</xdr:colOff>
          <xdr:row>40</xdr:row>
          <xdr:rowOff>266700</xdr:rowOff>
        </xdr:to>
        <xdr:sp macro="" textlink="">
          <xdr:nvSpPr>
            <xdr:cNvPr id="80981" name="Group Box 85" hidden="1">
              <a:extLst>
                <a:ext uri="{63B3BB69-23CF-44E3-9099-C40C66FF867C}">
                  <a14:compatExt spid="_x0000_s80981"/>
                </a:ext>
                <a:ext uri="{FF2B5EF4-FFF2-40B4-BE49-F238E27FC236}">
                  <a16:creationId xmlns:a16="http://schemas.microsoft.com/office/drawing/2014/main" id="{00000000-0008-0000-4500-000055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37</xdr:row>
          <xdr:rowOff>28575</xdr:rowOff>
        </xdr:from>
        <xdr:to>
          <xdr:col>10</xdr:col>
          <xdr:colOff>66675</xdr:colOff>
          <xdr:row>37</xdr:row>
          <xdr:rowOff>200025</xdr:rowOff>
        </xdr:to>
        <xdr:sp macro="" textlink="">
          <xdr:nvSpPr>
            <xdr:cNvPr id="80982" name="Option Button 86" hidden="1">
              <a:extLst>
                <a:ext uri="{63B3BB69-23CF-44E3-9099-C40C66FF867C}">
                  <a14:compatExt spid="_x0000_s80982"/>
                </a:ext>
                <a:ext uri="{FF2B5EF4-FFF2-40B4-BE49-F238E27FC236}">
                  <a16:creationId xmlns:a16="http://schemas.microsoft.com/office/drawing/2014/main" id="{00000000-0008-0000-4500-00005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38</xdr:row>
          <xdr:rowOff>28575</xdr:rowOff>
        </xdr:from>
        <xdr:to>
          <xdr:col>10</xdr:col>
          <xdr:colOff>66675</xdr:colOff>
          <xdr:row>38</xdr:row>
          <xdr:rowOff>200025</xdr:rowOff>
        </xdr:to>
        <xdr:sp macro="" textlink="">
          <xdr:nvSpPr>
            <xdr:cNvPr id="80983" name="Option Button 87" hidden="1">
              <a:extLst>
                <a:ext uri="{63B3BB69-23CF-44E3-9099-C40C66FF867C}">
                  <a14:compatExt spid="_x0000_s80983"/>
                </a:ext>
                <a:ext uri="{FF2B5EF4-FFF2-40B4-BE49-F238E27FC236}">
                  <a16:creationId xmlns:a16="http://schemas.microsoft.com/office/drawing/2014/main" id="{00000000-0008-0000-4500-00005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39</xdr:row>
          <xdr:rowOff>38100</xdr:rowOff>
        </xdr:from>
        <xdr:to>
          <xdr:col>10</xdr:col>
          <xdr:colOff>66675</xdr:colOff>
          <xdr:row>39</xdr:row>
          <xdr:rowOff>209550</xdr:rowOff>
        </xdr:to>
        <xdr:sp macro="" textlink="">
          <xdr:nvSpPr>
            <xdr:cNvPr id="80984" name="Option Button 88" hidden="1">
              <a:extLst>
                <a:ext uri="{63B3BB69-23CF-44E3-9099-C40C66FF867C}">
                  <a14:compatExt spid="_x0000_s80984"/>
                </a:ext>
                <a:ext uri="{FF2B5EF4-FFF2-40B4-BE49-F238E27FC236}">
                  <a16:creationId xmlns:a16="http://schemas.microsoft.com/office/drawing/2014/main" id="{00000000-0008-0000-4500-00005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40</xdr:row>
          <xdr:rowOff>38100</xdr:rowOff>
        </xdr:from>
        <xdr:to>
          <xdr:col>10</xdr:col>
          <xdr:colOff>66675</xdr:colOff>
          <xdr:row>40</xdr:row>
          <xdr:rowOff>209550</xdr:rowOff>
        </xdr:to>
        <xdr:sp macro="" textlink="">
          <xdr:nvSpPr>
            <xdr:cNvPr id="80985" name="Option Button 89" hidden="1">
              <a:extLst>
                <a:ext uri="{63B3BB69-23CF-44E3-9099-C40C66FF867C}">
                  <a14:compatExt spid="_x0000_s80985"/>
                </a:ext>
                <a:ext uri="{FF2B5EF4-FFF2-40B4-BE49-F238E27FC236}">
                  <a16:creationId xmlns:a16="http://schemas.microsoft.com/office/drawing/2014/main" id="{00000000-0008-0000-4500-00005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37</xdr:row>
          <xdr:rowOff>0</xdr:rowOff>
        </xdr:from>
        <xdr:to>
          <xdr:col>10</xdr:col>
          <xdr:colOff>685800</xdr:colOff>
          <xdr:row>40</xdr:row>
          <xdr:rowOff>266700</xdr:rowOff>
        </xdr:to>
        <xdr:sp macro="" textlink="">
          <xdr:nvSpPr>
            <xdr:cNvPr id="80986" name="Group Box 90" hidden="1">
              <a:extLst>
                <a:ext uri="{63B3BB69-23CF-44E3-9099-C40C66FF867C}">
                  <a14:compatExt spid="_x0000_s80986"/>
                </a:ext>
                <a:ext uri="{FF2B5EF4-FFF2-40B4-BE49-F238E27FC236}">
                  <a16:creationId xmlns:a16="http://schemas.microsoft.com/office/drawing/2014/main" id="{00000000-0008-0000-4500-00005A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41</xdr:row>
          <xdr:rowOff>28575</xdr:rowOff>
        </xdr:from>
        <xdr:to>
          <xdr:col>10</xdr:col>
          <xdr:colOff>66675</xdr:colOff>
          <xdr:row>41</xdr:row>
          <xdr:rowOff>200025</xdr:rowOff>
        </xdr:to>
        <xdr:sp macro="" textlink="">
          <xdr:nvSpPr>
            <xdr:cNvPr id="80987" name="Option Button 91" hidden="1">
              <a:extLst>
                <a:ext uri="{63B3BB69-23CF-44E3-9099-C40C66FF867C}">
                  <a14:compatExt spid="_x0000_s80987"/>
                </a:ext>
                <a:ext uri="{FF2B5EF4-FFF2-40B4-BE49-F238E27FC236}">
                  <a16:creationId xmlns:a16="http://schemas.microsoft.com/office/drawing/2014/main" id="{00000000-0008-0000-4500-00005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42</xdr:row>
          <xdr:rowOff>28575</xdr:rowOff>
        </xdr:from>
        <xdr:to>
          <xdr:col>10</xdr:col>
          <xdr:colOff>66675</xdr:colOff>
          <xdr:row>42</xdr:row>
          <xdr:rowOff>200025</xdr:rowOff>
        </xdr:to>
        <xdr:sp macro="" textlink="">
          <xdr:nvSpPr>
            <xdr:cNvPr id="80988" name="Option Button 92" hidden="1">
              <a:extLst>
                <a:ext uri="{63B3BB69-23CF-44E3-9099-C40C66FF867C}">
                  <a14:compatExt spid="_x0000_s80988"/>
                </a:ext>
                <a:ext uri="{FF2B5EF4-FFF2-40B4-BE49-F238E27FC236}">
                  <a16:creationId xmlns:a16="http://schemas.microsoft.com/office/drawing/2014/main" id="{00000000-0008-0000-4500-00005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43</xdr:row>
          <xdr:rowOff>28575</xdr:rowOff>
        </xdr:from>
        <xdr:to>
          <xdr:col>10</xdr:col>
          <xdr:colOff>66675</xdr:colOff>
          <xdr:row>43</xdr:row>
          <xdr:rowOff>200025</xdr:rowOff>
        </xdr:to>
        <xdr:sp macro="" textlink="">
          <xdr:nvSpPr>
            <xdr:cNvPr id="80989" name="Option Button 93" hidden="1">
              <a:extLst>
                <a:ext uri="{63B3BB69-23CF-44E3-9099-C40C66FF867C}">
                  <a14:compatExt spid="_x0000_s80989"/>
                </a:ext>
                <a:ext uri="{FF2B5EF4-FFF2-40B4-BE49-F238E27FC236}">
                  <a16:creationId xmlns:a16="http://schemas.microsoft.com/office/drawing/2014/main" id="{00000000-0008-0000-4500-00005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44</xdr:row>
          <xdr:rowOff>28575</xdr:rowOff>
        </xdr:from>
        <xdr:to>
          <xdr:col>10</xdr:col>
          <xdr:colOff>66675</xdr:colOff>
          <xdr:row>44</xdr:row>
          <xdr:rowOff>200025</xdr:rowOff>
        </xdr:to>
        <xdr:sp macro="" textlink="">
          <xdr:nvSpPr>
            <xdr:cNvPr id="80990" name="Option Button 94" hidden="1">
              <a:extLst>
                <a:ext uri="{63B3BB69-23CF-44E3-9099-C40C66FF867C}">
                  <a14:compatExt spid="_x0000_s80990"/>
                </a:ext>
                <a:ext uri="{FF2B5EF4-FFF2-40B4-BE49-F238E27FC236}">
                  <a16:creationId xmlns:a16="http://schemas.microsoft.com/office/drawing/2014/main" id="{00000000-0008-0000-4500-00005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41</xdr:row>
          <xdr:rowOff>0</xdr:rowOff>
        </xdr:from>
        <xdr:to>
          <xdr:col>10</xdr:col>
          <xdr:colOff>685800</xdr:colOff>
          <xdr:row>44</xdr:row>
          <xdr:rowOff>266700</xdr:rowOff>
        </xdr:to>
        <xdr:sp macro="" textlink="">
          <xdr:nvSpPr>
            <xdr:cNvPr id="80991" name="Group Box 95" hidden="1">
              <a:extLst>
                <a:ext uri="{63B3BB69-23CF-44E3-9099-C40C66FF867C}">
                  <a14:compatExt spid="_x0000_s80991"/>
                </a:ext>
                <a:ext uri="{FF2B5EF4-FFF2-40B4-BE49-F238E27FC236}">
                  <a16:creationId xmlns:a16="http://schemas.microsoft.com/office/drawing/2014/main" id="{00000000-0008-0000-4500-00005F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41</xdr:row>
          <xdr:rowOff>28575</xdr:rowOff>
        </xdr:from>
        <xdr:to>
          <xdr:col>8</xdr:col>
          <xdr:colOff>57150</xdr:colOff>
          <xdr:row>41</xdr:row>
          <xdr:rowOff>200025</xdr:rowOff>
        </xdr:to>
        <xdr:sp macro="" textlink="">
          <xdr:nvSpPr>
            <xdr:cNvPr id="80992" name="Option Button 96" hidden="1">
              <a:extLst>
                <a:ext uri="{63B3BB69-23CF-44E3-9099-C40C66FF867C}">
                  <a14:compatExt spid="_x0000_s80992"/>
                </a:ext>
                <a:ext uri="{FF2B5EF4-FFF2-40B4-BE49-F238E27FC236}">
                  <a16:creationId xmlns:a16="http://schemas.microsoft.com/office/drawing/2014/main" id="{00000000-0008-0000-4500-00006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42</xdr:row>
          <xdr:rowOff>28575</xdr:rowOff>
        </xdr:from>
        <xdr:to>
          <xdr:col>8</xdr:col>
          <xdr:colOff>57150</xdr:colOff>
          <xdr:row>42</xdr:row>
          <xdr:rowOff>200025</xdr:rowOff>
        </xdr:to>
        <xdr:sp macro="" textlink="">
          <xdr:nvSpPr>
            <xdr:cNvPr id="80993" name="Option Button 97" hidden="1">
              <a:extLst>
                <a:ext uri="{63B3BB69-23CF-44E3-9099-C40C66FF867C}">
                  <a14:compatExt spid="_x0000_s80993"/>
                </a:ext>
                <a:ext uri="{FF2B5EF4-FFF2-40B4-BE49-F238E27FC236}">
                  <a16:creationId xmlns:a16="http://schemas.microsoft.com/office/drawing/2014/main" id="{00000000-0008-0000-4500-00006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43</xdr:row>
          <xdr:rowOff>19050</xdr:rowOff>
        </xdr:from>
        <xdr:to>
          <xdr:col>8</xdr:col>
          <xdr:colOff>57150</xdr:colOff>
          <xdr:row>43</xdr:row>
          <xdr:rowOff>190500</xdr:rowOff>
        </xdr:to>
        <xdr:sp macro="" textlink="">
          <xdr:nvSpPr>
            <xdr:cNvPr id="80994" name="Option Button 98" hidden="1">
              <a:extLst>
                <a:ext uri="{63B3BB69-23CF-44E3-9099-C40C66FF867C}">
                  <a14:compatExt spid="_x0000_s80994"/>
                </a:ext>
                <a:ext uri="{FF2B5EF4-FFF2-40B4-BE49-F238E27FC236}">
                  <a16:creationId xmlns:a16="http://schemas.microsoft.com/office/drawing/2014/main" id="{00000000-0008-0000-4500-00006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44</xdr:row>
          <xdr:rowOff>28575</xdr:rowOff>
        </xdr:from>
        <xdr:to>
          <xdr:col>8</xdr:col>
          <xdr:colOff>66675</xdr:colOff>
          <xdr:row>44</xdr:row>
          <xdr:rowOff>200025</xdr:rowOff>
        </xdr:to>
        <xdr:sp macro="" textlink="">
          <xdr:nvSpPr>
            <xdr:cNvPr id="80995" name="Option Button 99" hidden="1">
              <a:extLst>
                <a:ext uri="{63B3BB69-23CF-44E3-9099-C40C66FF867C}">
                  <a14:compatExt spid="_x0000_s80995"/>
                </a:ext>
                <a:ext uri="{FF2B5EF4-FFF2-40B4-BE49-F238E27FC236}">
                  <a16:creationId xmlns:a16="http://schemas.microsoft.com/office/drawing/2014/main" id="{00000000-0008-0000-4500-00006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41</xdr:row>
          <xdr:rowOff>0</xdr:rowOff>
        </xdr:from>
        <xdr:to>
          <xdr:col>8</xdr:col>
          <xdr:colOff>685800</xdr:colOff>
          <xdr:row>44</xdr:row>
          <xdr:rowOff>266700</xdr:rowOff>
        </xdr:to>
        <xdr:sp macro="" textlink="">
          <xdr:nvSpPr>
            <xdr:cNvPr id="80996" name="Group Box 100" hidden="1">
              <a:extLst>
                <a:ext uri="{63B3BB69-23CF-44E3-9099-C40C66FF867C}">
                  <a14:compatExt spid="_x0000_s80996"/>
                </a:ext>
                <a:ext uri="{FF2B5EF4-FFF2-40B4-BE49-F238E27FC236}">
                  <a16:creationId xmlns:a16="http://schemas.microsoft.com/office/drawing/2014/main" id="{00000000-0008-0000-4500-000064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50</xdr:row>
          <xdr:rowOff>66675</xdr:rowOff>
        </xdr:from>
        <xdr:to>
          <xdr:col>8</xdr:col>
          <xdr:colOff>57150</xdr:colOff>
          <xdr:row>50</xdr:row>
          <xdr:rowOff>247650</xdr:rowOff>
        </xdr:to>
        <xdr:sp macro="" textlink="">
          <xdr:nvSpPr>
            <xdr:cNvPr id="80997" name="Option Button 101" hidden="1">
              <a:extLst>
                <a:ext uri="{63B3BB69-23CF-44E3-9099-C40C66FF867C}">
                  <a14:compatExt spid="_x0000_s80997"/>
                </a:ext>
                <a:ext uri="{FF2B5EF4-FFF2-40B4-BE49-F238E27FC236}">
                  <a16:creationId xmlns:a16="http://schemas.microsoft.com/office/drawing/2014/main" id="{00000000-0008-0000-4500-00006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51</xdr:row>
          <xdr:rowOff>38100</xdr:rowOff>
        </xdr:from>
        <xdr:to>
          <xdr:col>8</xdr:col>
          <xdr:colOff>57150</xdr:colOff>
          <xdr:row>51</xdr:row>
          <xdr:rowOff>209550</xdr:rowOff>
        </xdr:to>
        <xdr:sp macro="" textlink="">
          <xdr:nvSpPr>
            <xdr:cNvPr id="80998" name="Option Button 102" hidden="1">
              <a:extLst>
                <a:ext uri="{63B3BB69-23CF-44E3-9099-C40C66FF867C}">
                  <a14:compatExt spid="_x0000_s80998"/>
                </a:ext>
                <a:ext uri="{FF2B5EF4-FFF2-40B4-BE49-F238E27FC236}">
                  <a16:creationId xmlns:a16="http://schemas.microsoft.com/office/drawing/2014/main" id="{00000000-0008-0000-4500-00006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52</xdr:row>
          <xdr:rowOff>57150</xdr:rowOff>
        </xdr:from>
        <xdr:to>
          <xdr:col>8</xdr:col>
          <xdr:colOff>57150</xdr:colOff>
          <xdr:row>52</xdr:row>
          <xdr:rowOff>219075</xdr:rowOff>
        </xdr:to>
        <xdr:sp macro="" textlink="">
          <xdr:nvSpPr>
            <xdr:cNvPr id="80999" name="Option Button 103" hidden="1">
              <a:extLst>
                <a:ext uri="{63B3BB69-23CF-44E3-9099-C40C66FF867C}">
                  <a14:compatExt spid="_x0000_s80999"/>
                </a:ext>
                <a:ext uri="{FF2B5EF4-FFF2-40B4-BE49-F238E27FC236}">
                  <a16:creationId xmlns:a16="http://schemas.microsoft.com/office/drawing/2014/main" id="{00000000-0008-0000-4500-00006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53</xdr:row>
          <xdr:rowOff>38100</xdr:rowOff>
        </xdr:from>
        <xdr:to>
          <xdr:col>8</xdr:col>
          <xdr:colOff>66675</xdr:colOff>
          <xdr:row>53</xdr:row>
          <xdr:rowOff>209550</xdr:rowOff>
        </xdr:to>
        <xdr:sp macro="" textlink="">
          <xdr:nvSpPr>
            <xdr:cNvPr id="81000" name="Option Button 104" hidden="1">
              <a:extLst>
                <a:ext uri="{63B3BB69-23CF-44E3-9099-C40C66FF867C}">
                  <a14:compatExt spid="_x0000_s81000"/>
                </a:ext>
                <a:ext uri="{FF2B5EF4-FFF2-40B4-BE49-F238E27FC236}">
                  <a16:creationId xmlns:a16="http://schemas.microsoft.com/office/drawing/2014/main" id="{00000000-0008-0000-4500-00006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49</xdr:row>
          <xdr:rowOff>285750</xdr:rowOff>
        </xdr:from>
        <xdr:to>
          <xdr:col>8</xdr:col>
          <xdr:colOff>685800</xdr:colOff>
          <xdr:row>53</xdr:row>
          <xdr:rowOff>266700</xdr:rowOff>
        </xdr:to>
        <xdr:sp macro="" textlink="">
          <xdr:nvSpPr>
            <xdr:cNvPr id="81001" name="Group Box 105" hidden="1">
              <a:extLst>
                <a:ext uri="{63B3BB69-23CF-44E3-9099-C40C66FF867C}">
                  <a14:compatExt spid="_x0000_s81001"/>
                </a:ext>
                <a:ext uri="{FF2B5EF4-FFF2-40B4-BE49-F238E27FC236}">
                  <a16:creationId xmlns:a16="http://schemas.microsoft.com/office/drawing/2014/main" id="{00000000-0008-0000-4500-000069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50</xdr:row>
          <xdr:rowOff>47625</xdr:rowOff>
        </xdr:from>
        <xdr:to>
          <xdr:col>10</xdr:col>
          <xdr:colOff>66675</xdr:colOff>
          <xdr:row>50</xdr:row>
          <xdr:rowOff>219075</xdr:rowOff>
        </xdr:to>
        <xdr:sp macro="" textlink="">
          <xdr:nvSpPr>
            <xdr:cNvPr id="81002" name="Option Button 106" hidden="1">
              <a:extLst>
                <a:ext uri="{63B3BB69-23CF-44E3-9099-C40C66FF867C}">
                  <a14:compatExt spid="_x0000_s81002"/>
                </a:ext>
                <a:ext uri="{FF2B5EF4-FFF2-40B4-BE49-F238E27FC236}">
                  <a16:creationId xmlns:a16="http://schemas.microsoft.com/office/drawing/2014/main" id="{00000000-0008-0000-4500-00006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51</xdr:row>
          <xdr:rowOff>28575</xdr:rowOff>
        </xdr:from>
        <xdr:to>
          <xdr:col>10</xdr:col>
          <xdr:colOff>66675</xdr:colOff>
          <xdr:row>51</xdr:row>
          <xdr:rowOff>200025</xdr:rowOff>
        </xdr:to>
        <xdr:sp macro="" textlink="">
          <xdr:nvSpPr>
            <xdr:cNvPr id="81003" name="Option Button 107" hidden="1">
              <a:extLst>
                <a:ext uri="{63B3BB69-23CF-44E3-9099-C40C66FF867C}">
                  <a14:compatExt spid="_x0000_s81003"/>
                </a:ext>
                <a:ext uri="{FF2B5EF4-FFF2-40B4-BE49-F238E27FC236}">
                  <a16:creationId xmlns:a16="http://schemas.microsoft.com/office/drawing/2014/main" id="{00000000-0008-0000-4500-00006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52</xdr:row>
          <xdr:rowOff>28575</xdr:rowOff>
        </xdr:from>
        <xdr:to>
          <xdr:col>10</xdr:col>
          <xdr:colOff>66675</xdr:colOff>
          <xdr:row>52</xdr:row>
          <xdr:rowOff>200025</xdr:rowOff>
        </xdr:to>
        <xdr:sp macro="" textlink="">
          <xdr:nvSpPr>
            <xdr:cNvPr id="81004" name="Option Button 108" hidden="1">
              <a:extLst>
                <a:ext uri="{63B3BB69-23CF-44E3-9099-C40C66FF867C}">
                  <a14:compatExt spid="_x0000_s81004"/>
                </a:ext>
                <a:ext uri="{FF2B5EF4-FFF2-40B4-BE49-F238E27FC236}">
                  <a16:creationId xmlns:a16="http://schemas.microsoft.com/office/drawing/2014/main" id="{00000000-0008-0000-4500-00006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53</xdr:row>
          <xdr:rowOff>57150</xdr:rowOff>
        </xdr:from>
        <xdr:to>
          <xdr:col>10</xdr:col>
          <xdr:colOff>66675</xdr:colOff>
          <xdr:row>53</xdr:row>
          <xdr:rowOff>219075</xdr:rowOff>
        </xdr:to>
        <xdr:sp macro="" textlink="">
          <xdr:nvSpPr>
            <xdr:cNvPr id="81005" name="Option Button 109" hidden="1">
              <a:extLst>
                <a:ext uri="{63B3BB69-23CF-44E3-9099-C40C66FF867C}">
                  <a14:compatExt spid="_x0000_s81005"/>
                </a:ext>
                <a:ext uri="{FF2B5EF4-FFF2-40B4-BE49-F238E27FC236}">
                  <a16:creationId xmlns:a16="http://schemas.microsoft.com/office/drawing/2014/main" id="{00000000-0008-0000-4500-00006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49</xdr:row>
          <xdr:rowOff>285750</xdr:rowOff>
        </xdr:from>
        <xdr:to>
          <xdr:col>10</xdr:col>
          <xdr:colOff>685800</xdr:colOff>
          <xdr:row>53</xdr:row>
          <xdr:rowOff>266700</xdr:rowOff>
        </xdr:to>
        <xdr:sp macro="" textlink="">
          <xdr:nvSpPr>
            <xdr:cNvPr id="81006" name="Group Box 110" hidden="1">
              <a:extLst>
                <a:ext uri="{63B3BB69-23CF-44E3-9099-C40C66FF867C}">
                  <a14:compatExt spid="_x0000_s81006"/>
                </a:ext>
                <a:ext uri="{FF2B5EF4-FFF2-40B4-BE49-F238E27FC236}">
                  <a16:creationId xmlns:a16="http://schemas.microsoft.com/office/drawing/2014/main" id="{00000000-0008-0000-4500-00006E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54</xdr:row>
          <xdr:rowOff>38100</xdr:rowOff>
        </xdr:from>
        <xdr:to>
          <xdr:col>8</xdr:col>
          <xdr:colOff>57150</xdr:colOff>
          <xdr:row>54</xdr:row>
          <xdr:rowOff>209550</xdr:rowOff>
        </xdr:to>
        <xdr:sp macro="" textlink="">
          <xdr:nvSpPr>
            <xdr:cNvPr id="81007" name="Option Button 111" hidden="1">
              <a:extLst>
                <a:ext uri="{63B3BB69-23CF-44E3-9099-C40C66FF867C}">
                  <a14:compatExt spid="_x0000_s81007"/>
                </a:ext>
                <a:ext uri="{FF2B5EF4-FFF2-40B4-BE49-F238E27FC236}">
                  <a16:creationId xmlns:a16="http://schemas.microsoft.com/office/drawing/2014/main" id="{00000000-0008-0000-4500-00006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55</xdr:row>
          <xdr:rowOff>28575</xdr:rowOff>
        </xdr:from>
        <xdr:to>
          <xdr:col>8</xdr:col>
          <xdr:colOff>57150</xdr:colOff>
          <xdr:row>55</xdr:row>
          <xdr:rowOff>200025</xdr:rowOff>
        </xdr:to>
        <xdr:sp macro="" textlink="">
          <xdr:nvSpPr>
            <xdr:cNvPr id="81008" name="Option Button 112" hidden="1">
              <a:extLst>
                <a:ext uri="{63B3BB69-23CF-44E3-9099-C40C66FF867C}">
                  <a14:compatExt spid="_x0000_s81008"/>
                </a:ext>
                <a:ext uri="{FF2B5EF4-FFF2-40B4-BE49-F238E27FC236}">
                  <a16:creationId xmlns:a16="http://schemas.microsoft.com/office/drawing/2014/main" id="{00000000-0008-0000-4500-00007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56</xdr:row>
          <xdr:rowOff>28575</xdr:rowOff>
        </xdr:from>
        <xdr:to>
          <xdr:col>8</xdr:col>
          <xdr:colOff>57150</xdr:colOff>
          <xdr:row>56</xdr:row>
          <xdr:rowOff>200025</xdr:rowOff>
        </xdr:to>
        <xdr:sp macro="" textlink="">
          <xdr:nvSpPr>
            <xdr:cNvPr id="81009" name="Option Button 113" hidden="1">
              <a:extLst>
                <a:ext uri="{63B3BB69-23CF-44E3-9099-C40C66FF867C}">
                  <a14:compatExt spid="_x0000_s81009"/>
                </a:ext>
                <a:ext uri="{FF2B5EF4-FFF2-40B4-BE49-F238E27FC236}">
                  <a16:creationId xmlns:a16="http://schemas.microsoft.com/office/drawing/2014/main" id="{00000000-0008-0000-4500-00007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57</xdr:row>
          <xdr:rowOff>47625</xdr:rowOff>
        </xdr:from>
        <xdr:to>
          <xdr:col>8</xdr:col>
          <xdr:colOff>57150</xdr:colOff>
          <xdr:row>57</xdr:row>
          <xdr:rowOff>209550</xdr:rowOff>
        </xdr:to>
        <xdr:sp macro="" textlink="">
          <xdr:nvSpPr>
            <xdr:cNvPr id="81010" name="Option Button 114" hidden="1">
              <a:extLst>
                <a:ext uri="{63B3BB69-23CF-44E3-9099-C40C66FF867C}">
                  <a14:compatExt spid="_x0000_s81010"/>
                </a:ext>
                <a:ext uri="{FF2B5EF4-FFF2-40B4-BE49-F238E27FC236}">
                  <a16:creationId xmlns:a16="http://schemas.microsoft.com/office/drawing/2014/main" id="{00000000-0008-0000-4500-00007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54</xdr:row>
          <xdr:rowOff>0</xdr:rowOff>
        </xdr:from>
        <xdr:to>
          <xdr:col>8</xdr:col>
          <xdr:colOff>685800</xdr:colOff>
          <xdr:row>57</xdr:row>
          <xdr:rowOff>266700</xdr:rowOff>
        </xdr:to>
        <xdr:sp macro="" textlink="">
          <xdr:nvSpPr>
            <xdr:cNvPr id="81011" name="Group Box 115" hidden="1">
              <a:extLst>
                <a:ext uri="{63B3BB69-23CF-44E3-9099-C40C66FF867C}">
                  <a14:compatExt spid="_x0000_s81011"/>
                </a:ext>
                <a:ext uri="{FF2B5EF4-FFF2-40B4-BE49-F238E27FC236}">
                  <a16:creationId xmlns:a16="http://schemas.microsoft.com/office/drawing/2014/main" id="{00000000-0008-0000-4500-000073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54</xdr:row>
          <xdr:rowOff>38100</xdr:rowOff>
        </xdr:from>
        <xdr:to>
          <xdr:col>10</xdr:col>
          <xdr:colOff>66675</xdr:colOff>
          <xdr:row>54</xdr:row>
          <xdr:rowOff>209550</xdr:rowOff>
        </xdr:to>
        <xdr:sp macro="" textlink="">
          <xdr:nvSpPr>
            <xdr:cNvPr id="81012" name="Option Button 116" hidden="1">
              <a:extLst>
                <a:ext uri="{63B3BB69-23CF-44E3-9099-C40C66FF867C}">
                  <a14:compatExt spid="_x0000_s81012"/>
                </a:ext>
                <a:ext uri="{FF2B5EF4-FFF2-40B4-BE49-F238E27FC236}">
                  <a16:creationId xmlns:a16="http://schemas.microsoft.com/office/drawing/2014/main" id="{00000000-0008-0000-4500-00007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55</xdr:row>
          <xdr:rowOff>28575</xdr:rowOff>
        </xdr:from>
        <xdr:to>
          <xdr:col>10</xdr:col>
          <xdr:colOff>66675</xdr:colOff>
          <xdr:row>55</xdr:row>
          <xdr:rowOff>200025</xdr:rowOff>
        </xdr:to>
        <xdr:sp macro="" textlink="">
          <xdr:nvSpPr>
            <xdr:cNvPr id="81013" name="Option Button 117" hidden="1">
              <a:extLst>
                <a:ext uri="{63B3BB69-23CF-44E3-9099-C40C66FF867C}">
                  <a14:compatExt spid="_x0000_s81013"/>
                </a:ext>
                <a:ext uri="{FF2B5EF4-FFF2-40B4-BE49-F238E27FC236}">
                  <a16:creationId xmlns:a16="http://schemas.microsoft.com/office/drawing/2014/main" id="{00000000-0008-0000-4500-00007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56</xdr:row>
          <xdr:rowOff>28575</xdr:rowOff>
        </xdr:from>
        <xdr:to>
          <xdr:col>10</xdr:col>
          <xdr:colOff>66675</xdr:colOff>
          <xdr:row>56</xdr:row>
          <xdr:rowOff>200025</xdr:rowOff>
        </xdr:to>
        <xdr:sp macro="" textlink="">
          <xdr:nvSpPr>
            <xdr:cNvPr id="81014" name="Option Button 118" hidden="1">
              <a:extLst>
                <a:ext uri="{63B3BB69-23CF-44E3-9099-C40C66FF867C}">
                  <a14:compatExt spid="_x0000_s81014"/>
                </a:ext>
                <a:ext uri="{FF2B5EF4-FFF2-40B4-BE49-F238E27FC236}">
                  <a16:creationId xmlns:a16="http://schemas.microsoft.com/office/drawing/2014/main" id="{00000000-0008-0000-4500-00007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57</xdr:row>
          <xdr:rowOff>47625</xdr:rowOff>
        </xdr:from>
        <xdr:to>
          <xdr:col>10</xdr:col>
          <xdr:colOff>66675</xdr:colOff>
          <xdr:row>57</xdr:row>
          <xdr:rowOff>209550</xdr:rowOff>
        </xdr:to>
        <xdr:sp macro="" textlink="">
          <xdr:nvSpPr>
            <xdr:cNvPr id="81015" name="Option Button 119" hidden="1">
              <a:extLst>
                <a:ext uri="{63B3BB69-23CF-44E3-9099-C40C66FF867C}">
                  <a14:compatExt spid="_x0000_s81015"/>
                </a:ext>
                <a:ext uri="{FF2B5EF4-FFF2-40B4-BE49-F238E27FC236}">
                  <a16:creationId xmlns:a16="http://schemas.microsoft.com/office/drawing/2014/main" id="{00000000-0008-0000-4500-00007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54</xdr:row>
          <xdr:rowOff>0</xdr:rowOff>
        </xdr:from>
        <xdr:to>
          <xdr:col>10</xdr:col>
          <xdr:colOff>685800</xdr:colOff>
          <xdr:row>57</xdr:row>
          <xdr:rowOff>266700</xdr:rowOff>
        </xdr:to>
        <xdr:sp macro="" textlink="">
          <xdr:nvSpPr>
            <xdr:cNvPr id="81016" name="Group Box 120" hidden="1">
              <a:extLst>
                <a:ext uri="{63B3BB69-23CF-44E3-9099-C40C66FF867C}">
                  <a14:compatExt spid="_x0000_s81016"/>
                </a:ext>
                <a:ext uri="{FF2B5EF4-FFF2-40B4-BE49-F238E27FC236}">
                  <a16:creationId xmlns:a16="http://schemas.microsoft.com/office/drawing/2014/main" id="{00000000-0008-0000-4500-000078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58</xdr:row>
          <xdr:rowOff>66675</xdr:rowOff>
        </xdr:from>
        <xdr:to>
          <xdr:col>8</xdr:col>
          <xdr:colOff>57150</xdr:colOff>
          <xdr:row>58</xdr:row>
          <xdr:rowOff>238125</xdr:rowOff>
        </xdr:to>
        <xdr:sp macro="" textlink="">
          <xdr:nvSpPr>
            <xdr:cNvPr id="81017" name="Option Button 121" hidden="1">
              <a:extLst>
                <a:ext uri="{63B3BB69-23CF-44E3-9099-C40C66FF867C}">
                  <a14:compatExt spid="_x0000_s81017"/>
                </a:ext>
                <a:ext uri="{FF2B5EF4-FFF2-40B4-BE49-F238E27FC236}">
                  <a16:creationId xmlns:a16="http://schemas.microsoft.com/office/drawing/2014/main" id="{00000000-0008-0000-4500-00007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59</xdr:row>
          <xdr:rowOff>47625</xdr:rowOff>
        </xdr:from>
        <xdr:to>
          <xdr:col>8</xdr:col>
          <xdr:colOff>57150</xdr:colOff>
          <xdr:row>59</xdr:row>
          <xdr:rowOff>219075</xdr:rowOff>
        </xdr:to>
        <xdr:sp macro="" textlink="">
          <xdr:nvSpPr>
            <xdr:cNvPr id="81018" name="Option Button 122" hidden="1">
              <a:extLst>
                <a:ext uri="{63B3BB69-23CF-44E3-9099-C40C66FF867C}">
                  <a14:compatExt spid="_x0000_s81018"/>
                </a:ext>
                <a:ext uri="{FF2B5EF4-FFF2-40B4-BE49-F238E27FC236}">
                  <a16:creationId xmlns:a16="http://schemas.microsoft.com/office/drawing/2014/main" id="{00000000-0008-0000-4500-00007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60</xdr:row>
          <xdr:rowOff>38100</xdr:rowOff>
        </xdr:from>
        <xdr:to>
          <xdr:col>8</xdr:col>
          <xdr:colOff>57150</xdr:colOff>
          <xdr:row>60</xdr:row>
          <xdr:rowOff>200025</xdr:rowOff>
        </xdr:to>
        <xdr:sp macro="" textlink="">
          <xdr:nvSpPr>
            <xdr:cNvPr id="81019" name="Option Button 123" hidden="1">
              <a:extLst>
                <a:ext uri="{63B3BB69-23CF-44E3-9099-C40C66FF867C}">
                  <a14:compatExt spid="_x0000_s81019"/>
                </a:ext>
                <a:ext uri="{FF2B5EF4-FFF2-40B4-BE49-F238E27FC236}">
                  <a16:creationId xmlns:a16="http://schemas.microsoft.com/office/drawing/2014/main" id="{00000000-0008-0000-4500-00007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61</xdr:row>
          <xdr:rowOff>38100</xdr:rowOff>
        </xdr:from>
        <xdr:to>
          <xdr:col>8</xdr:col>
          <xdr:colOff>57150</xdr:colOff>
          <xdr:row>61</xdr:row>
          <xdr:rowOff>200025</xdr:rowOff>
        </xdr:to>
        <xdr:sp macro="" textlink="">
          <xdr:nvSpPr>
            <xdr:cNvPr id="81020" name="Option Button 124" hidden="1">
              <a:extLst>
                <a:ext uri="{63B3BB69-23CF-44E3-9099-C40C66FF867C}">
                  <a14:compatExt spid="_x0000_s81020"/>
                </a:ext>
                <a:ext uri="{FF2B5EF4-FFF2-40B4-BE49-F238E27FC236}">
                  <a16:creationId xmlns:a16="http://schemas.microsoft.com/office/drawing/2014/main" id="{00000000-0008-0000-4500-00007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58</xdr:row>
          <xdr:rowOff>0</xdr:rowOff>
        </xdr:from>
        <xdr:to>
          <xdr:col>8</xdr:col>
          <xdr:colOff>685800</xdr:colOff>
          <xdr:row>61</xdr:row>
          <xdr:rowOff>266700</xdr:rowOff>
        </xdr:to>
        <xdr:sp macro="" textlink="">
          <xdr:nvSpPr>
            <xdr:cNvPr id="81021" name="Group Box 125" hidden="1">
              <a:extLst>
                <a:ext uri="{63B3BB69-23CF-44E3-9099-C40C66FF867C}">
                  <a14:compatExt spid="_x0000_s81021"/>
                </a:ext>
                <a:ext uri="{FF2B5EF4-FFF2-40B4-BE49-F238E27FC236}">
                  <a16:creationId xmlns:a16="http://schemas.microsoft.com/office/drawing/2014/main" id="{00000000-0008-0000-4500-00007D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58</xdr:row>
          <xdr:rowOff>47625</xdr:rowOff>
        </xdr:from>
        <xdr:to>
          <xdr:col>10</xdr:col>
          <xdr:colOff>66675</xdr:colOff>
          <xdr:row>58</xdr:row>
          <xdr:rowOff>209550</xdr:rowOff>
        </xdr:to>
        <xdr:sp macro="" textlink="">
          <xdr:nvSpPr>
            <xdr:cNvPr id="81022" name="Option Button 126" hidden="1">
              <a:extLst>
                <a:ext uri="{63B3BB69-23CF-44E3-9099-C40C66FF867C}">
                  <a14:compatExt spid="_x0000_s81022"/>
                </a:ext>
                <a:ext uri="{FF2B5EF4-FFF2-40B4-BE49-F238E27FC236}">
                  <a16:creationId xmlns:a16="http://schemas.microsoft.com/office/drawing/2014/main" id="{00000000-0008-0000-4500-00007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59</xdr:row>
          <xdr:rowOff>38100</xdr:rowOff>
        </xdr:from>
        <xdr:to>
          <xdr:col>10</xdr:col>
          <xdr:colOff>66675</xdr:colOff>
          <xdr:row>59</xdr:row>
          <xdr:rowOff>200025</xdr:rowOff>
        </xdr:to>
        <xdr:sp macro="" textlink="">
          <xdr:nvSpPr>
            <xdr:cNvPr id="81023" name="Option Button 127" hidden="1">
              <a:extLst>
                <a:ext uri="{63B3BB69-23CF-44E3-9099-C40C66FF867C}">
                  <a14:compatExt spid="_x0000_s81023"/>
                </a:ext>
                <a:ext uri="{FF2B5EF4-FFF2-40B4-BE49-F238E27FC236}">
                  <a16:creationId xmlns:a16="http://schemas.microsoft.com/office/drawing/2014/main" id="{00000000-0008-0000-4500-00007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60</xdr:row>
          <xdr:rowOff>47625</xdr:rowOff>
        </xdr:from>
        <xdr:to>
          <xdr:col>10</xdr:col>
          <xdr:colOff>66675</xdr:colOff>
          <xdr:row>60</xdr:row>
          <xdr:rowOff>219075</xdr:rowOff>
        </xdr:to>
        <xdr:sp macro="" textlink="">
          <xdr:nvSpPr>
            <xdr:cNvPr id="81024" name="Option Button 128" hidden="1">
              <a:extLst>
                <a:ext uri="{63B3BB69-23CF-44E3-9099-C40C66FF867C}">
                  <a14:compatExt spid="_x0000_s81024"/>
                </a:ext>
                <a:ext uri="{FF2B5EF4-FFF2-40B4-BE49-F238E27FC236}">
                  <a16:creationId xmlns:a16="http://schemas.microsoft.com/office/drawing/2014/main" id="{00000000-0008-0000-4500-00008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61</xdr:row>
          <xdr:rowOff>38100</xdr:rowOff>
        </xdr:from>
        <xdr:to>
          <xdr:col>10</xdr:col>
          <xdr:colOff>66675</xdr:colOff>
          <xdr:row>61</xdr:row>
          <xdr:rowOff>200025</xdr:rowOff>
        </xdr:to>
        <xdr:sp macro="" textlink="">
          <xdr:nvSpPr>
            <xdr:cNvPr id="81025" name="Option Button 129" hidden="1">
              <a:extLst>
                <a:ext uri="{63B3BB69-23CF-44E3-9099-C40C66FF867C}">
                  <a14:compatExt spid="_x0000_s81025"/>
                </a:ext>
                <a:ext uri="{FF2B5EF4-FFF2-40B4-BE49-F238E27FC236}">
                  <a16:creationId xmlns:a16="http://schemas.microsoft.com/office/drawing/2014/main" id="{00000000-0008-0000-4500-00008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58</xdr:row>
          <xdr:rowOff>0</xdr:rowOff>
        </xdr:from>
        <xdr:to>
          <xdr:col>10</xdr:col>
          <xdr:colOff>685800</xdr:colOff>
          <xdr:row>61</xdr:row>
          <xdr:rowOff>266700</xdr:rowOff>
        </xdr:to>
        <xdr:sp macro="" textlink="">
          <xdr:nvSpPr>
            <xdr:cNvPr id="81026" name="Group Box 130" hidden="1">
              <a:extLst>
                <a:ext uri="{63B3BB69-23CF-44E3-9099-C40C66FF867C}">
                  <a14:compatExt spid="_x0000_s81026"/>
                </a:ext>
                <a:ext uri="{FF2B5EF4-FFF2-40B4-BE49-F238E27FC236}">
                  <a16:creationId xmlns:a16="http://schemas.microsoft.com/office/drawing/2014/main" id="{00000000-0008-0000-4500-000082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67</xdr:row>
          <xdr:rowOff>76200</xdr:rowOff>
        </xdr:from>
        <xdr:to>
          <xdr:col>8</xdr:col>
          <xdr:colOff>57150</xdr:colOff>
          <xdr:row>67</xdr:row>
          <xdr:rowOff>247650</xdr:rowOff>
        </xdr:to>
        <xdr:sp macro="" textlink="">
          <xdr:nvSpPr>
            <xdr:cNvPr id="81027" name="Option Button 131" hidden="1">
              <a:extLst>
                <a:ext uri="{63B3BB69-23CF-44E3-9099-C40C66FF867C}">
                  <a14:compatExt spid="_x0000_s81027"/>
                </a:ext>
                <a:ext uri="{FF2B5EF4-FFF2-40B4-BE49-F238E27FC236}">
                  <a16:creationId xmlns:a16="http://schemas.microsoft.com/office/drawing/2014/main" id="{00000000-0008-0000-4500-00008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68</xdr:row>
          <xdr:rowOff>57150</xdr:rowOff>
        </xdr:from>
        <xdr:to>
          <xdr:col>8</xdr:col>
          <xdr:colOff>57150</xdr:colOff>
          <xdr:row>68</xdr:row>
          <xdr:rowOff>228600</xdr:rowOff>
        </xdr:to>
        <xdr:sp macro="" textlink="">
          <xdr:nvSpPr>
            <xdr:cNvPr id="81028" name="Option Button 132" hidden="1">
              <a:extLst>
                <a:ext uri="{63B3BB69-23CF-44E3-9099-C40C66FF867C}">
                  <a14:compatExt spid="_x0000_s81028"/>
                </a:ext>
                <a:ext uri="{FF2B5EF4-FFF2-40B4-BE49-F238E27FC236}">
                  <a16:creationId xmlns:a16="http://schemas.microsoft.com/office/drawing/2014/main" id="{00000000-0008-0000-4500-00008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69</xdr:row>
          <xdr:rowOff>57150</xdr:rowOff>
        </xdr:from>
        <xdr:to>
          <xdr:col>8</xdr:col>
          <xdr:colOff>57150</xdr:colOff>
          <xdr:row>69</xdr:row>
          <xdr:rowOff>228600</xdr:rowOff>
        </xdr:to>
        <xdr:sp macro="" textlink="">
          <xdr:nvSpPr>
            <xdr:cNvPr id="81029" name="Option Button 133" hidden="1">
              <a:extLst>
                <a:ext uri="{63B3BB69-23CF-44E3-9099-C40C66FF867C}">
                  <a14:compatExt spid="_x0000_s81029"/>
                </a:ext>
                <a:ext uri="{FF2B5EF4-FFF2-40B4-BE49-F238E27FC236}">
                  <a16:creationId xmlns:a16="http://schemas.microsoft.com/office/drawing/2014/main" id="{00000000-0008-0000-4500-00008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70</xdr:row>
          <xdr:rowOff>57150</xdr:rowOff>
        </xdr:from>
        <xdr:to>
          <xdr:col>8</xdr:col>
          <xdr:colOff>57150</xdr:colOff>
          <xdr:row>70</xdr:row>
          <xdr:rowOff>228600</xdr:rowOff>
        </xdr:to>
        <xdr:sp macro="" textlink="">
          <xdr:nvSpPr>
            <xdr:cNvPr id="81030" name="Option Button 134" hidden="1">
              <a:extLst>
                <a:ext uri="{63B3BB69-23CF-44E3-9099-C40C66FF867C}">
                  <a14:compatExt spid="_x0000_s81030"/>
                </a:ext>
                <a:ext uri="{FF2B5EF4-FFF2-40B4-BE49-F238E27FC236}">
                  <a16:creationId xmlns:a16="http://schemas.microsoft.com/office/drawing/2014/main" id="{00000000-0008-0000-4500-00008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66</xdr:row>
          <xdr:rowOff>285750</xdr:rowOff>
        </xdr:from>
        <xdr:to>
          <xdr:col>8</xdr:col>
          <xdr:colOff>685800</xdr:colOff>
          <xdr:row>70</xdr:row>
          <xdr:rowOff>266700</xdr:rowOff>
        </xdr:to>
        <xdr:sp macro="" textlink="">
          <xdr:nvSpPr>
            <xdr:cNvPr id="81031" name="Group Box 135" hidden="1">
              <a:extLst>
                <a:ext uri="{63B3BB69-23CF-44E3-9099-C40C66FF867C}">
                  <a14:compatExt spid="_x0000_s81031"/>
                </a:ext>
                <a:ext uri="{FF2B5EF4-FFF2-40B4-BE49-F238E27FC236}">
                  <a16:creationId xmlns:a16="http://schemas.microsoft.com/office/drawing/2014/main" id="{00000000-0008-0000-4500-000087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67</xdr:row>
          <xdr:rowOff>66675</xdr:rowOff>
        </xdr:from>
        <xdr:to>
          <xdr:col>10</xdr:col>
          <xdr:colOff>66675</xdr:colOff>
          <xdr:row>67</xdr:row>
          <xdr:rowOff>238125</xdr:rowOff>
        </xdr:to>
        <xdr:sp macro="" textlink="">
          <xdr:nvSpPr>
            <xdr:cNvPr id="81032" name="Option Button 136" hidden="1">
              <a:extLst>
                <a:ext uri="{63B3BB69-23CF-44E3-9099-C40C66FF867C}">
                  <a14:compatExt spid="_x0000_s81032"/>
                </a:ext>
                <a:ext uri="{FF2B5EF4-FFF2-40B4-BE49-F238E27FC236}">
                  <a16:creationId xmlns:a16="http://schemas.microsoft.com/office/drawing/2014/main" id="{00000000-0008-0000-4500-00008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68</xdr:row>
          <xdr:rowOff>57150</xdr:rowOff>
        </xdr:from>
        <xdr:to>
          <xdr:col>10</xdr:col>
          <xdr:colOff>66675</xdr:colOff>
          <xdr:row>68</xdr:row>
          <xdr:rowOff>228600</xdr:rowOff>
        </xdr:to>
        <xdr:sp macro="" textlink="">
          <xdr:nvSpPr>
            <xdr:cNvPr id="81033" name="Option Button 137" hidden="1">
              <a:extLst>
                <a:ext uri="{63B3BB69-23CF-44E3-9099-C40C66FF867C}">
                  <a14:compatExt spid="_x0000_s81033"/>
                </a:ext>
                <a:ext uri="{FF2B5EF4-FFF2-40B4-BE49-F238E27FC236}">
                  <a16:creationId xmlns:a16="http://schemas.microsoft.com/office/drawing/2014/main" id="{00000000-0008-0000-4500-00008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69</xdr:row>
          <xdr:rowOff>57150</xdr:rowOff>
        </xdr:from>
        <xdr:to>
          <xdr:col>10</xdr:col>
          <xdr:colOff>66675</xdr:colOff>
          <xdr:row>69</xdr:row>
          <xdr:rowOff>228600</xdr:rowOff>
        </xdr:to>
        <xdr:sp macro="" textlink="">
          <xdr:nvSpPr>
            <xdr:cNvPr id="81034" name="Option Button 138" hidden="1">
              <a:extLst>
                <a:ext uri="{63B3BB69-23CF-44E3-9099-C40C66FF867C}">
                  <a14:compatExt spid="_x0000_s81034"/>
                </a:ext>
                <a:ext uri="{FF2B5EF4-FFF2-40B4-BE49-F238E27FC236}">
                  <a16:creationId xmlns:a16="http://schemas.microsoft.com/office/drawing/2014/main" id="{00000000-0008-0000-4500-00008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70</xdr:row>
          <xdr:rowOff>57150</xdr:rowOff>
        </xdr:from>
        <xdr:to>
          <xdr:col>10</xdr:col>
          <xdr:colOff>66675</xdr:colOff>
          <xdr:row>70</xdr:row>
          <xdr:rowOff>228600</xdr:rowOff>
        </xdr:to>
        <xdr:sp macro="" textlink="">
          <xdr:nvSpPr>
            <xdr:cNvPr id="81035" name="Option Button 139" hidden="1">
              <a:extLst>
                <a:ext uri="{63B3BB69-23CF-44E3-9099-C40C66FF867C}">
                  <a14:compatExt spid="_x0000_s81035"/>
                </a:ext>
                <a:ext uri="{FF2B5EF4-FFF2-40B4-BE49-F238E27FC236}">
                  <a16:creationId xmlns:a16="http://schemas.microsoft.com/office/drawing/2014/main" id="{00000000-0008-0000-4500-00008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66</xdr:row>
          <xdr:rowOff>285750</xdr:rowOff>
        </xdr:from>
        <xdr:to>
          <xdr:col>10</xdr:col>
          <xdr:colOff>685800</xdr:colOff>
          <xdr:row>70</xdr:row>
          <xdr:rowOff>266700</xdr:rowOff>
        </xdr:to>
        <xdr:sp macro="" textlink="">
          <xdr:nvSpPr>
            <xdr:cNvPr id="81036" name="Group Box 140" hidden="1">
              <a:extLst>
                <a:ext uri="{63B3BB69-23CF-44E3-9099-C40C66FF867C}">
                  <a14:compatExt spid="_x0000_s81036"/>
                </a:ext>
                <a:ext uri="{FF2B5EF4-FFF2-40B4-BE49-F238E27FC236}">
                  <a16:creationId xmlns:a16="http://schemas.microsoft.com/office/drawing/2014/main" id="{00000000-0008-0000-4500-00008C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71</xdr:row>
          <xdr:rowOff>57150</xdr:rowOff>
        </xdr:from>
        <xdr:to>
          <xdr:col>8</xdr:col>
          <xdr:colOff>57150</xdr:colOff>
          <xdr:row>71</xdr:row>
          <xdr:rowOff>228600</xdr:rowOff>
        </xdr:to>
        <xdr:sp macro="" textlink="">
          <xdr:nvSpPr>
            <xdr:cNvPr id="81037" name="Option Button 141" hidden="1">
              <a:extLst>
                <a:ext uri="{63B3BB69-23CF-44E3-9099-C40C66FF867C}">
                  <a14:compatExt spid="_x0000_s81037"/>
                </a:ext>
                <a:ext uri="{FF2B5EF4-FFF2-40B4-BE49-F238E27FC236}">
                  <a16:creationId xmlns:a16="http://schemas.microsoft.com/office/drawing/2014/main" id="{00000000-0008-0000-4500-00008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72</xdr:row>
          <xdr:rowOff>47625</xdr:rowOff>
        </xdr:from>
        <xdr:to>
          <xdr:col>8</xdr:col>
          <xdr:colOff>57150</xdr:colOff>
          <xdr:row>72</xdr:row>
          <xdr:rowOff>219075</xdr:rowOff>
        </xdr:to>
        <xdr:sp macro="" textlink="">
          <xdr:nvSpPr>
            <xdr:cNvPr id="81038" name="Option Button 142" hidden="1">
              <a:extLst>
                <a:ext uri="{63B3BB69-23CF-44E3-9099-C40C66FF867C}">
                  <a14:compatExt spid="_x0000_s81038"/>
                </a:ext>
                <a:ext uri="{FF2B5EF4-FFF2-40B4-BE49-F238E27FC236}">
                  <a16:creationId xmlns:a16="http://schemas.microsoft.com/office/drawing/2014/main" id="{00000000-0008-0000-4500-00008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73</xdr:row>
          <xdr:rowOff>57150</xdr:rowOff>
        </xdr:from>
        <xdr:to>
          <xdr:col>8</xdr:col>
          <xdr:colOff>57150</xdr:colOff>
          <xdr:row>73</xdr:row>
          <xdr:rowOff>228600</xdr:rowOff>
        </xdr:to>
        <xdr:sp macro="" textlink="">
          <xdr:nvSpPr>
            <xdr:cNvPr id="81039" name="Option Button 143" hidden="1">
              <a:extLst>
                <a:ext uri="{63B3BB69-23CF-44E3-9099-C40C66FF867C}">
                  <a14:compatExt spid="_x0000_s81039"/>
                </a:ext>
                <a:ext uri="{FF2B5EF4-FFF2-40B4-BE49-F238E27FC236}">
                  <a16:creationId xmlns:a16="http://schemas.microsoft.com/office/drawing/2014/main" id="{00000000-0008-0000-4500-00008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74</xdr:row>
          <xdr:rowOff>47625</xdr:rowOff>
        </xdr:from>
        <xdr:to>
          <xdr:col>8</xdr:col>
          <xdr:colOff>57150</xdr:colOff>
          <xdr:row>74</xdr:row>
          <xdr:rowOff>219075</xdr:rowOff>
        </xdr:to>
        <xdr:sp macro="" textlink="">
          <xdr:nvSpPr>
            <xdr:cNvPr id="81040" name="Option Button 144" hidden="1">
              <a:extLst>
                <a:ext uri="{63B3BB69-23CF-44E3-9099-C40C66FF867C}">
                  <a14:compatExt spid="_x0000_s81040"/>
                </a:ext>
                <a:ext uri="{FF2B5EF4-FFF2-40B4-BE49-F238E27FC236}">
                  <a16:creationId xmlns:a16="http://schemas.microsoft.com/office/drawing/2014/main" id="{00000000-0008-0000-4500-00009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71</xdr:row>
          <xdr:rowOff>0</xdr:rowOff>
        </xdr:from>
        <xdr:to>
          <xdr:col>8</xdr:col>
          <xdr:colOff>685800</xdr:colOff>
          <xdr:row>74</xdr:row>
          <xdr:rowOff>266700</xdr:rowOff>
        </xdr:to>
        <xdr:sp macro="" textlink="">
          <xdr:nvSpPr>
            <xdr:cNvPr id="81041" name="Group Box 145" hidden="1">
              <a:extLst>
                <a:ext uri="{63B3BB69-23CF-44E3-9099-C40C66FF867C}">
                  <a14:compatExt spid="_x0000_s81041"/>
                </a:ext>
                <a:ext uri="{FF2B5EF4-FFF2-40B4-BE49-F238E27FC236}">
                  <a16:creationId xmlns:a16="http://schemas.microsoft.com/office/drawing/2014/main" id="{00000000-0008-0000-4500-000091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71</xdr:row>
          <xdr:rowOff>57150</xdr:rowOff>
        </xdr:from>
        <xdr:to>
          <xdr:col>10</xdr:col>
          <xdr:colOff>66675</xdr:colOff>
          <xdr:row>71</xdr:row>
          <xdr:rowOff>228600</xdr:rowOff>
        </xdr:to>
        <xdr:sp macro="" textlink="">
          <xdr:nvSpPr>
            <xdr:cNvPr id="81042" name="Option Button 146" hidden="1">
              <a:extLst>
                <a:ext uri="{63B3BB69-23CF-44E3-9099-C40C66FF867C}">
                  <a14:compatExt spid="_x0000_s81042"/>
                </a:ext>
                <a:ext uri="{FF2B5EF4-FFF2-40B4-BE49-F238E27FC236}">
                  <a16:creationId xmlns:a16="http://schemas.microsoft.com/office/drawing/2014/main" id="{00000000-0008-0000-4500-00009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72</xdr:row>
          <xdr:rowOff>57150</xdr:rowOff>
        </xdr:from>
        <xdr:to>
          <xdr:col>10</xdr:col>
          <xdr:colOff>66675</xdr:colOff>
          <xdr:row>72</xdr:row>
          <xdr:rowOff>228600</xdr:rowOff>
        </xdr:to>
        <xdr:sp macro="" textlink="">
          <xdr:nvSpPr>
            <xdr:cNvPr id="81043" name="Option Button 147" hidden="1">
              <a:extLst>
                <a:ext uri="{63B3BB69-23CF-44E3-9099-C40C66FF867C}">
                  <a14:compatExt spid="_x0000_s81043"/>
                </a:ext>
                <a:ext uri="{FF2B5EF4-FFF2-40B4-BE49-F238E27FC236}">
                  <a16:creationId xmlns:a16="http://schemas.microsoft.com/office/drawing/2014/main" id="{00000000-0008-0000-4500-00009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73</xdr:row>
          <xdr:rowOff>76200</xdr:rowOff>
        </xdr:from>
        <xdr:to>
          <xdr:col>10</xdr:col>
          <xdr:colOff>66675</xdr:colOff>
          <xdr:row>73</xdr:row>
          <xdr:rowOff>238125</xdr:rowOff>
        </xdr:to>
        <xdr:sp macro="" textlink="">
          <xdr:nvSpPr>
            <xdr:cNvPr id="81044" name="Option Button 148" hidden="1">
              <a:extLst>
                <a:ext uri="{63B3BB69-23CF-44E3-9099-C40C66FF867C}">
                  <a14:compatExt spid="_x0000_s81044"/>
                </a:ext>
                <a:ext uri="{FF2B5EF4-FFF2-40B4-BE49-F238E27FC236}">
                  <a16:creationId xmlns:a16="http://schemas.microsoft.com/office/drawing/2014/main" id="{00000000-0008-0000-4500-00009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74</xdr:row>
          <xdr:rowOff>76200</xdr:rowOff>
        </xdr:from>
        <xdr:to>
          <xdr:col>10</xdr:col>
          <xdr:colOff>66675</xdr:colOff>
          <xdr:row>74</xdr:row>
          <xdr:rowOff>238125</xdr:rowOff>
        </xdr:to>
        <xdr:sp macro="" textlink="">
          <xdr:nvSpPr>
            <xdr:cNvPr id="81045" name="Option Button 149" hidden="1">
              <a:extLst>
                <a:ext uri="{63B3BB69-23CF-44E3-9099-C40C66FF867C}">
                  <a14:compatExt spid="_x0000_s81045"/>
                </a:ext>
                <a:ext uri="{FF2B5EF4-FFF2-40B4-BE49-F238E27FC236}">
                  <a16:creationId xmlns:a16="http://schemas.microsoft.com/office/drawing/2014/main" id="{00000000-0008-0000-4500-00009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71</xdr:row>
          <xdr:rowOff>0</xdr:rowOff>
        </xdr:from>
        <xdr:to>
          <xdr:col>10</xdr:col>
          <xdr:colOff>685800</xdr:colOff>
          <xdr:row>74</xdr:row>
          <xdr:rowOff>266700</xdr:rowOff>
        </xdr:to>
        <xdr:sp macro="" textlink="">
          <xdr:nvSpPr>
            <xdr:cNvPr id="81046" name="Group Box 150" hidden="1">
              <a:extLst>
                <a:ext uri="{63B3BB69-23CF-44E3-9099-C40C66FF867C}">
                  <a14:compatExt spid="_x0000_s81046"/>
                </a:ext>
                <a:ext uri="{FF2B5EF4-FFF2-40B4-BE49-F238E27FC236}">
                  <a16:creationId xmlns:a16="http://schemas.microsoft.com/office/drawing/2014/main" id="{00000000-0008-0000-4500-000096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75</xdr:row>
          <xdr:rowOff>76200</xdr:rowOff>
        </xdr:from>
        <xdr:to>
          <xdr:col>8</xdr:col>
          <xdr:colOff>57150</xdr:colOff>
          <xdr:row>75</xdr:row>
          <xdr:rowOff>238125</xdr:rowOff>
        </xdr:to>
        <xdr:sp macro="" textlink="">
          <xdr:nvSpPr>
            <xdr:cNvPr id="81047" name="Option Button 151" hidden="1">
              <a:extLst>
                <a:ext uri="{63B3BB69-23CF-44E3-9099-C40C66FF867C}">
                  <a14:compatExt spid="_x0000_s81047"/>
                </a:ext>
                <a:ext uri="{FF2B5EF4-FFF2-40B4-BE49-F238E27FC236}">
                  <a16:creationId xmlns:a16="http://schemas.microsoft.com/office/drawing/2014/main" id="{00000000-0008-0000-4500-00009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76</xdr:row>
          <xdr:rowOff>66675</xdr:rowOff>
        </xdr:from>
        <xdr:to>
          <xdr:col>8</xdr:col>
          <xdr:colOff>57150</xdr:colOff>
          <xdr:row>76</xdr:row>
          <xdr:rowOff>228600</xdr:rowOff>
        </xdr:to>
        <xdr:sp macro="" textlink="">
          <xdr:nvSpPr>
            <xdr:cNvPr id="81048" name="Option Button 152" hidden="1">
              <a:extLst>
                <a:ext uri="{63B3BB69-23CF-44E3-9099-C40C66FF867C}">
                  <a14:compatExt spid="_x0000_s81048"/>
                </a:ext>
                <a:ext uri="{FF2B5EF4-FFF2-40B4-BE49-F238E27FC236}">
                  <a16:creationId xmlns:a16="http://schemas.microsoft.com/office/drawing/2014/main" id="{00000000-0008-0000-4500-00009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77</xdr:row>
          <xdr:rowOff>66675</xdr:rowOff>
        </xdr:from>
        <xdr:to>
          <xdr:col>8</xdr:col>
          <xdr:colOff>57150</xdr:colOff>
          <xdr:row>77</xdr:row>
          <xdr:rowOff>228600</xdr:rowOff>
        </xdr:to>
        <xdr:sp macro="" textlink="">
          <xdr:nvSpPr>
            <xdr:cNvPr id="81049" name="Option Button 153" hidden="1">
              <a:extLst>
                <a:ext uri="{63B3BB69-23CF-44E3-9099-C40C66FF867C}">
                  <a14:compatExt spid="_x0000_s81049"/>
                </a:ext>
                <a:ext uri="{FF2B5EF4-FFF2-40B4-BE49-F238E27FC236}">
                  <a16:creationId xmlns:a16="http://schemas.microsoft.com/office/drawing/2014/main" id="{00000000-0008-0000-4500-00009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78</xdr:row>
          <xdr:rowOff>66675</xdr:rowOff>
        </xdr:from>
        <xdr:to>
          <xdr:col>8</xdr:col>
          <xdr:colOff>57150</xdr:colOff>
          <xdr:row>78</xdr:row>
          <xdr:rowOff>228600</xdr:rowOff>
        </xdr:to>
        <xdr:sp macro="" textlink="">
          <xdr:nvSpPr>
            <xdr:cNvPr id="81050" name="Option Button 154" hidden="1">
              <a:extLst>
                <a:ext uri="{63B3BB69-23CF-44E3-9099-C40C66FF867C}">
                  <a14:compatExt spid="_x0000_s81050"/>
                </a:ext>
                <a:ext uri="{FF2B5EF4-FFF2-40B4-BE49-F238E27FC236}">
                  <a16:creationId xmlns:a16="http://schemas.microsoft.com/office/drawing/2014/main" id="{00000000-0008-0000-4500-00009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75</xdr:row>
          <xdr:rowOff>0</xdr:rowOff>
        </xdr:from>
        <xdr:to>
          <xdr:col>8</xdr:col>
          <xdr:colOff>685800</xdr:colOff>
          <xdr:row>78</xdr:row>
          <xdr:rowOff>266700</xdr:rowOff>
        </xdr:to>
        <xdr:sp macro="" textlink="">
          <xdr:nvSpPr>
            <xdr:cNvPr id="81051" name="Group Box 155" hidden="1">
              <a:extLst>
                <a:ext uri="{63B3BB69-23CF-44E3-9099-C40C66FF867C}">
                  <a14:compatExt spid="_x0000_s81051"/>
                </a:ext>
                <a:ext uri="{FF2B5EF4-FFF2-40B4-BE49-F238E27FC236}">
                  <a16:creationId xmlns:a16="http://schemas.microsoft.com/office/drawing/2014/main" id="{00000000-0008-0000-4500-00009B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47625</xdr:colOff>
          <xdr:row>75</xdr:row>
          <xdr:rowOff>76200</xdr:rowOff>
        </xdr:from>
        <xdr:to>
          <xdr:col>10</xdr:col>
          <xdr:colOff>85725</xdr:colOff>
          <xdr:row>75</xdr:row>
          <xdr:rowOff>238125</xdr:rowOff>
        </xdr:to>
        <xdr:sp macro="" textlink="">
          <xdr:nvSpPr>
            <xdr:cNvPr id="81052" name="Option Button 156" hidden="1">
              <a:extLst>
                <a:ext uri="{63B3BB69-23CF-44E3-9099-C40C66FF867C}">
                  <a14:compatExt spid="_x0000_s81052"/>
                </a:ext>
                <a:ext uri="{FF2B5EF4-FFF2-40B4-BE49-F238E27FC236}">
                  <a16:creationId xmlns:a16="http://schemas.microsoft.com/office/drawing/2014/main" id="{00000000-0008-0000-4500-00009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47625</xdr:colOff>
          <xdr:row>76</xdr:row>
          <xdr:rowOff>66675</xdr:rowOff>
        </xdr:from>
        <xdr:to>
          <xdr:col>10</xdr:col>
          <xdr:colOff>85725</xdr:colOff>
          <xdr:row>76</xdr:row>
          <xdr:rowOff>228600</xdr:rowOff>
        </xdr:to>
        <xdr:sp macro="" textlink="">
          <xdr:nvSpPr>
            <xdr:cNvPr id="81053" name="Option Button 157" hidden="1">
              <a:extLst>
                <a:ext uri="{63B3BB69-23CF-44E3-9099-C40C66FF867C}">
                  <a14:compatExt spid="_x0000_s81053"/>
                </a:ext>
                <a:ext uri="{FF2B5EF4-FFF2-40B4-BE49-F238E27FC236}">
                  <a16:creationId xmlns:a16="http://schemas.microsoft.com/office/drawing/2014/main" id="{00000000-0008-0000-4500-00009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47625</xdr:colOff>
          <xdr:row>77</xdr:row>
          <xdr:rowOff>76200</xdr:rowOff>
        </xdr:from>
        <xdr:to>
          <xdr:col>10</xdr:col>
          <xdr:colOff>85725</xdr:colOff>
          <xdr:row>77</xdr:row>
          <xdr:rowOff>247650</xdr:rowOff>
        </xdr:to>
        <xdr:sp macro="" textlink="">
          <xdr:nvSpPr>
            <xdr:cNvPr id="81054" name="Option Button 158" hidden="1">
              <a:extLst>
                <a:ext uri="{63B3BB69-23CF-44E3-9099-C40C66FF867C}">
                  <a14:compatExt spid="_x0000_s81054"/>
                </a:ext>
                <a:ext uri="{FF2B5EF4-FFF2-40B4-BE49-F238E27FC236}">
                  <a16:creationId xmlns:a16="http://schemas.microsoft.com/office/drawing/2014/main" id="{00000000-0008-0000-4500-00009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47625</xdr:colOff>
          <xdr:row>78</xdr:row>
          <xdr:rowOff>66675</xdr:rowOff>
        </xdr:from>
        <xdr:to>
          <xdr:col>10</xdr:col>
          <xdr:colOff>85725</xdr:colOff>
          <xdr:row>78</xdr:row>
          <xdr:rowOff>228600</xdr:rowOff>
        </xdr:to>
        <xdr:sp macro="" textlink="">
          <xdr:nvSpPr>
            <xdr:cNvPr id="81055" name="Option Button 159" hidden="1">
              <a:extLst>
                <a:ext uri="{63B3BB69-23CF-44E3-9099-C40C66FF867C}">
                  <a14:compatExt spid="_x0000_s81055"/>
                </a:ext>
                <a:ext uri="{FF2B5EF4-FFF2-40B4-BE49-F238E27FC236}">
                  <a16:creationId xmlns:a16="http://schemas.microsoft.com/office/drawing/2014/main" id="{00000000-0008-0000-4500-00009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75</xdr:row>
          <xdr:rowOff>0</xdr:rowOff>
        </xdr:from>
        <xdr:to>
          <xdr:col>10</xdr:col>
          <xdr:colOff>685800</xdr:colOff>
          <xdr:row>78</xdr:row>
          <xdr:rowOff>266700</xdr:rowOff>
        </xdr:to>
        <xdr:sp macro="" textlink="">
          <xdr:nvSpPr>
            <xdr:cNvPr id="81056" name="Group Box 160" hidden="1">
              <a:extLst>
                <a:ext uri="{63B3BB69-23CF-44E3-9099-C40C66FF867C}">
                  <a14:compatExt spid="_x0000_s81056"/>
                </a:ext>
                <a:ext uri="{FF2B5EF4-FFF2-40B4-BE49-F238E27FC236}">
                  <a16:creationId xmlns:a16="http://schemas.microsoft.com/office/drawing/2014/main" id="{00000000-0008-0000-4500-0000A0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79</xdr:row>
          <xdr:rowOff>76200</xdr:rowOff>
        </xdr:from>
        <xdr:to>
          <xdr:col>8</xdr:col>
          <xdr:colOff>57150</xdr:colOff>
          <xdr:row>79</xdr:row>
          <xdr:rowOff>247650</xdr:rowOff>
        </xdr:to>
        <xdr:sp macro="" textlink="">
          <xdr:nvSpPr>
            <xdr:cNvPr id="81057" name="Option Button 161" hidden="1">
              <a:extLst>
                <a:ext uri="{63B3BB69-23CF-44E3-9099-C40C66FF867C}">
                  <a14:compatExt spid="_x0000_s81057"/>
                </a:ext>
                <a:ext uri="{FF2B5EF4-FFF2-40B4-BE49-F238E27FC236}">
                  <a16:creationId xmlns:a16="http://schemas.microsoft.com/office/drawing/2014/main" id="{00000000-0008-0000-4500-0000A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80</xdr:row>
          <xdr:rowOff>57150</xdr:rowOff>
        </xdr:from>
        <xdr:to>
          <xdr:col>8</xdr:col>
          <xdr:colOff>57150</xdr:colOff>
          <xdr:row>80</xdr:row>
          <xdr:rowOff>219075</xdr:rowOff>
        </xdr:to>
        <xdr:sp macro="" textlink="">
          <xdr:nvSpPr>
            <xdr:cNvPr id="81058" name="Option Button 162" hidden="1">
              <a:extLst>
                <a:ext uri="{63B3BB69-23CF-44E3-9099-C40C66FF867C}">
                  <a14:compatExt spid="_x0000_s81058"/>
                </a:ext>
                <a:ext uri="{FF2B5EF4-FFF2-40B4-BE49-F238E27FC236}">
                  <a16:creationId xmlns:a16="http://schemas.microsoft.com/office/drawing/2014/main" id="{00000000-0008-0000-4500-0000A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81</xdr:row>
          <xdr:rowOff>57150</xdr:rowOff>
        </xdr:from>
        <xdr:to>
          <xdr:col>8</xdr:col>
          <xdr:colOff>57150</xdr:colOff>
          <xdr:row>81</xdr:row>
          <xdr:rowOff>219075</xdr:rowOff>
        </xdr:to>
        <xdr:sp macro="" textlink="">
          <xdr:nvSpPr>
            <xdr:cNvPr id="81059" name="Option Button 163" hidden="1">
              <a:extLst>
                <a:ext uri="{63B3BB69-23CF-44E3-9099-C40C66FF867C}">
                  <a14:compatExt spid="_x0000_s81059"/>
                </a:ext>
                <a:ext uri="{FF2B5EF4-FFF2-40B4-BE49-F238E27FC236}">
                  <a16:creationId xmlns:a16="http://schemas.microsoft.com/office/drawing/2014/main" id="{00000000-0008-0000-4500-0000A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82</xdr:row>
          <xdr:rowOff>66675</xdr:rowOff>
        </xdr:from>
        <xdr:to>
          <xdr:col>8</xdr:col>
          <xdr:colOff>57150</xdr:colOff>
          <xdr:row>82</xdr:row>
          <xdr:rowOff>238125</xdr:rowOff>
        </xdr:to>
        <xdr:sp macro="" textlink="">
          <xdr:nvSpPr>
            <xdr:cNvPr id="81060" name="Option Button 164" hidden="1">
              <a:extLst>
                <a:ext uri="{63B3BB69-23CF-44E3-9099-C40C66FF867C}">
                  <a14:compatExt spid="_x0000_s81060"/>
                </a:ext>
                <a:ext uri="{FF2B5EF4-FFF2-40B4-BE49-F238E27FC236}">
                  <a16:creationId xmlns:a16="http://schemas.microsoft.com/office/drawing/2014/main" id="{00000000-0008-0000-4500-0000A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79</xdr:row>
          <xdr:rowOff>0</xdr:rowOff>
        </xdr:from>
        <xdr:to>
          <xdr:col>8</xdr:col>
          <xdr:colOff>685800</xdr:colOff>
          <xdr:row>82</xdr:row>
          <xdr:rowOff>266700</xdr:rowOff>
        </xdr:to>
        <xdr:sp macro="" textlink="">
          <xdr:nvSpPr>
            <xdr:cNvPr id="81061" name="Group Box 165" hidden="1">
              <a:extLst>
                <a:ext uri="{63B3BB69-23CF-44E3-9099-C40C66FF867C}">
                  <a14:compatExt spid="_x0000_s81061"/>
                </a:ext>
                <a:ext uri="{FF2B5EF4-FFF2-40B4-BE49-F238E27FC236}">
                  <a16:creationId xmlns:a16="http://schemas.microsoft.com/office/drawing/2014/main" id="{00000000-0008-0000-4500-0000A5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79</xdr:row>
          <xdr:rowOff>66675</xdr:rowOff>
        </xdr:from>
        <xdr:to>
          <xdr:col>10</xdr:col>
          <xdr:colOff>66675</xdr:colOff>
          <xdr:row>79</xdr:row>
          <xdr:rowOff>228600</xdr:rowOff>
        </xdr:to>
        <xdr:sp macro="" textlink="">
          <xdr:nvSpPr>
            <xdr:cNvPr id="81062" name="Option Button 166" hidden="1">
              <a:extLst>
                <a:ext uri="{63B3BB69-23CF-44E3-9099-C40C66FF867C}">
                  <a14:compatExt spid="_x0000_s81062"/>
                </a:ext>
                <a:ext uri="{FF2B5EF4-FFF2-40B4-BE49-F238E27FC236}">
                  <a16:creationId xmlns:a16="http://schemas.microsoft.com/office/drawing/2014/main" id="{00000000-0008-0000-4500-0000A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80</xdr:row>
          <xdr:rowOff>66675</xdr:rowOff>
        </xdr:from>
        <xdr:to>
          <xdr:col>10</xdr:col>
          <xdr:colOff>66675</xdr:colOff>
          <xdr:row>80</xdr:row>
          <xdr:rowOff>238125</xdr:rowOff>
        </xdr:to>
        <xdr:sp macro="" textlink="">
          <xdr:nvSpPr>
            <xdr:cNvPr id="81063" name="Option Button 167" hidden="1">
              <a:extLst>
                <a:ext uri="{63B3BB69-23CF-44E3-9099-C40C66FF867C}">
                  <a14:compatExt spid="_x0000_s81063"/>
                </a:ext>
                <a:ext uri="{FF2B5EF4-FFF2-40B4-BE49-F238E27FC236}">
                  <a16:creationId xmlns:a16="http://schemas.microsoft.com/office/drawing/2014/main" id="{00000000-0008-0000-4500-0000A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81</xdr:row>
          <xdr:rowOff>76200</xdr:rowOff>
        </xdr:from>
        <xdr:to>
          <xdr:col>10</xdr:col>
          <xdr:colOff>66675</xdr:colOff>
          <xdr:row>81</xdr:row>
          <xdr:rowOff>247650</xdr:rowOff>
        </xdr:to>
        <xdr:sp macro="" textlink="">
          <xdr:nvSpPr>
            <xdr:cNvPr id="81064" name="Option Button 168" hidden="1">
              <a:extLst>
                <a:ext uri="{63B3BB69-23CF-44E3-9099-C40C66FF867C}">
                  <a14:compatExt spid="_x0000_s81064"/>
                </a:ext>
                <a:ext uri="{FF2B5EF4-FFF2-40B4-BE49-F238E27FC236}">
                  <a16:creationId xmlns:a16="http://schemas.microsoft.com/office/drawing/2014/main" id="{00000000-0008-0000-4500-0000A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82</xdr:row>
          <xdr:rowOff>57150</xdr:rowOff>
        </xdr:from>
        <xdr:to>
          <xdr:col>10</xdr:col>
          <xdr:colOff>66675</xdr:colOff>
          <xdr:row>82</xdr:row>
          <xdr:rowOff>219075</xdr:rowOff>
        </xdr:to>
        <xdr:sp macro="" textlink="">
          <xdr:nvSpPr>
            <xdr:cNvPr id="81065" name="Option Button 169" hidden="1">
              <a:extLst>
                <a:ext uri="{63B3BB69-23CF-44E3-9099-C40C66FF867C}">
                  <a14:compatExt spid="_x0000_s81065"/>
                </a:ext>
                <a:ext uri="{FF2B5EF4-FFF2-40B4-BE49-F238E27FC236}">
                  <a16:creationId xmlns:a16="http://schemas.microsoft.com/office/drawing/2014/main" id="{00000000-0008-0000-4500-0000A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79</xdr:row>
          <xdr:rowOff>0</xdr:rowOff>
        </xdr:from>
        <xdr:to>
          <xdr:col>10</xdr:col>
          <xdr:colOff>685800</xdr:colOff>
          <xdr:row>82</xdr:row>
          <xdr:rowOff>266700</xdr:rowOff>
        </xdr:to>
        <xdr:sp macro="" textlink="">
          <xdr:nvSpPr>
            <xdr:cNvPr id="81066" name="Group Box 170" hidden="1">
              <a:extLst>
                <a:ext uri="{63B3BB69-23CF-44E3-9099-C40C66FF867C}">
                  <a14:compatExt spid="_x0000_s81066"/>
                </a:ext>
                <a:ext uri="{FF2B5EF4-FFF2-40B4-BE49-F238E27FC236}">
                  <a16:creationId xmlns:a16="http://schemas.microsoft.com/office/drawing/2014/main" id="{00000000-0008-0000-4500-0000AA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83</xdr:row>
          <xdr:rowOff>57150</xdr:rowOff>
        </xdr:from>
        <xdr:to>
          <xdr:col>8</xdr:col>
          <xdr:colOff>66675</xdr:colOff>
          <xdr:row>83</xdr:row>
          <xdr:rowOff>219075</xdr:rowOff>
        </xdr:to>
        <xdr:sp macro="" textlink="">
          <xdr:nvSpPr>
            <xdr:cNvPr id="81067" name="Option Button 171" hidden="1">
              <a:extLst>
                <a:ext uri="{63B3BB69-23CF-44E3-9099-C40C66FF867C}">
                  <a14:compatExt spid="_x0000_s81067"/>
                </a:ext>
                <a:ext uri="{FF2B5EF4-FFF2-40B4-BE49-F238E27FC236}">
                  <a16:creationId xmlns:a16="http://schemas.microsoft.com/office/drawing/2014/main" id="{00000000-0008-0000-4500-0000A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84</xdr:row>
          <xdr:rowOff>47625</xdr:rowOff>
        </xdr:from>
        <xdr:to>
          <xdr:col>8</xdr:col>
          <xdr:colOff>66675</xdr:colOff>
          <xdr:row>84</xdr:row>
          <xdr:rowOff>209550</xdr:rowOff>
        </xdr:to>
        <xdr:sp macro="" textlink="">
          <xdr:nvSpPr>
            <xdr:cNvPr id="81068" name="Option Button 172" hidden="1">
              <a:extLst>
                <a:ext uri="{63B3BB69-23CF-44E3-9099-C40C66FF867C}">
                  <a14:compatExt spid="_x0000_s81068"/>
                </a:ext>
                <a:ext uri="{FF2B5EF4-FFF2-40B4-BE49-F238E27FC236}">
                  <a16:creationId xmlns:a16="http://schemas.microsoft.com/office/drawing/2014/main" id="{00000000-0008-0000-4500-0000A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85</xdr:row>
          <xdr:rowOff>47625</xdr:rowOff>
        </xdr:from>
        <xdr:to>
          <xdr:col>8</xdr:col>
          <xdr:colOff>66675</xdr:colOff>
          <xdr:row>85</xdr:row>
          <xdr:rowOff>209550</xdr:rowOff>
        </xdr:to>
        <xdr:sp macro="" textlink="">
          <xdr:nvSpPr>
            <xdr:cNvPr id="81069" name="Option Button 173" hidden="1">
              <a:extLst>
                <a:ext uri="{63B3BB69-23CF-44E3-9099-C40C66FF867C}">
                  <a14:compatExt spid="_x0000_s81069"/>
                </a:ext>
                <a:ext uri="{FF2B5EF4-FFF2-40B4-BE49-F238E27FC236}">
                  <a16:creationId xmlns:a16="http://schemas.microsoft.com/office/drawing/2014/main" id="{00000000-0008-0000-4500-0000A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86</xdr:row>
          <xdr:rowOff>47625</xdr:rowOff>
        </xdr:from>
        <xdr:to>
          <xdr:col>8</xdr:col>
          <xdr:colOff>66675</xdr:colOff>
          <xdr:row>86</xdr:row>
          <xdr:rowOff>209550</xdr:rowOff>
        </xdr:to>
        <xdr:sp macro="" textlink="">
          <xdr:nvSpPr>
            <xdr:cNvPr id="81070" name="Option Button 174" hidden="1">
              <a:extLst>
                <a:ext uri="{63B3BB69-23CF-44E3-9099-C40C66FF867C}">
                  <a14:compatExt spid="_x0000_s81070"/>
                </a:ext>
                <a:ext uri="{FF2B5EF4-FFF2-40B4-BE49-F238E27FC236}">
                  <a16:creationId xmlns:a16="http://schemas.microsoft.com/office/drawing/2014/main" id="{00000000-0008-0000-4500-0000A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83</xdr:row>
          <xdr:rowOff>0</xdr:rowOff>
        </xdr:from>
        <xdr:to>
          <xdr:col>8</xdr:col>
          <xdr:colOff>685800</xdr:colOff>
          <xdr:row>86</xdr:row>
          <xdr:rowOff>266700</xdr:rowOff>
        </xdr:to>
        <xdr:sp macro="" textlink="">
          <xdr:nvSpPr>
            <xdr:cNvPr id="81071" name="Group Box 175" hidden="1">
              <a:extLst>
                <a:ext uri="{63B3BB69-23CF-44E3-9099-C40C66FF867C}">
                  <a14:compatExt spid="_x0000_s81071"/>
                </a:ext>
                <a:ext uri="{FF2B5EF4-FFF2-40B4-BE49-F238E27FC236}">
                  <a16:creationId xmlns:a16="http://schemas.microsoft.com/office/drawing/2014/main" id="{00000000-0008-0000-4500-0000AF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83</xdr:row>
          <xdr:rowOff>66675</xdr:rowOff>
        </xdr:from>
        <xdr:to>
          <xdr:col>10</xdr:col>
          <xdr:colOff>76200</xdr:colOff>
          <xdr:row>83</xdr:row>
          <xdr:rowOff>238125</xdr:rowOff>
        </xdr:to>
        <xdr:sp macro="" textlink="">
          <xdr:nvSpPr>
            <xdr:cNvPr id="81072" name="Option Button 176" hidden="1">
              <a:extLst>
                <a:ext uri="{63B3BB69-23CF-44E3-9099-C40C66FF867C}">
                  <a14:compatExt spid="_x0000_s81072"/>
                </a:ext>
                <a:ext uri="{FF2B5EF4-FFF2-40B4-BE49-F238E27FC236}">
                  <a16:creationId xmlns:a16="http://schemas.microsoft.com/office/drawing/2014/main" id="{00000000-0008-0000-4500-0000B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84</xdr:row>
          <xdr:rowOff>57150</xdr:rowOff>
        </xdr:from>
        <xdr:to>
          <xdr:col>10</xdr:col>
          <xdr:colOff>76200</xdr:colOff>
          <xdr:row>84</xdr:row>
          <xdr:rowOff>228600</xdr:rowOff>
        </xdr:to>
        <xdr:sp macro="" textlink="">
          <xdr:nvSpPr>
            <xdr:cNvPr id="81073" name="Option Button 177" hidden="1">
              <a:extLst>
                <a:ext uri="{63B3BB69-23CF-44E3-9099-C40C66FF867C}">
                  <a14:compatExt spid="_x0000_s81073"/>
                </a:ext>
                <a:ext uri="{FF2B5EF4-FFF2-40B4-BE49-F238E27FC236}">
                  <a16:creationId xmlns:a16="http://schemas.microsoft.com/office/drawing/2014/main" id="{00000000-0008-0000-4500-0000B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85</xdr:row>
          <xdr:rowOff>57150</xdr:rowOff>
        </xdr:from>
        <xdr:to>
          <xdr:col>10</xdr:col>
          <xdr:colOff>76200</xdr:colOff>
          <xdr:row>85</xdr:row>
          <xdr:rowOff>228600</xdr:rowOff>
        </xdr:to>
        <xdr:sp macro="" textlink="">
          <xdr:nvSpPr>
            <xdr:cNvPr id="81074" name="Option Button 178" hidden="1">
              <a:extLst>
                <a:ext uri="{63B3BB69-23CF-44E3-9099-C40C66FF867C}">
                  <a14:compatExt spid="_x0000_s81074"/>
                </a:ext>
                <a:ext uri="{FF2B5EF4-FFF2-40B4-BE49-F238E27FC236}">
                  <a16:creationId xmlns:a16="http://schemas.microsoft.com/office/drawing/2014/main" id="{00000000-0008-0000-4500-0000B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86</xdr:row>
          <xdr:rowOff>47625</xdr:rowOff>
        </xdr:from>
        <xdr:to>
          <xdr:col>10</xdr:col>
          <xdr:colOff>76200</xdr:colOff>
          <xdr:row>86</xdr:row>
          <xdr:rowOff>209550</xdr:rowOff>
        </xdr:to>
        <xdr:sp macro="" textlink="">
          <xdr:nvSpPr>
            <xdr:cNvPr id="81075" name="Option Button 179" hidden="1">
              <a:extLst>
                <a:ext uri="{63B3BB69-23CF-44E3-9099-C40C66FF867C}">
                  <a14:compatExt spid="_x0000_s81075"/>
                </a:ext>
                <a:ext uri="{FF2B5EF4-FFF2-40B4-BE49-F238E27FC236}">
                  <a16:creationId xmlns:a16="http://schemas.microsoft.com/office/drawing/2014/main" id="{00000000-0008-0000-4500-0000B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83</xdr:row>
          <xdr:rowOff>0</xdr:rowOff>
        </xdr:from>
        <xdr:to>
          <xdr:col>10</xdr:col>
          <xdr:colOff>685800</xdr:colOff>
          <xdr:row>86</xdr:row>
          <xdr:rowOff>266700</xdr:rowOff>
        </xdr:to>
        <xdr:sp macro="" textlink="">
          <xdr:nvSpPr>
            <xdr:cNvPr id="81076" name="Group Box 180" hidden="1">
              <a:extLst>
                <a:ext uri="{63B3BB69-23CF-44E3-9099-C40C66FF867C}">
                  <a14:compatExt spid="_x0000_s81076"/>
                </a:ext>
                <a:ext uri="{FF2B5EF4-FFF2-40B4-BE49-F238E27FC236}">
                  <a16:creationId xmlns:a16="http://schemas.microsoft.com/office/drawing/2014/main" id="{00000000-0008-0000-4500-0000B4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12</xdr:col>
      <xdr:colOff>253999</xdr:colOff>
      <xdr:row>3</xdr:row>
      <xdr:rowOff>21166</xdr:rowOff>
    </xdr:from>
    <xdr:ext cx="2660651" cy="1664759"/>
    <xdr:sp macro="" textlink="">
      <xdr:nvSpPr>
        <xdr:cNvPr id="182" name="角丸四角形吹き出し 182">
          <a:extLst>
            <a:ext uri="{FF2B5EF4-FFF2-40B4-BE49-F238E27FC236}">
              <a16:creationId xmlns:a16="http://schemas.microsoft.com/office/drawing/2014/main" id="{00000000-0008-0000-4500-0000B6000000}"/>
            </a:ext>
          </a:extLst>
        </xdr:cNvPr>
        <xdr:cNvSpPr/>
      </xdr:nvSpPr>
      <xdr:spPr>
        <a:xfrm>
          <a:off x="8093074" y="487891"/>
          <a:ext cx="2660651" cy="1664759"/>
        </a:xfrm>
        <a:prstGeom prst="wedgeRoundRectCallout">
          <a:avLst>
            <a:gd name="adj1" fmla="val -45416"/>
            <a:gd name="adj2" fmla="val -18001"/>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1050" b="1">
              <a:solidFill>
                <a:schemeClr val="tx1"/>
              </a:solidFill>
              <a:latin typeface="ＭＳ ゴシック" panose="020B0609070205080204" pitchFamily="49" charset="-128"/>
              <a:ea typeface="ＭＳ ゴシック" panose="020B0609070205080204" pitchFamily="49" charset="-128"/>
            </a:rPr>
            <a:t>背景が黄色</a:t>
          </a:r>
          <a:r>
            <a:rPr kumimoji="1" lang="ja-JP" altLang="en-US" sz="1050" b="0">
              <a:solidFill>
                <a:schemeClr val="tx1"/>
              </a:solidFill>
              <a:latin typeface="ＭＳ ゴシック" panose="020B0609070205080204" pitchFamily="49" charset="-128"/>
              <a:ea typeface="ＭＳ ゴシック" panose="020B0609070205080204" pitchFamily="49" charset="-128"/>
            </a:rPr>
            <a:t>の項目について、</a:t>
          </a:r>
          <a:endParaRPr kumimoji="1" lang="en-US" altLang="ja-JP" sz="105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50" b="0">
              <a:solidFill>
                <a:schemeClr val="tx1"/>
              </a:solidFill>
              <a:latin typeface="ＭＳ ゴシック" panose="020B0609070205080204" pitchFamily="49" charset="-128"/>
              <a:ea typeface="ＭＳ ゴシック" panose="020B0609070205080204" pitchFamily="49" charset="-128"/>
            </a:rPr>
            <a:t>該当する状況を</a:t>
          </a:r>
          <a:r>
            <a:rPr kumimoji="1" lang="ja-JP" altLang="en-US" sz="1050" b="1">
              <a:solidFill>
                <a:schemeClr val="tx1"/>
              </a:solidFill>
              <a:latin typeface="ＭＳ ゴシック" panose="020B0609070205080204" pitchFamily="49" charset="-128"/>
              <a:ea typeface="ＭＳ ゴシック" panose="020B0609070205080204" pitchFamily="49" charset="-128"/>
            </a:rPr>
            <a:t>選択</a:t>
          </a:r>
          <a:endParaRPr kumimoji="1" lang="en-US" altLang="ja-JP" sz="1050" b="1">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300" b="0">
              <a:solidFill>
                <a:schemeClr val="tx1"/>
              </a:solidFill>
              <a:latin typeface="ＭＳ ゴシック" panose="020B0609070205080204" pitchFamily="49" charset="-128"/>
              <a:ea typeface="ＭＳ ゴシック" panose="020B0609070205080204" pitchFamily="49" charset="-128"/>
            </a:rPr>
            <a:t> </a:t>
          </a:r>
          <a:endParaRPr kumimoji="1" lang="ja-JP" altLang="en-US" sz="3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1000" b="0">
              <a:solidFill>
                <a:schemeClr val="tx1"/>
              </a:solidFill>
              <a:latin typeface="ＭＳ ゴシック" panose="020B0609070205080204" pitchFamily="49" charset="-128"/>
              <a:ea typeface="ＭＳ ゴシック" panose="020B0609070205080204" pitchFamily="49" charset="-128"/>
            </a:rPr>
            <a:t>※3</a:t>
          </a:r>
          <a:r>
            <a:rPr kumimoji="1" lang="ja-JP" altLang="en-US" sz="1000" b="0">
              <a:solidFill>
                <a:schemeClr val="tx1"/>
              </a:solidFill>
              <a:latin typeface="ＭＳ ゴシック" panose="020B0609070205080204" pitchFamily="49" charset="-128"/>
              <a:ea typeface="ＭＳ ゴシック" panose="020B0609070205080204" pitchFamily="49" charset="-128"/>
            </a:rPr>
            <a:t>号事業者は、下方に選択欄があります</a:t>
          </a:r>
        </a:p>
        <a:p>
          <a:pPr algn="l"/>
          <a:r>
            <a:rPr kumimoji="1" lang="en-US" altLang="ja-JP" sz="1000" b="0">
              <a:solidFill>
                <a:schemeClr val="tx1"/>
              </a:solidFill>
              <a:latin typeface="ＭＳ ゴシック" panose="020B0609070205080204" pitchFamily="49" charset="-128"/>
              <a:ea typeface="ＭＳ ゴシック" panose="020B0609070205080204" pitchFamily="49" charset="-128"/>
            </a:rPr>
            <a:t>※</a:t>
          </a:r>
          <a:r>
            <a:rPr kumimoji="1" lang="ja-JP" altLang="en-US" sz="1000" b="0">
              <a:solidFill>
                <a:schemeClr val="tx1"/>
              </a:solidFill>
              <a:latin typeface="ＭＳ ゴシック" panose="020B0609070205080204" pitchFamily="49" charset="-128"/>
              <a:ea typeface="ＭＳ ゴシック" panose="020B0609070205080204" pitchFamily="49" charset="-128"/>
            </a:rPr>
            <a:t>誤って背景がグレーの項目を選択した</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1000" b="0">
              <a:solidFill>
                <a:schemeClr val="tx1"/>
              </a:solidFill>
              <a:latin typeface="ＭＳ ゴシック" panose="020B0609070205080204" pitchFamily="49" charset="-128"/>
              <a:ea typeface="ＭＳ ゴシック" panose="020B0609070205080204" pitchFamily="49" charset="-128"/>
            </a:rPr>
            <a:t> </a:t>
          </a:r>
          <a:r>
            <a:rPr kumimoji="1" lang="ja-JP" altLang="en-US" sz="10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1000" b="0">
              <a:solidFill>
                <a:schemeClr val="tx1"/>
              </a:solidFill>
              <a:latin typeface="ＭＳ ゴシック" panose="020B0609070205080204" pitchFamily="49" charset="-128"/>
              <a:ea typeface="ＭＳ ゴシック" panose="020B0609070205080204" pitchFamily="49" charset="-128"/>
            </a:rPr>
            <a:t>場合は、非該当にしてください</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1000" b="0">
              <a:solidFill>
                <a:schemeClr val="tx1"/>
              </a:solidFill>
              <a:latin typeface="ＭＳ ゴシック" panose="020B0609070205080204" pitchFamily="49" charset="-128"/>
              <a:ea typeface="ＭＳ ゴシック" panose="020B0609070205080204" pitchFamily="49" charset="-128"/>
            </a:rPr>
            <a:t>※</a:t>
          </a:r>
          <a:r>
            <a:rPr kumimoji="1" lang="ja-JP" altLang="en-US" sz="1000" b="0">
              <a:solidFill>
                <a:schemeClr val="tx1"/>
              </a:solidFill>
              <a:latin typeface="ＭＳ ゴシック" panose="020B0609070205080204" pitchFamily="49" charset="-128"/>
              <a:ea typeface="ＭＳ ゴシック" panose="020B0609070205080204" pitchFamily="49" charset="-128"/>
            </a:rPr>
            <a:t>管理基準とは、管理、点検等のための</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00" b="0">
              <a:solidFill>
                <a:schemeClr val="tx1"/>
              </a:solidFill>
              <a:latin typeface="ＭＳ ゴシック" panose="020B0609070205080204" pitchFamily="49" charset="-128"/>
              <a:ea typeface="ＭＳ ゴシック" panose="020B0609070205080204" pitchFamily="49" charset="-128"/>
            </a:rPr>
            <a:t>　運用マニュアル（作成ガイド等を参照）</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xdr:txBody>
    </xdr:sp>
    <xdr:clientData fPrintsWithSheet="0"/>
  </xdr:oneCellAnchor>
</xdr:wsDr>
</file>

<file path=xl/drawings/drawing17.xml><?xml version="1.0" encoding="utf-8"?>
<xdr:wsDr xmlns:xdr="http://schemas.openxmlformats.org/drawingml/2006/spreadsheetDrawing" xmlns:a="http://schemas.openxmlformats.org/drawingml/2006/main">
  <xdr:twoCellAnchor>
    <xdr:from>
      <xdr:col>22</xdr:col>
      <xdr:colOff>17369</xdr:colOff>
      <xdr:row>15</xdr:row>
      <xdr:rowOff>20170</xdr:rowOff>
    </xdr:from>
    <xdr:to>
      <xdr:col>24</xdr:col>
      <xdr:colOff>979394</xdr:colOff>
      <xdr:row>17</xdr:row>
      <xdr:rowOff>239245</xdr:rowOff>
    </xdr:to>
    <xdr:sp macro="" textlink="">
      <xdr:nvSpPr>
        <xdr:cNvPr id="13" name="角丸四角形 1">
          <a:extLst>
            <a:ext uri="{FF2B5EF4-FFF2-40B4-BE49-F238E27FC236}">
              <a16:creationId xmlns:a16="http://schemas.microsoft.com/office/drawing/2014/main" id="{00000000-0008-0000-4600-00000D000000}"/>
            </a:ext>
          </a:extLst>
        </xdr:cNvPr>
        <xdr:cNvSpPr/>
      </xdr:nvSpPr>
      <xdr:spPr>
        <a:xfrm>
          <a:off x="7816663" y="5331758"/>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476250</xdr:colOff>
          <xdr:row>19</xdr:row>
          <xdr:rowOff>19050</xdr:rowOff>
        </xdr:from>
        <xdr:to>
          <xdr:col>23</xdr:col>
          <xdr:colOff>28575</xdr:colOff>
          <xdr:row>19</xdr:row>
          <xdr:rowOff>342900</xdr:rowOff>
        </xdr:to>
        <xdr:sp macro="" textlink="">
          <xdr:nvSpPr>
            <xdr:cNvPr id="81929" name="Option Button 1する" hidden="1">
              <a:extLst>
                <a:ext uri="{63B3BB69-23CF-44E3-9099-C40C66FF867C}">
                  <a14:compatExt spid="_x0000_s81929"/>
                </a:ext>
                <a:ext uri="{FF2B5EF4-FFF2-40B4-BE49-F238E27FC236}">
                  <a16:creationId xmlns:a16="http://schemas.microsoft.com/office/drawing/2014/main" id="{00000000-0008-0000-4600-00000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476250</xdr:colOff>
          <xdr:row>19</xdr:row>
          <xdr:rowOff>285750</xdr:rowOff>
        </xdr:from>
        <xdr:to>
          <xdr:col>23</xdr:col>
          <xdr:colOff>28575</xdr:colOff>
          <xdr:row>20</xdr:row>
          <xdr:rowOff>257175</xdr:rowOff>
        </xdr:to>
        <xdr:sp macro="" textlink="">
          <xdr:nvSpPr>
            <xdr:cNvPr id="81930" name="Option Button 1しない" hidden="1">
              <a:extLst>
                <a:ext uri="{63B3BB69-23CF-44E3-9099-C40C66FF867C}">
                  <a14:compatExt spid="_x0000_s81930"/>
                </a:ext>
                <a:ext uri="{FF2B5EF4-FFF2-40B4-BE49-F238E27FC236}">
                  <a16:creationId xmlns:a16="http://schemas.microsoft.com/office/drawing/2014/main" id="{00000000-0008-0000-4600-00000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18</xdr:row>
          <xdr:rowOff>304800</xdr:rowOff>
        </xdr:from>
        <xdr:to>
          <xdr:col>24</xdr:col>
          <xdr:colOff>666750</xdr:colOff>
          <xdr:row>20</xdr:row>
          <xdr:rowOff>333375</xdr:rowOff>
        </xdr:to>
        <xdr:sp macro="" textlink="">
          <xdr:nvSpPr>
            <xdr:cNvPr id="81932" name="Group Box 1" hidden="1">
              <a:extLst>
                <a:ext uri="{63B3BB69-23CF-44E3-9099-C40C66FF867C}">
                  <a14:compatExt spid="_x0000_s81932"/>
                </a:ext>
                <a:ext uri="{FF2B5EF4-FFF2-40B4-BE49-F238E27FC236}">
                  <a16:creationId xmlns:a16="http://schemas.microsoft.com/office/drawing/2014/main" id="{00000000-0008-0000-4600-00000C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xdr:twoCellAnchor>
    <xdr:from>
      <xdr:col>22</xdr:col>
      <xdr:colOff>17369</xdr:colOff>
      <xdr:row>39</xdr:row>
      <xdr:rowOff>277906</xdr:rowOff>
    </xdr:from>
    <xdr:to>
      <xdr:col>24</xdr:col>
      <xdr:colOff>979394</xdr:colOff>
      <xdr:row>42</xdr:row>
      <xdr:rowOff>216834</xdr:rowOff>
    </xdr:to>
    <xdr:sp macro="" textlink="">
      <xdr:nvSpPr>
        <xdr:cNvPr id="6" name="角丸四角形 1">
          <a:extLst>
            <a:ext uri="{FF2B5EF4-FFF2-40B4-BE49-F238E27FC236}">
              <a16:creationId xmlns:a16="http://schemas.microsoft.com/office/drawing/2014/main" id="{00000000-0008-0000-4600-000006000000}"/>
            </a:ext>
          </a:extLst>
        </xdr:cNvPr>
        <xdr:cNvSpPr/>
      </xdr:nvSpPr>
      <xdr:spPr>
        <a:xfrm>
          <a:off x="7816663" y="14419730"/>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476250</xdr:colOff>
          <xdr:row>44</xdr:row>
          <xdr:rowOff>19050</xdr:rowOff>
        </xdr:from>
        <xdr:to>
          <xdr:col>23</xdr:col>
          <xdr:colOff>28575</xdr:colOff>
          <xdr:row>44</xdr:row>
          <xdr:rowOff>342900</xdr:rowOff>
        </xdr:to>
        <xdr:sp macro="" textlink="">
          <xdr:nvSpPr>
            <xdr:cNvPr id="81934" name="Option Button 1する" hidden="1">
              <a:extLst>
                <a:ext uri="{63B3BB69-23CF-44E3-9099-C40C66FF867C}">
                  <a14:compatExt spid="_x0000_s81934"/>
                </a:ext>
                <a:ext uri="{FF2B5EF4-FFF2-40B4-BE49-F238E27FC236}">
                  <a16:creationId xmlns:a16="http://schemas.microsoft.com/office/drawing/2014/main" id="{00000000-0008-0000-4600-00000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476250</xdr:colOff>
          <xdr:row>44</xdr:row>
          <xdr:rowOff>285750</xdr:rowOff>
        </xdr:from>
        <xdr:to>
          <xdr:col>23</xdr:col>
          <xdr:colOff>28575</xdr:colOff>
          <xdr:row>45</xdr:row>
          <xdr:rowOff>257175</xdr:rowOff>
        </xdr:to>
        <xdr:sp macro="" textlink="">
          <xdr:nvSpPr>
            <xdr:cNvPr id="81935" name="Option Button 1しない" hidden="1">
              <a:extLst>
                <a:ext uri="{63B3BB69-23CF-44E3-9099-C40C66FF867C}">
                  <a14:compatExt spid="_x0000_s81935"/>
                </a:ext>
                <a:ext uri="{FF2B5EF4-FFF2-40B4-BE49-F238E27FC236}">
                  <a16:creationId xmlns:a16="http://schemas.microsoft.com/office/drawing/2014/main" id="{00000000-0008-0000-4600-00000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295275</xdr:colOff>
          <xdr:row>43</xdr:row>
          <xdr:rowOff>276225</xdr:rowOff>
        </xdr:from>
        <xdr:to>
          <xdr:col>24</xdr:col>
          <xdr:colOff>762000</xdr:colOff>
          <xdr:row>45</xdr:row>
          <xdr:rowOff>390525</xdr:rowOff>
        </xdr:to>
        <xdr:sp macro="" textlink="">
          <xdr:nvSpPr>
            <xdr:cNvPr id="81937" name="Group Box 17" hidden="1">
              <a:extLst>
                <a:ext uri="{63B3BB69-23CF-44E3-9099-C40C66FF867C}">
                  <a14:compatExt spid="_x0000_s81937"/>
                </a:ext>
                <a:ext uri="{FF2B5EF4-FFF2-40B4-BE49-F238E27FC236}">
                  <a16:creationId xmlns:a16="http://schemas.microsoft.com/office/drawing/2014/main" id="{00000000-0008-0000-4600-000011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16</xdr:col>
      <xdr:colOff>6163</xdr:colOff>
      <xdr:row>64</xdr:row>
      <xdr:rowOff>266700</xdr:rowOff>
    </xdr:from>
    <xdr:to>
      <xdr:col>24</xdr:col>
      <xdr:colOff>968188</xdr:colOff>
      <xdr:row>67</xdr:row>
      <xdr:rowOff>205628</xdr:rowOff>
    </xdr:to>
    <xdr:sp macro="" textlink="">
      <xdr:nvSpPr>
        <xdr:cNvPr id="10" name="角丸四角形 1">
          <a:extLst>
            <a:ext uri="{FF2B5EF4-FFF2-40B4-BE49-F238E27FC236}">
              <a16:creationId xmlns:a16="http://schemas.microsoft.com/office/drawing/2014/main" id="{00000000-0008-0000-4600-00000A000000}"/>
            </a:ext>
          </a:extLst>
        </xdr:cNvPr>
        <xdr:cNvSpPr/>
      </xdr:nvSpPr>
      <xdr:spPr>
        <a:xfrm>
          <a:off x="7805457" y="23350818"/>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438150</xdr:colOff>
          <xdr:row>69</xdr:row>
          <xdr:rowOff>47625</xdr:rowOff>
        </xdr:from>
        <xdr:to>
          <xdr:col>22</xdr:col>
          <xdr:colOff>666750</xdr:colOff>
          <xdr:row>70</xdr:row>
          <xdr:rowOff>19050</xdr:rowOff>
        </xdr:to>
        <xdr:sp macro="" textlink="">
          <xdr:nvSpPr>
            <xdr:cNvPr id="81945" name="Option Button 1する" hidden="1">
              <a:extLst>
                <a:ext uri="{63B3BB69-23CF-44E3-9099-C40C66FF867C}">
                  <a14:compatExt spid="_x0000_s81945"/>
                </a:ext>
                <a:ext uri="{FF2B5EF4-FFF2-40B4-BE49-F238E27FC236}">
                  <a16:creationId xmlns:a16="http://schemas.microsoft.com/office/drawing/2014/main" id="{00000000-0008-0000-4600-00001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438150</xdr:colOff>
          <xdr:row>69</xdr:row>
          <xdr:rowOff>314325</xdr:rowOff>
        </xdr:from>
        <xdr:to>
          <xdr:col>22</xdr:col>
          <xdr:colOff>666750</xdr:colOff>
          <xdr:row>70</xdr:row>
          <xdr:rowOff>285750</xdr:rowOff>
        </xdr:to>
        <xdr:sp macro="" textlink="">
          <xdr:nvSpPr>
            <xdr:cNvPr id="81946" name="Option Button 1しない" hidden="1">
              <a:extLst>
                <a:ext uri="{63B3BB69-23CF-44E3-9099-C40C66FF867C}">
                  <a14:compatExt spid="_x0000_s81946"/>
                </a:ext>
                <a:ext uri="{FF2B5EF4-FFF2-40B4-BE49-F238E27FC236}">
                  <a16:creationId xmlns:a16="http://schemas.microsoft.com/office/drawing/2014/main" id="{00000000-0008-0000-4600-00001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247650</xdr:colOff>
          <xdr:row>68</xdr:row>
          <xdr:rowOff>295275</xdr:rowOff>
        </xdr:from>
        <xdr:to>
          <xdr:col>24</xdr:col>
          <xdr:colOff>714375</xdr:colOff>
          <xdr:row>70</xdr:row>
          <xdr:rowOff>409575</xdr:rowOff>
        </xdr:to>
        <xdr:sp macro="" textlink="">
          <xdr:nvSpPr>
            <xdr:cNvPr id="81947" name="Group Box 27" hidden="1">
              <a:extLst>
                <a:ext uri="{63B3BB69-23CF-44E3-9099-C40C66FF867C}">
                  <a14:compatExt spid="_x0000_s81947"/>
                </a:ext>
                <a:ext uri="{FF2B5EF4-FFF2-40B4-BE49-F238E27FC236}">
                  <a16:creationId xmlns:a16="http://schemas.microsoft.com/office/drawing/2014/main" id="{00000000-0008-0000-4600-00001B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89</xdr:row>
      <xdr:rowOff>277906</xdr:rowOff>
    </xdr:from>
    <xdr:to>
      <xdr:col>24</xdr:col>
      <xdr:colOff>990600</xdr:colOff>
      <xdr:row>92</xdr:row>
      <xdr:rowOff>216834</xdr:rowOff>
    </xdr:to>
    <xdr:sp macro="" textlink="">
      <xdr:nvSpPr>
        <xdr:cNvPr id="20" name="角丸四角形 1">
          <a:extLst>
            <a:ext uri="{FF2B5EF4-FFF2-40B4-BE49-F238E27FC236}">
              <a16:creationId xmlns:a16="http://schemas.microsoft.com/office/drawing/2014/main" id="{00000000-0008-0000-4600-000014000000}"/>
            </a:ext>
          </a:extLst>
        </xdr:cNvPr>
        <xdr:cNvSpPr/>
      </xdr:nvSpPr>
      <xdr:spPr>
        <a:xfrm>
          <a:off x="7827869" y="32304318"/>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94</xdr:row>
          <xdr:rowOff>38100</xdr:rowOff>
        </xdr:from>
        <xdr:to>
          <xdr:col>22</xdr:col>
          <xdr:colOff>600075</xdr:colOff>
          <xdr:row>95</xdr:row>
          <xdr:rowOff>9525</xdr:rowOff>
        </xdr:to>
        <xdr:sp macro="" textlink="">
          <xdr:nvSpPr>
            <xdr:cNvPr id="81951" name="Option Button 1する" hidden="1">
              <a:extLst>
                <a:ext uri="{63B3BB69-23CF-44E3-9099-C40C66FF867C}">
                  <a14:compatExt spid="_x0000_s81951"/>
                </a:ext>
                <a:ext uri="{FF2B5EF4-FFF2-40B4-BE49-F238E27FC236}">
                  <a16:creationId xmlns:a16="http://schemas.microsoft.com/office/drawing/2014/main" id="{00000000-0008-0000-4600-00001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94</xdr:row>
          <xdr:rowOff>304800</xdr:rowOff>
        </xdr:from>
        <xdr:to>
          <xdr:col>22</xdr:col>
          <xdr:colOff>600075</xdr:colOff>
          <xdr:row>95</xdr:row>
          <xdr:rowOff>276225</xdr:rowOff>
        </xdr:to>
        <xdr:sp macro="" textlink="">
          <xdr:nvSpPr>
            <xdr:cNvPr id="81952" name="Option Button 1しない" hidden="1">
              <a:extLst>
                <a:ext uri="{63B3BB69-23CF-44E3-9099-C40C66FF867C}">
                  <a14:compatExt spid="_x0000_s81952"/>
                </a:ext>
                <a:ext uri="{FF2B5EF4-FFF2-40B4-BE49-F238E27FC236}">
                  <a16:creationId xmlns:a16="http://schemas.microsoft.com/office/drawing/2014/main" id="{00000000-0008-0000-4600-00002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28575</xdr:colOff>
      <xdr:row>115</xdr:row>
      <xdr:rowOff>20170</xdr:rowOff>
    </xdr:from>
    <xdr:to>
      <xdr:col>24</xdr:col>
      <xdr:colOff>990600</xdr:colOff>
      <xdr:row>117</xdr:row>
      <xdr:rowOff>239245</xdr:rowOff>
    </xdr:to>
    <xdr:sp macro="" textlink="">
      <xdr:nvSpPr>
        <xdr:cNvPr id="18" name="角丸四角形 1">
          <a:extLst>
            <a:ext uri="{FF2B5EF4-FFF2-40B4-BE49-F238E27FC236}">
              <a16:creationId xmlns:a16="http://schemas.microsoft.com/office/drawing/2014/main" id="{00000000-0008-0000-4600-000012000000}"/>
            </a:ext>
          </a:extLst>
        </xdr:cNvPr>
        <xdr:cNvSpPr/>
      </xdr:nvSpPr>
      <xdr:spPr>
        <a:xfrm>
          <a:off x="7827869" y="41269023"/>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342900</xdr:colOff>
          <xdr:row>119</xdr:row>
          <xdr:rowOff>38100</xdr:rowOff>
        </xdr:from>
        <xdr:to>
          <xdr:col>22</xdr:col>
          <xdr:colOff>571500</xdr:colOff>
          <xdr:row>120</xdr:row>
          <xdr:rowOff>9525</xdr:rowOff>
        </xdr:to>
        <xdr:sp macro="" textlink="">
          <xdr:nvSpPr>
            <xdr:cNvPr id="81954" name="Option Button 34" hidden="1">
              <a:extLst>
                <a:ext uri="{63B3BB69-23CF-44E3-9099-C40C66FF867C}">
                  <a14:compatExt spid="_x0000_s81954"/>
                </a:ext>
                <a:ext uri="{FF2B5EF4-FFF2-40B4-BE49-F238E27FC236}">
                  <a16:creationId xmlns:a16="http://schemas.microsoft.com/office/drawing/2014/main" id="{00000000-0008-0000-4600-00002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28575</xdr:colOff>
      <xdr:row>140</xdr:row>
      <xdr:rowOff>20170</xdr:rowOff>
    </xdr:from>
    <xdr:to>
      <xdr:col>24</xdr:col>
      <xdr:colOff>990600</xdr:colOff>
      <xdr:row>142</xdr:row>
      <xdr:rowOff>239245</xdr:rowOff>
    </xdr:to>
    <xdr:sp macro="" textlink="">
      <xdr:nvSpPr>
        <xdr:cNvPr id="22" name="角丸四角形 1">
          <a:extLst>
            <a:ext uri="{FF2B5EF4-FFF2-40B4-BE49-F238E27FC236}">
              <a16:creationId xmlns:a16="http://schemas.microsoft.com/office/drawing/2014/main" id="{00000000-0008-0000-4600-000016000000}"/>
            </a:ext>
          </a:extLst>
        </xdr:cNvPr>
        <xdr:cNvSpPr/>
      </xdr:nvSpPr>
      <xdr:spPr>
        <a:xfrm>
          <a:off x="7827869" y="50211317"/>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144</xdr:row>
          <xdr:rowOff>38100</xdr:rowOff>
        </xdr:from>
        <xdr:to>
          <xdr:col>22</xdr:col>
          <xdr:colOff>600075</xdr:colOff>
          <xdr:row>145</xdr:row>
          <xdr:rowOff>9525</xdr:rowOff>
        </xdr:to>
        <xdr:sp macro="" textlink="">
          <xdr:nvSpPr>
            <xdr:cNvPr id="81957" name="Option Button 37" hidden="1">
              <a:extLst>
                <a:ext uri="{63B3BB69-23CF-44E3-9099-C40C66FF867C}">
                  <a14:compatExt spid="_x0000_s81957"/>
                </a:ext>
                <a:ext uri="{FF2B5EF4-FFF2-40B4-BE49-F238E27FC236}">
                  <a16:creationId xmlns:a16="http://schemas.microsoft.com/office/drawing/2014/main" id="{00000000-0008-0000-4600-00002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144</xdr:row>
          <xdr:rowOff>304800</xdr:rowOff>
        </xdr:from>
        <xdr:to>
          <xdr:col>22</xdr:col>
          <xdr:colOff>600075</xdr:colOff>
          <xdr:row>145</xdr:row>
          <xdr:rowOff>285750</xdr:rowOff>
        </xdr:to>
        <xdr:sp macro="" textlink="">
          <xdr:nvSpPr>
            <xdr:cNvPr id="81958" name="Option Button 38" hidden="1">
              <a:extLst>
                <a:ext uri="{63B3BB69-23CF-44E3-9099-C40C66FF867C}">
                  <a14:compatExt spid="_x0000_s81958"/>
                </a:ext>
                <a:ext uri="{FF2B5EF4-FFF2-40B4-BE49-F238E27FC236}">
                  <a16:creationId xmlns:a16="http://schemas.microsoft.com/office/drawing/2014/main" id="{00000000-0008-0000-4600-00002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143</xdr:row>
          <xdr:rowOff>285750</xdr:rowOff>
        </xdr:from>
        <xdr:to>
          <xdr:col>24</xdr:col>
          <xdr:colOff>657225</xdr:colOff>
          <xdr:row>145</xdr:row>
          <xdr:rowOff>409575</xdr:rowOff>
        </xdr:to>
        <xdr:sp macro="" textlink="">
          <xdr:nvSpPr>
            <xdr:cNvPr id="81959" name="Group Box 39" hidden="1">
              <a:extLst>
                <a:ext uri="{63B3BB69-23CF-44E3-9099-C40C66FF867C}">
                  <a14:compatExt spid="_x0000_s81959"/>
                </a:ext>
                <a:ext uri="{FF2B5EF4-FFF2-40B4-BE49-F238E27FC236}">
                  <a16:creationId xmlns:a16="http://schemas.microsoft.com/office/drawing/2014/main" id="{00000000-0008-0000-4600-000027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22412</xdr:colOff>
      <xdr:row>165</xdr:row>
      <xdr:rowOff>31376</xdr:rowOff>
    </xdr:from>
    <xdr:to>
      <xdr:col>24</xdr:col>
      <xdr:colOff>990601</xdr:colOff>
      <xdr:row>167</xdr:row>
      <xdr:rowOff>250451</xdr:rowOff>
    </xdr:to>
    <xdr:sp macro="" textlink="">
      <xdr:nvSpPr>
        <xdr:cNvPr id="26" name="角丸四角形 1">
          <a:extLst>
            <a:ext uri="{FF2B5EF4-FFF2-40B4-BE49-F238E27FC236}">
              <a16:creationId xmlns:a16="http://schemas.microsoft.com/office/drawing/2014/main" id="{00000000-0008-0000-4600-00001A000000}"/>
            </a:ext>
          </a:extLst>
        </xdr:cNvPr>
        <xdr:cNvSpPr/>
      </xdr:nvSpPr>
      <xdr:spPr>
        <a:xfrm>
          <a:off x="7821706" y="59164817"/>
          <a:ext cx="2693895"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169</xdr:row>
          <xdr:rowOff>38100</xdr:rowOff>
        </xdr:from>
        <xdr:to>
          <xdr:col>22</xdr:col>
          <xdr:colOff>600075</xdr:colOff>
          <xdr:row>170</xdr:row>
          <xdr:rowOff>9525</xdr:rowOff>
        </xdr:to>
        <xdr:sp macro="" textlink="">
          <xdr:nvSpPr>
            <xdr:cNvPr id="81960" name="Option Button 40" hidden="1">
              <a:extLst>
                <a:ext uri="{63B3BB69-23CF-44E3-9099-C40C66FF867C}">
                  <a14:compatExt spid="_x0000_s81960"/>
                </a:ext>
                <a:ext uri="{FF2B5EF4-FFF2-40B4-BE49-F238E27FC236}">
                  <a16:creationId xmlns:a16="http://schemas.microsoft.com/office/drawing/2014/main" id="{00000000-0008-0000-4600-00002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169</xdr:row>
          <xdr:rowOff>304800</xdr:rowOff>
        </xdr:from>
        <xdr:to>
          <xdr:col>22</xdr:col>
          <xdr:colOff>600075</xdr:colOff>
          <xdr:row>170</xdr:row>
          <xdr:rowOff>285750</xdr:rowOff>
        </xdr:to>
        <xdr:sp macro="" textlink="">
          <xdr:nvSpPr>
            <xdr:cNvPr id="81961" name="Option Button 41" hidden="1">
              <a:extLst>
                <a:ext uri="{63B3BB69-23CF-44E3-9099-C40C66FF867C}">
                  <a14:compatExt spid="_x0000_s81961"/>
                </a:ext>
                <a:ext uri="{FF2B5EF4-FFF2-40B4-BE49-F238E27FC236}">
                  <a16:creationId xmlns:a16="http://schemas.microsoft.com/office/drawing/2014/main" id="{00000000-0008-0000-4600-00002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168</xdr:row>
          <xdr:rowOff>285750</xdr:rowOff>
        </xdr:from>
        <xdr:to>
          <xdr:col>24</xdr:col>
          <xdr:colOff>657225</xdr:colOff>
          <xdr:row>170</xdr:row>
          <xdr:rowOff>409575</xdr:rowOff>
        </xdr:to>
        <xdr:sp macro="" textlink="">
          <xdr:nvSpPr>
            <xdr:cNvPr id="81962" name="Group Box 42" hidden="1">
              <a:extLst>
                <a:ext uri="{63B3BB69-23CF-44E3-9099-C40C66FF867C}">
                  <a14:compatExt spid="_x0000_s81962"/>
                </a:ext>
                <a:ext uri="{FF2B5EF4-FFF2-40B4-BE49-F238E27FC236}">
                  <a16:creationId xmlns:a16="http://schemas.microsoft.com/office/drawing/2014/main" id="{00000000-0008-0000-4600-00002A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190</xdr:row>
      <xdr:rowOff>20170</xdr:rowOff>
    </xdr:from>
    <xdr:to>
      <xdr:col>24</xdr:col>
      <xdr:colOff>979394</xdr:colOff>
      <xdr:row>192</xdr:row>
      <xdr:rowOff>239245</xdr:rowOff>
    </xdr:to>
    <xdr:sp macro="" textlink="">
      <xdr:nvSpPr>
        <xdr:cNvPr id="30" name="角丸四角形 1">
          <a:extLst>
            <a:ext uri="{FF2B5EF4-FFF2-40B4-BE49-F238E27FC236}">
              <a16:creationId xmlns:a16="http://schemas.microsoft.com/office/drawing/2014/main" id="{00000000-0008-0000-4600-00001E000000}"/>
            </a:ext>
          </a:extLst>
        </xdr:cNvPr>
        <xdr:cNvSpPr/>
      </xdr:nvSpPr>
      <xdr:spPr>
        <a:xfrm>
          <a:off x="7816663" y="68095905"/>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194</xdr:row>
          <xdr:rowOff>38100</xdr:rowOff>
        </xdr:from>
        <xdr:to>
          <xdr:col>22</xdr:col>
          <xdr:colOff>600075</xdr:colOff>
          <xdr:row>195</xdr:row>
          <xdr:rowOff>9525</xdr:rowOff>
        </xdr:to>
        <xdr:sp macro="" textlink="">
          <xdr:nvSpPr>
            <xdr:cNvPr id="81963" name="Option Button 43" hidden="1">
              <a:extLst>
                <a:ext uri="{63B3BB69-23CF-44E3-9099-C40C66FF867C}">
                  <a14:compatExt spid="_x0000_s81963"/>
                </a:ext>
                <a:ext uri="{FF2B5EF4-FFF2-40B4-BE49-F238E27FC236}">
                  <a16:creationId xmlns:a16="http://schemas.microsoft.com/office/drawing/2014/main" id="{00000000-0008-0000-4600-00002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194</xdr:row>
          <xdr:rowOff>304800</xdr:rowOff>
        </xdr:from>
        <xdr:to>
          <xdr:col>22</xdr:col>
          <xdr:colOff>600075</xdr:colOff>
          <xdr:row>195</xdr:row>
          <xdr:rowOff>285750</xdr:rowOff>
        </xdr:to>
        <xdr:sp macro="" textlink="">
          <xdr:nvSpPr>
            <xdr:cNvPr id="81964" name="Option Button 44" hidden="1">
              <a:extLst>
                <a:ext uri="{63B3BB69-23CF-44E3-9099-C40C66FF867C}">
                  <a14:compatExt spid="_x0000_s81964"/>
                </a:ext>
                <a:ext uri="{FF2B5EF4-FFF2-40B4-BE49-F238E27FC236}">
                  <a16:creationId xmlns:a16="http://schemas.microsoft.com/office/drawing/2014/main" id="{00000000-0008-0000-4600-00002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193</xdr:row>
          <xdr:rowOff>285750</xdr:rowOff>
        </xdr:from>
        <xdr:to>
          <xdr:col>24</xdr:col>
          <xdr:colOff>657225</xdr:colOff>
          <xdr:row>195</xdr:row>
          <xdr:rowOff>409575</xdr:rowOff>
        </xdr:to>
        <xdr:sp macro="" textlink="">
          <xdr:nvSpPr>
            <xdr:cNvPr id="81965" name="Group Box 45" hidden="1">
              <a:extLst>
                <a:ext uri="{63B3BB69-23CF-44E3-9099-C40C66FF867C}">
                  <a14:compatExt spid="_x0000_s81965"/>
                </a:ext>
                <a:ext uri="{FF2B5EF4-FFF2-40B4-BE49-F238E27FC236}">
                  <a16:creationId xmlns:a16="http://schemas.microsoft.com/office/drawing/2014/main" id="{00000000-0008-0000-4600-00002D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215</xdr:row>
      <xdr:rowOff>8965</xdr:rowOff>
    </xdr:from>
    <xdr:to>
      <xdr:col>24</xdr:col>
      <xdr:colOff>979394</xdr:colOff>
      <xdr:row>217</xdr:row>
      <xdr:rowOff>228040</xdr:rowOff>
    </xdr:to>
    <xdr:sp macro="" textlink="">
      <xdr:nvSpPr>
        <xdr:cNvPr id="34" name="角丸四角形 1">
          <a:extLst>
            <a:ext uri="{FF2B5EF4-FFF2-40B4-BE49-F238E27FC236}">
              <a16:creationId xmlns:a16="http://schemas.microsoft.com/office/drawing/2014/main" id="{00000000-0008-0000-4600-000022000000}"/>
            </a:ext>
          </a:extLst>
        </xdr:cNvPr>
        <xdr:cNvSpPr/>
      </xdr:nvSpPr>
      <xdr:spPr>
        <a:xfrm>
          <a:off x="7816663" y="77026994"/>
          <a:ext cx="2687731" cy="77937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219</xdr:row>
          <xdr:rowOff>57150</xdr:rowOff>
        </xdr:from>
        <xdr:to>
          <xdr:col>22</xdr:col>
          <xdr:colOff>600075</xdr:colOff>
          <xdr:row>220</xdr:row>
          <xdr:rowOff>19050</xdr:rowOff>
        </xdr:to>
        <xdr:sp macro="" textlink="">
          <xdr:nvSpPr>
            <xdr:cNvPr id="81966" name="Option Button 46" hidden="1">
              <a:extLst>
                <a:ext uri="{63B3BB69-23CF-44E3-9099-C40C66FF867C}">
                  <a14:compatExt spid="_x0000_s81966"/>
                </a:ext>
                <a:ext uri="{FF2B5EF4-FFF2-40B4-BE49-F238E27FC236}">
                  <a16:creationId xmlns:a16="http://schemas.microsoft.com/office/drawing/2014/main" id="{00000000-0008-0000-4600-00002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219</xdr:row>
          <xdr:rowOff>304800</xdr:rowOff>
        </xdr:from>
        <xdr:to>
          <xdr:col>22</xdr:col>
          <xdr:colOff>600075</xdr:colOff>
          <xdr:row>220</xdr:row>
          <xdr:rowOff>285750</xdr:rowOff>
        </xdr:to>
        <xdr:sp macro="" textlink="">
          <xdr:nvSpPr>
            <xdr:cNvPr id="81967" name="Option Button 47" hidden="1">
              <a:extLst>
                <a:ext uri="{63B3BB69-23CF-44E3-9099-C40C66FF867C}">
                  <a14:compatExt spid="_x0000_s81967"/>
                </a:ext>
                <a:ext uri="{FF2B5EF4-FFF2-40B4-BE49-F238E27FC236}">
                  <a16:creationId xmlns:a16="http://schemas.microsoft.com/office/drawing/2014/main" id="{00000000-0008-0000-4600-00002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218</xdr:row>
          <xdr:rowOff>285750</xdr:rowOff>
        </xdr:from>
        <xdr:to>
          <xdr:col>24</xdr:col>
          <xdr:colOff>657225</xdr:colOff>
          <xdr:row>220</xdr:row>
          <xdr:rowOff>409575</xdr:rowOff>
        </xdr:to>
        <xdr:sp macro="" textlink="">
          <xdr:nvSpPr>
            <xdr:cNvPr id="81968" name="Group Box 48" hidden="1">
              <a:extLst>
                <a:ext uri="{63B3BB69-23CF-44E3-9099-C40C66FF867C}">
                  <a14:compatExt spid="_x0000_s81968"/>
                </a:ext>
                <a:ext uri="{FF2B5EF4-FFF2-40B4-BE49-F238E27FC236}">
                  <a16:creationId xmlns:a16="http://schemas.microsoft.com/office/drawing/2014/main" id="{00000000-0008-0000-4600-000030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240</xdr:row>
      <xdr:rowOff>31377</xdr:rowOff>
    </xdr:from>
    <xdr:to>
      <xdr:col>24</xdr:col>
      <xdr:colOff>990600</xdr:colOff>
      <xdr:row>242</xdr:row>
      <xdr:rowOff>250452</xdr:rowOff>
    </xdr:to>
    <xdr:sp macro="" textlink="">
      <xdr:nvSpPr>
        <xdr:cNvPr id="38" name="角丸四角形 1">
          <a:extLst>
            <a:ext uri="{FF2B5EF4-FFF2-40B4-BE49-F238E27FC236}">
              <a16:creationId xmlns:a16="http://schemas.microsoft.com/office/drawing/2014/main" id="{00000000-0008-0000-4600-000026000000}"/>
            </a:ext>
          </a:extLst>
        </xdr:cNvPr>
        <xdr:cNvSpPr/>
      </xdr:nvSpPr>
      <xdr:spPr>
        <a:xfrm>
          <a:off x="7827869" y="85991701"/>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244</xdr:row>
          <xdr:rowOff>38100</xdr:rowOff>
        </xdr:from>
        <xdr:to>
          <xdr:col>22</xdr:col>
          <xdr:colOff>600075</xdr:colOff>
          <xdr:row>245</xdr:row>
          <xdr:rowOff>9525</xdr:rowOff>
        </xdr:to>
        <xdr:sp macro="" textlink="">
          <xdr:nvSpPr>
            <xdr:cNvPr id="81969" name="Option Button 49" hidden="1">
              <a:extLst>
                <a:ext uri="{63B3BB69-23CF-44E3-9099-C40C66FF867C}">
                  <a14:compatExt spid="_x0000_s81969"/>
                </a:ext>
                <a:ext uri="{FF2B5EF4-FFF2-40B4-BE49-F238E27FC236}">
                  <a16:creationId xmlns:a16="http://schemas.microsoft.com/office/drawing/2014/main" id="{00000000-0008-0000-4600-00003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244</xdr:row>
          <xdr:rowOff>304800</xdr:rowOff>
        </xdr:from>
        <xdr:to>
          <xdr:col>22</xdr:col>
          <xdr:colOff>600075</xdr:colOff>
          <xdr:row>245</xdr:row>
          <xdr:rowOff>285750</xdr:rowOff>
        </xdr:to>
        <xdr:sp macro="" textlink="">
          <xdr:nvSpPr>
            <xdr:cNvPr id="81970" name="Option Button 50" hidden="1">
              <a:extLst>
                <a:ext uri="{63B3BB69-23CF-44E3-9099-C40C66FF867C}">
                  <a14:compatExt spid="_x0000_s81970"/>
                </a:ext>
                <a:ext uri="{FF2B5EF4-FFF2-40B4-BE49-F238E27FC236}">
                  <a16:creationId xmlns:a16="http://schemas.microsoft.com/office/drawing/2014/main" id="{00000000-0008-0000-4600-00003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243</xdr:row>
          <xdr:rowOff>285750</xdr:rowOff>
        </xdr:from>
        <xdr:to>
          <xdr:col>24</xdr:col>
          <xdr:colOff>657225</xdr:colOff>
          <xdr:row>245</xdr:row>
          <xdr:rowOff>409575</xdr:rowOff>
        </xdr:to>
        <xdr:sp macro="" textlink="">
          <xdr:nvSpPr>
            <xdr:cNvPr id="81971" name="Group Box 51" hidden="1">
              <a:extLst>
                <a:ext uri="{63B3BB69-23CF-44E3-9099-C40C66FF867C}">
                  <a14:compatExt spid="_x0000_s81971"/>
                </a:ext>
                <a:ext uri="{FF2B5EF4-FFF2-40B4-BE49-F238E27FC236}">
                  <a16:creationId xmlns:a16="http://schemas.microsoft.com/office/drawing/2014/main" id="{00000000-0008-0000-4600-000033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93</xdr:row>
          <xdr:rowOff>285750</xdr:rowOff>
        </xdr:from>
        <xdr:to>
          <xdr:col>24</xdr:col>
          <xdr:colOff>714375</xdr:colOff>
          <xdr:row>95</xdr:row>
          <xdr:rowOff>400050</xdr:rowOff>
        </xdr:to>
        <xdr:sp macro="" textlink="">
          <xdr:nvSpPr>
            <xdr:cNvPr id="81972" name="Group Box 52" hidden="1">
              <a:extLst>
                <a:ext uri="{63B3BB69-23CF-44E3-9099-C40C66FF867C}">
                  <a14:compatExt spid="_x0000_s81972"/>
                </a:ext>
                <a:ext uri="{FF2B5EF4-FFF2-40B4-BE49-F238E27FC236}">
                  <a16:creationId xmlns:a16="http://schemas.microsoft.com/office/drawing/2014/main" id="{00000000-0008-0000-4600-000034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118</xdr:row>
          <xdr:rowOff>304800</xdr:rowOff>
        </xdr:from>
        <xdr:to>
          <xdr:col>24</xdr:col>
          <xdr:colOff>695325</xdr:colOff>
          <xdr:row>120</xdr:row>
          <xdr:rowOff>352425</xdr:rowOff>
        </xdr:to>
        <xdr:sp macro="" textlink="">
          <xdr:nvSpPr>
            <xdr:cNvPr id="81973" name="Group Box 53" hidden="1">
              <a:extLst>
                <a:ext uri="{63B3BB69-23CF-44E3-9099-C40C66FF867C}">
                  <a14:compatExt spid="_x0000_s81973"/>
                </a:ext>
                <a:ext uri="{FF2B5EF4-FFF2-40B4-BE49-F238E27FC236}">
                  <a16:creationId xmlns:a16="http://schemas.microsoft.com/office/drawing/2014/main" id="{00000000-0008-0000-4600-000035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352425</xdr:colOff>
          <xdr:row>119</xdr:row>
          <xdr:rowOff>276225</xdr:rowOff>
        </xdr:from>
        <xdr:to>
          <xdr:col>22</xdr:col>
          <xdr:colOff>581025</xdr:colOff>
          <xdr:row>120</xdr:row>
          <xdr:rowOff>247650</xdr:rowOff>
        </xdr:to>
        <xdr:sp macro="" textlink="">
          <xdr:nvSpPr>
            <xdr:cNvPr id="81975" name="Option Button 55" hidden="1">
              <a:extLst>
                <a:ext uri="{63B3BB69-23CF-44E3-9099-C40C66FF867C}">
                  <a14:compatExt spid="_x0000_s81975"/>
                </a:ext>
                <a:ext uri="{FF2B5EF4-FFF2-40B4-BE49-F238E27FC236}">
                  <a16:creationId xmlns:a16="http://schemas.microsoft.com/office/drawing/2014/main" id="{00000000-0008-0000-4600-00003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39780</xdr:colOff>
      <xdr:row>265</xdr:row>
      <xdr:rowOff>8965</xdr:rowOff>
    </xdr:from>
    <xdr:to>
      <xdr:col>24</xdr:col>
      <xdr:colOff>1001805</xdr:colOff>
      <xdr:row>267</xdr:row>
      <xdr:rowOff>228040</xdr:rowOff>
    </xdr:to>
    <xdr:sp macro="" textlink="">
      <xdr:nvSpPr>
        <xdr:cNvPr id="42" name="角丸四角形 1">
          <a:extLst>
            <a:ext uri="{FF2B5EF4-FFF2-40B4-BE49-F238E27FC236}">
              <a16:creationId xmlns:a16="http://schemas.microsoft.com/office/drawing/2014/main" id="{00000000-0008-0000-4600-00002A000000}"/>
            </a:ext>
          </a:extLst>
        </xdr:cNvPr>
        <xdr:cNvSpPr/>
      </xdr:nvSpPr>
      <xdr:spPr>
        <a:xfrm>
          <a:off x="7839074" y="94911583"/>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269</xdr:row>
          <xdr:rowOff>38100</xdr:rowOff>
        </xdr:from>
        <xdr:to>
          <xdr:col>22</xdr:col>
          <xdr:colOff>600075</xdr:colOff>
          <xdr:row>270</xdr:row>
          <xdr:rowOff>9525</xdr:rowOff>
        </xdr:to>
        <xdr:sp macro="" textlink="">
          <xdr:nvSpPr>
            <xdr:cNvPr id="81976" name="Option Button 56" hidden="1">
              <a:extLst>
                <a:ext uri="{63B3BB69-23CF-44E3-9099-C40C66FF867C}">
                  <a14:compatExt spid="_x0000_s81976"/>
                </a:ext>
                <a:ext uri="{FF2B5EF4-FFF2-40B4-BE49-F238E27FC236}">
                  <a16:creationId xmlns:a16="http://schemas.microsoft.com/office/drawing/2014/main" id="{00000000-0008-0000-4600-00003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269</xdr:row>
          <xdr:rowOff>304800</xdr:rowOff>
        </xdr:from>
        <xdr:to>
          <xdr:col>22</xdr:col>
          <xdr:colOff>600075</xdr:colOff>
          <xdr:row>270</xdr:row>
          <xdr:rowOff>285750</xdr:rowOff>
        </xdr:to>
        <xdr:sp macro="" textlink="">
          <xdr:nvSpPr>
            <xdr:cNvPr id="81977" name="Option Button 57" hidden="1">
              <a:extLst>
                <a:ext uri="{63B3BB69-23CF-44E3-9099-C40C66FF867C}">
                  <a14:compatExt spid="_x0000_s81977"/>
                </a:ext>
                <a:ext uri="{FF2B5EF4-FFF2-40B4-BE49-F238E27FC236}">
                  <a16:creationId xmlns:a16="http://schemas.microsoft.com/office/drawing/2014/main" id="{00000000-0008-0000-4600-00003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268</xdr:row>
          <xdr:rowOff>285750</xdr:rowOff>
        </xdr:from>
        <xdr:to>
          <xdr:col>24</xdr:col>
          <xdr:colOff>657225</xdr:colOff>
          <xdr:row>270</xdr:row>
          <xdr:rowOff>428625</xdr:rowOff>
        </xdr:to>
        <xdr:sp macro="" textlink="">
          <xdr:nvSpPr>
            <xdr:cNvPr id="81978" name="Group Box 58" hidden="1">
              <a:extLst>
                <a:ext uri="{63B3BB69-23CF-44E3-9099-C40C66FF867C}">
                  <a14:compatExt spid="_x0000_s81978"/>
                </a:ext>
                <a:ext uri="{FF2B5EF4-FFF2-40B4-BE49-F238E27FC236}">
                  <a16:creationId xmlns:a16="http://schemas.microsoft.com/office/drawing/2014/main" id="{00000000-0008-0000-4600-00003A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290</xdr:row>
      <xdr:rowOff>8965</xdr:rowOff>
    </xdr:from>
    <xdr:to>
      <xdr:col>24</xdr:col>
      <xdr:colOff>979394</xdr:colOff>
      <xdr:row>292</xdr:row>
      <xdr:rowOff>228040</xdr:rowOff>
    </xdr:to>
    <xdr:sp macro="" textlink="">
      <xdr:nvSpPr>
        <xdr:cNvPr id="46" name="角丸四角形 1">
          <a:extLst>
            <a:ext uri="{FF2B5EF4-FFF2-40B4-BE49-F238E27FC236}">
              <a16:creationId xmlns:a16="http://schemas.microsoft.com/office/drawing/2014/main" id="{00000000-0008-0000-4600-00002E000000}"/>
            </a:ext>
          </a:extLst>
        </xdr:cNvPr>
        <xdr:cNvSpPr/>
      </xdr:nvSpPr>
      <xdr:spPr>
        <a:xfrm>
          <a:off x="7816663" y="103853877"/>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294</xdr:row>
          <xdr:rowOff>38100</xdr:rowOff>
        </xdr:from>
        <xdr:to>
          <xdr:col>22</xdr:col>
          <xdr:colOff>600075</xdr:colOff>
          <xdr:row>295</xdr:row>
          <xdr:rowOff>9525</xdr:rowOff>
        </xdr:to>
        <xdr:sp macro="" textlink="">
          <xdr:nvSpPr>
            <xdr:cNvPr id="81979" name="Option Button 59" hidden="1">
              <a:extLst>
                <a:ext uri="{63B3BB69-23CF-44E3-9099-C40C66FF867C}">
                  <a14:compatExt spid="_x0000_s81979"/>
                </a:ext>
                <a:ext uri="{FF2B5EF4-FFF2-40B4-BE49-F238E27FC236}">
                  <a16:creationId xmlns:a16="http://schemas.microsoft.com/office/drawing/2014/main" id="{00000000-0008-0000-4600-00003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294</xdr:row>
          <xdr:rowOff>304800</xdr:rowOff>
        </xdr:from>
        <xdr:to>
          <xdr:col>22</xdr:col>
          <xdr:colOff>600075</xdr:colOff>
          <xdr:row>295</xdr:row>
          <xdr:rowOff>285750</xdr:rowOff>
        </xdr:to>
        <xdr:sp macro="" textlink="">
          <xdr:nvSpPr>
            <xdr:cNvPr id="81980" name="Option Button 60" hidden="1">
              <a:extLst>
                <a:ext uri="{63B3BB69-23CF-44E3-9099-C40C66FF867C}">
                  <a14:compatExt spid="_x0000_s81980"/>
                </a:ext>
                <a:ext uri="{FF2B5EF4-FFF2-40B4-BE49-F238E27FC236}">
                  <a16:creationId xmlns:a16="http://schemas.microsoft.com/office/drawing/2014/main" id="{00000000-0008-0000-4600-00003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293</xdr:row>
          <xdr:rowOff>285750</xdr:rowOff>
        </xdr:from>
        <xdr:to>
          <xdr:col>24</xdr:col>
          <xdr:colOff>657225</xdr:colOff>
          <xdr:row>295</xdr:row>
          <xdr:rowOff>428625</xdr:rowOff>
        </xdr:to>
        <xdr:sp macro="" textlink="">
          <xdr:nvSpPr>
            <xdr:cNvPr id="81981" name="Group Box 61" hidden="1">
              <a:extLst>
                <a:ext uri="{63B3BB69-23CF-44E3-9099-C40C66FF867C}">
                  <a14:compatExt spid="_x0000_s81981"/>
                </a:ext>
                <a:ext uri="{FF2B5EF4-FFF2-40B4-BE49-F238E27FC236}">
                  <a16:creationId xmlns:a16="http://schemas.microsoft.com/office/drawing/2014/main" id="{00000000-0008-0000-4600-00003D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17368</xdr:colOff>
      <xdr:row>315</xdr:row>
      <xdr:rowOff>31376</xdr:rowOff>
    </xdr:from>
    <xdr:to>
      <xdr:col>24</xdr:col>
      <xdr:colOff>1008529</xdr:colOff>
      <xdr:row>317</xdr:row>
      <xdr:rowOff>250451</xdr:rowOff>
    </xdr:to>
    <xdr:sp macro="" textlink="">
      <xdr:nvSpPr>
        <xdr:cNvPr id="50" name="角丸四角形 1">
          <a:extLst>
            <a:ext uri="{FF2B5EF4-FFF2-40B4-BE49-F238E27FC236}">
              <a16:creationId xmlns:a16="http://schemas.microsoft.com/office/drawing/2014/main" id="{00000000-0008-0000-4600-000032000000}"/>
            </a:ext>
          </a:extLst>
        </xdr:cNvPr>
        <xdr:cNvSpPr/>
      </xdr:nvSpPr>
      <xdr:spPr>
        <a:xfrm>
          <a:off x="11940427" y="112818582"/>
          <a:ext cx="2716867"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319</xdr:row>
          <xdr:rowOff>38100</xdr:rowOff>
        </xdr:from>
        <xdr:to>
          <xdr:col>22</xdr:col>
          <xdr:colOff>600075</xdr:colOff>
          <xdr:row>320</xdr:row>
          <xdr:rowOff>9525</xdr:rowOff>
        </xdr:to>
        <xdr:sp macro="" textlink="">
          <xdr:nvSpPr>
            <xdr:cNvPr id="81982" name="Option Button 62" hidden="1">
              <a:extLst>
                <a:ext uri="{63B3BB69-23CF-44E3-9099-C40C66FF867C}">
                  <a14:compatExt spid="_x0000_s81982"/>
                </a:ext>
                <a:ext uri="{FF2B5EF4-FFF2-40B4-BE49-F238E27FC236}">
                  <a16:creationId xmlns:a16="http://schemas.microsoft.com/office/drawing/2014/main" id="{00000000-0008-0000-4600-00003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319</xdr:row>
          <xdr:rowOff>304800</xdr:rowOff>
        </xdr:from>
        <xdr:to>
          <xdr:col>22</xdr:col>
          <xdr:colOff>600075</xdr:colOff>
          <xdr:row>320</xdr:row>
          <xdr:rowOff>285750</xdr:rowOff>
        </xdr:to>
        <xdr:sp macro="" textlink="">
          <xdr:nvSpPr>
            <xdr:cNvPr id="81983" name="Option Button 63" hidden="1">
              <a:extLst>
                <a:ext uri="{63B3BB69-23CF-44E3-9099-C40C66FF867C}">
                  <a14:compatExt spid="_x0000_s81983"/>
                </a:ext>
                <a:ext uri="{FF2B5EF4-FFF2-40B4-BE49-F238E27FC236}">
                  <a16:creationId xmlns:a16="http://schemas.microsoft.com/office/drawing/2014/main" id="{00000000-0008-0000-4600-00003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318</xdr:row>
          <xdr:rowOff>285750</xdr:rowOff>
        </xdr:from>
        <xdr:to>
          <xdr:col>24</xdr:col>
          <xdr:colOff>657225</xdr:colOff>
          <xdr:row>320</xdr:row>
          <xdr:rowOff>428625</xdr:rowOff>
        </xdr:to>
        <xdr:sp macro="" textlink="">
          <xdr:nvSpPr>
            <xdr:cNvPr id="81984" name="Group Box 64" hidden="1">
              <a:extLst>
                <a:ext uri="{63B3BB69-23CF-44E3-9099-C40C66FF867C}">
                  <a14:compatExt spid="_x0000_s81984"/>
                </a:ext>
                <a:ext uri="{FF2B5EF4-FFF2-40B4-BE49-F238E27FC236}">
                  <a16:creationId xmlns:a16="http://schemas.microsoft.com/office/drawing/2014/main" id="{00000000-0008-0000-4600-000040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28574</xdr:colOff>
      <xdr:row>340</xdr:row>
      <xdr:rowOff>31377</xdr:rowOff>
    </xdr:from>
    <xdr:to>
      <xdr:col>24</xdr:col>
      <xdr:colOff>974911</xdr:colOff>
      <xdr:row>342</xdr:row>
      <xdr:rowOff>250452</xdr:rowOff>
    </xdr:to>
    <xdr:sp macro="" textlink="">
      <xdr:nvSpPr>
        <xdr:cNvPr id="54" name="角丸四角形 1">
          <a:extLst>
            <a:ext uri="{FF2B5EF4-FFF2-40B4-BE49-F238E27FC236}">
              <a16:creationId xmlns:a16="http://schemas.microsoft.com/office/drawing/2014/main" id="{00000000-0008-0000-4600-000036000000}"/>
            </a:ext>
          </a:extLst>
        </xdr:cNvPr>
        <xdr:cNvSpPr/>
      </xdr:nvSpPr>
      <xdr:spPr>
        <a:xfrm>
          <a:off x="11951633" y="121760877"/>
          <a:ext cx="2672043"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344</xdr:row>
          <xdr:rowOff>38100</xdr:rowOff>
        </xdr:from>
        <xdr:to>
          <xdr:col>22</xdr:col>
          <xdr:colOff>600075</xdr:colOff>
          <xdr:row>345</xdr:row>
          <xdr:rowOff>9525</xdr:rowOff>
        </xdr:to>
        <xdr:sp macro="" textlink="">
          <xdr:nvSpPr>
            <xdr:cNvPr id="81985" name="Option Button 65" hidden="1">
              <a:extLst>
                <a:ext uri="{63B3BB69-23CF-44E3-9099-C40C66FF867C}">
                  <a14:compatExt spid="_x0000_s81985"/>
                </a:ext>
                <a:ext uri="{FF2B5EF4-FFF2-40B4-BE49-F238E27FC236}">
                  <a16:creationId xmlns:a16="http://schemas.microsoft.com/office/drawing/2014/main" id="{00000000-0008-0000-4600-00004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344</xdr:row>
          <xdr:rowOff>304800</xdr:rowOff>
        </xdr:from>
        <xdr:to>
          <xdr:col>22</xdr:col>
          <xdr:colOff>600075</xdr:colOff>
          <xdr:row>345</xdr:row>
          <xdr:rowOff>285750</xdr:rowOff>
        </xdr:to>
        <xdr:sp macro="" textlink="">
          <xdr:nvSpPr>
            <xdr:cNvPr id="81986" name="Option Button 66" hidden="1">
              <a:extLst>
                <a:ext uri="{63B3BB69-23CF-44E3-9099-C40C66FF867C}">
                  <a14:compatExt spid="_x0000_s81986"/>
                </a:ext>
                <a:ext uri="{FF2B5EF4-FFF2-40B4-BE49-F238E27FC236}">
                  <a16:creationId xmlns:a16="http://schemas.microsoft.com/office/drawing/2014/main" id="{00000000-0008-0000-4600-00004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343</xdr:row>
          <xdr:rowOff>285750</xdr:rowOff>
        </xdr:from>
        <xdr:to>
          <xdr:col>24</xdr:col>
          <xdr:colOff>657225</xdr:colOff>
          <xdr:row>345</xdr:row>
          <xdr:rowOff>438150</xdr:rowOff>
        </xdr:to>
        <xdr:sp macro="" textlink="">
          <xdr:nvSpPr>
            <xdr:cNvPr id="81987" name="Group Box 67" hidden="1">
              <a:extLst>
                <a:ext uri="{63B3BB69-23CF-44E3-9099-C40C66FF867C}">
                  <a14:compatExt spid="_x0000_s81987"/>
                </a:ext>
                <a:ext uri="{FF2B5EF4-FFF2-40B4-BE49-F238E27FC236}">
                  <a16:creationId xmlns:a16="http://schemas.microsoft.com/office/drawing/2014/main" id="{00000000-0008-0000-4600-000043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365</xdr:row>
      <xdr:rowOff>20170</xdr:rowOff>
    </xdr:from>
    <xdr:to>
      <xdr:col>24</xdr:col>
      <xdr:colOff>990600</xdr:colOff>
      <xdr:row>367</xdr:row>
      <xdr:rowOff>239245</xdr:rowOff>
    </xdr:to>
    <xdr:sp macro="" textlink="">
      <xdr:nvSpPr>
        <xdr:cNvPr id="58" name="角丸四角形 1">
          <a:extLst>
            <a:ext uri="{FF2B5EF4-FFF2-40B4-BE49-F238E27FC236}">
              <a16:creationId xmlns:a16="http://schemas.microsoft.com/office/drawing/2014/main" id="{00000000-0008-0000-4600-00003A000000}"/>
            </a:ext>
          </a:extLst>
        </xdr:cNvPr>
        <xdr:cNvSpPr/>
      </xdr:nvSpPr>
      <xdr:spPr>
        <a:xfrm>
          <a:off x="7827869" y="130691964"/>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369</xdr:row>
          <xdr:rowOff>38100</xdr:rowOff>
        </xdr:from>
        <xdr:to>
          <xdr:col>22</xdr:col>
          <xdr:colOff>600075</xdr:colOff>
          <xdr:row>370</xdr:row>
          <xdr:rowOff>9525</xdr:rowOff>
        </xdr:to>
        <xdr:sp macro="" textlink="">
          <xdr:nvSpPr>
            <xdr:cNvPr id="81988" name="Option Button 68" hidden="1">
              <a:extLst>
                <a:ext uri="{63B3BB69-23CF-44E3-9099-C40C66FF867C}">
                  <a14:compatExt spid="_x0000_s81988"/>
                </a:ext>
                <a:ext uri="{FF2B5EF4-FFF2-40B4-BE49-F238E27FC236}">
                  <a16:creationId xmlns:a16="http://schemas.microsoft.com/office/drawing/2014/main" id="{00000000-0008-0000-4600-00004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369</xdr:row>
          <xdr:rowOff>304800</xdr:rowOff>
        </xdr:from>
        <xdr:to>
          <xdr:col>22</xdr:col>
          <xdr:colOff>600075</xdr:colOff>
          <xdr:row>370</xdr:row>
          <xdr:rowOff>285750</xdr:rowOff>
        </xdr:to>
        <xdr:sp macro="" textlink="">
          <xdr:nvSpPr>
            <xdr:cNvPr id="81989" name="Option Button 69" hidden="1">
              <a:extLst>
                <a:ext uri="{63B3BB69-23CF-44E3-9099-C40C66FF867C}">
                  <a14:compatExt spid="_x0000_s81989"/>
                </a:ext>
                <a:ext uri="{FF2B5EF4-FFF2-40B4-BE49-F238E27FC236}">
                  <a16:creationId xmlns:a16="http://schemas.microsoft.com/office/drawing/2014/main" id="{00000000-0008-0000-4600-00004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368</xdr:row>
          <xdr:rowOff>285750</xdr:rowOff>
        </xdr:from>
        <xdr:to>
          <xdr:col>24</xdr:col>
          <xdr:colOff>657225</xdr:colOff>
          <xdr:row>370</xdr:row>
          <xdr:rowOff>438150</xdr:rowOff>
        </xdr:to>
        <xdr:sp macro="" textlink="">
          <xdr:nvSpPr>
            <xdr:cNvPr id="81990" name="Group Box 70" hidden="1">
              <a:extLst>
                <a:ext uri="{63B3BB69-23CF-44E3-9099-C40C66FF867C}">
                  <a14:compatExt spid="_x0000_s81990"/>
                </a:ext>
                <a:ext uri="{FF2B5EF4-FFF2-40B4-BE49-F238E27FC236}">
                  <a16:creationId xmlns:a16="http://schemas.microsoft.com/office/drawing/2014/main" id="{00000000-0008-0000-4600-000046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389</xdr:row>
      <xdr:rowOff>277906</xdr:rowOff>
    </xdr:from>
    <xdr:to>
      <xdr:col>24</xdr:col>
      <xdr:colOff>990600</xdr:colOff>
      <xdr:row>392</xdr:row>
      <xdr:rowOff>216834</xdr:rowOff>
    </xdr:to>
    <xdr:sp macro="" textlink="">
      <xdr:nvSpPr>
        <xdr:cNvPr id="62" name="角丸四角形 1">
          <a:extLst>
            <a:ext uri="{FF2B5EF4-FFF2-40B4-BE49-F238E27FC236}">
              <a16:creationId xmlns:a16="http://schemas.microsoft.com/office/drawing/2014/main" id="{00000000-0008-0000-4600-00003E000000}"/>
            </a:ext>
          </a:extLst>
        </xdr:cNvPr>
        <xdr:cNvSpPr/>
      </xdr:nvSpPr>
      <xdr:spPr>
        <a:xfrm>
          <a:off x="7827869" y="139611847"/>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394</xdr:row>
          <xdr:rowOff>38100</xdr:rowOff>
        </xdr:from>
        <xdr:to>
          <xdr:col>22</xdr:col>
          <xdr:colOff>600075</xdr:colOff>
          <xdr:row>395</xdr:row>
          <xdr:rowOff>9525</xdr:rowOff>
        </xdr:to>
        <xdr:sp macro="" textlink="">
          <xdr:nvSpPr>
            <xdr:cNvPr id="81991" name="Option Button 71" hidden="1">
              <a:extLst>
                <a:ext uri="{63B3BB69-23CF-44E3-9099-C40C66FF867C}">
                  <a14:compatExt spid="_x0000_s81991"/>
                </a:ext>
                <a:ext uri="{FF2B5EF4-FFF2-40B4-BE49-F238E27FC236}">
                  <a16:creationId xmlns:a16="http://schemas.microsoft.com/office/drawing/2014/main" id="{00000000-0008-0000-4600-00004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394</xdr:row>
          <xdr:rowOff>304800</xdr:rowOff>
        </xdr:from>
        <xdr:to>
          <xdr:col>22</xdr:col>
          <xdr:colOff>600075</xdr:colOff>
          <xdr:row>395</xdr:row>
          <xdr:rowOff>285750</xdr:rowOff>
        </xdr:to>
        <xdr:sp macro="" textlink="">
          <xdr:nvSpPr>
            <xdr:cNvPr id="81992" name="Option Button 72" hidden="1">
              <a:extLst>
                <a:ext uri="{63B3BB69-23CF-44E3-9099-C40C66FF867C}">
                  <a14:compatExt spid="_x0000_s81992"/>
                </a:ext>
                <a:ext uri="{FF2B5EF4-FFF2-40B4-BE49-F238E27FC236}">
                  <a16:creationId xmlns:a16="http://schemas.microsoft.com/office/drawing/2014/main" id="{00000000-0008-0000-4600-00004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393</xdr:row>
          <xdr:rowOff>285750</xdr:rowOff>
        </xdr:from>
        <xdr:to>
          <xdr:col>24</xdr:col>
          <xdr:colOff>657225</xdr:colOff>
          <xdr:row>395</xdr:row>
          <xdr:rowOff>438150</xdr:rowOff>
        </xdr:to>
        <xdr:sp macro="" textlink="">
          <xdr:nvSpPr>
            <xdr:cNvPr id="81993" name="Group Box 73" hidden="1">
              <a:extLst>
                <a:ext uri="{63B3BB69-23CF-44E3-9099-C40C66FF867C}">
                  <a14:compatExt spid="_x0000_s81993"/>
                </a:ext>
                <a:ext uri="{FF2B5EF4-FFF2-40B4-BE49-F238E27FC236}">
                  <a16:creationId xmlns:a16="http://schemas.microsoft.com/office/drawing/2014/main" id="{00000000-0008-0000-4600-000049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415</xdr:row>
      <xdr:rowOff>8964</xdr:rowOff>
    </xdr:from>
    <xdr:to>
      <xdr:col>24</xdr:col>
      <xdr:colOff>979394</xdr:colOff>
      <xdr:row>417</xdr:row>
      <xdr:rowOff>228040</xdr:rowOff>
    </xdr:to>
    <xdr:sp macro="" textlink="">
      <xdr:nvSpPr>
        <xdr:cNvPr id="66" name="角丸四角形 1">
          <a:extLst>
            <a:ext uri="{FF2B5EF4-FFF2-40B4-BE49-F238E27FC236}">
              <a16:creationId xmlns:a16="http://schemas.microsoft.com/office/drawing/2014/main" id="{00000000-0008-0000-4600-000042000000}"/>
            </a:ext>
          </a:extLst>
        </xdr:cNvPr>
        <xdr:cNvSpPr/>
      </xdr:nvSpPr>
      <xdr:spPr>
        <a:xfrm>
          <a:off x="7816663" y="148565346"/>
          <a:ext cx="2687731" cy="77937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419</xdr:row>
          <xdr:rowOff>38100</xdr:rowOff>
        </xdr:from>
        <xdr:to>
          <xdr:col>22</xdr:col>
          <xdr:colOff>600075</xdr:colOff>
          <xdr:row>420</xdr:row>
          <xdr:rowOff>9525</xdr:rowOff>
        </xdr:to>
        <xdr:sp macro="" textlink="">
          <xdr:nvSpPr>
            <xdr:cNvPr id="81994" name="Option Button 74" hidden="1">
              <a:extLst>
                <a:ext uri="{63B3BB69-23CF-44E3-9099-C40C66FF867C}">
                  <a14:compatExt spid="_x0000_s81994"/>
                </a:ext>
                <a:ext uri="{FF2B5EF4-FFF2-40B4-BE49-F238E27FC236}">
                  <a16:creationId xmlns:a16="http://schemas.microsoft.com/office/drawing/2014/main" id="{00000000-0008-0000-4600-00004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419</xdr:row>
          <xdr:rowOff>304800</xdr:rowOff>
        </xdr:from>
        <xdr:to>
          <xdr:col>22</xdr:col>
          <xdr:colOff>600075</xdr:colOff>
          <xdr:row>420</xdr:row>
          <xdr:rowOff>285750</xdr:rowOff>
        </xdr:to>
        <xdr:sp macro="" textlink="">
          <xdr:nvSpPr>
            <xdr:cNvPr id="81995" name="Option Button 75" hidden="1">
              <a:extLst>
                <a:ext uri="{63B3BB69-23CF-44E3-9099-C40C66FF867C}">
                  <a14:compatExt spid="_x0000_s81995"/>
                </a:ext>
                <a:ext uri="{FF2B5EF4-FFF2-40B4-BE49-F238E27FC236}">
                  <a16:creationId xmlns:a16="http://schemas.microsoft.com/office/drawing/2014/main" id="{00000000-0008-0000-4600-00004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418</xdr:row>
          <xdr:rowOff>285750</xdr:rowOff>
        </xdr:from>
        <xdr:to>
          <xdr:col>24</xdr:col>
          <xdr:colOff>657225</xdr:colOff>
          <xdr:row>420</xdr:row>
          <xdr:rowOff>438150</xdr:rowOff>
        </xdr:to>
        <xdr:sp macro="" textlink="">
          <xdr:nvSpPr>
            <xdr:cNvPr id="81996" name="Group Box 76" hidden="1">
              <a:extLst>
                <a:ext uri="{63B3BB69-23CF-44E3-9099-C40C66FF867C}">
                  <a14:compatExt spid="_x0000_s81996"/>
                </a:ext>
                <a:ext uri="{FF2B5EF4-FFF2-40B4-BE49-F238E27FC236}">
                  <a16:creationId xmlns:a16="http://schemas.microsoft.com/office/drawing/2014/main" id="{00000000-0008-0000-4600-00004C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28574</xdr:colOff>
      <xdr:row>440</xdr:row>
      <xdr:rowOff>20171</xdr:rowOff>
    </xdr:from>
    <xdr:to>
      <xdr:col>24</xdr:col>
      <xdr:colOff>874059</xdr:colOff>
      <xdr:row>442</xdr:row>
      <xdr:rowOff>239245</xdr:rowOff>
    </xdr:to>
    <xdr:sp macro="" textlink="">
      <xdr:nvSpPr>
        <xdr:cNvPr id="70" name="角丸四角形 1">
          <a:extLst>
            <a:ext uri="{FF2B5EF4-FFF2-40B4-BE49-F238E27FC236}">
              <a16:creationId xmlns:a16="http://schemas.microsoft.com/office/drawing/2014/main" id="{00000000-0008-0000-4600-000046000000}"/>
            </a:ext>
          </a:extLst>
        </xdr:cNvPr>
        <xdr:cNvSpPr/>
      </xdr:nvSpPr>
      <xdr:spPr>
        <a:xfrm>
          <a:off x="11951633" y="157518847"/>
          <a:ext cx="257119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444</xdr:row>
          <xdr:rowOff>38100</xdr:rowOff>
        </xdr:from>
        <xdr:to>
          <xdr:col>22</xdr:col>
          <xdr:colOff>600075</xdr:colOff>
          <xdr:row>445</xdr:row>
          <xdr:rowOff>9525</xdr:rowOff>
        </xdr:to>
        <xdr:sp macro="" textlink="">
          <xdr:nvSpPr>
            <xdr:cNvPr id="81997" name="Option Button 77" hidden="1">
              <a:extLst>
                <a:ext uri="{63B3BB69-23CF-44E3-9099-C40C66FF867C}">
                  <a14:compatExt spid="_x0000_s81997"/>
                </a:ext>
                <a:ext uri="{FF2B5EF4-FFF2-40B4-BE49-F238E27FC236}">
                  <a16:creationId xmlns:a16="http://schemas.microsoft.com/office/drawing/2014/main" id="{00000000-0008-0000-4600-00004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444</xdr:row>
          <xdr:rowOff>304800</xdr:rowOff>
        </xdr:from>
        <xdr:to>
          <xdr:col>22</xdr:col>
          <xdr:colOff>600075</xdr:colOff>
          <xdr:row>445</xdr:row>
          <xdr:rowOff>285750</xdr:rowOff>
        </xdr:to>
        <xdr:sp macro="" textlink="">
          <xdr:nvSpPr>
            <xdr:cNvPr id="81998" name="Option Button 78" hidden="1">
              <a:extLst>
                <a:ext uri="{63B3BB69-23CF-44E3-9099-C40C66FF867C}">
                  <a14:compatExt spid="_x0000_s81998"/>
                </a:ext>
                <a:ext uri="{FF2B5EF4-FFF2-40B4-BE49-F238E27FC236}">
                  <a16:creationId xmlns:a16="http://schemas.microsoft.com/office/drawing/2014/main" id="{00000000-0008-0000-4600-00004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443</xdr:row>
          <xdr:rowOff>285750</xdr:rowOff>
        </xdr:from>
        <xdr:to>
          <xdr:col>24</xdr:col>
          <xdr:colOff>657225</xdr:colOff>
          <xdr:row>445</xdr:row>
          <xdr:rowOff>438150</xdr:rowOff>
        </xdr:to>
        <xdr:sp macro="" textlink="">
          <xdr:nvSpPr>
            <xdr:cNvPr id="81999" name="Group Box 79" hidden="1">
              <a:extLst>
                <a:ext uri="{63B3BB69-23CF-44E3-9099-C40C66FF867C}">
                  <a14:compatExt spid="_x0000_s81999"/>
                </a:ext>
                <a:ext uri="{FF2B5EF4-FFF2-40B4-BE49-F238E27FC236}">
                  <a16:creationId xmlns:a16="http://schemas.microsoft.com/office/drawing/2014/main" id="{00000000-0008-0000-4600-00004F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465</xdr:row>
      <xdr:rowOff>20171</xdr:rowOff>
    </xdr:from>
    <xdr:to>
      <xdr:col>24</xdr:col>
      <xdr:colOff>990600</xdr:colOff>
      <xdr:row>467</xdr:row>
      <xdr:rowOff>239246</xdr:rowOff>
    </xdr:to>
    <xdr:sp macro="" textlink="">
      <xdr:nvSpPr>
        <xdr:cNvPr id="74" name="角丸四角形 1">
          <a:extLst>
            <a:ext uri="{FF2B5EF4-FFF2-40B4-BE49-F238E27FC236}">
              <a16:creationId xmlns:a16="http://schemas.microsoft.com/office/drawing/2014/main" id="{00000000-0008-0000-4600-00004A000000}"/>
            </a:ext>
          </a:extLst>
        </xdr:cNvPr>
        <xdr:cNvSpPr/>
      </xdr:nvSpPr>
      <xdr:spPr>
        <a:xfrm>
          <a:off x="7827869" y="166461142"/>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469</xdr:row>
          <xdr:rowOff>38100</xdr:rowOff>
        </xdr:from>
        <xdr:to>
          <xdr:col>22</xdr:col>
          <xdr:colOff>600075</xdr:colOff>
          <xdr:row>470</xdr:row>
          <xdr:rowOff>9525</xdr:rowOff>
        </xdr:to>
        <xdr:sp macro="" textlink="">
          <xdr:nvSpPr>
            <xdr:cNvPr id="82000" name="Option Button 80" hidden="1">
              <a:extLst>
                <a:ext uri="{63B3BB69-23CF-44E3-9099-C40C66FF867C}">
                  <a14:compatExt spid="_x0000_s82000"/>
                </a:ext>
                <a:ext uri="{FF2B5EF4-FFF2-40B4-BE49-F238E27FC236}">
                  <a16:creationId xmlns:a16="http://schemas.microsoft.com/office/drawing/2014/main" id="{00000000-0008-0000-4600-00005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469</xdr:row>
          <xdr:rowOff>304800</xdr:rowOff>
        </xdr:from>
        <xdr:to>
          <xdr:col>22</xdr:col>
          <xdr:colOff>600075</xdr:colOff>
          <xdr:row>470</xdr:row>
          <xdr:rowOff>285750</xdr:rowOff>
        </xdr:to>
        <xdr:sp macro="" textlink="">
          <xdr:nvSpPr>
            <xdr:cNvPr id="82001" name="Option Button 81" hidden="1">
              <a:extLst>
                <a:ext uri="{63B3BB69-23CF-44E3-9099-C40C66FF867C}">
                  <a14:compatExt spid="_x0000_s82001"/>
                </a:ext>
                <a:ext uri="{FF2B5EF4-FFF2-40B4-BE49-F238E27FC236}">
                  <a16:creationId xmlns:a16="http://schemas.microsoft.com/office/drawing/2014/main" id="{00000000-0008-0000-4600-00005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468</xdr:row>
          <xdr:rowOff>285750</xdr:rowOff>
        </xdr:from>
        <xdr:to>
          <xdr:col>24</xdr:col>
          <xdr:colOff>657225</xdr:colOff>
          <xdr:row>470</xdr:row>
          <xdr:rowOff>438150</xdr:rowOff>
        </xdr:to>
        <xdr:sp macro="" textlink="">
          <xdr:nvSpPr>
            <xdr:cNvPr id="82002" name="Group Box 82" hidden="1">
              <a:extLst>
                <a:ext uri="{63B3BB69-23CF-44E3-9099-C40C66FF867C}">
                  <a14:compatExt spid="_x0000_s82002"/>
                </a:ext>
                <a:ext uri="{FF2B5EF4-FFF2-40B4-BE49-F238E27FC236}">
                  <a16:creationId xmlns:a16="http://schemas.microsoft.com/office/drawing/2014/main" id="{00000000-0008-0000-4600-000052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39781</xdr:colOff>
      <xdr:row>490</xdr:row>
      <xdr:rowOff>20171</xdr:rowOff>
    </xdr:from>
    <xdr:to>
      <xdr:col>24</xdr:col>
      <xdr:colOff>1001806</xdr:colOff>
      <xdr:row>492</xdr:row>
      <xdr:rowOff>239246</xdr:rowOff>
    </xdr:to>
    <xdr:sp macro="" textlink="">
      <xdr:nvSpPr>
        <xdr:cNvPr id="78" name="角丸四角形 1">
          <a:extLst>
            <a:ext uri="{FF2B5EF4-FFF2-40B4-BE49-F238E27FC236}">
              <a16:creationId xmlns:a16="http://schemas.microsoft.com/office/drawing/2014/main" id="{00000000-0008-0000-4600-00004E000000}"/>
            </a:ext>
          </a:extLst>
        </xdr:cNvPr>
        <xdr:cNvSpPr/>
      </xdr:nvSpPr>
      <xdr:spPr>
        <a:xfrm>
          <a:off x="7839075" y="175403436"/>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494</xdr:row>
          <xdr:rowOff>38100</xdr:rowOff>
        </xdr:from>
        <xdr:to>
          <xdr:col>22</xdr:col>
          <xdr:colOff>600075</xdr:colOff>
          <xdr:row>495</xdr:row>
          <xdr:rowOff>9525</xdr:rowOff>
        </xdr:to>
        <xdr:sp macro="" textlink="">
          <xdr:nvSpPr>
            <xdr:cNvPr id="82003" name="Option Button 83" hidden="1">
              <a:extLst>
                <a:ext uri="{63B3BB69-23CF-44E3-9099-C40C66FF867C}">
                  <a14:compatExt spid="_x0000_s82003"/>
                </a:ext>
                <a:ext uri="{FF2B5EF4-FFF2-40B4-BE49-F238E27FC236}">
                  <a16:creationId xmlns:a16="http://schemas.microsoft.com/office/drawing/2014/main" id="{00000000-0008-0000-4600-00005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494</xdr:row>
          <xdr:rowOff>304800</xdr:rowOff>
        </xdr:from>
        <xdr:to>
          <xdr:col>22</xdr:col>
          <xdr:colOff>600075</xdr:colOff>
          <xdr:row>495</xdr:row>
          <xdr:rowOff>285750</xdr:rowOff>
        </xdr:to>
        <xdr:sp macro="" textlink="">
          <xdr:nvSpPr>
            <xdr:cNvPr id="82004" name="Option Button 84" hidden="1">
              <a:extLst>
                <a:ext uri="{63B3BB69-23CF-44E3-9099-C40C66FF867C}">
                  <a14:compatExt spid="_x0000_s82004"/>
                </a:ext>
                <a:ext uri="{FF2B5EF4-FFF2-40B4-BE49-F238E27FC236}">
                  <a16:creationId xmlns:a16="http://schemas.microsoft.com/office/drawing/2014/main" id="{00000000-0008-0000-4600-00005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493</xdr:row>
          <xdr:rowOff>285750</xdr:rowOff>
        </xdr:from>
        <xdr:to>
          <xdr:col>24</xdr:col>
          <xdr:colOff>657225</xdr:colOff>
          <xdr:row>495</xdr:row>
          <xdr:rowOff>438150</xdr:rowOff>
        </xdr:to>
        <xdr:sp macro="" textlink="">
          <xdr:nvSpPr>
            <xdr:cNvPr id="82005" name="Group Box 85" hidden="1">
              <a:extLst>
                <a:ext uri="{63B3BB69-23CF-44E3-9099-C40C66FF867C}">
                  <a14:compatExt spid="_x0000_s82005"/>
                </a:ext>
                <a:ext uri="{FF2B5EF4-FFF2-40B4-BE49-F238E27FC236}">
                  <a16:creationId xmlns:a16="http://schemas.microsoft.com/office/drawing/2014/main" id="{00000000-0008-0000-4600-000055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39781</xdr:colOff>
      <xdr:row>515</xdr:row>
      <xdr:rowOff>31378</xdr:rowOff>
    </xdr:from>
    <xdr:to>
      <xdr:col>24</xdr:col>
      <xdr:colOff>1001806</xdr:colOff>
      <xdr:row>517</xdr:row>
      <xdr:rowOff>250453</xdr:rowOff>
    </xdr:to>
    <xdr:sp macro="" textlink="">
      <xdr:nvSpPr>
        <xdr:cNvPr id="82" name="角丸四角形 1">
          <a:extLst>
            <a:ext uri="{FF2B5EF4-FFF2-40B4-BE49-F238E27FC236}">
              <a16:creationId xmlns:a16="http://schemas.microsoft.com/office/drawing/2014/main" id="{00000000-0008-0000-4600-000052000000}"/>
            </a:ext>
          </a:extLst>
        </xdr:cNvPr>
        <xdr:cNvSpPr/>
      </xdr:nvSpPr>
      <xdr:spPr>
        <a:xfrm>
          <a:off x="7839075" y="184356937"/>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519</xdr:row>
          <xdr:rowOff>38100</xdr:rowOff>
        </xdr:from>
        <xdr:to>
          <xdr:col>22</xdr:col>
          <xdr:colOff>600075</xdr:colOff>
          <xdr:row>520</xdr:row>
          <xdr:rowOff>9525</xdr:rowOff>
        </xdr:to>
        <xdr:sp macro="" textlink="">
          <xdr:nvSpPr>
            <xdr:cNvPr id="82006" name="Option Button 86" hidden="1">
              <a:extLst>
                <a:ext uri="{63B3BB69-23CF-44E3-9099-C40C66FF867C}">
                  <a14:compatExt spid="_x0000_s82006"/>
                </a:ext>
                <a:ext uri="{FF2B5EF4-FFF2-40B4-BE49-F238E27FC236}">
                  <a16:creationId xmlns:a16="http://schemas.microsoft.com/office/drawing/2014/main" id="{00000000-0008-0000-4600-00005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519</xdr:row>
          <xdr:rowOff>304800</xdr:rowOff>
        </xdr:from>
        <xdr:to>
          <xdr:col>22</xdr:col>
          <xdr:colOff>600075</xdr:colOff>
          <xdr:row>520</xdr:row>
          <xdr:rowOff>285750</xdr:rowOff>
        </xdr:to>
        <xdr:sp macro="" textlink="">
          <xdr:nvSpPr>
            <xdr:cNvPr id="82007" name="Option Button 87" hidden="1">
              <a:extLst>
                <a:ext uri="{63B3BB69-23CF-44E3-9099-C40C66FF867C}">
                  <a14:compatExt spid="_x0000_s82007"/>
                </a:ext>
                <a:ext uri="{FF2B5EF4-FFF2-40B4-BE49-F238E27FC236}">
                  <a16:creationId xmlns:a16="http://schemas.microsoft.com/office/drawing/2014/main" id="{00000000-0008-0000-4600-00005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518</xdr:row>
          <xdr:rowOff>285750</xdr:rowOff>
        </xdr:from>
        <xdr:to>
          <xdr:col>24</xdr:col>
          <xdr:colOff>657225</xdr:colOff>
          <xdr:row>520</xdr:row>
          <xdr:rowOff>438150</xdr:rowOff>
        </xdr:to>
        <xdr:sp macro="" textlink="">
          <xdr:nvSpPr>
            <xdr:cNvPr id="82008" name="Group Box 88" hidden="1">
              <a:extLst>
                <a:ext uri="{63B3BB69-23CF-44E3-9099-C40C66FF867C}">
                  <a14:compatExt spid="_x0000_s82008"/>
                </a:ext>
                <a:ext uri="{FF2B5EF4-FFF2-40B4-BE49-F238E27FC236}">
                  <a16:creationId xmlns:a16="http://schemas.microsoft.com/office/drawing/2014/main" id="{00000000-0008-0000-4600-000058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22412</xdr:colOff>
      <xdr:row>540</xdr:row>
      <xdr:rowOff>8964</xdr:rowOff>
    </xdr:from>
    <xdr:to>
      <xdr:col>24</xdr:col>
      <xdr:colOff>990600</xdr:colOff>
      <xdr:row>542</xdr:row>
      <xdr:rowOff>228039</xdr:rowOff>
    </xdr:to>
    <xdr:sp macro="" textlink="">
      <xdr:nvSpPr>
        <xdr:cNvPr id="86" name="角丸四角形 1">
          <a:extLst>
            <a:ext uri="{FF2B5EF4-FFF2-40B4-BE49-F238E27FC236}">
              <a16:creationId xmlns:a16="http://schemas.microsoft.com/office/drawing/2014/main" id="{00000000-0008-0000-4600-000056000000}"/>
            </a:ext>
          </a:extLst>
        </xdr:cNvPr>
        <xdr:cNvSpPr/>
      </xdr:nvSpPr>
      <xdr:spPr>
        <a:xfrm>
          <a:off x="7821706" y="193276817"/>
          <a:ext cx="2693894"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544</xdr:row>
          <xdr:rowOff>38100</xdr:rowOff>
        </xdr:from>
        <xdr:to>
          <xdr:col>22</xdr:col>
          <xdr:colOff>600075</xdr:colOff>
          <xdr:row>545</xdr:row>
          <xdr:rowOff>9525</xdr:rowOff>
        </xdr:to>
        <xdr:sp macro="" textlink="">
          <xdr:nvSpPr>
            <xdr:cNvPr id="82009" name="Option Button 89" hidden="1">
              <a:extLst>
                <a:ext uri="{63B3BB69-23CF-44E3-9099-C40C66FF867C}">
                  <a14:compatExt spid="_x0000_s82009"/>
                </a:ext>
                <a:ext uri="{FF2B5EF4-FFF2-40B4-BE49-F238E27FC236}">
                  <a16:creationId xmlns:a16="http://schemas.microsoft.com/office/drawing/2014/main" id="{00000000-0008-0000-4600-00005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544</xdr:row>
          <xdr:rowOff>304800</xdr:rowOff>
        </xdr:from>
        <xdr:to>
          <xdr:col>22</xdr:col>
          <xdr:colOff>600075</xdr:colOff>
          <xdr:row>545</xdr:row>
          <xdr:rowOff>285750</xdr:rowOff>
        </xdr:to>
        <xdr:sp macro="" textlink="">
          <xdr:nvSpPr>
            <xdr:cNvPr id="82010" name="Option Button 90" hidden="1">
              <a:extLst>
                <a:ext uri="{63B3BB69-23CF-44E3-9099-C40C66FF867C}">
                  <a14:compatExt spid="_x0000_s82010"/>
                </a:ext>
                <a:ext uri="{FF2B5EF4-FFF2-40B4-BE49-F238E27FC236}">
                  <a16:creationId xmlns:a16="http://schemas.microsoft.com/office/drawing/2014/main" id="{00000000-0008-0000-4600-00005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543</xdr:row>
          <xdr:rowOff>285750</xdr:rowOff>
        </xdr:from>
        <xdr:to>
          <xdr:col>24</xdr:col>
          <xdr:colOff>657225</xdr:colOff>
          <xdr:row>545</xdr:row>
          <xdr:rowOff>438150</xdr:rowOff>
        </xdr:to>
        <xdr:sp macro="" textlink="">
          <xdr:nvSpPr>
            <xdr:cNvPr id="82011" name="Group Box 91" hidden="1">
              <a:extLst>
                <a:ext uri="{63B3BB69-23CF-44E3-9099-C40C66FF867C}">
                  <a14:compatExt spid="_x0000_s82011"/>
                </a:ext>
                <a:ext uri="{FF2B5EF4-FFF2-40B4-BE49-F238E27FC236}">
                  <a16:creationId xmlns:a16="http://schemas.microsoft.com/office/drawing/2014/main" id="{00000000-0008-0000-4600-00005B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565</xdr:row>
      <xdr:rowOff>8964</xdr:rowOff>
    </xdr:from>
    <xdr:to>
      <xdr:col>24</xdr:col>
      <xdr:colOff>979394</xdr:colOff>
      <xdr:row>567</xdr:row>
      <xdr:rowOff>228039</xdr:rowOff>
    </xdr:to>
    <xdr:sp macro="" textlink="">
      <xdr:nvSpPr>
        <xdr:cNvPr id="90" name="角丸四角形 1">
          <a:extLst>
            <a:ext uri="{FF2B5EF4-FFF2-40B4-BE49-F238E27FC236}">
              <a16:creationId xmlns:a16="http://schemas.microsoft.com/office/drawing/2014/main" id="{00000000-0008-0000-4600-00005A000000}"/>
            </a:ext>
          </a:extLst>
        </xdr:cNvPr>
        <xdr:cNvSpPr/>
      </xdr:nvSpPr>
      <xdr:spPr>
        <a:xfrm>
          <a:off x="7816663" y="202219111"/>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569</xdr:row>
          <xdr:rowOff>38100</xdr:rowOff>
        </xdr:from>
        <xdr:to>
          <xdr:col>22</xdr:col>
          <xdr:colOff>600075</xdr:colOff>
          <xdr:row>570</xdr:row>
          <xdr:rowOff>9525</xdr:rowOff>
        </xdr:to>
        <xdr:sp macro="" textlink="">
          <xdr:nvSpPr>
            <xdr:cNvPr id="82012" name="Option Button 92" hidden="1">
              <a:extLst>
                <a:ext uri="{63B3BB69-23CF-44E3-9099-C40C66FF867C}">
                  <a14:compatExt spid="_x0000_s82012"/>
                </a:ext>
                <a:ext uri="{FF2B5EF4-FFF2-40B4-BE49-F238E27FC236}">
                  <a16:creationId xmlns:a16="http://schemas.microsoft.com/office/drawing/2014/main" id="{00000000-0008-0000-4600-00005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569</xdr:row>
          <xdr:rowOff>304800</xdr:rowOff>
        </xdr:from>
        <xdr:to>
          <xdr:col>22</xdr:col>
          <xdr:colOff>600075</xdr:colOff>
          <xdr:row>570</xdr:row>
          <xdr:rowOff>285750</xdr:rowOff>
        </xdr:to>
        <xdr:sp macro="" textlink="">
          <xdr:nvSpPr>
            <xdr:cNvPr id="82013" name="Option Button 93" hidden="1">
              <a:extLst>
                <a:ext uri="{63B3BB69-23CF-44E3-9099-C40C66FF867C}">
                  <a14:compatExt spid="_x0000_s82013"/>
                </a:ext>
                <a:ext uri="{FF2B5EF4-FFF2-40B4-BE49-F238E27FC236}">
                  <a16:creationId xmlns:a16="http://schemas.microsoft.com/office/drawing/2014/main" id="{00000000-0008-0000-4600-00005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568</xdr:row>
          <xdr:rowOff>285750</xdr:rowOff>
        </xdr:from>
        <xdr:to>
          <xdr:col>24</xdr:col>
          <xdr:colOff>657225</xdr:colOff>
          <xdr:row>570</xdr:row>
          <xdr:rowOff>438150</xdr:rowOff>
        </xdr:to>
        <xdr:sp macro="" textlink="">
          <xdr:nvSpPr>
            <xdr:cNvPr id="82014" name="Group Box 94" hidden="1">
              <a:extLst>
                <a:ext uri="{63B3BB69-23CF-44E3-9099-C40C66FF867C}">
                  <a14:compatExt spid="_x0000_s82014"/>
                </a:ext>
                <a:ext uri="{FF2B5EF4-FFF2-40B4-BE49-F238E27FC236}">
                  <a16:creationId xmlns:a16="http://schemas.microsoft.com/office/drawing/2014/main" id="{00000000-0008-0000-4600-00005E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39781</xdr:colOff>
      <xdr:row>590</xdr:row>
      <xdr:rowOff>20170</xdr:rowOff>
    </xdr:from>
    <xdr:to>
      <xdr:col>24</xdr:col>
      <xdr:colOff>1001806</xdr:colOff>
      <xdr:row>592</xdr:row>
      <xdr:rowOff>239245</xdr:rowOff>
    </xdr:to>
    <xdr:sp macro="" textlink="">
      <xdr:nvSpPr>
        <xdr:cNvPr id="94" name="角丸四角形 1">
          <a:extLst>
            <a:ext uri="{FF2B5EF4-FFF2-40B4-BE49-F238E27FC236}">
              <a16:creationId xmlns:a16="http://schemas.microsoft.com/office/drawing/2014/main" id="{00000000-0008-0000-4600-00005E000000}"/>
            </a:ext>
          </a:extLst>
        </xdr:cNvPr>
        <xdr:cNvSpPr/>
      </xdr:nvSpPr>
      <xdr:spPr>
        <a:xfrm>
          <a:off x="7839075" y="211172611"/>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594</xdr:row>
          <xdr:rowOff>38100</xdr:rowOff>
        </xdr:from>
        <xdr:to>
          <xdr:col>22</xdr:col>
          <xdr:colOff>600075</xdr:colOff>
          <xdr:row>595</xdr:row>
          <xdr:rowOff>9525</xdr:rowOff>
        </xdr:to>
        <xdr:sp macro="" textlink="">
          <xdr:nvSpPr>
            <xdr:cNvPr id="82015" name="Option Button 95" hidden="1">
              <a:extLst>
                <a:ext uri="{63B3BB69-23CF-44E3-9099-C40C66FF867C}">
                  <a14:compatExt spid="_x0000_s82015"/>
                </a:ext>
                <a:ext uri="{FF2B5EF4-FFF2-40B4-BE49-F238E27FC236}">
                  <a16:creationId xmlns:a16="http://schemas.microsoft.com/office/drawing/2014/main" id="{00000000-0008-0000-4600-00005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594</xdr:row>
          <xdr:rowOff>304800</xdr:rowOff>
        </xdr:from>
        <xdr:to>
          <xdr:col>22</xdr:col>
          <xdr:colOff>600075</xdr:colOff>
          <xdr:row>595</xdr:row>
          <xdr:rowOff>285750</xdr:rowOff>
        </xdr:to>
        <xdr:sp macro="" textlink="">
          <xdr:nvSpPr>
            <xdr:cNvPr id="82016" name="Option Button 96" hidden="1">
              <a:extLst>
                <a:ext uri="{63B3BB69-23CF-44E3-9099-C40C66FF867C}">
                  <a14:compatExt spid="_x0000_s82016"/>
                </a:ext>
                <a:ext uri="{FF2B5EF4-FFF2-40B4-BE49-F238E27FC236}">
                  <a16:creationId xmlns:a16="http://schemas.microsoft.com/office/drawing/2014/main" id="{00000000-0008-0000-4600-00006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593</xdr:row>
          <xdr:rowOff>285750</xdr:rowOff>
        </xdr:from>
        <xdr:to>
          <xdr:col>24</xdr:col>
          <xdr:colOff>657225</xdr:colOff>
          <xdr:row>595</xdr:row>
          <xdr:rowOff>438150</xdr:rowOff>
        </xdr:to>
        <xdr:sp macro="" textlink="">
          <xdr:nvSpPr>
            <xdr:cNvPr id="82017" name="Group Box 97" hidden="1">
              <a:extLst>
                <a:ext uri="{63B3BB69-23CF-44E3-9099-C40C66FF867C}">
                  <a14:compatExt spid="_x0000_s82017"/>
                </a:ext>
                <a:ext uri="{FF2B5EF4-FFF2-40B4-BE49-F238E27FC236}">
                  <a16:creationId xmlns:a16="http://schemas.microsoft.com/office/drawing/2014/main" id="{00000000-0008-0000-4600-000061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615</xdr:row>
      <xdr:rowOff>8965</xdr:rowOff>
    </xdr:from>
    <xdr:to>
      <xdr:col>24</xdr:col>
      <xdr:colOff>979394</xdr:colOff>
      <xdr:row>617</xdr:row>
      <xdr:rowOff>228040</xdr:rowOff>
    </xdr:to>
    <xdr:sp macro="" textlink="">
      <xdr:nvSpPr>
        <xdr:cNvPr id="98" name="角丸四角形 1">
          <a:extLst>
            <a:ext uri="{FF2B5EF4-FFF2-40B4-BE49-F238E27FC236}">
              <a16:creationId xmlns:a16="http://schemas.microsoft.com/office/drawing/2014/main" id="{00000000-0008-0000-4600-000062000000}"/>
            </a:ext>
          </a:extLst>
        </xdr:cNvPr>
        <xdr:cNvSpPr/>
      </xdr:nvSpPr>
      <xdr:spPr>
        <a:xfrm>
          <a:off x="7816663" y="220103700"/>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619</xdr:row>
          <xdr:rowOff>38100</xdr:rowOff>
        </xdr:from>
        <xdr:to>
          <xdr:col>22</xdr:col>
          <xdr:colOff>600075</xdr:colOff>
          <xdr:row>620</xdr:row>
          <xdr:rowOff>9525</xdr:rowOff>
        </xdr:to>
        <xdr:sp macro="" textlink="">
          <xdr:nvSpPr>
            <xdr:cNvPr id="82018" name="Option Button 98" hidden="1">
              <a:extLst>
                <a:ext uri="{63B3BB69-23CF-44E3-9099-C40C66FF867C}">
                  <a14:compatExt spid="_x0000_s82018"/>
                </a:ext>
                <a:ext uri="{FF2B5EF4-FFF2-40B4-BE49-F238E27FC236}">
                  <a16:creationId xmlns:a16="http://schemas.microsoft.com/office/drawing/2014/main" id="{00000000-0008-0000-4600-00006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619</xdr:row>
          <xdr:rowOff>304800</xdr:rowOff>
        </xdr:from>
        <xdr:to>
          <xdr:col>22</xdr:col>
          <xdr:colOff>600075</xdr:colOff>
          <xdr:row>620</xdr:row>
          <xdr:rowOff>285750</xdr:rowOff>
        </xdr:to>
        <xdr:sp macro="" textlink="">
          <xdr:nvSpPr>
            <xdr:cNvPr id="82019" name="Option Button 99" hidden="1">
              <a:extLst>
                <a:ext uri="{63B3BB69-23CF-44E3-9099-C40C66FF867C}">
                  <a14:compatExt spid="_x0000_s82019"/>
                </a:ext>
                <a:ext uri="{FF2B5EF4-FFF2-40B4-BE49-F238E27FC236}">
                  <a16:creationId xmlns:a16="http://schemas.microsoft.com/office/drawing/2014/main" id="{00000000-0008-0000-4600-00006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618</xdr:row>
          <xdr:rowOff>285750</xdr:rowOff>
        </xdr:from>
        <xdr:to>
          <xdr:col>24</xdr:col>
          <xdr:colOff>657225</xdr:colOff>
          <xdr:row>620</xdr:row>
          <xdr:rowOff>438150</xdr:rowOff>
        </xdr:to>
        <xdr:sp macro="" textlink="">
          <xdr:nvSpPr>
            <xdr:cNvPr id="82020" name="Group Box 100" hidden="1">
              <a:extLst>
                <a:ext uri="{63B3BB69-23CF-44E3-9099-C40C66FF867C}">
                  <a14:compatExt spid="_x0000_s82020"/>
                </a:ext>
                <a:ext uri="{FF2B5EF4-FFF2-40B4-BE49-F238E27FC236}">
                  <a16:creationId xmlns:a16="http://schemas.microsoft.com/office/drawing/2014/main" id="{00000000-0008-0000-4600-000064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640</xdr:row>
      <xdr:rowOff>31377</xdr:rowOff>
    </xdr:from>
    <xdr:to>
      <xdr:col>24</xdr:col>
      <xdr:colOff>986117</xdr:colOff>
      <xdr:row>642</xdr:row>
      <xdr:rowOff>250452</xdr:rowOff>
    </xdr:to>
    <xdr:sp macro="" textlink="">
      <xdr:nvSpPr>
        <xdr:cNvPr id="102" name="角丸四角形 1">
          <a:extLst>
            <a:ext uri="{FF2B5EF4-FFF2-40B4-BE49-F238E27FC236}">
              <a16:creationId xmlns:a16="http://schemas.microsoft.com/office/drawing/2014/main" id="{00000000-0008-0000-4600-000066000000}"/>
            </a:ext>
          </a:extLst>
        </xdr:cNvPr>
        <xdr:cNvSpPr/>
      </xdr:nvSpPr>
      <xdr:spPr>
        <a:xfrm>
          <a:off x="11951634" y="229068406"/>
          <a:ext cx="2683248" cy="77937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644</xdr:row>
          <xdr:rowOff>38100</xdr:rowOff>
        </xdr:from>
        <xdr:to>
          <xdr:col>22</xdr:col>
          <xdr:colOff>600075</xdr:colOff>
          <xdr:row>645</xdr:row>
          <xdr:rowOff>9525</xdr:rowOff>
        </xdr:to>
        <xdr:sp macro="" textlink="">
          <xdr:nvSpPr>
            <xdr:cNvPr id="82021" name="Option Button 101" hidden="1">
              <a:extLst>
                <a:ext uri="{63B3BB69-23CF-44E3-9099-C40C66FF867C}">
                  <a14:compatExt spid="_x0000_s82021"/>
                </a:ext>
                <a:ext uri="{FF2B5EF4-FFF2-40B4-BE49-F238E27FC236}">
                  <a16:creationId xmlns:a16="http://schemas.microsoft.com/office/drawing/2014/main" id="{00000000-0008-0000-4600-00006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644</xdr:row>
          <xdr:rowOff>304800</xdr:rowOff>
        </xdr:from>
        <xdr:to>
          <xdr:col>22</xdr:col>
          <xdr:colOff>600075</xdr:colOff>
          <xdr:row>645</xdr:row>
          <xdr:rowOff>285750</xdr:rowOff>
        </xdr:to>
        <xdr:sp macro="" textlink="">
          <xdr:nvSpPr>
            <xdr:cNvPr id="82022" name="Option Button 102" hidden="1">
              <a:extLst>
                <a:ext uri="{63B3BB69-23CF-44E3-9099-C40C66FF867C}">
                  <a14:compatExt spid="_x0000_s82022"/>
                </a:ext>
                <a:ext uri="{FF2B5EF4-FFF2-40B4-BE49-F238E27FC236}">
                  <a16:creationId xmlns:a16="http://schemas.microsoft.com/office/drawing/2014/main" id="{00000000-0008-0000-4600-00006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643</xdr:row>
          <xdr:rowOff>285750</xdr:rowOff>
        </xdr:from>
        <xdr:to>
          <xdr:col>24</xdr:col>
          <xdr:colOff>657225</xdr:colOff>
          <xdr:row>645</xdr:row>
          <xdr:rowOff>438150</xdr:rowOff>
        </xdr:to>
        <xdr:sp macro="" textlink="">
          <xdr:nvSpPr>
            <xdr:cNvPr id="82023" name="Group Box 103" hidden="1">
              <a:extLst>
                <a:ext uri="{63B3BB69-23CF-44E3-9099-C40C66FF867C}">
                  <a14:compatExt spid="_x0000_s82023"/>
                </a:ext>
                <a:ext uri="{FF2B5EF4-FFF2-40B4-BE49-F238E27FC236}">
                  <a16:creationId xmlns:a16="http://schemas.microsoft.com/office/drawing/2014/main" id="{00000000-0008-0000-4600-000067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665</xdr:row>
      <xdr:rowOff>8964</xdr:rowOff>
    </xdr:from>
    <xdr:to>
      <xdr:col>24</xdr:col>
      <xdr:colOff>990600</xdr:colOff>
      <xdr:row>667</xdr:row>
      <xdr:rowOff>228039</xdr:rowOff>
    </xdr:to>
    <xdr:sp macro="" textlink="">
      <xdr:nvSpPr>
        <xdr:cNvPr id="106" name="角丸四角形 1">
          <a:extLst>
            <a:ext uri="{FF2B5EF4-FFF2-40B4-BE49-F238E27FC236}">
              <a16:creationId xmlns:a16="http://schemas.microsoft.com/office/drawing/2014/main" id="{00000000-0008-0000-4600-00006A000000}"/>
            </a:ext>
          </a:extLst>
        </xdr:cNvPr>
        <xdr:cNvSpPr/>
      </xdr:nvSpPr>
      <xdr:spPr>
        <a:xfrm>
          <a:off x="7827869" y="237988288"/>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669</xdr:row>
          <xdr:rowOff>38100</xdr:rowOff>
        </xdr:from>
        <xdr:to>
          <xdr:col>22</xdr:col>
          <xdr:colOff>600075</xdr:colOff>
          <xdr:row>670</xdr:row>
          <xdr:rowOff>9525</xdr:rowOff>
        </xdr:to>
        <xdr:sp macro="" textlink="">
          <xdr:nvSpPr>
            <xdr:cNvPr id="82024" name="Option Button 104" hidden="1">
              <a:extLst>
                <a:ext uri="{63B3BB69-23CF-44E3-9099-C40C66FF867C}">
                  <a14:compatExt spid="_x0000_s82024"/>
                </a:ext>
                <a:ext uri="{FF2B5EF4-FFF2-40B4-BE49-F238E27FC236}">
                  <a16:creationId xmlns:a16="http://schemas.microsoft.com/office/drawing/2014/main" id="{00000000-0008-0000-4600-00006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669</xdr:row>
          <xdr:rowOff>304800</xdr:rowOff>
        </xdr:from>
        <xdr:to>
          <xdr:col>22</xdr:col>
          <xdr:colOff>600075</xdr:colOff>
          <xdr:row>670</xdr:row>
          <xdr:rowOff>285750</xdr:rowOff>
        </xdr:to>
        <xdr:sp macro="" textlink="">
          <xdr:nvSpPr>
            <xdr:cNvPr id="82025" name="Option Button 105" hidden="1">
              <a:extLst>
                <a:ext uri="{63B3BB69-23CF-44E3-9099-C40C66FF867C}">
                  <a14:compatExt spid="_x0000_s82025"/>
                </a:ext>
                <a:ext uri="{FF2B5EF4-FFF2-40B4-BE49-F238E27FC236}">
                  <a16:creationId xmlns:a16="http://schemas.microsoft.com/office/drawing/2014/main" id="{00000000-0008-0000-4600-00006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668</xdr:row>
          <xdr:rowOff>285750</xdr:rowOff>
        </xdr:from>
        <xdr:to>
          <xdr:col>24</xdr:col>
          <xdr:colOff>657225</xdr:colOff>
          <xdr:row>670</xdr:row>
          <xdr:rowOff>438150</xdr:rowOff>
        </xdr:to>
        <xdr:sp macro="" textlink="">
          <xdr:nvSpPr>
            <xdr:cNvPr id="82026" name="Group Box 106" hidden="1">
              <a:extLst>
                <a:ext uri="{63B3BB69-23CF-44E3-9099-C40C66FF867C}">
                  <a14:compatExt spid="_x0000_s82026"/>
                </a:ext>
                <a:ext uri="{FF2B5EF4-FFF2-40B4-BE49-F238E27FC236}">
                  <a16:creationId xmlns:a16="http://schemas.microsoft.com/office/drawing/2014/main" id="{00000000-0008-0000-4600-00006A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690</xdr:row>
      <xdr:rowOff>20171</xdr:rowOff>
    </xdr:from>
    <xdr:to>
      <xdr:col>24</xdr:col>
      <xdr:colOff>990600</xdr:colOff>
      <xdr:row>692</xdr:row>
      <xdr:rowOff>239246</xdr:rowOff>
    </xdr:to>
    <xdr:sp macro="" textlink="">
      <xdr:nvSpPr>
        <xdr:cNvPr id="110" name="角丸四角形 1">
          <a:extLst>
            <a:ext uri="{FF2B5EF4-FFF2-40B4-BE49-F238E27FC236}">
              <a16:creationId xmlns:a16="http://schemas.microsoft.com/office/drawing/2014/main" id="{00000000-0008-0000-4600-00006E000000}"/>
            </a:ext>
          </a:extLst>
        </xdr:cNvPr>
        <xdr:cNvSpPr/>
      </xdr:nvSpPr>
      <xdr:spPr>
        <a:xfrm>
          <a:off x="7827869" y="246941789"/>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694</xdr:row>
          <xdr:rowOff>38100</xdr:rowOff>
        </xdr:from>
        <xdr:to>
          <xdr:col>22</xdr:col>
          <xdr:colOff>600075</xdr:colOff>
          <xdr:row>695</xdr:row>
          <xdr:rowOff>9525</xdr:rowOff>
        </xdr:to>
        <xdr:sp macro="" textlink="">
          <xdr:nvSpPr>
            <xdr:cNvPr id="82027" name="Option Button 107" hidden="1">
              <a:extLst>
                <a:ext uri="{63B3BB69-23CF-44E3-9099-C40C66FF867C}">
                  <a14:compatExt spid="_x0000_s82027"/>
                </a:ext>
                <a:ext uri="{FF2B5EF4-FFF2-40B4-BE49-F238E27FC236}">
                  <a16:creationId xmlns:a16="http://schemas.microsoft.com/office/drawing/2014/main" id="{00000000-0008-0000-4600-00006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694</xdr:row>
          <xdr:rowOff>304800</xdr:rowOff>
        </xdr:from>
        <xdr:to>
          <xdr:col>22</xdr:col>
          <xdr:colOff>600075</xdr:colOff>
          <xdr:row>695</xdr:row>
          <xdr:rowOff>285750</xdr:rowOff>
        </xdr:to>
        <xdr:sp macro="" textlink="">
          <xdr:nvSpPr>
            <xdr:cNvPr id="82028" name="Option Button 108" hidden="1">
              <a:extLst>
                <a:ext uri="{63B3BB69-23CF-44E3-9099-C40C66FF867C}">
                  <a14:compatExt spid="_x0000_s82028"/>
                </a:ext>
                <a:ext uri="{FF2B5EF4-FFF2-40B4-BE49-F238E27FC236}">
                  <a16:creationId xmlns:a16="http://schemas.microsoft.com/office/drawing/2014/main" id="{00000000-0008-0000-4600-00006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693</xdr:row>
          <xdr:rowOff>285750</xdr:rowOff>
        </xdr:from>
        <xdr:to>
          <xdr:col>24</xdr:col>
          <xdr:colOff>657225</xdr:colOff>
          <xdr:row>695</xdr:row>
          <xdr:rowOff>438150</xdr:rowOff>
        </xdr:to>
        <xdr:sp macro="" textlink="">
          <xdr:nvSpPr>
            <xdr:cNvPr id="82029" name="Group Box 109" hidden="1">
              <a:extLst>
                <a:ext uri="{63B3BB69-23CF-44E3-9099-C40C66FF867C}">
                  <a14:compatExt spid="_x0000_s82029"/>
                </a:ext>
                <a:ext uri="{FF2B5EF4-FFF2-40B4-BE49-F238E27FC236}">
                  <a16:creationId xmlns:a16="http://schemas.microsoft.com/office/drawing/2014/main" id="{00000000-0008-0000-4600-00006D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715</xdr:row>
      <xdr:rowOff>8965</xdr:rowOff>
    </xdr:from>
    <xdr:to>
      <xdr:col>24</xdr:col>
      <xdr:colOff>990600</xdr:colOff>
      <xdr:row>717</xdr:row>
      <xdr:rowOff>228040</xdr:rowOff>
    </xdr:to>
    <xdr:sp macro="" textlink="">
      <xdr:nvSpPr>
        <xdr:cNvPr id="114" name="角丸四角形 1">
          <a:extLst>
            <a:ext uri="{FF2B5EF4-FFF2-40B4-BE49-F238E27FC236}">
              <a16:creationId xmlns:a16="http://schemas.microsoft.com/office/drawing/2014/main" id="{00000000-0008-0000-4600-000072000000}"/>
            </a:ext>
          </a:extLst>
        </xdr:cNvPr>
        <xdr:cNvSpPr/>
      </xdr:nvSpPr>
      <xdr:spPr>
        <a:xfrm>
          <a:off x="7827869" y="255872877"/>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719</xdr:row>
          <xdr:rowOff>38100</xdr:rowOff>
        </xdr:from>
        <xdr:to>
          <xdr:col>22</xdr:col>
          <xdr:colOff>600075</xdr:colOff>
          <xdr:row>720</xdr:row>
          <xdr:rowOff>9525</xdr:rowOff>
        </xdr:to>
        <xdr:sp macro="" textlink="">
          <xdr:nvSpPr>
            <xdr:cNvPr id="82030" name="Option Button 110" hidden="1">
              <a:extLst>
                <a:ext uri="{63B3BB69-23CF-44E3-9099-C40C66FF867C}">
                  <a14:compatExt spid="_x0000_s82030"/>
                </a:ext>
                <a:ext uri="{FF2B5EF4-FFF2-40B4-BE49-F238E27FC236}">
                  <a16:creationId xmlns:a16="http://schemas.microsoft.com/office/drawing/2014/main" id="{00000000-0008-0000-4600-00006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719</xdr:row>
          <xdr:rowOff>304800</xdr:rowOff>
        </xdr:from>
        <xdr:to>
          <xdr:col>22</xdr:col>
          <xdr:colOff>600075</xdr:colOff>
          <xdr:row>720</xdr:row>
          <xdr:rowOff>285750</xdr:rowOff>
        </xdr:to>
        <xdr:sp macro="" textlink="">
          <xdr:nvSpPr>
            <xdr:cNvPr id="82031" name="Option Button 111" hidden="1">
              <a:extLst>
                <a:ext uri="{63B3BB69-23CF-44E3-9099-C40C66FF867C}">
                  <a14:compatExt spid="_x0000_s82031"/>
                </a:ext>
                <a:ext uri="{FF2B5EF4-FFF2-40B4-BE49-F238E27FC236}">
                  <a16:creationId xmlns:a16="http://schemas.microsoft.com/office/drawing/2014/main" id="{00000000-0008-0000-4600-00006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718</xdr:row>
          <xdr:rowOff>285750</xdr:rowOff>
        </xdr:from>
        <xdr:to>
          <xdr:col>24</xdr:col>
          <xdr:colOff>657225</xdr:colOff>
          <xdr:row>720</xdr:row>
          <xdr:rowOff>438150</xdr:rowOff>
        </xdr:to>
        <xdr:sp macro="" textlink="">
          <xdr:nvSpPr>
            <xdr:cNvPr id="82032" name="Group Box 112" hidden="1">
              <a:extLst>
                <a:ext uri="{63B3BB69-23CF-44E3-9099-C40C66FF867C}">
                  <a14:compatExt spid="_x0000_s82032"/>
                </a:ext>
                <a:ext uri="{FF2B5EF4-FFF2-40B4-BE49-F238E27FC236}">
                  <a16:creationId xmlns:a16="http://schemas.microsoft.com/office/drawing/2014/main" id="{00000000-0008-0000-4600-000070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39781</xdr:colOff>
      <xdr:row>739</xdr:row>
      <xdr:rowOff>277906</xdr:rowOff>
    </xdr:from>
    <xdr:to>
      <xdr:col>24</xdr:col>
      <xdr:colOff>1001806</xdr:colOff>
      <xdr:row>742</xdr:row>
      <xdr:rowOff>216834</xdr:rowOff>
    </xdr:to>
    <xdr:sp macro="" textlink="">
      <xdr:nvSpPr>
        <xdr:cNvPr id="118" name="角丸四角形 1">
          <a:extLst>
            <a:ext uri="{FF2B5EF4-FFF2-40B4-BE49-F238E27FC236}">
              <a16:creationId xmlns:a16="http://schemas.microsoft.com/office/drawing/2014/main" id="{00000000-0008-0000-4600-000076000000}"/>
            </a:ext>
          </a:extLst>
        </xdr:cNvPr>
        <xdr:cNvSpPr/>
      </xdr:nvSpPr>
      <xdr:spPr>
        <a:xfrm>
          <a:off x="7839075" y="264803965"/>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744</xdr:row>
          <xdr:rowOff>38100</xdr:rowOff>
        </xdr:from>
        <xdr:to>
          <xdr:col>22</xdr:col>
          <xdr:colOff>600075</xdr:colOff>
          <xdr:row>745</xdr:row>
          <xdr:rowOff>9525</xdr:rowOff>
        </xdr:to>
        <xdr:sp macro="" textlink="">
          <xdr:nvSpPr>
            <xdr:cNvPr id="82033" name="Option Button 113" hidden="1">
              <a:extLst>
                <a:ext uri="{63B3BB69-23CF-44E3-9099-C40C66FF867C}">
                  <a14:compatExt spid="_x0000_s82033"/>
                </a:ext>
                <a:ext uri="{FF2B5EF4-FFF2-40B4-BE49-F238E27FC236}">
                  <a16:creationId xmlns:a16="http://schemas.microsoft.com/office/drawing/2014/main" id="{00000000-0008-0000-4600-00007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744</xdr:row>
          <xdr:rowOff>304800</xdr:rowOff>
        </xdr:from>
        <xdr:to>
          <xdr:col>22</xdr:col>
          <xdr:colOff>600075</xdr:colOff>
          <xdr:row>745</xdr:row>
          <xdr:rowOff>285750</xdr:rowOff>
        </xdr:to>
        <xdr:sp macro="" textlink="">
          <xdr:nvSpPr>
            <xdr:cNvPr id="82034" name="Option Button 114" hidden="1">
              <a:extLst>
                <a:ext uri="{63B3BB69-23CF-44E3-9099-C40C66FF867C}">
                  <a14:compatExt spid="_x0000_s82034"/>
                </a:ext>
                <a:ext uri="{FF2B5EF4-FFF2-40B4-BE49-F238E27FC236}">
                  <a16:creationId xmlns:a16="http://schemas.microsoft.com/office/drawing/2014/main" id="{00000000-0008-0000-4600-00007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743</xdr:row>
          <xdr:rowOff>285750</xdr:rowOff>
        </xdr:from>
        <xdr:to>
          <xdr:col>24</xdr:col>
          <xdr:colOff>657225</xdr:colOff>
          <xdr:row>745</xdr:row>
          <xdr:rowOff>438150</xdr:rowOff>
        </xdr:to>
        <xdr:sp macro="" textlink="">
          <xdr:nvSpPr>
            <xdr:cNvPr id="82035" name="Group Box 115" hidden="1">
              <a:extLst>
                <a:ext uri="{63B3BB69-23CF-44E3-9099-C40C66FF867C}">
                  <a14:compatExt spid="_x0000_s82035"/>
                </a:ext>
                <a:ext uri="{FF2B5EF4-FFF2-40B4-BE49-F238E27FC236}">
                  <a16:creationId xmlns:a16="http://schemas.microsoft.com/office/drawing/2014/main" id="{00000000-0008-0000-4600-000073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39780</xdr:colOff>
      <xdr:row>764</xdr:row>
      <xdr:rowOff>266699</xdr:rowOff>
    </xdr:from>
    <xdr:to>
      <xdr:col>24</xdr:col>
      <xdr:colOff>1001805</xdr:colOff>
      <xdr:row>767</xdr:row>
      <xdr:rowOff>205627</xdr:rowOff>
    </xdr:to>
    <xdr:sp macro="" textlink="">
      <xdr:nvSpPr>
        <xdr:cNvPr id="122" name="角丸四角形 1">
          <a:extLst>
            <a:ext uri="{FF2B5EF4-FFF2-40B4-BE49-F238E27FC236}">
              <a16:creationId xmlns:a16="http://schemas.microsoft.com/office/drawing/2014/main" id="{00000000-0008-0000-4600-00007A000000}"/>
            </a:ext>
          </a:extLst>
        </xdr:cNvPr>
        <xdr:cNvSpPr/>
      </xdr:nvSpPr>
      <xdr:spPr>
        <a:xfrm>
          <a:off x="7839074" y="273735052"/>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769</xdr:row>
          <xdr:rowOff>38100</xdr:rowOff>
        </xdr:from>
        <xdr:to>
          <xdr:col>22</xdr:col>
          <xdr:colOff>600075</xdr:colOff>
          <xdr:row>770</xdr:row>
          <xdr:rowOff>9525</xdr:rowOff>
        </xdr:to>
        <xdr:sp macro="" textlink="">
          <xdr:nvSpPr>
            <xdr:cNvPr id="82036" name="Option Button 116" hidden="1">
              <a:extLst>
                <a:ext uri="{63B3BB69-23CF-44E3-9099-C40C66FF867C}">
                  <a14:compatExt spid="_x0000_s82036"/>
                </a:ext>
                <a:ext uri="{FF2B5EF4-FFF2-40B4-BE49-F238E27FC236}">
                  <a16:creationId xmlns:a16="http://schemas.microsoft.com/office/drawing/2014/main" id="{00000000-0008-0000-4600-00007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769</xdr:row>
          <xdr:rowOff>304800</xdr:rowOff>
        </xdr:from>
        <xdr:to>
          <xdr:col>22</xdr:col>
          <xdr:colOff>600075</xdr:colOff>
          <xdr:row>770</xdr:row>
          <xdr:rowOff>285750</xdr:rowOff>
        </xdr:to>
        <xdr:sp macro="" textlink="">
          <xdr:nvSpPr>
            <xdr:cNvPr id="82037" name="Option Button 117" hidden="1">
              <a:extLst>
                <a:ext uri="{63B3BB69-23CF-44E3-9099-C40C66FF867C}">
                  <a14:compatExt spid="_x0000_s82037"/>
                </a:ext>
                <a:ext uri="{FF2B5EF4-FFF2-40B4-BE49-F238E27FC236}">
                  <a16:creationId xmlns:a16="http://schemas.microsoft.com/office/drawing/2014/main" id="{00000000-0008-0000-4600-00007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768</xdr:row>
          <xdr:rowOff>285750</xdr:rowOff>
        </xdr:from>
        <xdr:to>
          <xdr:col>24</xdr:col>
          <xdr:colOff>657225</xdr:colOff>
          <xdr:row>770</xdr:row>
          <xdr:rowOff>438150</xdr:rowOff>
        </xdr:to>
        <xdr:sp macro="" textlink="">
          <xdr:nvSpPr>
            <xdr:cNvPr id="82038" name="Group Box 118" hidden="1">
              <a:extLst>
                <a:ext uri="{63B3BB69-23CF-44E3-9099-C40C66FF867C}">
                  <a14:compatExt spid="_x0000_s82038"/>
                </a:ext>
                <a:ext uri="{FF2B5EF4-FFF2-40B4-BE49-F238E27FC236}">
                  <a16:creationId xmlns:a16="http://schemas.microsoft.com/office/drawing/2014/main" id="{00000000-0008-0000-4600-000076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790</xdr:row>
      <xdr:rowOff>20170</xdr:rowOff>
    </xdr:from>
    <xdr:to>
      <xdr:col>24</xdr:col>
      <xdr:colOff>979394</xdr:colOff>
      <xdr:row>792</xdr:row>
      <xdr:rowOff>239245</xdr:rowOff>
    </xdr:to>
    <xdr:sp macro="" textlink="">
      <xdr:nvSpPr>
        <xdr:cNvPr id="126" name="角丸四角形 1">
          <a:extLst>
            <a:ext uri="{FF2B5EF4-FFF2-40B4-BE49-F238E27FC236}">
              <a16:creationId xmlns:a16="http://schemas.microsoft.com/office/drawing/2014/main" id="{00000000-0008-0000-4600-00007E000000}"/>
            </a:ext>
          </a:extLst>
        </xdr:cNvPr>
        <xdr:cNvSpPr/>
      </xdr:nvSpPr>
      <xdr:spPr>
        <a:xfrm>
          <a:off x="7816663" y="282710964"/>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794</xdr:row>
          <xdr:rowOff>38100</xdr:rowOff>
        </xdr:from>
        <xdr:to>
          <xdr:col>22</xdr:col>
          <xdr:colOff>600075</xdr:colOff>
          <xdr:row>795</xdr:row>
          <xdr:rowOff>9525</xdr:rowOff>
        </xdr:to>
        <xdr:sp macro="" textlink="">
          <xdr:nvSpPr>
            <xdr:cNvPr id="82039" name="Option Button 119" hidden="1">
              <a:extLst>
                <a:ext uri="{63B3BB69-23CF-44E3-9099-C40C66FF867C}">
                  <a14:compatExt spid="_x0000_s82039"/>
                </a:ext>
                <a:ext uri="{FF2B5EF4-FFF2-40B4-BE49-F238E27FC236}">
                  <a16:creationId xmlns:a16="http://schemas.microsoft.com/office/drawing/2014/main" id="{00000000-0008-0000-4600-00007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794</xdr:row>
          <xdr:rowOff>304800</xdr:rowOff>
        </xdr:from>
        <xdr:to>
          <xdr:col>22</xdr:col>
          <xdr:colOff>600075</xdr:colOff>
          <xdr:row>795</xdr:row>
          <xdr:rowOff>285750</xdr:rowOff>
        </xdr:to>
        <xdr:sp macro="" textlink="">
          <xdr:nvSpPr>
            <xdr:cNvPr id="82040" name="Option Button 120" hidden="1">
              <a:extLst>
                <a:ext uri="{63B3BB69-23CF-44E3-9099-C40C66FF867C}">
                  <a14:compatExt spid="_x0000_s82040"/>
                </a:ext>
                <a:ext uri="{FF2B5EF4-FFF2-40B4-BE49-F238E27FC236}">
                  <a16:creationId xmlns:a16="http://schemas.microsoft.com/office/drawing/2014/main" id="{00000000-0008-0000-4600-00007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793</xdr:row>
          <xdr:rowOff>285750</xdr:rowOff>
        </xdr:from>
        <xdr:to>
          <xdr:col>24</xdr:col>
          <xdr:colOff>657225</xdr:colOff>
          <xdr:row>795</xdr:row>
          <xdr:rowOff>438150</xdr:rowOff>
        </xdr:to>
        <xdr:sp macro="" textlink="">
          <xdr:nvSpPr>
            <xdr:cNvPr id="82041" name="Group Box 121" hidden="1">
              <a:extLst>
                <a:ext uri="{63B3BB69-23CF-44E3-9099-C40C66FF867C}">
                  <a14:compatExt spid="_x0000_s82041"/>
                </a:ext>
                <a:ext uri="{FF2B5EF4-FFF2-40B4-BE49-F238E27FC236}">
                  <a16:creationId xmlns:a16="http://schemas.microsoft.com/office/drawing/2014/main" id="{00000000-0008-0000-4600-000079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815</xdr:row>
      <xdr:rowOff>31377</xdr:rowOff>
    </xdr:from>
    <xdr:to>
      <xdr:col>24</xdr:col>
      <xdr:colOff>979394</xdr:colOff>
      <xdr:row>817</xdr:row>
      <xdr:rowOff>250452</xdr:rowOff>
    </xdr:to>
    <xdr:sp macro="" textlink="">
      <xdr:nvSpPr>
        <xdr:cNvPr id="130" name="角丸四角形 1">
          <a:extLst>
            <a:ext uri="{FF2B5EF4-FFF2-40B4-BE49-F238E27FC236}">
              <a16:creationId xmlns:a16="http://schemas.microsoft.com/office/drawing/2014/main" id="{00000000-0008-0000-4600-000082000000}"/>
            </a:ext>
          </a:extLst>
        </xdr:cNvPr>
        <xdr:cNvSpPr/>
      </xdr:nvSpPr>
      <xdr:spPr>
        <a:xfrm>
          <a:off x="7816663" y="291664465"/>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819</xdr:row>
          <xdr:rowOff>38100</xdr:rowOff>
        </xdr:from>
        <xdr:to>
          <xdr:col>22</xdr:col>
          <xdr:colOff>600075</xdr:colOff>
          <xdr:row>820</xdr:row>
          <xdr:rowOff>9525</xdr:rowOff>
        </xdr:to>
        <xdr:sp macro="" textlink="">
          <xdr:nvSpPr>
            <xdr:cNvPr id="82042" name="Option Button 122" hidden="1">
              <a:extLst>
                <a:ext uri="{63B3BB69-23CF-44E3-9099-C40C66FF867C}">
                  <a14:compatExt spid="_x0000_s82042"/>
                </a:ext>
                <a:ext uri="{FF2B5EF4-FFF2-40B4-BE49-F238E27FC236}">
                  <a16:creationId xmlns:a16="http://schemas.microsoft.com/office/drawing/2014/main" id="{00000000-0008-0000-4600-00007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819</xdr:row>
          <xdr:rowOff>304800</xdr:rowOff>
        </xdr:from>
        <xdr:to>
          <xdr:col>22</xdr:col>
          <xdr:colOff>600075</xdr:colOff>
          <xdr:row>820</xdr:row>
          <xdr:rowOff>285750</xdr:rowOff>
        </xdr:to>
        <xdr:sp macro="" textlink="">
          <xdr:nvSpPr>
            <xdr:cNvPr id="82043" name="Option Button 123" hidden="1">
              <a:extLst>
                <a:ext uri="{63B3BB69-23CF-44E3-9099-C40C66FF867C}">
                  <a14:compatExt spid="_x0000_s82043"/>
                </a:ext>
                <a:ext uri="{FF2B5EF4-FFF2-40B4-BE49-F238E27FC236}">
                  <a16:creationId xmlns:a16="http://schemas.microsoft.com/office/drawing/2014/main" id="{00000000-0008-0000-4600-00007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818</xdr:row>
          <xdr:rowOff>285750</xdr:rowOff>
        </xdr:from>
        <xdr:to>
          <xdr:col>24</xdr:col>
          <xdr:colOff>657225</xdr:colOff>
          <xdr:row>820</xdr:row>
          <xdr:rowOff>438150</xdr:rowOff>
        </xdr:to>
        <xdr:sp macro="" textlink="">
          <xdr:nvSpPr>
            <xdr:cNvPr id="82044" name="Group Box 124" hidden="1">
              <a:extLst>
                <a:ext uri="{63B3BB69-23CF-44E3-9099-C40C66FF867C}">
                  <a14:compatExt spid="_x0000_s82044"/>
                </a:ext>
                <a:ext uri="{FF2B5EF4-FFF2-40B4-BE49-F238E27FC236}">
                  <a16:creationId xmlns:a16="http://schemas.microsoft.com/office/drawing/2014/main" id="{00000000-0008-0000-4600-00007C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840</xdr:row>
      <xdr:rowOff>20170</xdr:rowOff>
    </xdr:from>
    <xdr:to>
      <xdr:col>24</xdr:col>
      <xdr:colOff>990600</xdr:colOff>
      <xdr:row>842</xdr:row>
      <xdr:rowOff>239246</xdr:rowOff>
    </xdr:to>
    <xdr:sp macro="" textlink="">
      <xdr:nvSpPr>
        <xdr:cNvPr id="134" name="角丸四角形 1">
          <a:extLst>
            <a:ext uri="{FF2B5EF4-FFF2-40B4-BE49-F238E27FC236}">
              <a16:creationId xmlns:a16="http://schemas.microsoft.com/office/drawing/2014/main" id="{00000000-0008-0000-4600-000086000000}"/>
            </a:ext>
          </a:extLst>
        </xdr:cNvPr>
        <xdr:cNvSpPr/>
      </xdr:nvSpPr>
      <xdr:spPr>
        <a:xfrm>
          <a:off x="7827869" y="300595552"/>
          <a:ext cx="2687731" cy="77937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844</xdr:row>
          <xdr:rowOff>38100</xdr:rowOff>
        </xdr:from>
        <xdr:to>
          <xdr:col>22</xdr:col>
          <xdr:colOff>600075</xdr:colOff>
          <xdr:row>845</xdr:row>
          <xdr:rowOff>9525</xdr:rowOff>
        </xdr:to>
        <xdr:sp macro="" textlink="">
          <xdr:nvSpPr>
            <xdr:cNvPr id="82045" name="Option Button 125" hidden="1">
              <a:extLst>
                <a:ext uri="{63B3BB69-23CF-44E3-9099-C40C66FF867C}">
                  <a14:compatExt spid="_x0000_s82045"/>
                </a:ext>
                <a:ext uri="{FF2B5EF4-FFF2-40B4-BE49-F238E27FC236}">
                  <a16:creationId xmlns:a16="http://schemas.microsoft.com/office/drawing/2014/main" id="{00000000-0008-0000-4600-00007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844</xdr:row>
          <xdr:rowOff>304800</xdr:rowOff>
        </xdr:from>
        <xdr:to>
          <xdr:col>22</xdr:col>
          <xdr:colOff>600075</xdr:colOff>
          <xdr:row>845</xdr:row>
          <xdr:rowOff>285750</xdr:rowOff>
        </xdr:to>
        <xdr:sp macro="" textlink="">
          <xdr:nvSpPr>
            <xdr:cNvPr id="82046" name="Option Button 126" hidden="1">
              <a:extLst>
                <a:ext uri="{63B3BB69-23CF-44E3-9099-C40C66FF867C}">
                  <a14:compatExt spid="_x0000_s82046"/>
                </a:ext>
                <a:ext uri="{FF2B5EF4-FFF2-40B4-BE49-F238E27FC236}">
                  <a16:creationId xmlns:a16="http://schemas.microsoft.com/office/drawing/2014/main" id="{00000000-0008-0000-4600-00007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843</xdr:row>
          <xdr:rowOff>285750</xdr:rowOff>
        </xdr:from>
        <xdr:to>
          <xdr:col>24</xdr:col>
          <xdr:colOff>657225</xdr:colOff>
          <xdr:row>845</xdr:row>
          <xdr:rowOff>438150</xdr:rowOff>
        </xdr:to>
        <xdr:sp macro="" textlink="">
          <xdr:nvSpPr>
            <xdr:cNvPr id="82047" name="Group Box 127" hidden="1">
              <a:extLst>
                <a:ext uri="{63B3BB69-23CF-44E3-9099-C40C66FF867C}">
                  <a14:compatExt spid="_x0000_s82047"/>
                </a:ext>
                <a:ext uri="{FF2B5EF4-FFF2-40B4-BE49-F238E27FC236}">
                  <a16:creationId xmlns:a16="http://schemas.microsoft.com/office/drawing/2014/main" id="{00000000-0008-0000-4600-00007F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39781</xdr:colOff>
      <xdr:row>865</xdr:row>
      <xdr:rowOff>20171</xdr:rowOff>
    </xdr:from>
    <xdr:to>
      <xdr:col>24</xdr:col>
      <xdr:colOff>1001806</xdr:colOff>
      <xdr:row>867</xdr:row>
      <xdr:rowOff>239245</xdr:rowOff>
    </xdr:to>
    <xdr:sp macro="" textlink="">
      <xdr:nvSpPr>
        <xdr:cNvPr id="138" name="角丸四角形 1">
          <a:extLst>
            <a:ext uri="{FF2B5EF4-FFF2-40B4-BE49-F238E27FC236}">
              <a16:creationId xmlns:a16="http://schemas.microsoft.com/office/drawing/2014/main" id="{00000000-0008-0000-4600-00008A000000}"/>
            </a:ext>
          </a:extLst>
        </xdr:cNvPr>
        <xdr:cNvSpPr/>
      </xdr:nvSpPr>
      <xdr:spPr>
        <a:xfrm>
          <a:off x="7839075" y="309537847"/>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869</xdr:row>
          <xdr:rowOff>38100</xdr:rowOff>
        </xdr:from>
        <xdr:to>
          <xdr:col>22</xdr:col>
          <xdr:colOff>600075</xdr:colOff>
          <xdr:row>870</xdr:row>
          <xdr:rowOff>9525</xdr:rowOff>
        </xdr:to>
        <xdr:sp macro="" textlink="">
          <xdr:nvSpPr>
            <xdr:cNvPr id="82048" name="Option Button 128" hidden="1">
              <a:extLst>
                <a:ext uri="{63B3BB69-23CF-44E3-9099-C40C66FF867C}">
                  <a14:compatExt spid="_x0000_s82048"/>
                </a:ext>
                <a:ext uri="{FF2B5EF4-FFF2-40B4-BE49-F238E27FC236}">
                  <a16:creationId xmlns:a16="http://schemas.microsoft.com/office/drawing/2014/main" id="{00000000-0008-0000-4600-00008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869</xdr:row>
          <xdr:rowOff>304800</xdr:rowOff>
        </xdr:from>
        <xdr:to>
          <xdr:col>22</xdr:col>
          <xdr:colOff>600075</xdr:colOff>
          <xdr:row>870</xdr:row>
          <xdr:rowOff>285750</xdr:rowOff>
        </xdr:to>
        <xdr:sp macro="" textlink="">
          <xdr:nvSpPr>
            <xdr:cNvPr id="82049" name="Option Button 129" hidden="1">
              <a:extLst>
                <a:ext uri="{63B3BB69-23CF-44E3-9099-C40C66FF867C}">
                  <a14:compatExt spid="_x0000_s82049"/>
                </a:ext>
                <a:ext uri="{FF2B5EF4-FFF2-40B4-BE49-F238E27FC236}">
                  <a16:creationId xmlns:a16="http://schemas.microsoft.com/office/drawing/2014/main" id="{00000000-0008-0000-4600-00008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868</xdr:row>
          <xdr:rowOff>285750</xdr:rowOff>
        </xdr:from>
        <xdr:to>
          <xdr:col>24</xdr:col>
          <xdr:colOff>657225</xdr:colOff>
          <xdr:row>870</xdr:row>
          <xdr:rowOff>438150</xdr:rowOff>
        </xdr:to>
        <xdr:sp macro="" textlink="">
          <xdr:nvSpPr>
            <xdr:cNvPr id="82050" name="Group Box 130" hidden="1">
              <a:extLst>
                <a:ext uri="{63B3BB69-23CF-44E3-9099-C40C66FF867C}">
                  <a14:compatExt spid="_x0000_s82050"/>
                </a:ext>
                <a:ext uri="{FF2B5EF4-FFF2-40B4-BE49-F238E27FC236}">
                  <a16:creationId xmlns:a16="http://schemas.microsoft.com/office/drawing/2014/main" id="{00000000-0008-0000-4600-000082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890</xdr:row>
      <xdr:rowOff>8965</xdr:rowOff>
    </xdr:from>
    <xdr:to>
      <xdr:col>24</xdr:col>
      <xdr:colOff>979394</xdr:colOff>
      <xdr:row>892</xdr:row>
      <xdr:rowOff>228040</xdr:rowOff>
    </xdr:to>
    <xdr:sp macro="" textlink="">
      <xdr:nvSpPr>
        <xdr:cNvPr id="142" name="角丸四角形 1">
          <a:extLst>
            <a:ext uri="{FF2B5EF4-FFF2-40B4-BE49-F238E27FC236}">
              <a16:creationId xmlns:a16="http://schemas.microsoft.com/office/drawing/2014/main" id="{00000000-0008-0000-4600-00008E000000}"/>
            </a:ext>
          </a:extLst>
        </xdr:cNvPr>
        <xdr:cNvSpPr/>
      </xdr:nvSpPr>
      <xdr:spPr>
        <a:xfrm>
          <a:off x="7816663" y="318468936"/>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894</xdr:row>
          <xdr:rowOff>38100</xdr:rowOff>
        </xdr:from>
        <xdr:to>
          <xdr:col>22</xdr:col>
          <xdr:colOff>600075</xdr:colOff>
          <xdr:row>895</xdr:row>
          <xdr:rowOff>9525</xdr:rowOff>
        </xdr:to>
        <xdr:sp macro="" textlink="">
          <xdr:nvSpPr>
            <xdr:cNvPr id="82051" name="Option Button 131" hidden="1">
              <a:extLst>
                <a:ext uri="{63B3BB69-23CF-44E3-9099-C40C66FF867C}">
                  <a14:compatExt spid="_x0000_s82051"/>
                </a:ext>
                <a:ext uri="{FF2B5EF4-FFF2-40B4-BE49-F238E27FC236}">
                  <a16:creationId xmlns:a16="http://schemas.microsoft.com/office/drawing/2014/main" id="{00000000-0008-0000-4600-00008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894</xdr:row>
          <xdr:rowOff>304800</xdr:rowOff>
        </xdr:from>
        <xdr:to>
          <xdr:col>22</xdr:col>
          <xdr:colOff>600075</xdr:colOff>
          <xdr:row>895</xdr:row>
          <xdr:rowOff>285750</xdr:rowOff>
        </xdr:to>
        <xdr:sp macro="" textlink="">
          <xdr:nvSpPr>
            <xdr:cNvPr id="82052" name="Option Button 132" hidden="1">
              <a:extLst>
                <a:ext uri="{63B3BB69-23CF-44E3-9099-C40C66FF867C}">
                  <a14:compatExt spid="_x0000_s82052"/>
                </a:ext>
                <a:ext uri="{FF2B5EF4-FFF2-40B4-BE49-F238E27FC236}">
                  <a16:creationId xmlns:a16="http://schemas.microsoft.com/office/drawing/2014/main" id="{00000000-0008-0000-4600-00008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893</xdr:row>
          <xdr:rowOff>285750</xdr:rowOff>
        </xdr:from>
        <xdr:to>
          <xdr:col>24</xdr:col>
          <xdr:colOff>657225</xdr:colOff>
          <xdr:row>895</xdr:row>
          <xdr:rowOff>438150</xdr:rowOff>
        </xdr:to>
        <xdr:sp macro="" textlink="">
          <xdr:nvSpPr>
            <xdr:cNvPr id="82053" name="Group Box 133" hidden="1">
              <a:extLst>
                <a:ext uri="{63B3BB69-23CF-44E3-9099-C40C66FF867C}">
                  <a14:compatExt spid="_x0000_s82053"/>
                </a:ext>
                <a:ext uri="{FF2B5EF4-FFF2-40B4-BE49-F238E27FC236}">
                  <a16:creationId xmlns:a16="http://schemas.microsoft.com/office/drawing/2014/main" id="{00000000-0008-0000-4600-000085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39781</xdr:colOff>
      <xdr:row>915</xdr:row>
      <xdr:rowOff>20170</xdr:rowOff>
    </xdr:from>
    <xdr:to>
      <xdr:col>24</xdr:col>
      <xdr:colOff>1001806</xdr:colOff>
      <xdr:row>917</xdr:row>
      <xdr:rowOff>239245</xdr:rowOff>
    </xdr:to>
    <xdr:sp macro="" textlink="">
      <xdr:nvSpPr>
        <xdr:cNvPr id="146" name="角丸四角形 1">
          <a:extLst>
            <a:ext uri="{FF2B5EF4-FFF2-40B4-BE49-F238E27FC236}">
              <a16:creationId xmlns:a16="http://schemas.microsoft.com/office/drawing/2014/main" id="{00000000-0008-0000-4600-000092000000}"/>
            </a:ext>
          </a:extLst>
        </xdr:cNvPr>
        <xdr:cNvSpPr/>
      </xdr:nvSpPr>
      <xdr:spPr>
        <a:xfrm>
          <a:off x="7839075" y="327422435"/>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919</xdr:row>
          <xdr:rowOff>38100</xdr:rowOff>
        </xdr:from>
        <xdr:to>
          <xdr:col>22</xdr:col>
          <xdr:colOff>600075</xdr:colOff>
          <xdr:row>920</xdr:row>
          <xdr:rowOff>9525</xdr:rowOff>
        </xdr:to>
        <xdr:sp macro="" textlink="">
          <xdr:nvSpPr>
            <xdr:cNvPr id="82054" name="Option Button 134" hidden="1">
              <a:extLst>
                <a:ext uri="{63B3BB69-23CF-44E3-9099-C40C66FF867C}">
                  <a14:compatExt spid="_x0000_s82054"/>
                </a:ext>
                <a:ext uri="{FF2B5EF4-FFF2-40B4-BE49-F238E27FC236}">
                  <a16:creationId xmlns:a16="http://schemas.microsoft.com/office/drawing/2014/main" id="{00000000-0008-0000-4600-00008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919</xdr:row>
          <xdr:rowOff>304800</xdr:rowOff>
        </xdr:from>
        <xdr:to>
          <xdr:col>22</xdr:col>
          <xdr:colOff>600075</xdr:colOff>
          <xdr:row>920</xdr:row>
          <xdr:rowOff>285750</xdr:rowOff>
        </xdr:to>
        <xdr:sp macro="" textlink="">
          <xdr:nvSpPr>
            <xdr:cNvPr id="82055" name="Option Button 135" hidden="1">
              <a:extLst>
                <a:ext uri="{63B3BB69-23CF-44E3-9099-C40C66FF867C}">
                  <a14:compatExt spid="_x0000_s82055"/>
                </a:ext>
                <a:ext uri="{FF2B5EF4-FFF2-40B4-BE49-F238E27FC236}">
                  <a16:creationId xmlns:a16="http://schemas.microsoft.com/office/drawing/2014/main" id="{00000000-0008-0000-4600-00008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918</xdr:row>
          <xdr:rowOff>285750</xdr:rowOff>
        </xdr:from>
        <xdr:to>
          <xdr:col>24</xdr:col>
          <xdr:colOff>657225</xdr:colOff>
          <xdr:row>920</xdr:row>
          <xdr:rowOff>438150</xdr:rowOff>
        </xdr:to>
        <xdr:sp macro="" textlink="">
          <xdr:nvSpPr>
            <xdr:cNvPr id="82056" name="Group Box 136" hidden="1">
              <a:extLst>
                <a:ext uri="{63B3BB69-23CF-44E3-9099-C40C66FF867C}">
                  <a14:compatExt spid="_x0000_s82056"/>
                </a:ext>
                <a:ext uri="{FF2B5EF4-FFF2-40B4-BE49-F238E27FC236}">
                  <a16:creationId xmlns:a16="http://schemas.microsoft.com/office/drawing/2014/main" id="{00000000-0008-0000-4600-000088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939</xdr:row>
      <xdr:rowOff>277906</xdr:rowOff>
    </xdr:from>
    <xdr:to>
      <xdr:col>24</xdr:col>
      <xdr:colOff>990600</xdr:colOff>
      <xdr:row>942</xdr:row>
      <xdr:rowOff>216834</xdr:rowOff>
    </xdr:to>
    <xdr:sp macro="" textlink="">
      <xdr:nvSpPr>
        <xdr:cNvPr id="150" name="角丸四角形 1">
          <a:extLst>
            <a:ext uri="{FF2B5EF4-FFF2-40B4-BE49-F238E27FC236}">
              <a16:creationId xmlns:a16="http://schemas.microsoft.com/office/drawing/2014/main" id="{00000000-0008-0000-4600-000096000000}"/>
            </a:ext>
          </a:extLst>
        </xdr:cNvPr>
        <xdr:cNvSpPr/>
      </xdr:nvSpPr>
      <xdr:spPr>
        <a:xfrm>
          <a:off x="7827869" y="336342318"/>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944</xdr:row>
          <xdr:rowOff>38100</xdr:rowOff>
        </xdr:from>
        <xdr:to>
          <xdr:col>22</xdr:col>
          <xdr:colOff>600075</xdr:colOff>
          <xdr:row>945</xdr:row>
          <xdr:rowOff>9525</xdr:rowOff>
        </xdr:to>
        <xdr:sp macro="" textlink="">
          <xdr:nvSpPr>
            <xdr:cNvPr id="82057" name="Option Button 137" hidden="1">
              <a:extLst>
                <a:ext uri="{63B3BB69-23CF-44E3-9099-C40C66FF867C}">
                  <a14:compatExt spid="_x0000_s82057"/>
                </a:ext>
                <a:ext uri="{FF2B5EF4-FFF2-40B4-BE49-F238E27FC236}">
                  <a16:creationId xmlns:a16="http://schemas.microsoft.com/office/drawing/2014/main" id="{00000000-0008-0000-4600-00008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944</xdr:row>
          <xdr:rowOff>304800</xdr:rowOff>
        </xdr:from>
        <xdr:to>
          <xdr:col>22</xdr:col>
          <xdr:colOff>600075</xdr:colOff>
          <xdr:row>945</xdr:row>
          <xdr:rowOff>285750</xdr:rowOff>
        </xdr:to>
        <xdr:sp macro="" textlink="">
          <xdr:nvSpPr>
            <xdr:cNvPr id="82058" name="Option Button 138" hidden="1">
              <a:extLst>
                <a:ext uri="{63B3BB69-23CF-44E3-9099-C40C66FF867C}">
                  <a14:compatExt spid="_x0000_s82058"/>
                </a:ext>
                <a:ext uri="{FF2B5EF4-FFF2-40B4-BE49-F238E27FC236}">
                  <a16:creationId xmlns:a16="http://schemas.microsoft.com/office/drawing/2014/main" id="{00000000-0008-0000-4600-00008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943</xdr:row>
          <xdr:rowOff>285750</xdr:rowOff>
        </xdr:from>
        <xdr:to>
          <xdr:col>24</xdr:col>
          <xdr:colOff>657225</xdr:colOff>
          <xdr:row>945</xdr:row>
          <xdr:rowOff>438150</xdr:rowOff>
        </xdr:to>
        <xdr:sp macro="" textlink="">
          <xdr:nvSpPr>
            <xdr:cNvPr id="82059" name="Group Box 139" hidden="1">
              <a:extLst>
                <a:ext uri="{63B3BB69-23CF-44E3-9099-C40C66FF867C}">
                  <a14:compatExt spid="_x0000_s82059"/>
                </a:ext>
                <a:ext uri="{FF2B5EF4-FFF2-40B4-BE49-F238E27FC236}">
                  <a16:creationId xmlns:a16="http://schemas.microsoft.com/office/drawing/2014/main" id="{00000000-0008-0000-4600-00008B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965</xdr:row>
      <xdr:rowOff>20171</xdr:rowOff>
    </xdr:from>
    <xdr:to>
      <xdr:col>24</xdr:col>
      <xdr:colOff>979394</xdr:colOff>
      <xdr:row>967</xdr:row>
      <xdr:rowOff>239246</xdr:rowOff>
    </xdr:to>
    <xdr:sp macro="" textlink="">
      <xdr:nvSpPr>
        <xdr:cNvPr id="154" name="角丸四角形 1">
          <a:extLst>
            <a:ext uri="{FF2B5EF4-FFF2-40B4-BE49-F238E27FC236}">
              <a16:creationId xmlns:a16="http://schemas.microsoft.com/office/drawing/2014/main" id="{00000000-0008-0000-4600-00009A000000}"/>
            </a:ext>
          </a:extLst>
        </xdr:cNvPr>
        <xdr:cNvSpPr/>
      </xdr:nvSpPr>
      <xdr:spPr>
        <a:xfrm>
          <a:off x="7816663" y="345307024"/>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969</xdr:row>
          <xdr:rowOff>38100</xdr:rowOff>
        </xdr:from>
        <xdr:to>
          <xdr:col>22</xdr:col>
          <xdr:colOff>600075</xdr:colOff>
          <xdr:row>970</xdr:row>
          <xdr:rowOff>9525</xdr:rowOff>
        </xdr:to>
        <xdr:sp macro="" textlink="">
          <xdr:nvSpPr>
            <xdr:cNvPr id="82060" name="Option Button 140" hidden="1">
              <a:extLst>
                <a:ext uri="{63B3BB69-23CF-44E3-9099-C40C66FF867C}">
                  <a14:compatExt spid="_x0000_s82060"/>
                </a:ext>
                <a:ext uri="{FF2B5EF4-FFF2-40B4-BE49-F238E27FC236}">
                  <a16:creationId xmlns:a16="http://schemas.microsoft.com/office/drawing/2014/main" id="{00000000-0008-0000-4600-00008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969</xdr:row>
          <xdr:rowOff>304800</xdr:rowOff>
        </xdr:from>
        <xdr:to>
          <xdr:col>22</xdr:col>
          <xdr:colOff>600075</xdr:colOff>
          <xdr:row>970</xdr:row>
          <xdr:rowOff>285750</xdr:rowOff>
        </xdr:to>
        <xdr:sp macro="" textlink="">
          <xdr:nvSpPr>
            <xdr:cNvPr id="82061" name="Option Button 141" hidden="1">
              <a:extLst>
                <a:ext uri="{63B3BB69-23CF-44E3-9099-C40C66FF867C}">
                  <a14:compatExt spid="_x0000_s82061"/>
                </a:ext>
                <a:ext uri="{FF2B5EF4-FFF2-40B4-BE49-F238E27FC236}">
                  <a16:creationId xmlns:a16="http://schemas.microsoft.com/office/drawing/2014/main" id="{00000000-0008-0000-4600-00008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968</xdr:row>
          <xdr:rowOff>285750</xdr:rowOff>
        </xdr:from>
        <xdr:to>
          <xdr:col>24</xdr:col>
          <xdr:colOff>657225</xdr:colOff>
          <xdr:row>970</xdr:row>
          <xdr:rowOff>438150</xdr:rowOff>
        </xdr:to>
        <xdr:sp macro="" textlink="">
          <xdr:nvSpPr>
            <xdr:cNvPr id="82062" name="Group Box 142" hidden="1">
              <a:extLst>
                <a:ext uri="{63B3BB69-23CF-44E3-9099-C40C66FF867C}">
                  <a14:compatExt spid="_x0000_s82062"/>
                </a:ext>
                <a:ext uri="{FF2B5EF4-FFF2-40B4-BE49-F238E27FC236}">
                  <a16:creationId xmlns:a16="http://schemas.microsoft.com/office/drawing/2014/main" id="{00000000-0008-0000-4600-00008E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28576</xdr:colOff>
      <xdr:row>990</xdr:row>
      <xdr:rowOff>20171</xdr:rowOff>
    </xdr:from>
    <xdr:to>
      <xdr:col>24</xdr:col>
      <xdr:colOff>974912</xdr:colOff>
      <xdr:row>992</xdr:row>
      <xdr:rowOff>239246</xdr:rowOff>
    </xdr:to>
    <xdr:sp macro="" textlink="">
      <xdr:nvSpPr>
        <xdr:cNvPr id="158" name="角丸四角形 1">
          <a:extLst>
            <a:ext uri="{FF2B5EF4-FFF2-40B4-BE49-F238E27FC236}">
              <a16:creationId xmlns:a16="http://schemas.microsoft.com/office/drawing/2014/main" id="{00000000-0008-0000-4600-00009E000000}"/>
            </a:ext>
          </a:extLst>
        </xdr:cNvPr>
        <xdr:cNvSpPr/>
      </xdr:nvSpPr>
      <xdr:spPr>
        <a:xfrm>
          <a:off x="11951635" y="354249318"/>
          <a:ext cx="2672042"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994</xdr:row>
          <xdr:rowOff>38100</xdr:rowOff>
        </xdr:from>
        <xdr:to>
          <xdr:col>22</xdr:col>
          <xdr:colOff>600075</xdr:colOff>
          <xdr:row>995</xdr:row>
          <xdr:rowOff>9525</xdr:rowOff>
        </xdr:to>
        <xdr:sp macro="" textlink="">
          <xdr:nvSpPr>
            <xdr:cNvPr id="82063" name="Option Button 143" hidden="1">
              <a:extLst>
                <a:ext uri="{63B3BB69-23CF-44E3-9099-C40C66FF867C}">
                  <a14:compatExt spid="_x0000_s82063"/>
                </a:ext>
                <a:ext uri="{FF2B5EF4-FFF2-40B4-BE49-F238E27FC236}">
                  <a16:creationId xmlns:a16="http://schemas.microsoft.com/office/drawing/2014/main" id="{00000000-0008-0000-4600-00008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994</xdr:row>
          <xdr:rowOff>304800</xdr:rowOff>
        </xdr:from>
        <xdr:to>
          <xdr:col>22</xdr:col>
          <xdr:colOff>600075</xdr:colOff>
          <xdr:row>995</xdr:row>
          <xdr:rowOff>285750</xdr:rowOff>
        </xdr:to>
        <xdr:sp macro="" textlink="">
          <xdr:nvSpPr>
            <xdr:cNvPr id="82064" name="Option Button 144" hidden="1">
              <a:extLst>
                <a:ext uri="{63B3BB69-23CF-44E3-9099-C40C66FF867C}">
                  <a14:compatExt spid="_x0000_s82064"/>
                </a:ext>
                <a:ext uri="{FF2B5EF4-FFF2-40B4-BE49-F238E27FC236}">
                  <a16:creationId xmlns:a16="http://schemas.microsoft.com/office/drawing/2014/main" id="{00000000-0008-0000-4600-00009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993</xdr:row>
          <xdr:rowOff>285750</xdr:rowOff>
        </xdr:from>
        <xdr:to>
          <xdr:col>24</xdr:col>
          <xdr:colOff>657225</xdr:colOff>
          <xdr:row>995</xdr:row>
          <xdr:rowOff>438150</xdr:rowOff>
        </xdr:to>
        <xdr:sp macro="" textlink="">
          <xdr:nvSpPr>
            <xdr:cNvPr id="82065" name="Group Box 145" hidden="1">
              <a:extLst>
                <a:ext uri="{63B3BB69-23CF-44E3-9099-C40C66FF867C}">
                  <a14:compatExt spid="_x0000_s82065"/>
                </a:ext>
                <a:ext uri="{FF2B5EF4-FFF2-40B4-BE49-F238E27FC236}">
                  <a16:creationId xmlns:a16="http://schemas.microsoft.com/office/drawing/2014/main" id="{00000000-0008-0000-4600-000091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xdr:col>
      <xdr:colOff>583924</xdr:colOff>
      <xdr:row>19</xdr:row>
      <xdr:rowOff>82828</xdr:rowOff>
    </xdr:from>
    <xdr:to>
      <xdr:col>13</xdr:col>
      <xdr:colOff>305902</xdr:colOff>
      <xdr:row>19</xdr:row>
      <xdr:rowOff>209828</xdr:rowOff>
    </xdr:to>
    <xdr:sp macro="" textlink="">
      <xdr:nvSpPr>
        <xdr:cNvPr id="14" name="左矢印 13">
          <a:extLst>
            <a:ext uri="{FF2B5EF4-FFF2-40B4-BE49-F238E27FC236}">
              <a16:creationId xmlns:a16="http://schemas.microsoft.com/office/drawing/2014/main" id="{00000000-0008-0000-0700-00000E000000}"/>
            </a:ext>
          </a:extLst>
        </xdr:cNvPr>
        <xdr:cNvSpPr/>
      </xdr:nvSpPr>
      <xdr:spPr>
        <a:xfrm>
          <a:off x="2141054" y="2368828"/>
          <a:ext cx="5760000"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294822</xdr:colOff>
      <xdr:row>18</xdr:row>
      <xdr:rowOff>78441</xdr:rowOff>
    </xdr:from>
    <xdr:to>
      <xdr:col>17</xdr:col>
      <xdr:colOff>638736</xdr:colOff>
      <xdr:row>21</xdr:row>
      <xdr:rowOff>1039</xdr:rowOff>
    </xdr:to>
    <xdr:sp macro="" textlink="">
      <xdr:nvSpPr>
        <xdr:cNvPr id="15" name="角丸四角形吹き出し 14">
          <a:extLst>
            <a:ext uri="{FF2B5EF4-FFF2-40B4-BE49-F238E27FC236}">
              <a16:creationId xmlns:a16="http://schemas.microsoft.com/office/drawing/2014/main" id="{00000000-0008-0000-0700-00000F000000}"/>
            </a:ext>
          </a:extLst>
        </xdr:cNvPr>
        <xdr:cNvSpPr/>
      </xdr:nvSpPr>
      <xdr:spPr>
        <a:xfrm>
          <a:off x="7858793" y="2106706"/>
          <a:ext cx="3033325" cy="684598"/>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r>
            <a:rPr kumimoji="0" lang="ja-JP" altLang="en-US" sz="1000" b="0">
              <a:solidFill>
                <a:schemeClr val="tx1"/>
              </a:solidFill>
              <a:effectLst/>
              <a:latin typeface="+mn-lt"/>
              <a:ea typeface="+mn-ea"/>
              <a:cs typeface="+mn-cs"/>
            </a:rPr>
            <a:t>計画作成時に原単位目標を設定した場合は、対応するオプションボタンを選択してください。（計画時に設定をしていない場合は「設定無し」を選択してください）。</a:t>
          </a:r>
          <a:endParaRPr kumimoji="1" lang="en-US" altLang="ja-JP" sz="1000" b="0">
            <a:solidFill>
              <a:schemeClr val="tx1"/>
            </a:solidFill>
            <a:effectLst/>
            <a:latin typeface="+mn-lt"/>
            <a:ea typeface="+mn-ea"/>
            <a:cs typeface="+mn-cs"/>
          </a:endParaRPr>
        </a:p>
      </xdr:txBody>
    </xdr:sp>
    <xdr:clientData/>
  </xdr:twoCellAnchor>
  <xdr:twoCellAnchor>
    <xdr:from>
      <xdr:col>2</xdr:col>
      <xdr:colOff>66261</xdr:colOff>
      <xdr:row>63</xdr:row>
      <xdr:rowOff>33129</xdr:rowOff>
    </xdr:from>
    <xdr:to>
      <xdr:col>7</xdr:col>
      <xdr:colOff>304800</xdr:colOff>
      <xdr:row>63</xdr:row>
      <xdr:rowOff>861390</xdr:rowOff>
    </xdr:to>
    <xdr:sp macro="" textlink="">
      <xdr:nvSpPr>
        <xdr:cNvPr id="12" name="角丸四角形吹き出し 11">
          <a:extLst>
            <a:ext uri="{FF2B5EF4-FFF2-40B4-BE49-F238E27FC236}">
              <a16:creationId xmlns:a16="http://schemas.microsoft.com/office/drawing/2014/main" id="{00000000-0008-0000-0700-00000C000000}"/>
            </a:ext>
          </a:extLst>
        </xdr:cNvPr>
        <xdr:cNvSpPr/>
      </xdr:nvSpPr>
      <xdr:spPr>
        <a:xfrm>
          <a:off x="628236" y="11053554"/>
          <a:ext cx="3315114" cy="828261"/>
        </a:xfrm>
        <a:prstGeom prst="wedgeRoundRectCallout">
          <a:avLst>
            <a:gd name="adj1" fmla="val -51293"/>
            <a:gd name="adj2" fmla="val 46733"/>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C</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列（</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登録番号＋メニュー）は</a:t>
          </a:r>
          <a:endParaRPr kumimoji="1" lang="en-US" altLang="ja-JP" sz="900" b="1" baseline="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1" baseline="0">
              <a:solidFill>
                <a:schemeClr val="tx1"/>
              </a:solidFill>
              <a:latin typeface="ＭＳ ゴシック" panose="020B0609070205080204" pitchFamily="49" charset="-128"/>
              <a:ea typeface="ＭＳ ゴシック" panose="020B0609070205080204" pitchFamily="49" charset="-128"/>
            </a:rPr>
            <a:t>　</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電力会社</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シートより購入先電力会社の「登録番号＋メニュー」をコピー＆ペーストして下さい。</a:t>
          </a:r>
          <a:endParaRPr kumimoji="1" lang="en-US" altLang="ja-JP" sz="900" b="1" baseline="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baseline="0">
              <a:solidFill>
                <a:schemeClr val="tx1"/>
              </a:solidFill>
              <a:latin typeface="ＭＳ ゴシック" panose="020B0609070205080204" pitchFamily="49" charset="-128"/>
              <a:ea typeface="ＭＳ ゴシック" panose="020B0609070205080204" pitchFamily="49" charset="-128"/>
            </a:rPr>
            <a:t>　一般的な契約プランの場合はメニューの後に「残差」とつく電力メニューを選択してください。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85725</xdr:colOff>
          <xdr:row>20</xdr:row>
          <xdr:rowOff>28575</xdr:rowOff>
        </xdr:from>
        <xdr:to>
          <xdr:col>2</xdr:col>
          <xdr:colOff>95250</xdr:colOff>
          <xdr:row>21</xdr:row>
          <xdr:rowOff>19050</xdr:rowOff>
        </xdr:to>
        <xdr:sp macro="" textlink="">
          <xdr:nvSpPr>
            <xdr:cNvPr id="113699" name="Option Button 35" hidden="1">
              <a:extLst>
                <a:ext uri="{63B3BB69-23CF-44E3-9099-C40C66FF867C}">
                  <a14:compatExt spid="_x0000_s113699"/>
                </a:ext>
                <a:ext uri="{FF2B5EF4-FFF2-40B4-BE49-F238E27FC236}">
                  <a16:creationId xmlns:a16="http://schemas.microsoft.com/office/drawing/2014/main" id="{00000000-0008-0000-0700-00002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28575</xdr:rowOff>
        </xdr:from>
        <xdr:to>
          <xdr:col>2</xdr:col>
          <xdr:colOff>95250</xdr:colOff>
          <xdr:row>22</xdr:row>
          <xdr:rowOff>19050</xdr:rowOff>
        </xdr:to>
        <xdr:sp macro="" textlink="">
          <xdr:nvSpPr>
            <xdr:cNvPr id="113700" name="Option Button 36" hidden="1">
              <a:extLst>
                <a:ext uri="{63B3BB69-23CF-44E3-9099-C40C66FF867C}">
                  <a14:compatExt spid="_x0000_s113700"/>
                </a:ext>
                <a:ext uri="{FF2B5EF4-FFF2-40B4-BE49-F238E27FC236}">
                  <a16:creationId xmlns:a16="http://schemas.microsoft.com/office/drawing/2014/main" id="{00000000-0008-0000-0700-00002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28575</xdr:rowOff>
        </xdr:from>
        <xdr:to>
          <xdr:col>2</xdr:col>
          <xdr:colOff>95250</xdr:colOff>
          <xdr:row>23</xdr:row>
          <xdr:rowOff>19050</xdr:rowOff>
        </xdr:to>
        <xdr:sp macro="" textlink="">
          <xdr:nvSpPr>
            <xdr:cNvPr id="113701" name="Option Button 37" hidden="1">
              <a:extLst>
                <a:ext uri="{63B3BB69-23CF-44E3-9099-C40C66FF867C}">
                  <a14:compatExt spid="_x0000_s113701"/>
                </a:ext>
                <a:ext uri="{FF2B5EF4-FFF2-40B4-BE49-F238E27FC236}">
                  <a16:creationId xmlns:a16="http://schemas.microsoft.com/office/drawing/2014/main" id="{00000000-0008-0000-0700-00002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33227</xdr:colOff>
      <xdr:row>104</xdr:row>
      <xdr:rowOff>12982</xdr:rowOff>
    </xdr:from>
    <xdr:to>
      <xdr:col>6</xdr:col>
      <xdr:colOff>327660</xdr:colOff>
      <xdr:row>104</xdr:row>
      <xdr:rowOff>388620</xdr:rowOff>
    </xdr:to>
    <xdr:sp macro="" textlink="">
      <xdr:nvSpPr>
        <xdr:cNvPr id="11" name="角丸四角形吹き出し 10">
          <a:extLst>
            <a:ext uri="{FF2B5EF4-FFF2-40B4-BE49-F238E27FC236}">
              <a16:creationId xmlns:a16="http://schemas.microsoft.com/office/drawing/2014/main" id="{00000000-0008-0000-0700-00000B000000}"/>
            </a:ext>
          </a:extLst>
        </xdr:cNvPr>
        <xdr:cNvSpPr/>
      </xdr:nvSpPr>
      <xdr:spPr>
        <a:xfrm>
          <a:off x="536147" y="14140462"/>
          <a:ext cx="2542333" cy="375638"/>
        </a:xfrm>
        <a:prstGeom prst="wedgeRoundRectCallout">
          <a:avLst>
            <a:gd name="adj1" fmla="val -70184"/>
            <a:gd name="adj2" fmla="val -34881"/>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5</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社より多い場合、</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75</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104</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行目を再表示してください。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xdr:from>
      <xdr:col>10</xdr:col>
      <xdr:colOff>322661</xdr:colOff>
      <xdr:row>21</xdr:row>
      <xdr:rowOff>190500</xdr:rowOff>
    </xdr:from>
    <xdr:to>
      <xdr:col>10</xdr:col>
      <xdr:colOff>343343</xdr:colOff>
      <xdr:row>26</xdr:row>
      <xdr:rowOff>310116</xdr:rowOff>
    </xdr:to>
    <xdr:cxnSp macro="">
      <xdr:nvCxnSpPr>
        <xdr:cNvPr id="6" name="直線矢印コネクタ 5">
          <a:extLst>
            <a:ext uri="{FF2B5EF4-FFF2-40B4-BE49-F238E27FC236}">
              <a16:creationId xmlns:a16="http://schemas.microsoft.com/office/drawing/2014/main" id="{00000000-0008-0000-0700-000006000000}"/>
            </a:ext>
          </a:extLst>
        </xdr:cNvPr>
        <xdr:cNvCxnSpPr/>
      </xdr:nvCxnSpPr>
      <xdr:spPr>
        <a:xfrm>
          <a:off x="5222321" y="2926080"/>
          <a:ext cx="20682" cy="1277856"/>
        </a:xfrm>
        <a:prstGeom prst="straightConnector1">
          <a:avLst/>
        </a:prstGeom>
        <a:ln w="28575">
          <a:solidFill>
            <a:srgbClr val="FF0000"/>
          </a:solidFill>
          <a:headEnd type="none" w="med" len="med"/>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310115</xdr:colOff>
      <xdr:row>19</xdr:row>
      <xdr:rowOff>22860</xdr:rowOff>
    </xdr:from>
    <xdr:to>
      <xdr:col>11</xdr:col>
      <xdr:colOff>297180</xdr:colOff>
      <xdr:row>21</xdr:row>
      <xdr:rowOff>83820</xdr:rowOff>
    </xdr:to>
    <xdr:sp macro="" textlink="">
      <xdr:nvSpPr>
        <xdr:cNvPr id="10" name="フリーフォーム 9">
          <a:extLst>
            <a:ext uri="{FF2B5EF4-FFF2-40B4-BE49-F238E27FC236}">
              <a16:creationId xmlns:a16="http://schemas.microsoft.com/office/drawing/2014/main" id="{00000000-0008-0000-0700-00000A000000}"/>
            </a:ext>
          </a:extLst>
        </xdr:cNvPr>
        <xdr:cNvSpPr/>
      </xdr:nvSpPr>
      <xdr:spPr>
        <a:xfrm>
          <a:off x="5209775" y="2240280"/>
          <a:ext cx="596665" cy="579120"/>
        </a:xfrm>
        <a:custGeom>
          <a:avLst/>
          <a:gdLst>
            <a:gd name="connsiteX0" fmla="*/ 697762 w 697762"/>
            <a:gd name="connsiteY0" fmla="*/ 0 h 420872"/>
            <a:gd name="connsiteX1" fmla="*/ 697762 w 697762"/>
            <a:gd name="connsiteY1" fmla="*/ 299040 h 420872"/>
            <a:gd name="connsiteX2" fmla="*/ 0 w 697762"/>
            <a:gd name="connsiteY2" fmla="*/ 299040 h 420872"/>
            <a:gd name="connsiteX3" fmla="*/ 0 w 697762"/>
            <a:gd name="connsiteY3" fmla="*/ 420872 h 420872"/>
          </a:gdLst>
          <a:ahLst/>
          <a:cxnLst>
            <a:cxn ang="0">
              <a:pos x="connsiteX0" y="connsiteY0"/>
            </a:cxn>
            <a:cxn ang="0">
              <a:pos x="connsiteX1" y="connsiteY1"/>
            </a:cxn>
            <a:cxn ang="0">
              <a:pos x="connsiteX2" y="connsiteY2"/>
            </a:cxn>
            <a:cxn ang="0">
              <a:pos x="connsiteX3" y="connsiteY3"/>
            </a:cxn>
          </a:cxnLst>
          <a:rect l="l" t="t" r="r" b="b"/>
          <a:pathLst>
            <a:path w="697762" h="420872">
              <a:moveTo>
                <a:pt x="697762" y="0"/>
              </a:moveTo>
              <a:lnTo>
                <a:pt x="697762" y="299040"/>
              </a:lnTo>
              <a:lnTo>
                <a:pt x="0" y="299040"/>
              </a:lnTo>
              <a:lnTo>
                <a:pt x="0" y="420872"/>
              </a:lnTo>
            </a:path>
          </a:pathLst>
        </a:custGeom>
        <a:noFill/>
        <a:ln w="28575">
          <a:solidFill>
            <a:srgbClr val="FF0000"/>
          </a:solidFill>
          <a:head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114300</xdr:colOff>
      <xdr:row>18</xdr:row>
      <xdr:rowOff>133247</xdr:rowOff>
    </xdr:from>
    <xdr:to>
      <xdr:col>13</xdr:col>
      <xdr:colOff>312420</xdr:colOff>
      <xdr:row>25</xdr:row>
      <xdr:rowOff>221511</xdr:rowOff>
    </xdr:to>
    <xdr:grpSp>
      <xdr:nvGrpSpPr>
        <xdr:cNvPr id="16" name="グループ化 15">
          <a:extLst>
            <a:ext uri="{FF2B5EF4-FFF2-40B4-BE49-F238E27FC236}">
              <a16:creationId xmlns:a16="http://schemas.microsoft.com/office/drawing/2014/main" id="{00000000-0008-0000-0700-000010000000}"/>
            </a:ext>
          </a:extLst>
        </xdr:cNvPr>
        <xdr:cNvGrpSpPr/>
      </xdr:nvGrpSpPr>
      <xdr:grpSpPr>
        <a:xfrm>
          <a:off x="4276725" y="2152547"/>
          <a:ext cx="3617595" cy="1736089"/>
          <a:chOff x="4403408" y="2137927"/>
          <a:chExt cx="3415953" cy="1450561"/>
        </a:xfrm>
      </xdr:grpSpPr>
      <xdr:sp macro="" textlink="">
        <xdr:nvSpPr>
          <xdr:cNvPr id="2" name="フリーフォーム 1">
            <a:extLst>
              <a:ext uri="{FF2B5EF4-FFF2-40B4-BE49-F238E27FC236}">
                <a16:creationId xmlns:a16="http://schemas.microsoft.com/office/drawing/2014/main" id="{00000000-0008-0000-0700-000002000000}"/>
              </a:ext>
            </a:extLst>
          </xdr:cNvPr>
          <xdr:cNvSpPr/>
        </xdr:nvSpPr>
        <xdr:spPr>
          <a:xfrm>
            <a:off x="4403408" y="2137927"/>
            <a:ext cx="3415952" cy="1450561"/>
          </a:xfrm>
          <a:custGeom>
            <a:avLst/>
            <a:gdLst>
              <a:gd name="connsiteX0" fmla="*/ 0 w 3431049"/>
              <a:gd name="connsiteY0" fmla="*/ 266291 h 1730887"/>
              <a:gd name="connsiteX1" fmla="*/ 112662 w 3431049"/>
              <a:gd name="connsiteY1" fmla="*/ 245807 h 1730887"/>
              <a:gd name="connsiteX2" fmla="*/ 112662 w 3431049"/>
              <a:gd name="connsiteY2" fmla="*/ 0 h 1730887"/>
              <a:gd name="connsiteX3" fmla="*/ 3420807 w 3431049"/>
              <a:gd name="connsiteY3" fmla="*/ 10242 h 1730887"/>
              <a:gd name="connsiteX4" fmla="*/ 3431049 w 3431049"/>
              <a:gd name="connsiteY4" fmla="*/ 1730887 h 1730887"/>
              <a:gd name="connsiteX0" fmla="*/ 0 w 3431049"/>
              <a:gd name="connsiteY0" fmla="*/ 266291 h 1730887"/>
              <a:gd name="connsiteX1" fmla="*/ 112662 w 3431049"/>
              <a:gd name="connsiteY1" fmla="*/ 278586 h 1730887"/>
              <a:gd name="connsiteX2" fmla="*/ 112662 w 3431049"/>
              <a:gd name="connsiteY2" fmla="*/ 0 h 1730887"/>
              <a:gd name="connsiteX3" fmla="*/ 3420807 w 3431049"/>
              <a:gd name="connsiteY3" fmla="*/ 10242 h 1730887"/>
              <a:gd name="connsiteX4" fmla="*/ 3431049 w 3431049"/>
              <a:gd name="connsiteY4" fmla="*/ 1730887 h 1730887"/>
              <a:gd name="connsiteX0" fmla="*/ 0 w 3431049"/>
              <a:gd name="connsiteY0" fmla="*/ 266291 h 1730887"/>
              <a:gd name="connsiteX1" fmla="*/ 116771 w 3431049"/>
              <a:gd name="connsiteY1" fmla="*/ 262196 h 1730887"/>
              <a:gd name="connsiteX2" fmla="*/ 112662 w 3431049"/>
              <a:gd name="connsiteY2" fmla="*/ 0 h 1730887"/>
              <a:gd name="connsiteX3" fmla="*/ 3420807 w 3431049"/>
              <a:gd name="connsiteY3" fmla="*/ 10242 h 1730887"/>
              <a:gd name="connsiteX4" fmla="*/ 3431049 w 3431049"/>
              <a:gd name="connsiteY4" fmla="*/ 1730887 h 1730887"/>
              <a:gd name="connsiteX0" fmla="*/ 0 w 3435158"/>
              <a:gd name="connsiteY0" fmla="*/ 254000 h 1730887"/>
              <a:gd name="connsiteX1" fmla="*/ 120880 w 3435158"/>
              <a:gd name="connsiteY1" fmla="*/ 262196 h 1730887"/>
              <a:gd name="connsiteX2" fmla="*/ 116771 w 3435158"/>
              <a:gd name="connsiteY2" fmla="*/ 0 h 1730887"/>
              <a:gd name="connsiteX3" fmla="*/ 3424916 w 3435158"/>
              <a:gd name="connsiteY3" fmla="*/ 10242 h 1730887"/>
              <a:gd name="connsiteX4" fmla="*/ 3435158 w 3435158"/>
              <a:gd name="connsiteY4" fmla="*/ 1730887 h 1730887"/>
              <a:gd name="connsiteX0" fmla="*/ 0 w 3435158"/>
              <a:gd name="connsiteY0" fmla="*/ 266292 h 1730887"/>
              <a:gd name="connsiteX1" fmla="*/ 120880 w 3435158"/>
              <a:gd name="connsiteY1" fmla="*/ 262196 h 1730887"/>
              <a:gd name="connsiteX2" fmla="*/ 116771 w 3435158"/>
              <a:gd name="connsiteY2" fmla="*/ 0 h 1730887"/>
              <a:gd name="connsiteX3" fmla="*/ 3424916 w 3435158"/>
              <a:gd name="connsiteY3" fmla="*/ 10242 h 1730887"/>
              <a:gd name="connsiteX4" fmla="*/ 3435158 w 3435158"/>
              <a:gd name="connsiteY4" fmla="*/ 1730887 h 1730887"/>
              <a:gd name="connsiteX0" fmla="*/ 0 w 3424916"/>
              <a:gd name="connsiteY0" fmla="*/ 266292 h 1747277"/>
              <a:gd name="connsiteX1" fmla="*/ 120880 w 3424916"/>
              <a:gd name="connsiteY1" fmla="*/ 262196 h 1747277"/>
              <a:gd name="connsiteX2" fmla="*/ 116771 w 3424916"/>
              <a:gd name="connsiteY2" fmla="*/ 0 h 1747277"/>
              <a:gd name="connsiteX3" fmla="*/ 3424916 w 3424916"/>
              <a:gd name="connsiteY3" fmla="*/ 10242 h 1747277"/>
              <a:gd name="connsiteX4" fmla="*/ 3402283 w 3424916"/>
              <a:gd name="connsiteY4" fmla="*/ 1747277 h 1747277"/>
              <a:gd name="connsiteX0" fmla="*/ 0 w 3402283"/>
              <a:gd name="connsiteY0" fmla="*/ 266292 h 1747277"/>
              <a:gd name="connsiteX1" fmla="*/ 120880 w 3402283"/>
              <a:gd name="connsiteY1" fmla="*/ 262196 h 1747277"/>
              <a:gd name="connsiteX2" fmla="*/ 116771 w 3402283"/>
              <a:gd name="connsiteY2" fmla="*/ 0 h 1747277"/>
              <a:gd name="connsiteX3" fmla="*/ 3383823 w 3402283"/>
              <a:gd name="connsiteY3" fmla="*/ 10242 h 1747277"/>
              <a:gd name="connsiteX4" fmla="*/ 3402283 w 3402283"/>
              <a:gd name="connsiteY4" fmla="*/ 1747277 h 1747277"/>
              <a:gd name="connsiteX0" fmla="*/ 0 w 3402283"/>
              <a:gd name="connsiteY0" fmla="*/ 256050 h 1737035"/>
              <a:gd name="connsiteX1" fmla="*/ 120880 w 3402283"/>
              <a:gd name="connsiteY1" fmla="*/ 251954 h 1737035"/>
              <a:gd name="connsiteX2" fmla="*/ 127866 w 3402283"/>
              <a:gd name="connsiteY2" fmla="*/ 915513 h 1737035"/>
              <a:gd name="connsiteX3" fmla="*/ 3383823 w 3402283"/>
              <a:gd name="connsiteY3" fmla="*/ 0 h 1737035"/>
              <a:gd name="connsiteX4" fmla="*/ 3402283 w 3402283"/>
              <a:gd name="connsiteY4" fmla="*/ 1737035 h 1737035"/>
              <a:gd name="connsiteX0" fmla="*/ 0 w 3417108"/>
              <a:gd name="connsiteY0" fmla="*/ 10495 h 1491480"/>
              <a:gd name="connsiteX1" fmla="*/ 120880 w 3417108"/>
              <a:gd name="connsiteY1" fmla="*/ 6399 h 1491480"/>
              <a:gd name="connsiteX2" fmla="*/ 127866 w 3417108"/>
              <a:gd name="connsiteY2" fmla="*/ 669958 h 1491480"/>
              <a:gd name="connsiteX3" fmla="*/ 3417108 w 3417108"/>
              <a:gd name="connsiteY3" fmla="*/ 646739 h 1491480"/>
              <a:gd name="connsiteX4" fmla="*/ 3402283 w 3417108"/>
              <a:gd name="connsiteY4" fmla="*/ 1491480 h 149148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417108" h="1491480">
                <a:moveTo>
                  <a:pt x="0" y="10495"/>
                </a:moveTo>
                <a:lnTo>
                  <a:pt x="120880" y="6399"/>
                </a:lnTo>
                <a:cubicBezTo>
                  <a:pt x="119510" y="-81000"/>
                  <a:pt x="129236" y="757357"/>
                  <a:pt x="127866" y="669958"/>
                </a:cubicBezTo>
                <a:lnTo>
                  <a:pt x="3417108" y="646739"/>
                </a:lnTo>
                <a:lnTo>
                  <a:pt x="3402283" y="1491480"/>
                </a:lnTo>
              </a:path>
            </a:pathLst>
          </a:custGeom>
          <a:noFill/>
          <a:ln w="28575">
            <a:solidFill>
              <a:srgbClr val="0070C0"/>
            </a:solidFill>
            <a:headEnd type="oval" w="med" len="med"/>
            <a:tailEnd type="none"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4" name="直線矢印コネクタ 3">
            <a:extLst>
              <a:ext uri="{FF2B5EF4-FFF2-40B4-BE49-F238E27FC236}">
                <a16:creationId xmlns:a16="http://schemas.microsoft.com/office/drawing/2014/main" id="{00000000-0008-0000-0700-000004000000}"/>
              </a:ext>
            </a:extLst>
          </xdr:cNvPr>
          <xdr:cNvCxnSpPr/>
        </xdr:nvCxnSpPr>
        <xdr:spPr>
          <a:xfrm>
            <a:off x="4817878" y="2791044"/>
            <a:ext cx="476250" cy="0"/>
          </a:xfrm>
          <a:prstGeom prst="straightConnector1">
            <a:avLst/>
          </a:prstGeom>
          <a:ln w="28575">
            <a:solidFill>
              <a:srgbClr val="0070C0"/>
            </a:solidFill>
            <a:headEnd type="none" w="med" len="med"/>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8" name="直線矢印コネクタ 17">
            <a:extLst>
              <a:ext uri="{FF2B5EF4-FFF2-40B4-BE49-F238E27FC236}">
                <a16:creationId xmlns:a16="http://schemas.microsoft.com/office/drawing/2014/main" id="{00000000-0008-0000-0700-000012000000}"/>
              </a:ext>
            </a:extLst>
          </xdr:cNvPr>
          <xdr:cNvCxnSpPr/>
        </xdr:nvCxnSpPr>
        <xdr:spPr>
          <a:xfrm flipH="1">
            <a:off x="7805627" y="2968256"/>
            <a:ext cx="13734" cy="384986"/>
          </a:xfrm>
          <a:prstGeom prst="straightConnector1">
            <a:avLst/>
          </a:prstGeom>
          <a:ln w="28575">
            <a:solidFill>
              <a:srgbClr val="0070C0"/>
            </a:solidFill>
            <a:headEnd type="none" w="med" len="med"/>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1</xdr:col>
          <xdr:colOff>85725</xdr:colOff>
          <xdr:row>23</xdr:row>
          <xdr:rowOff>28575</xdr:rowOff>
        </xdr:from>
        <xdr:to>
          <xdr:col>2</xdr:col>
          <xdr:colOff>95250</xdr:colOff>
          <xdr:row>24</xdr:row>
          <xdr:rowOff>9525</xdr:rowOff>
        </xdr:to>
        <xdr:sp macro="" textlink="">
          <xdr:nvSpPr>
            <xdr:cNvPr id="113705" name="Option Button 41" hidden="1">
              <a:extLst>
                <a:ext uri="{63B3BB69-23CF-44E3-9099-C40C66FF867C}">
                  <a14:compatExt spid="_x0000_s113705"/>
                </a:ext>
                <a:ext uri="{FF2B5EF4-FFF2-40B4-BE49-F238E27FC236}">
                  <a16:creationId xmlns:a16="http://schemas.microsoft.com/office/drawing/2014/main" id="{00000000-0008-0000-0700-000029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33227</xdr:colOff>
      <xdr:row>104</xdr:row>
      <xdr:rowOff>413032</xdr:rowOff>
    </xdr:from>
    <xdr:to>
      <xdr:col>6</xdr:col>
      <xdr:colOff>327660</xdr:colOff>
      <xdr:row>104</xdr:row>
      <xdr:rowOff>1276350</xdr:rowOff>
    </xdr:to>
    <xdr:sp macro="" textlink="">
      <xdr:nvSpPr>
        <xdr:cNvPr id="17" name="角丸四角形吹き出し 16">
          <a:extLst>
            <a:ext uri="{FF2B5EF4-FFF2-40B4-BE49-F238E27FC236}">
              <a16:creationId xmlns:a16="http://schemas.microsoft.com/office/drawing/2014/main" id="{00000000-0008-0000-0700-000011000000}"/>
            </a:ext>
          </a:extLst>
        </xdr:cNvPr>
        <xdr:cNvSpPr/>
      </xdr:nvSpPr>
      <xdr:spPr>
        <a:xfrm>
          <a:off x="595202" y="14510032"/>
          <a:ext cx="2799508" cy="863318"/>
        </a:xfrm>
        <a:prstGeom prst="wedgeRoundRectCallout">
          <a:avLst>
            <a:gd name="adj1" fmla="val -53853"/>
            <a:gd name="adj2" fmla="val 51336"/>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900" b="0" baseline="0">
              <a:solidFill>
                <a:schemeClr val="tx1"/>
              </a:solidFill>
              <a:latin typeface="ＭＳ ゴシック" panose="020B0609070205080204" pitchFamily="49" charset="-128"/>
              <a:ea typeface="ＭＳ ゴシック" panose="020B0609070205080204" pitchFamily="49" charset="-128"/>
            </a:rPr>
            <a:t>その他の電気事業者に該当する場合は、</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C106:C110</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のセルに供給元の事業者名を入力してください。また、</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F106:G110</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のセルに基礎排出係数</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(tCO2/kWh)</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及び調整後排出係数</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(tCO2/kWh)</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を入力してください。</a:t>
          </a:r>
        </a:p>
        <a:p>
          <a:pPr algn="l"/>
          <a:r>
            <a:rPr kumimoji="1" lang="ja-JP" altLang="en-US" sz="900" b="0" baseline="0">
              <a:solidFill>
                <a:schemeClr val="tx1"/>
              </a:solidFill>
              <a:latin typeface="ＭＳ ゴシック" panose="020B0609070205080204" pitchFamily="49" charset="-128"/>
              <a:ea typeface="ＭＳ ゴシック" panose="020B0609070205080204" pitchFamily="49" charset="-128"/>
            </a:rPr>
            <a:t>⇒排出係数の算出根拠を別途ご提示ください。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48</xdr:row>
      <xdr:rowOff>107674</xdr:rowOff>
    </xdr:from>
    <xdr:to>
      <xdr:col>12</xdr:col>
      <xdr:colOff>0</xdr:colOff>
      <xdr:row>48</xdr:row>
      <xdr:rowOff>107674</xdr:rowOff>
    </xdr:to>
    <xdr:sp macro="" textlink="">
      <xdr:nvSpPr>
        <xdr:cNvPr id="3" name="フリーフォーム 2">
          <a:extLst>
            <a:ext uri="{FF2B5EF4-FFF2-40B4-BE49-F238E27FC236}">
              <a16:creationId xmlns:a16="http://schemas.microsoft.com/office/drawing/2014/main" id="{00000000-0008-0000-0800-000003000000}"/>
            </a:ext>
          </a:extLst>
        </xdr:cNvPr>
        <xdr:cNvSpPr/>
      </xdr:nvSpPr>
      <xdr:spPr>
        <a:xfrm>
          <a:off x="2689860" y="10204174"/>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7327</xdr:colOff>
      <xdr:row>48</xdr:row>
      <xdr:rowOff>107674</xdr:rowOff>
    </xdr:from>
    <xdr:to>
      <xdr:col>12</xdr:col>
      <xdr:colOff>0</xdr:colOff>
      <xdr:row>51</xdr:row>
      <xdr:rowOff>99391</xdr:rowOff>
    </xdr:to>
    <xdr:sp macro="" textlink="">
      <xdr:nvSpPr>
        <xdr:cNvPr id="4" name="フリーフォーム 3">
          <a:extLst>
            <a:ext uri="{FF2B5EF4-FFF2-40B4-BE49-F238E27FC236}">
              <a16:creationId xmlns:a16="http://schemas.microsoft.com/office/drawing/2014/main" id="{00000000-0008-0000-0800-000004000000}"/>
            </a:ext>
          </a:extLst>
        </xdr:cNvPr>
        <xdr:cNvSpPr/>
      </xdr:nvSpPr>
      <xdr:spPr>
        <a:xfrm>
          <a:off x="2697187" y="10204174"/>
          <a:ext cx="312713" cy="555597"/>
        </a:xfrm>
        <a:custGeom>
          <a:avLst/>
          <a:gdLst>
            <a:gd name="connsiteX0" fmla="*/ 0 w 273326"/>
            <a:gd name="connsiteY0" fmla="*/ 0 h 405848"/>
            <a:gd name="connsiteX1" fmla="*/ 107674 w 273326"/>
            <a:gd name="connsiteY1" fmla="*/ 0 h 405848"/>
            <a:gd name="connsiteX2" fmla="*/ 107674 w 273326"/>
            <a:gd name="connsiteY2" fmla="*/ 405848 h 405848"/>
            <a:gd name="connsiteX3" fmla="*/ 273326 w 273326"/>
            <a:gd name="connsiteY3" fmla="*/ 405848 h 405848"/>
            <a:gd name="connsiteX4" fmla="*/ 273326 w 273326"/>
            <a:gd name="connsiteY4" fmla="*/ 405848 h 405848"/>
            <a:gd name="connsiteX5" fmla="*/ 273326 w 273326"/>
            <a:gd name="connsiteY5" fmla="*/ 405848 h 4058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3326" h="405848">
              <a:moveTo>
                <a:pt x="0" y="0"/>
              </a:moveTo>
              <a:lnTo>
                <a:pt x="107674" y="0"/>
              </a:lnTo>
              <a:lnTo>
                <a:pt x="107674" y="405848"/>
              </a:lnTo>
              <a:lnTo>
                <a:pt x="273326" y="405848"/>
              </a:lnTo>
              <a:lnTo>
                <a:pt x="273326" y="405848"/>
              </a:lnTo>
              <a:lnTo>
                <a:pt x="273326" y="405848"/>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7327</xdr:colOff>
      <xdr:row>48</xdr:row>
      <xdr:rowOff>102576</xdr:rowOff>
    </xdr:from>
    <xdr:to>
      <xdr:col>16</xdr:col>
      <xdr:colOff>7327</xdr:colOff>
      <xdr:row>48</xdr:row>
      <xdr:rowOff>102576</xdr:rowOff>
    </xdr:to>
    <xdr:sp macro="" textlink="">
      <xdr:nvSpPr>
        <xdr:cNvPr id="5" name="フリーフォーム 4">
          <a:extLst>
            <a:ext uri="{FF2B5EF4-FFF2-40B4-BE49-F238E27FC236}">
              <a16:creationId xmlns:a16="http://schemas.microsoft.com/office/drawing/2014/main" id="{00000000-0008-0000-0800-000005000000}"/>
            </a:ext>
          </a:extLst>
        </xdr:cNvPr>
        <xdr:cNvSpPr/>
      </xdr:nvSpPr>
      <xdr:spPr>
        <a:xfrm>
          <a:off x="3977347" y="10199076"/>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1742</xdr:colOff>
      <xdr:row>51</xdr:row>
      <xdr:rowOff>100195</xdr:rowOff>
    </xdr:from>
    <xdr:to>
      <xdr:col>16</xdr:col>
      <xdr:colOff>1740</xdr:colOff>
      <xdr:row>51</xdr:row>
      <xdr:rowOff>100195</xdr:rowOff>
    </xdr:to>
    <xdr:sp macro="" textlink="">
      <xdr:nvSpPr>
        <xdr:cNvPr id="6" name="フリーフォーム 5">
          <a:extLst>
            <a:ext uri="{FF2B5EF4-FFF2-40B4-BE49-F238E27FC236}">
              <a16:creationId xmlns:a16="http://schemas.microsoft.com/office/drawing/2014/main" id="{00000000-0008-0000-0800-000006000000}"/>
            </a:ext>
          </a:extLst>
        </xdr:cNvPr>
        <xdr:cNvSpPr/>
      </xdr:nvSpPr>
      <xdr:spPr>
        <a:xfrm>
          <a:off x="3971762" y="10760575"/>
          <a:ext cx="320038"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7327</xdr:colOff>
      <xdr:row>42</xdr:row>
      <xdr:rowOff>95249</xdr:rowOff>
    </xdr:from>
    <xdr:to>
      <xdr:col>16</xdr:col>
      <xdr:colOff>7327</xdr:colOff>
      <xdr:row>42</xdr:row>
      <xdr:rowOff>95249</xdr:rowOff>
    </xdr:to>
    <xdr:sp macro="" textlink="">
      <xdr:nvSpPr>
        <xdr:cNvPr id="7" name="フリーフォーム 6">
          <a:extLst>
            <a:ext uri="{FF2B5EF4-FFF2-40B4-BE49-F238E27FC236}">
              <a16:creationId xmlns:a16="http://schemas.microsoft.com/office/drawing/2014/main" id="{00000000-0008-0000-0800-000007000000}"/>
            </a:ext>
          </a:extLst>
        </xdr:cNvPr>
        <xdr:cNvSpPr/>
      </xdr:nvSpPr>
      <xdr:spPr>
        <a:xfrm>
          <a:off x="3977347" y="9063989"/>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1742</xdr:colOff>
      <xdr:row>45</xdr:row>
      <xdr:rowOff>107522</xdr:rowOff>
    </xdr:from>
    <xdr:to>
      <xdr:col>16</xdr:col>
      <xdr:colOff>1740</xdr:colOff>
      <xdr:row>45</xdr:row>
      <xdr:rowOff>107522</xdr:rowOff>
    </xdr:to>
    <xdr:sp macro="" textlink="">
      <xdr:nvSpPr>
        <xdr:cNvPr id="8" name="フリーフォーム 7">
          <a:extLst>
            <a:ext uri="{FF2B5EF4-FFF2-40B4-BE49-F238E27FC236}">
              <a16:creationId xmlns:a16="http://schemas.microsoft.com/office/drawing/2014/main" id="{00000000-0008-0000-0800-000008000000}"/>
            </a:ext>
          </a:extLst>
        </xdr:cNvPr>
        <xdr:cNvSpPr/>
      </xdr:nvSpPr>
      <xdr:spPr>
        <a:xfrm>
          <a:off x="3971762" y="9640142"/>
          <a:ext cx="320038"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11906</xdr:colOff>
      <xdr:row>42</xdr:row>
      <xdr:rowOff>83343</xdr:rowOff>
    </xdr:from>
    <xdr:to>
      <xdr:col>12</xdr:col>
      <xdr:colOff>0</xdr:colOff>
      <xdr:row>42</xdr:row>
      <xdr:rowOff>89297</xdr:rowOff>
    </xdr:to>
    <xdr:sp macro="" textlink="">
      <xdr:nvSpPr>
        <xdr:cNvPr id="9" name="フリーフォーム 8">
          <a:extLst>
            <a:ext uri="{FF2B5EF4-FFF2-40B4-BE49-F238E27FC236}">
              <a16:creationId xmlns:a16="http://schemas.microsoft.com/office/drawing/2014/main" id="{00000000-0008-0000-0800-000009000000}"/>
            </a:ext>
          </a:extLst>
        </xdr:cNvPr>
        <xdr:cNvSpPr/>
      </xdr:nvSpPr>
      <xdr:spPr>
        <a:xfrm>
          <a:off x="1421606" y="9052083"/>
          <a:ext cx="1588294" cy="5954"/>
        </a:xfrm>
        <a:custGeom>
          <a:avLst/>
          <a:gdLst>
            <a:gd name="connsiteX0" fmla="*/ 0 w 1154906"/>
            <a:gd name="connsiteY0" fmla="*/ 0 h 5954"/>
            <a:gd name="connsiteX1" fmla="*/ 1154906 w 1154906"/>
            <a:gd name="connsiteY1" fmla="*/ 5954 h 5954"/>
          </a:gdLst>
          <a:ahLst/>
          <a:cxnLst>
            <a:cxn ang="0">
              <a:pos x="connsiteX0" y="connsiteY0"/>
            </a:cxn>
            <a:cxn ang="0">
              <a:pos x="connsiteX1" y="connsiteY1"/>
            </a:cxn>
          </a:cxnLst>
          <a:rect l="l" t="t" r="r" b="b"/>
          <a:pathLst>
            <a:path w="1154906" h="5954">
              <a:moveTo>
                <a:pt x="0" y="0"/>
              </a:moveTo>
              <a:lnTo>
                <a:pt x="1154906" y="5954"/>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5953</xdr:colOff>
      <xdr:row>42</xdr:row>
      <xdr:rowOff>89296</xdr:rowOff>
    </xdr:from>
    <xdr:to>
      <xdr:col>12</xdr:col>
      <xdr:colOff>0</xdr:colOff>
      <xdr:row>45</xdr:row>
      <xdr:rowOff>83344</xdr:rowOff>
    </xdr:to>
    <xdr:sp macro="" textlink="">
      <xdr:nvSpPr>
        <xdr:cNvPr id="10" name="フリーフォーム 9">
          <a:extLst>
            <a:ext uri="{FF2B5EF4-FFF2-40B4-BE49-F238E27FC236}">
              <a16:creationId xmlns:a16="http://schemas.microsoft.com/office/drawing/2014/main" id="{00000000-0008-0000-0800-00000A000000}"/>
            </a:ext>
          </a:extLst>
        </xdr:cNvPr>
        <xdr:cNvSpPr/>
      </xdr:nvSpPr>
      <xdr:spPr>
        <a:xfrm>
          <a:off x="1415653" y="9058036"/>
          <a:ext cx="1594247" cy="557928"/>
        </a:xfrm>
        <a:custGeom>
          <a:avLst/>
          <a:gdLst>
            <a:gd name="connsiteX0" fmla="*/ 0 w 1148953"/>
            <a:gd name="connsiteY0" fmla="*/ 0 h 398860"/>
            <a:gd name="connsiteX1" fmla="*/ 541734 w 1148953"/>
            <a:gd name="connsiteY1" fmla="*/ 0 h 398860"/>
            <a:gd name="connsiteX2" fmla="*/ 541734 w 1148953"/>
            <a:gd name="connsiteY2" fmla="*/ 398860 h 398860"/>
            <a:gd name="connsiteX3" fmla="*/ 1148953 w 1148953"/>
            <a:gd name="connsiteY3" fmla="*/ 398860 h 398860"/>
          </a:gdLst>
          <a:ahLst/>
          <a:cxnLst>
            <a:cxn ang="0">
              <a:pos x="connsiteX0" y="connsiteY0"/>
            </a:cxn>
            <a:cxn ang="0">
              <a:pos x="connsiteX1" y="connsiteY1"/>
            </a:cxn>
            <a:cxn ang="0">
              <a:pos x="connsiteX2" y="connsiteY2"/>
            </a:cxn>
            <a:cxn ang="0">
              <a:pos x="connsiteX3" y="connsiteY3"/>
            </a:cxn>
          </a:cxnLst>
          <a:rect l="l" t="t" r="r" b="b"/>
          <a:pathLst>
            <a:path w="1148953" h="398860">
              <a:moveTo>
                <a:pt x="0" y="0"/>
              </a:moveTo>
              <a:lnTo>
                <a:pt x="541734" y="0"/>
              </a:lnTo>
              <a:lnTo>
                <a:pt x="541734" y="398860"/>
              </a:lnTo>
              <a:lnTo>
                <a:pt x="1148953" y="39886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0</xdr:colOff>
      <xdr:row>62</xdr:row>
      <xdr:rowOff>107674</xdr:rowOff>
    </xdr:from>
    <xdr:to>
      <xdr:col>12</xdr:col>
      <xdr:colOff>0</xdr:colOff>
      <xdr:row>62</xdr:row>
      <xdr:rowOff>107674</xdr:rowOff>
    </xdr:to>
    <xdr:sp macro="" textlink="">
      <xdr:nvSpPr>
        <xdr:cNvPr id="11" name="フリーフォーム 10">
          <a:extLst>
            <a:ext uri="{FF2B5EF4-FFF2-40B4-BE49-F238E27FC236}">
              <a16:creationId xmlns:a16="http://schemas.microsoft.com/office/drawing/2014/main" id="{00000000-0008-0000-0800-00000B000000}"/>
            </a:ext>
          </a:extLst>
        </xdr:cNvPr>
        <xdr:cNvSpPr/>
      </xdr:nvSpPr>
      <xdr:spPr>
        <a:xfrm>
          <a:off x="2689860" y="12596854"/>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7327</xdr:colOff>
      <xdr:row>62</xdr:row>
      <xdr:rowOff>107674</xdr:rowOff>
    </xdr:from>
    <xdr:to>
      <xdr:col>12</xdr:col>
      <xdr:colOff>0</xdr:colOff>
      <xdr:row>65</xdr:row>
      <xdr:rowOff>99391</xdr:rowOff>
    </xdr:to>
    <xdr:sp macro="" textlink="">
      <xdr:nvSpPr>
        <xdr:cNvPr id="12" name="フリーフォーム 11">
          <a:extLst>
            <a:ext uri="{FF2B5EF4-FFF2-40B4-BE49-F238E27FC236}">
              <a16:creationId xmlns:a16="http://schemas.microsoft.com/office/drawing/2014/main" id="{00000000-0008-0000-0800-00000C000000}"/>
            </a:ext>
          </a:extLst>
        </xdr:cNvPr>
        <xdr:cNvSpPr/>
      </xdr:nvSpPr>
      <xdr:spPr>
        <a:xfrm>
          <a:off x="2697187" y="12596854"/>
          <a:ext cx="312713" cy="555597"/>
        </a:xfrm>
        <a:custGeom>
          <a:avLst/>
          <a:gdLst>
            <a:gd name="connsiteX0" fmla="*/ 0 w 273326"/>
            <a:gd name="connsiteY0" fmla="*/ 0 h 405848"/>
            <a:gd name="connsiteX1" fmla="*/ 107674 w 273326"/>
            <a:gd name="connsiteY1" fmla="*/ 0 h 405848"/>
            <a:gd name="connsiteX2" fmla="*/ 107674 w 273326"/>
            <a:gd name="connsiteY2" fmla="*/ 405848 h 405848"/>
            <a:gd name="connsiteX3" fmla="*/ 273326 w 273326"/>
            <a:gd name="connsiteY3" fmla="*/ 405848 h 405848"/>
            <a:gd name="connsiteX4" fmla="*/ 273326 w 273326"/>
            <a:gd name="connsiteY4" fmla="*/ 405848 h 405848"/>
            <a:gd name="connsiteX5" fmla="*/ 273326 w 273326"/>
            <a:gd name="connsiteY5" fmla="*/ 405848 h 4058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3326" h="405848">
              <a:moveTo>
                <a:pt x="0" y="0"/>
              </a:moveTo>
              <a:lnTo>
                <a:pt x="107674" y="0"/>
              </a:lnTo>
              <a:lnTo>
                <a:pt x="107674" y="405848"/>
              </a:lnTo>
              <a:lnTo>
                <a:pt x="273326" y="405848"/>
              </a:lnTo>
              <a:lnTo>
                <a:pt x="273326" y="405848"/>
              </a:lnTo>
              <a:lnTo>
                <a:pt x="273326" y="405848"/>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62</xdr:row>
      <xdr:rowOff>131884</xdr:rowOff>
    </xdr:from>
    <xdr:to>
      <xdr:col>16</xdr:col>
      <xdr:colOff>0</xdr:colOff>
      <xdr:row>62</xdr:row>
      <xdr:rowOff>131884</xdr:rowOff>
    </xdr:to>
    <xdr:sp macro="" textlink="">
      <xdr:nvSpPr>
        <xdr:cNvPr id="13" name="フリーフォーム 12">
          <a:extLst>
            <a:ext uri="{FF2B5EF4-FFF2-40B4-BE49-F238E27FC236}">
              <a16:creationId xmlns:a16="http://schemas.microsoft.com/office/drawing/2014/main" id="{00000000-0008-0000-0800-00000D000000}"/>
            </a:ext>
          </a:extLst>
        </xdr:cNvPr>
        <xdr:cNvSpPr/>
      </xdr:nvSpPr>
      <xdr:spPr>
        <a:xfrm>
          <a:off x="3970020" y="12621064"/>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9068</xdr:colOff>
      <xdr:row>65</xdr:row>
      <xdr:rowOff>114849</xdr:rowOff>
    </xdr:from>
    <xdr:to>
      <xdr:col>16</xdr:col>
      <xdr:colOff>9066</xdr:colOff>
      <xdr:row>65</xdr:row>
      <xdr:rowOff>114849</xdr:rowOff>
    </xdr:to>
    <xdr:sp macro="" textlink="">
      <xdr:nvSpPr>
        <xdr:cNvPr id="14" name="フリーフォーム 13">
          <a:extLst>
            <a:ext uri="{FF2B5EF4-FFF2-40B4-BE49-F238E27FC236}">
              <a16:creationId xmlns:a16="http://schemas.microsoft.com/office/drawing/2014/main" id="{00000000-0008-0000-0800-00000E000000}"/>
            </a:ext>
          </a:extLst>
        </xdr:cNvPr>
        <xdr:cNvSpPr/>
      </xdr:nvSpPr>
      <xdr:spPr>
        <a:xfrm>
          <a:off x="3979088" y="13167909"/>
          <a:ext cx="320038"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56</xdr:row>
      <xdr:rowOff>95249</xdr:rowOff>
    </xdr:from>
    <xdr:to>
      <xdr:col>16</xdr:col>
      <xdr:colOff>0</xdr:colOff>
      <xdr:row>56</xdr:row>
      <xdr:rowOff>95249</xdr:rowOff>
    </xdr:to>
    <xdr:sp macro="" textlink="">
      <xdr:nvSpPr>
        <xdr:cNvPr id="15" name="フリーフォーム 14">
          <a:extLst>
            <a:ext uri="{FF2B5EF4-FFF2-40B4-BE49-F238E27FC236}">
              <a16:creationId xmlns:a16="http://schemas.microsoft.com/office/drawing/2014/main" id="{00000000-0008-0000-0800-00000F000000}"/>
            </a:ext>
          </a:extLst>
        </xdr:cNvPr>
        <xdr:cNvSpPr/>
      </xdr:nvSpPr>
      <xdr:spPr>
        <a:xfrm>
          <a:off x="3970020" y="11456669"/>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1741</xdr:colOff>
      <xdr:row>59</xdr:row>
      <xdr:rowOff>122175</xdr:rowOff>
    </xdr:from>
    <xdr:to>
      <xdr:col>16</xdr:col>
      <xdr:colOff>1739</xdr:colOff>
      <xdr:row>59</xdr:row>
      <xdr:rowOff>122175</xdr:rowOff>
    </xdr:to>
    <xdr:sp macro="" textlink="">
      <xdr:nvSpPr>
        <xdr:cNvPr id="16" name="フリーフォーム 15">
          <a:extLst>
            <a:ext uri="{FF2B5EF4-FFF2-40B4-BE49-F238E27FC236}">
              <a16:creationId xmlns:a16="http://schemas.microsoft.com/office/drawing/2014/main" id="{00000000-0008-0000-0800-000010000000}"/>
            </a:ext>
          </a:extLst>
        </xdr:cNvPr>
        <xdr:cNvSpPr/>
      </xdr:nvSpPr>
      <xdr:spPr>
        <a:xfrm>
          <a:off x="3971761" y="12047475"/>
          <a:ext cx="320038"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11906</xdr:colOff>
      <xdr:row>56</xdr:row>
      <xdr:rowOff>83343</xdr:rowOff>
    </xdr:from>
    <xdr:to>
      <xdr:col>12</xdr:col>
      <xdr:colOff>0</xdr:colOff>
      <xdr:row>56</xdr:row>
      <xdr:rowOff>89297</xdr:rowOff>
    </xdr:to>
    <xdr:sp macro="" textlink="">
      <xdr:nvSpPr>
        <xdr:cNvPr id="17" name="フリーフォーム 16">
          <a:extLst>
            <a:ext uri="{FF2B5EF4-FFF2-40B4-BE49-F238E27FC236}">
              <a16:creationId xmlns:a16="http://schemas.microsoft.com/office/drawing/2014/main" id="{00000000-0008-0000-0800-000011000000}"/>
            </a:ext>
          </a:extLst>
        </xdr:cNvPr>
        <xdr:cNvSpPr/>
      </xdr:nvSpPr>
      <xdr:spPr>
        <a:xfrm>
          <a:off x="1421606" y="11444763"/>
          <a:ext cx="1588294" cy="5954"/>
        </a:xfrm>
        <a:custGeom>
          <a:avLst/>
          <a:gdLst>
            <a:gd name="connsiteX0" fmla="*/ 0 w 1154906"/>
            <a:gd name="connsiteY0" fmla="*/ 0 h 5954"/>
            <a:gd name="connsiteX1" fmla="*/ 1154906 w 1154906"/>
            <a:gd name="connsiteY1" fmla="*/ 5954 h 5954"/>
          </a:gdLst>
          <a:ahLst/>
          <a:cxnLst>
            <a:cxn ang="0">
              <a:pos x="connsiteX0" y="connsiteY0"/>
            </a:cxn>
            <a:cxn ang="0">
              <a:pos x="connsiteX1" y="connsiteY1"/>
            </a:cxn>
          </a:cxnLst>
          <a:rect l="l" t="t" r="r" b="b"/>
          <a:pathLst>
            <a:path w="1154906" h="5954">
              <a:moveTo>
                <a:pt x="0" y="0"/>
              </a:moveTo>
              <a:lnTo>
                <a:pt x="1154906" y="5954"/>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5953</xdr:colOff>
      <xdr:row>56</xdr:row>
      <xdr:rowOff>89296</xdr:rowOff>
    </xdr:from>
    <xdr:to>
      <xdr:col>12</xdr:col>
      <xdr:colOff>7327</xdr:colOff>
      <xdr:row>59</xdr:row>
      <xdr:rowOff>83344</xdr:rowOff>
    </xdr:to>
    <xdr:sp macro="" textlink="">
      <xdr:nvSpPr>
        <xdr:cNvPr id="18" name="フリーフォーム 17">
          <a:extLst>
            <a:ext uri="{FF2B5EF4-FFF2-40B4-BE49-F238E27FC236}">
              <a16:creationId xmlns:a16="http://schemas.microsoft.com/office/drawing/2014/main" id="{00000000-0008-0000-0800-000012000000}"/>
            </a:ext>
          </a:extLst>
        </xdr:cNvPr>
        <xdr:cNvSpPr/>
      </xdr:nvSpPr>
      <xdr:spPr>
        <a:xfrm>
          <a:off x="1415653" y="11450716"/>
          <a:ext cx="1601574" cy="557928"/>
        </a:xfrm>
        <a:custGeom>
          <a:avLst/>
          <a:gdLst>
            <a:gd name="connsiteX0" fmla="*/ 0 w 1148953"/>
            <a:gd name="connsiteY0" fmla="*/ 0 h 398860"/>
            <a:gd name="connsiteX1" fmla="*/ 541734 w 1148953"/>
            <a:gd name="connsiteY1" fmla="*/ 0 h 398860"/>
            <a:gd name="connsiteX2" fmla="*/ 541734 w 1148953"/>
            <a:gd name="connsiteY2" fmla="*/ 398860 h 398860"/>
            <a:gd name="connsiteX3" fmla="*/ 1148953 w 1148953"/>
            <a:gd name="connsiteY3" fmla="*/ 398860 h 398860"/>
          </a:gdLst>
          <a:ahLst/>
          <a:cxnLst>
            <a:cxn ang="0">
              <a:pos x="connsiteX0" y="connsiteY0"/>
            </a:cxn>
            <a:cxn ang="0">
              <a:pos x="connsiteX1" y="connsiteY1"/>
            </a:cxn>
            <a:cxn ang="0">
              <a:pos x="connsiteX2" y="connsiteY2"/>
            </a:cxn>
            <a:cxn ang="0">
              <a:pos x="connsiteX3" y="connsiteY3"/>
            </a:cxn>
          </a:cxnLst>
          <a:rect l="l" t="t" r="r" b="b"/>
          <a:pathLst>
            <a:path w="1148953" h="398860">
              <a:moveTo>
                <a:pt x="0" y="0"/>
              </a:moveTo>
              <a:lnTo>
                <a:pt x="541734" y="0"/>
              </a:lnTo>
              <a:lnTo>
                <a:pt x="541734" y="398860"/>
              </a:lnTo>
              <a:lnTo>
                <a:pt x="1148953" y="39886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9525</xdr:colOff>
      <xdr:row>67</xdr:row>
      <xdr:rowOff>8282</xdr:rowOff>
    </xdr:from>
    <xdr:to>
      <xdr:col>17</xdr:col>
      <xdr:colOff>149086</xdr:colOff>
      <xdr:row>68</xdr:row>
      <xdr:rowOff>2898</xdr:rowOff>
    </xdr:to>
    <xdr:sp macro="" textlink="">
      <xdr:nvSpPr>
        <xdr:cNvPr id="19" name="フリーフォーム 18">
          <a:extLst>
            <a:ext uri="{FF2B5EF4-FFF2-40B4-BE49-F238E27FC236}">
              <a16:creationId xmlns:a16="http://schemas.microsoft.com/office/drawing/2014/main" id="{00000000-0008-0000-0800-000013000000}"/>
            </a:ext>
          </a:extLst>
        </xdr:cNvPr>
        <xdr:cNvSpPr/>
      </xdr:nvSpPr>
      <xdr:spPr>
        <a:xfrm>
          <a:off x="779145" y="13343282"/>
          <a:ext cx="3980041" cy="230836"/>
        </a:xfrm>
        <a:custGeom>
          <a:avLst/>
          <a:gdLst>
            <a:gd name="connsiteX0" fmla="*/ 3114260 w 3114260"/>
            <a:gd name="connsiteY0" fmla="*/ 0 h 215348"/>
            <a:gd name="connsiteX1" fmla="*/ 3114260 w 3114260"/>
            <a:gd name="connsiteY1" fmla="*/ 107674 h 215348"/>
            <a:gd name="connsiteX2" fmla="*/ 0 w 3114260"/>
            <a:gd name="connsiteY2" fmla="*/ 99391 h 215348"/>
            <a:gd name="connsiteX3" fmla="*/ 8282 w 3114260"/>
            <a:gd name="connsiteY3" fmla="*/ 215348 h 215348"/>
          </a:gdLst>
          <a:ahLst/>
          <a:cxnLst>
            <a:cxn ang="0">
              <a:pos x="connsiteX0" y="connsiteY0"/>
            </a:cxn>
            <a:cxn ang="0">
              <a:pos x="connsiteX1" y="connsiteY1"/>
            </a:cxn>
            <a:cxn ang="0">
              <a:pos x="connsiteX2" y="connsiteY2"/>
            </a:cxn>
            <a:cxn ang="0">
              <a:pos x="connsiteX3" y="connsiteY3"/>
            </a:cxn>
          </a:cxnLst>
          <a:rect l="l" t="t" r="r" b="b"/>
          <a:pathLst>
            <a:path w="3114260" h="215348">
              <a:moveTo>
                <a:pt x="3114260" y="0"/>
              </a:moveTo>
              <a:lnTo>
                <a:pt x="3114260" y="107674"/>
              </a:lnTo>
              <a:lnTo>
                <a:pt x="0" y="99391"/>
              </a:lnTo>
              <a:lnTo>
                <a:pt x="8282" y="215348"/>
              </a:lnTo>
            </a:path>
          </a:pathLst>
        </a:custGeom>
        <a:noFill/>
        <a:ln w="28575">
          <a:solidFill>
            <a:srgbClr val="FF0000"/>
          </a:solidFill>
          <a:prstDash val="sysDash"/>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238125</xdr:colOff>
      <xdr:row>39</xdr:row>
      <xdr:rowOff>19050</xdr:rowOff>
    </xdr:from>
    <xdr:to>
      <xdr:col>19</xdr:col>
      <xdr:colOff>57150</xdr:colOff>
      <xdr:row>67</xdr:row>
      <xdr:rowOff>9525</xdr:rowOff>
    </xdr:to>
    <xdr:sp macro="" textlink="">
      <xdr:nvSpPr>
        <xdr:cNvPr id="44" name="正方形/長方形 43">
          <a:extLst>
            <a:ext uri="{FF2B5EF4-FFF2-40B4-BE49-F238E27FC236}">
              <a16:creationId xmlns:a16="http://schemas.microsoft.com/office/drawing/2014/main" id="{00000000-0008-0000-0800-00002C000000}"/>
            </a:ext>
          </a:extLst>
        </xdr:cNvPr>
        <xdr:cNvSpPr/>
      </xdr:nvSpPr>
      <xdr:spPr>
        <a:xfrm>
          <a:off x="4208145" y="8660130"/>
          <a:ext cx="1099185" cy="4684395"/>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indent="0" algn="l" defTabSz="914400" eaLnBrk="1" fontAlgn="auto" latinLnBrk="0" hangingPunct="1">
            <a:lnSpc>
              <a:spcPts val="1500"/>
            </a:lnSpc>
            <a:spcBef>
              <a:spcPts val="0"/>
            </a:spcBef>
            <a:spcAft>
              <a:spcPts val="0"/>
            </a:spcAft>
            <a:buClrTx/>
            <a:buSzTx/>
            <a:buFontTx/>
            <a:buNone/>
            <a:tabLst/>
          </a:pPr>
          <a:endParaRPr kumimoji="1" lang="ja-JP" altLang="en-US" sz="1100" b="1">
            <a:solidFill>
              <a:schemeClr val="tx1"/>
            </a:solidFill>
            <a:effectLst/>
            <a:latin typeface="+mn-ea"/>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xdr:col>
          <xdr:colOff>85725</xdr:colOff>
          <xdr:row>31</xdr:row>
          <xdr:rowOff>28575</xdr:rowOff>
        </xdr:from>
        <xdr:to>
          <xdr:col>3</xdr:col>
          <xdr:colOff>85725</xdr:colOff>
          <xdr:row>32</xdr:row>
          <xdr:rowOff>9525</xdr:rowOff>
        </xdr:to>
        <xdr:sp macro="" textlink="">
          <xdr:nvSpPr>
            <xdr:cNvPr id="117774" name="Option Button 14" hidden="1">
              <a:extLst>
                <a:ext uri="{63B3BB69-23CF-44E3-9099-C40C66FF867C}">
                  <a14:compatExt spid="_x0000_s117774"/>
                </a:ext>
                <a:ext uri="{FF2B5EF4-FFF2-40B4-BE49-F238E27FC236}">
                  <a16:creationId xmlns:a16="http://schemas.microsoft.com/office/drawing/2014/main" id="{00000000-0008-0000-0800-00000E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32</xdr:row>
          <xdr:rowOff>28575</xdr:rowOff>
        </xdr:from>
        <xdr:to>
          <xdr:col>3</xdr:col>
          <xdr:colOff>85725</xdr:colOff>
          <xdr:row>35</xdr:row>
          <xdr:rowOff>19050</xdr:rowOff>
        </xdr:to>
        <xdr:sp macro="" textlink="">
          <xdr:nvSpPr>
            <xdr:cNvPr id="117775" name="Option Button 15" hidden="1">
              <a:extLst>
                <a:ext uri="{63B3BB69-23CF-44E3-9099-C40C66FF867C}">
                  <a14:compatExt spid="_x0000_s117775"/>
                </a:ext>
                <a:ext uri="{FF2B5EF4-FFF2-40B4-BE49-F238E27FC236}">
                  <a16:creationId xmlns:a16="http://schemas.microsoft.com/office/drawing/2014/main" id="{00000000-0008-0000-0800-00000F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4</xdr:col>
      <xdr:colOff>1</xdr:colOff>
      <xdr:row>74</xdr:row>
      <xdr:rowOff>190499</xdr:rowOff>
    </xdr:from>
    <xdr:to>
      <xdr:col>7</xdr:col>
      <xdr:colOff>123826</xdr:colOff>
      <xdr:row>77</xdr:row>
      <xdr:rowOff>144779</xdr:rowOff>
    </xdr:to>
    <xdr:sp macro="" textlink="">
      <xdr:nvSpPr>
        <xdr:cNvPr id="22" name="角丸四角形吹き出し 21">
          <a:extLst>
            <a:ext uri="{FF2B5EF4-FFF2-40B4-BE49-F238E27FC236}">
              <a16:creationId xmlns:a16="http://schemas.microsoft.com/office/drawing/2014/main" id="{00000000-0008-0000-0800-000016000000}"/>
            </a:ext>
          </a:extLst>
        </xdr:cNvPr>
        <xdr:cNvSpPr/>
      </xdr:nvSpPr>
      <xdr:spPr>
        <a:xfrm>
          <a:off x="1085851" y="6800849"/>
          <a:ext cx="1905000" cy="668655"/>
        </a:xfrm>
        <a:prstGeom prst="wedgeRoundRectCallout">
          <a:avLst>
            <a:gd name="adj1" fmla="val -71548"/>
            <a:gd name="adj2" fmla="val 68699"/>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C</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列（</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登録番号</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_</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メニュー）は</a:t>
          </a:r>
          <a:endParaRPr kumimoji="1" lang="en-US" altLang="ja-JP" sz="900" b="1" baseline="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電力会社</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シートより購入先電力会社の「登録番号＋メニュー」をコピー＆ペーストして下さい。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xdr:from>
      <xdr:col>5</xdr:col>
      <xdr:colOff>390525</xdr:colOff>
      <xdr:row>30</xdr:row>
      <xdr:rowOff>72593</xdr:rowOff>
    </xdr:from>
    <xdr:to>
      <xdr:col>8</xdr:col>
      <xdr:colOff>165600</xdr:colOff>
      <xdr:row>30</xdr:row>
      <xdr:rowOff>199593</xdr:rowOff>
    </xdr:to>
    <xdr:sp macro="" textlink="">
      <xdr:nvSpPr>
        <xdr:cNvPr id="23" name="左矢印 22">
          <a:extLst>
            <a:ext uri="{FF2B5EF4-FFF2-40B4-BE49-F238E27FC236}">
              <a16:creationId xmlns:a16="http://schemas.microsoft.com/office/drawing/2014/main" id="{00000000-0008-0000-0800-000017000000}"/>
            </a:ext>
          </a:extLst>
        </xdr:cNvPr>
        <xdr:cNvSpPr/>
      </xdr:nvSpPr>
      <xdr:spPr>
        <a:xfrm>
          <a:off x="2133600" y="863168"/>
          <a:ext cx="1080000"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161924</xdr:colOff>
      <xdr:row>30</xdr:row>
      <xdr:rowOff>38100</xdr:rowOff>
    </xdr:from>
    <xdr:to>
      <xdr:col>16</xdr:col>
      <xdr:colOff>304799</xdr:colOff>
      <xdr:row>32</xdr:row>
      <xdr:rowOff>227398</xdr:rowOff>
    </xdr:to>
    <xdr:sp macro="" textlink="">
      <xdr:nvSpPr>
        <xdr:cNvPr id="25" name="角丸四角形吹き出し 24">
          <a:extLst>
            <a:ext uri="{FF2B5EF4-FFF2-40B4-BE49-F238E27FC236}">
              <a16:creationId xmlns:a16="http://schemas.microsoft.com/office/drawing/2014/main" id="{00000000-0008-0000-0800-000019000000}"/>
            </a:ext>
          </a:extLst>
        </xdr:cNvPr>
        <xdr:cNvSpPr/>
      </xdr:nvSpPr>
      <xdr:spPr>
        <a:xfrm>
          <a:off x="3209924" y="828675"/>
          <a:ext cx="3286125" cy="684598"/>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r>
            <a:rPr lang="ja-JP" altLang="ja-JP" sz="1100" b="0">
              <a:solidFill>
                <a:schemeClr val="tx1"/>
              </a:solidFill>
              <a:effectLst/>
              <a:latin typeface="+mn-lt"/>
              <a:ea typeface="+mn-ea"/>
              <a:cs typeface="+mn-cs"/>
            </a:rPr>
            <a:t>計画作成時に原単位目標を設定した場合は、</a:t>
          </a:r>
          <a:r>
            <a:rPr lang="ja-JP" altLang="en-US" sz="1100" b="0">
              <a:solidFill>
                <a:schemeClr val="tx1"/>
              </a:solidFill>
              <a:effectLst/>
              <a:latin typeface="+mn-lt"/>
              <a:ea typeface="+mn-ea"/>
              <a:cs typeface="+mn-cs"/>
            </a:rPr>
            <a:t>「設定あり」</a:t>
          </a:r>
          <a:r>
            <a:rPr lang="ja-JP" altLang="ja-JP" sz="1100" b="0">
              <a:solidFill>
                <a:schemeClr val="tx1"/>
              </a:solidFill>
              <a:effectLst/>
              <a:latin typeface="+mn-lt"/>
              <a:ea typeface="+mn-ea"/>
              <a:cs typeface="+mn-cs"/>
            </a:rPr>
            <a:t>を選択してください。（計画時に設定をしていない場合は「設定無し」を選択してください）。</a:t>
          </a:r>
          <a:endParaRPr lang="ja-JP" altLang="ja-JP" sz="1000">
            <a:solidFill>
              <a:schemeClr val="tx1"/>
            </a:solidFill>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104775</xdr:colOff>
      <xdr:row>8</xdr:row>
      <xdr:rowOff>38100</xdr:rowOff>
    </xdr:from>
    <xdr:to>
      <xdr:col>17</xdr:col>
      <xdr:colOff>20640</xdr:colOff>
      <xdr:row>28</xdr:row>
      <xdr:rowOff>113790</xdr:rowOff>
    </xdr:to>
    <xdr:pic>
      <xdr:nvPicPr>
        <xdr:cNvPr id="4" name="図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5674995" y="1760220"/>
          <a:ext cx="2270444" cy="4022850"/>
        </a:xfrm>
        <a:prstGeom prst="rect">
          <a:avLst/>
        </a:prstGeom>
        <a:ln w="12700" cmpd="sng">
          <a:solidFill>
            <a:schemeClr val="accent1"/>
          </a:solidFill>
        </a:ln>
      </xdr:spPr>
    </xdr:pic>
    <xdr:clientData/>
  </xdr:twoCellAnchor>
  <xdr:twoCellAnchor editAs="oneCell">
    <xdr:from>
      <xdr:col>17</xdr:col>
      <xdr:colOff>438150</xdr:colOff>
      <xdr:row>8</xdr:row>
      <xdr:rowOff>66675</xdr:rowOff>
    </xdr:from>
    <xdr:to>
      <xdr:col>20</xdr:col>
      <xdr:colOff>28258</xdr:colOff>
      <xdr:row>28</xdr:row>
      <xdr:rowOff>123318</xdr:rowOff>
    </xdr:to>
    <xdr:pic>
      <xdr:nvPicPr>
        <xdr:cNvPr id="5" name="図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8385810" y="1788795"/>
          <a:ext cx="2348549" cy="4003803"/>
        </a:xfrm>
        <a:prstGeom prst="rect">
          <a:avLst/>
        </a:prstGeom>
        <a:ln w="12700">
          <a:solidFill>
            <a:schemeClr val="accent1"/>
          </a:solidFill>
        </a:ln>
      </xdr:spPr>
    </xdr:pic>
    <xdr:clientData/>
  </xdr:twoCellAnchor>
  <xdr:twoCellAnchor editAs="oneCell">
    <xdr:from>
      <xdr:col>14</xdr:col>
      <xdr:colOff>107156</xdr:colOff>
      <xdr:row>33</xdr:row>
      <xdr:rowOff>178593</xdr:rowOff>
    </xdr:from>
    <xdr:to>
      <xdr:col>20</xdr:col>
      <xdr:colOff>452438</xdr:colOff>
      <xdr:row>55</xdr:row>
      <xdr:rowOff>61070</xdr:rowOff>
    </xdr:to>
    <xdr:pic>
      <xdr:nvPicPr>
        <xdr:cNvPr id="7" name="図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98506" y="7341393"/>
          <a:ext cx="6079332" cy="4368752"/>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8</xdr:col>
      <xdr:colOff>320936</xdr:colOff>
      <xdr:row>1</xdr:row>
      <xdr:rowOff>75815</xdr:rowOff>
    </xdr:from>
    <xdr:ext cx="8073389" cy="1221827"/>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4489524" y="311139"/>
          <a:ext cx="8073389" cy="1221827"/>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en-US" altLang="ja-JP" sz="1200" b="1">
              <a:solidFill>
                <a:schemeClr val="tx1"/>
              </a:solidFill>
              <a:effectLst/>
              <a:latin typeface="+mn-ea"/>
              <a:ea typeface="+mn-ea"/>
              <a:cs typeface="+mn-cs"/>
            </a:rPr>
            <a:t>【</a:t>
          </a:r>
          <a:r>
            <a:rPr lang="ja-JP" altLang="en-US" sz="1200" b="1">
              <a:solidFill>
                <a:schemeClr val="tx1"/>
              </a:solidFill>
              <a:effectLst/>
              <a:latin typeface="+mn-ea"/>
              <a:ea typeface="+mn-ea"/>
              <a:cs typeface="+mn-cs"/>
            </a:rPr>
            <a:t>注意</a:t>
          </a:r>
          <a:r>
            <a:rPr lang="en-US" altLang="ja-JP" sz="1200" b="1">
              <a:solidFill>
                <a:schemeClr val="tx1"/>
              </a:solidFill>
              <a:effectLst/>
              <a:latin typeface="+mn-ea"/>
              <a:ea typeface="+mn-ea"/>
              <a:cs typeface="+mn-cs"/>
            </a:rPr>
            <a:t>】</a:t>
          </a:r>
        </a:p>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i="0" u="none" strike="noStrike" baseline="0">
              <a:solidFill>
                <a:schemeClr val="tx1"/>
              </a:solidFill>
              <a:latin typeface="+mn-ea"/>
              <a:ea typeface="+mn-ea"/>
              <a:cs typeface="+mn-cs"/>
            </a:rPr>
            <a:t>このシートは、</a:t>
          </a:r>
          <a:r>
            <a:rPr lang="ja-JP" altLang="en-US" sz="1100" b="1" i="0" u="sng" strike="noStrike" baseline="0">
              <a:solidFill>
                <a:schemeClr val="tx1"/>
              </a:solidFill>
              <a:latin typeface="+mn-ea"/>
              <a:ea typeface="+mn-ea"/>
              <a:cs typeface="+mn-cs"/>
            </a:rPr>
            <a:t>自ら生成した熱、電気等をエネルギー管理権限の異なる他人へ供給した場合のみ入力</a:t>
          </a:r>
          <a:r>
            <a:rPr lang="ja-JP" altLang="en-US" sz="1100" b="1" i="0" u="none" strike="noStrike" baseline="0">
              <a:solidFill>
                <a:schemeClr val="tx1"/>
              </a:solidFill>
              <a:latin typeface="+mn-ea"/>
              <a:ea typeface="+mn-ea"/>
              <a:cs typeface="+mn-cs"/>
            </a:rPr>
            <a:t>してください。</a:t>
          </a:r>
          <a:endParaRPr lang="en-US" altLang="ja-JP" sz="1100" b="1" i="0" u="none" strike="noStrike" baseline="0">
            <a:solidFill>
              <a:schemeClr val="tx1"/>
            </a:solidFill>
            <a:latin typeface="+mn-ea"/>
            <a:ea typeface="+mn-ea"/>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kumimoji="0" lang="en-US" altLang="ja-JP" sz="1200" b="1" i="0" u="none" strike="noStrike" baseline="0">
              <a:solidFill>
                <a:schemeClr val="tx1"/>
              </a:solidFill>
              <a:effectLst/>
              <a:latin typeface="+mn-ea"/>
              <a:ea typeface="+mn-ea"/>
              <a:cs typeface="+mn-cs"/>
            </a:rPr>
            <a:t>【</a:t>
          </a:r>
          <a:r>
            <a:rPr kumimoji="0" lang="ja-JP" altLang="en-US" sz="1200" b="1" i="0" u="none" strike="noStrike" baseline="0">
              <a:solidFill>
                <a:schemeClr val="tx1"/>
              </a:solidFill>
              <a:effectLst/>
              <a:latin typeface="+mn-ea"/>
              <a:ea typeface="+mn-ea"/>
              <a:cs typeface="+mn-cs"/>
            </a:rPr>
            <a:t>入力方法</a:t>
          </a:r>
          <a:r>
            <a:rPr kumimoji="0" lang="en-US" altLang="ja-JP" sz="1200" b="1" i="0" u="none" strike="noStrike" baseline="0">
              <a:solidFill>
                <a:schemeClr val="tx1"/>
              </a:solidFill>
              <a:effectLst/>
              <a:latin typeface="+mn-ea"/>
              <a:ea typeface="+mn-ea"/>
              <a:cs typeface="+mn-cs"/>
            </a:rPr>
            <a:t>】</a:t>
          </a:r>
        </a:p>
        <a:p>
          <a:pPr eaLnBrk="1" fontAlgn="auto" latinLnBrk="0" hangingPunct="1"/>
          <a:r>
            <a:rPr lang="ja-JP" altLang="ja-JP" sz="1100" b="1" i="0" baseline="0">
              <a:solidFill>
                <a:schemeClr val="tx1"/>
              </a:solidFill>
              <a:effectLst/>
              <a:latin typeface="+mn-ea"/>
              <a:ea typeface="+mn-ea"/>
              <a:cs typeface="+mn-cs"/>
            </a:rPr>
            <a:t>前年度に自ら生成した「熱」または「電気」をエネルギー管理権限の異なる他人へ供給した際の当該</a:t>
          </a:r>
          <a:r>
            <a:rPr lang="ja-JP" altLang="ja-JP" sz="1100" b="1" i="0" u="sng" baseline="0">
              <a:solidFill>
                <a:schemeClr val="tx1"/>
              </a:solidFill>
              <a:effectLst/>
              <a:latin typeface="+mn-ea"/>
              <a:ea typeface="+mn-ea"/>
              <a:cs typeface="+mn-cs"/>
            </a:rPr>
            <a:t>供給量にかかる原燃料</a:t>
          </a:r>
          <a:r>
            <a:rPr lang="ja-JP" altLang="en-US" sz="1100" b="1" i="0" u="sng" baseline="0">
              <a:solidFill>
                <a:schemeClr val="tx1"/>
              </a:solidFill>
              <a:effectLst/>
              <a:latin typeface="+mn-ea"/>
              <a:ea typeface="+mn-ea"/>
              <a:cs typeface="+mn-cs"/>
            </a:rPr>
            <a:t>の</a:t>
          </a:r>
          <a:r>
            <a:rPr lang="ja-JP" altLang="ja-JP" sz="1100" b="1" i="0" u="sng" baseline="0">
              <a:solidFill>
                <a:schemeClr val="tx1"/>
              </a:solidFill>
              <a:effectLst/>
              <a:latin typeface="+mn-ea"/>
              <a:ea typeface="+mn-ea"/>
              <a:cs typeface="+mn-cs"/>
            </a:rPr>
            <a:t>量</a:t>
          </a:r>
          <a:r>
            <a:rPr lang="ja-JP" altLang="ja-JP" sz="1100" b="1" i="0" baseline="0">
              <a:solidFill>
                <a:schemeClr val="tx1"/>
              </a:solidFill>
              <a:effectLst/>
              <a:latin typeface="+mn-ea"/>
              <a:ea typeface="+mn-ea"/>
              <a:cs typeface="+mn-cs"/>
            </a:rPr>
            <a:t>を記入</a:t>
          </a:r>
          <a:r>
            <a:rPr lang="ja-JP" altLang="en-US" sz="1100" b="1" i="0" baseline="0">
              <a:solidFill>
                <a:schemeClr val="tx1"/>
              </a:solidFill>
              <a:effectLst/>
              <a:latin typeface="+mn-ea"/>
              <a:ea typeface="+mn-ea"/>
              <a:cs typeface="+mn-cs"/>
            </a:rPr>
            <a:t>してください。</a:t>
          </a:r>
          <a:endParaRPr lang="ja-JP" altLang="ja-JP" sz="1100" b="1">
            <a:solidFill>
              <a:schemeClr val="tx1"/>
            </a:solidFill>
            <a:effectLst/>
            <a:latin typeface="+mn-ea"/>
            <a:ea typeface="+mn-ea"/>
          </a:endParaRPr>
        </a:p>
        <a:p>
          <a:r>
            <a:rPr lang="en-US" altLang="ja-JP" sz="1050" b="0" i="0" baseline="0">
              <a:solidFill>
                <a:schemeClr val="tx1"/>
              </a:solidFill>
              <a:effectLst/>
              <a:latin typeface="+mn-ea"/>
              <a:ea typeface="+mn-ea"/>
              <a:cs typeface="+mn-cs"/>
            </a:rPr>
            <a:t>※</a:t>
          </a:r>
          <a:r>
            <a:rPr lang="ja-JP" altLang="ja-JP" sz="1050" b="0" i="0" baseline="0">
              <a:solidFill>
                <a:schemeClr val="tx1"/>
              </a:solidFill>
              <a:effectLst/>
              <a:latin typeface="+mn-ea"/>
              <a:ea typeface="+mn-ea"/>
              <a:cs typeface="+mn-cs"/>
            </a:rPr>
            <a:t>自家発電した電気を外部に供給した場合は、「外部供給した電力量」を「発電に使用した燃料の量」に換算して各燃料の欄に入力</a:t>
          </a:r>
          <a:endParaRPr lang="ja-JP" altLang="ja-JP" sz="1050">
            <a:solidFill>
              <a:schemeClr val="tx1"/>
            </a:solidFill>
            <a:effectLst/>
            <a:latin typeface="+mn-ea"/>
            <a:ea typeface="+mn-ea"/>
          </a:endParaRPr>
        </a:p>
      </xdr:txBody>
    </xdr:sp>
    <xdr:clientData/>
  </xdr:oneCellAnchor>
  <xdr:twoCellAnchor>
    <xdr:from>
      <xdr:col>2</xdr:col>
      <xdr:colOff>98612</xdr:colOff>
      <xdr:row>111</xdr:row>
      <xdr:rowOff>125505</xdr:rowOff>
    </xdr:from>
    <xdr:to>
      <xdr:col>6</xdr:col>
      <xdr:colOff>439271</xdr:colOff>
      <xdr:row>114</xdr:row>
      <xdr:rowOff>152400</xdr:rowOff>
    </xdr:to>
    <xdr:sp macro="" textlink="">
      <xdr:nvSpPr>
        <xdr:cNvPr id="3" name="角丸四角形吹き出し 2">
          <a:extLst>
            <a:ext uri="{FF2B5EF4-FFF2-40B4-BE49-F238E27FC236}">
              <a16:creationId xmlns:a16="http://schemas.microsoft.com/office/drawing/2014/main" id="{00000000-0008-0000-0A00-000003000000}"/>
            </a:ext>
          </a:extLst>
        </xdr:cNvPr>
        <xdr:cNvSpPr/>
      </xdr:nvSpPr>
      <xdr:spPr>
        <a:xfrm>
          <a:off x="600636" y="17705293"/>
          <a:ext cx="2698376" cy="537883"/>
        </a:xfrm>
        <a:prstGeom prst="wedgeRoundRectCallout">
          <a:avLst>
            <a:gd name="adj1" fmla="val -57558"/>
            <a:gd name="adj2" fmla="val -64881"/>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5</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社より多い場合、「電力会社」シートに登録されていない事業者の場合は、</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75</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110</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行目を再表示してください。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32</xdr:row>
          <xdr:rowOff>85725</xdr:rowOff>
        </xdr:from>
        <xdr:to>
          <xdr:col>0</xdr:col>
          <xdr:colOff>371475</xdr:colOff>
          <xdr:row>32</xdr:row>
          <xdr:rowOff>295275</xdr:rowOff>
        </xdr:to>
        <xdr:sp macro="" textlink="">
          <xdr:nvSpPr>
            <xdr:cNvPr id="54273" name="Check Box 1" hidden="1">
              <a:extLst>
                <a:ext uri="{63B3BB69-23CF-44E3-9099-C40C66FF867C}">
                  <a14:compatExt spid="_x0000_s54273"/>
                </a:ext>
                <a:ext uri="{FF2B5EF4-FFF2-40B4-BE49-F238E27FC236}">
                  <a16:creationId xmlns:a16="http://schemas.microsoft.com/office/drawing/2014/main" id="{00000000-0008-0000-3B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114300</xdr:rowOff>
        </xdr:from>
        <xdr:to>
          <xdr:col>0</xdr:col>
          <xdr:colOff>342900</xdr:colOff>
          <xdr:row>30</xdr:row>
          <xdr:rowOff>295275</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3B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34</xdr:row>
          <xdr:rowOff>76200</xdr:rowOff>
        </xdr:from>
        <xdr:to>
          <xdr:col>0</xdr:col>
          <xdr:colOff>371475</xdr:colOff>
          <xdr:row>34</xdr:row>
          <xdr:rowOff>276225</xdr:rowOff>
        </xdr:to>
        <xdr:sp macro="" textlink="">
          <xdr:nvSpPr>
            <xdr:cNvPr id="54275" name="Check Box 3" hidden="1">
              <a:extLst>
                <a:ext uri="{63B3BB69-23CF-44E3-9099-C40C66FF867C}">
                  <a14:compatExt spid="_x0000_s54275"/>
                </a:ext>
                <a:ext uri="{FF2B5EF4-FFF2-40B4-BE49-F238E27FC236}">
                  <a16:creationId xmlns:a16="http://schemas.microsoft.com/office/drawing/2014/main" id="{00000000-0008-0000-3B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18</xdr:row>
          <xdr:rowOff>66675</xdr:rowOff>
        </xdr:from>
        <xdr:to>
          <xdr:col>4</xdr:col>
          <xdr:colOff>19050</xdr:colOff>
          <xdr:row>18</xdr:row>
          <xdr:rowOff>295275</xdr:rowOff>
        </xdr:to>
        <xdr:sp macro="" textlink="">
          <xdr:nvSpPr>
            <xdr:cNvPr id="54276" name="Check Box 4" hidden="1">
              <a:extLst>
                <a:ext uri="{63B3BB69-23CF-44E3-9099-C40C66FF867C}">
                  <a14:compatExt spid="_x0000_s54276"/>
                </a:ext>
                <a:ext uri="{FF2B5EF4-FFF2-40B4-BE49-F238E27FC236}">
                  <a16:creationId xmlns:a16="http://schemas.microsoft.com/office/drawing/2014/main" id="{00000000-0008-0000-3B00-00000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19</xdr:row>
          <xdr:rowOff>47625</xdr:rowOff>
        </xdr:from>
        <xdr:to>
          <xdr:col>4</xdr:col>
          <xdr:colOff>38100</xdr:colOff>
          <xdr:row>19</xdr:row>
          <xdr:rowOff>314325</xdr:rowOff>
        </xdr:to>
        <xdr:sp macro="" textlink="">
          <xdr:nvSpPr>
            <xdr:cNvPr id="54277" name="Check Box 5" hidden="1">
              <a:extLst>
                <a:ext uri="{63B3BB69-23CF-44E3-9099-C40C66FF867C}">
                  <a14:compatExt spid="_x0000_s54277"/>
                </a:ext>
                <a:ext uri="{FF2B5EF4-FFF2-40B4-BE49-F238E27FC236}">
                  <a16:creationId xmlns:a16="http://schemas.microsoft.com/office/drawing/2014/main" id="{00000000-0008-0000-3B00-00000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20</xdr:row>
          <xdr:rowOff>38100</xdr:rowOff>
        </xdr:from>
        <xdr:to>
          <xdr:col>4</xdr:col>
          <xdr:colOff>38100</xdr:colOff>
          <xdr:row>20</xdr:row>
          <xdr:rowOff>314325</xdr:rowOff>
        </xdr:to>
        <xdr:sp macro="" textlink="">
          <xdr:nvSpPr>
            <xdr:cNvPr id="54278" name="Check Box 6" hidden="1">
              <a:extLst>
                <a:ext uri="{63B3BB69-23CF-44E3-9099-C40C66FF867C}">
                  <a14:compatExt spid="_x0000_s54278"/>
                </a:ext>
                <a:ext uri="{FF2B5EF4-FFF2-40B4-BE49-F238E27FC236}">
                  <a16:creationId xmlns:a16="http://schemas.microsoft.com/office/drawing/2014/main" id="{00000000-0008-0000-3B00-00000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21</xdr:row>
          <xdr:rowOff>47625</xdr:rowOff>
        </xdr:from>
        <xdr:to>
          <xdr:col>10</xdr:col>
          <xdr:colOff>28575</xdr:colOff>
          <xdr:row>21</xdr:row>
          <xdr:rowOff>342900</xdr:rowOff>
        </xdr:to>
        <xdr:sp macro="" textlink="">
          <xdr:nvSpPr>
            <xdr:cNvPr id="54279" name="Check Box 7" hidden="1">
              <a:extLst>
                <a:ext uri="{63B3BB69-23CF-44E3-9099-C40C66FF867C}">
                  <a14:compatExt spid="_x0000_s54279"/>
                </a:ext>
                <a:ext uri="{FF2B5EF4-FFF2-40B4-BE49-F238E27FC236}">
                  <a16:creationId xmlns:a16="http://schemas.microsoft.com/office/drawing/2014/main" id="{00000000-0008-0000-3B00-00000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21</xdr:row>
          <xdr:rowOff>57150</xdr:rowOff>
        </xdr:from>
        <xdr:to>
          <xdr:col>12</xdr:col>
          <xdr:colOff>9525</xdr:colOff>
          <xdr:row>21</xdr:row>
          <xdr:rowOff>342900</xdr:rowOff>
        </xdr:to>
        <xdr:sp macro="" textlink="">
          <xdr:nvSpPr>
            <xdr:cNvPr id="54281" name="Check Box 9" hidden="1">
              <a:extLst>
                <a:ext uri="{63B3BB69-23CF-44E3-9099-C40C66FF867C}">
                  <a14:compatExt spid="_x0000_s54281"/>
                </a:ext>
                <a:ext uri="{FF2B5EF4-FFF2-40B4-BE49-F238E27FC236}">
                  <a16:creationId xmlns:a16="http://schemas.microsoft.com/office/drawing/2014/main" id="{00000000-0008-0000-3B00-00000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FFFF" mc:Ignorable="a14" a14:legacySpreadsheetColorIndex="9"/>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xdr:row>
          <xdr:rowOff>47625</xdr:rowOff>
        </xdr:from>
        <xdr:to>
          <xdr:col>4</xdr:col>
          <xdr:colOff>0</xdr:colOff>
          <xdr:row>21</xdr:row>
          <xdr:rowOff>295275</xdr:rowOff>
        </xdr:to>
        <xdr:sp macro="" textlink="">
          <xdr:nvSpPr>
            <xdr:cNvPr id="54282" name="Check Box 10" hidden="1">
              <a:extLst>
                <a:ext uri="{63B3BB69-23CF-44E3-9099-C40C66FF867C}">
                  <a14:compatExt spid="_x0000_s54282"/>
                </a:ext>
                <a:ext uri="{FF2B5EF4-FFF2-40B4-BE49-F238E27FC236}">
                  <a16:creationId xmlns:a16="http://schemas.microsoft.com/office/drawing/2014/main" id="{00000000-0008-0000-3B00-00000AD40000}"/>
                </a:ext>
              </a:extLst>
            </xdr:cNvPr>
            <xdr:cNvSpPr/>
          </xdr:nvSpPr>
          <xdr:spPr bwMode="auto">
            <a:xfrm>
              <a:off x="0" y="0"/>
              <a:ext cx="0" cy="0"/>
            </a:xfrm>
            <a:prstGeom prst="rect">
              <a:avLst/>
            </a:prstGeom>
            <a:noFill/>
            <a:ln w="9525">
              <a:solidFill>
                <a:srgbClr val="FFFFFF" mc:Ignorable="a14" a14:legacySpreadsheetColorIndex="9"/>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xdr:twoCellAnchor>
    <xdr:from>
      <xdr:col>43</xdr:col>
      <xdr:colOff>72571</xdr:colOff>
      <xdr:row>4</xdr:row>
      <xdr:rowOff>90714</xdr:rowOff>
    </xdr:from>
    <xdr:to>
      <xdr:col>43</xdr:col>
      <xdr:colOff>272143</xdr:colOff>
      <xdr:row>4</xdr:row>
      <xdr:rowOff>217714</xdr:rowOff>
    </xdr:to>
    <xdr:sp macro="" textlink="">
      <xdr:nvSpPr>
        <xdr:cNvPr id="2" name="左矢印 1">
          <a:extLst>
            <a:ext uri="{FF2B5EF4-FFF2-40B4-BE49-F238E27FC236}">
              <a16:creationId xmlns:a16="http://schemas.microsoft.com/office/drawing/2014/main" id="{00000000-0008-0000-3B00-000002000000}"/>
            </a:ext>
          </a:extLst>
        </xdr:cNvPr>
        <xdr:cNvSpPr/>
      </xdr:nvSpPr>
      <xdr:spPr>
        <a:xfrm>
          <a:off x="6776357" y="943428"/>
          <a:ext cx="199572"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272143</xdr:colOff>
      <xdr:row>3</xdr:row>
      <xdr:rowOff>154213</xdr:rowOff>
    </xdr:from>
    <xdr:to>
      <xdr:col>46</xdr:col>
      <xdr:colOff>460903</xdr:colOff>
      <xdr:row>5</xdr:row>
      <xdr:rowOff>163285</xdr:rowOff>
    </xdr:to>
    <xdr:sp macro="" textlink="">
      <xdr:nvSpPr>
        <xdr:cNvPr id="13" name="角丸四角形吹き出し 12">
          <a:extLst>
            <a:ext uri="{FF2B5EF4-FFF2-40B4-BE49-F238E27FC236}">
              <a16:creationId xmlns:a16="http://schemas.microsoft.com/office/drawing/2014/main" id="{00000000-0008-0000-3B00-00000D000000}"/>
            </a:ext>
          </a:extLst>
        </xdr:cNvPr>
        <xdr:cNvSpPr/>
      </xdr:nvSpPr>
      <xdr:spPr>
        <a:xfrm>
          <a:off x="6975929" y="780142"/>
          <a:ext cx="2202617" cy="471714"/>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提出日を必ずご記入ください。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電子申請する日付を記入してください。</a:t>
          </a:r>
          <a:endParaRPr kumimoji="1" lang="en-US" altLang="ja-JP" sz="1000" b="0">
            <a:solidFill>
              <a:schemeClr val="tx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2" name="Line 1">
          <a:extLst>
            <a:ext uri="{FF2B5EF4-FFF2-40B4-BE49-F238E27FC236}">
              <a16:creationId xmlns:a16="http://schemas.microsoft.com/office/drawing/2014/main" id="{00000000-0008-0000-3C00-000002000000}"/>
            </a:ext>
          </a:extLst>
        </xdr:cNvPr>
        <xdr:cNvSpPr>
          <a:spLocks noChangeShapeType="1"/>
        </xdr:cNvSpPr>
      </xdr:nvSpPr>
      <xdr:spPr bwMode="auto">
        <a:xfrm flipV="1">
          <a:off x="0" y="79248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3" name="Line 2">
          <a:extLst>
            <a:ext uri="{FF2B5EF4-FFF2-40B4-BE49-F238E27FC236}">
              <a16:creationId xmlns:a16="http://schemas.microsoft.com/office/drawing/2014/main" id="{00000000-0008-0000-3C00-000003000000}"/>
            </a:ext>
          </a:extLst>
        </xdr:cNvPr>
        <xdr:cNvSpPr>
          <a:spLocks noChangeShapeType="1"/>
        </xdr:cNvSpPr>
      </xdr:nvSpPr>
      <xdr:spPr bwMode="auto">
        <a:xfrm flipV="1">
          <a:off x="0" y="79248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104775</xdr:rowOff>
        </xdr:from>
        <xdr:to>
          <xdr:col>4</xdr:col>
          <xdr:colOff>542925</xdr:colOff>
          <xdr:row>15</xdr:row>
          <xdr:rowOff>438150</xdr:rowOff>
        </xdr:to>
        <xdr:sp macro="" textlink="">
          <xdr:nvSpPr>
            <xdr:cNvPr id="83969" name="Option Button 1" hidden="1">
              <a:extLst>
                <a:ext uri="{63B3BB69-23CF-44E3-9099-C40C66FF867C}">
                  <a14:compatExt spid="_x0000_s83969"/>
                </a:ext>
                <a:ext uri="{FF2B5EF4-FFF2-40B4-BE49-F238E27FC236}">
                  <a16:creationId xmlns:a16="http://schemas.microsoft.com/office/drawing/2014/main" id="{00000000-0008-0000-3C00-00000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15</xdr:row>
          <xdr:rowOff>104775</xdr:rowOff>
        </xdr:from>
        <xdr:to>
          <xdr:col>6</xdr:col>
          <xdr:colOff>523875</xdr:colOff>
          <xdr:row>15</xdr:row>
          <xdr:rowOff>438150</xdr:rowOff>
        </xdr:to>
        <xdr:sp macro="" textlink="">
          <xdr:nvSpPr>
            <xdr:cNvPr id="83970" name="Option Button 2" hidden="1">
              <a:extLst>
                <a:ext uri="{63B3BB69-23CF-44E3-9099-C40C66FF867C}">
                  <a14:compatExt spid="_x0000_s83970"/>
                </a:ext>
                <a:ext uri="{FF2B5EF4-FFF2-40B4-BE49-F238E27FC236}">
                  <a16:creationId xmlns:a16="http://schemas.microsoft.com/office/drawing/2014/main" id="{00000000-0008-0000-3C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695325</xdr:colOff>
          <xdr:row>15</xdr:row>
          <xdr:rowOff>104775</xdr:rowOff>
        </xdr:from>
        <xdr:to>
          <xdr:col>9</xdr:col>
          <xdr:colOff>57150</xdr:colOff>
          <xdr:row>15</xdr:row>
          <xdr:rowOff>409575</xdr:rowOff>
        </xdr:to>
        <xdr:sp macro="" textlink="">
          <xdr:nvSpPr>
            <xdr:cNvPr id="83971" name="Option Button 3" hidden="1">
              <a:extLst>
                <a:ext uri="{63B3BB69-23CF-44E3-9099-C40C66FF867C}">
                  <a14:compatExt spid="_x0000_s83971"/>
                </a:ext>
                <a:ext uri="{FF2B5EF4-FFF2-40B4-BE49-F238E27FC236}">
                  <a16:creationId xmlns:a16="http://schemas.microsoft.com/office/drawing/2014/main" id="{00000000-0008-0000-3C00-00000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16</xdr:row>
          <xdr:rowOff>28575</xdr:rowOff>
        </xdr:from>
        <xdr:to>
          <xdr:col>7</xdr:col>
          <xdr:colOff>19050</xdr:colOff>
          <xdr:row>16</xdr:row>
          <xdr:rowOff>285750</xdr:rowOff>
        </xdr:to>
        <xdr:sp macro="" textlink="">
          <xdr:nvSpPr>
            <xdr:cNvPr id="83972" name="Option Button 4" hidden="1">
              <a:extLst>
                <a:ext uri="{63B3BB69-23CF-44E3-9099-C40C66FF867C}">
                  <a14:compatExt spid="_x0000_s83972"/>
                </a:ext>
                <a:ext uri="{FF2B5EF4-FFF2-40B4-BE49-F238E27FC236}">
                  <a16:creationId xmlns:a16="http://schemas.microsoft.com/office/drawing/2014/main" id="{00000000-0008-0000-3C00-00000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666750</xdr:colOff>
          <xdr:row>16</xdr:row>
          <xdr:rowOff>28575</xdr:rowOff>
        </xdr:from>
        <xdr:to>
          <xdr:col>9</xdr:col>
          <xdr:colOff>171450</xdr:colOff>
          <xdr:row>16</xdr:row>
          <xdr:rowOff>276225</xdr:rowOff>
        </xdr:to>
        <xdr:sp macro="" textlink="">
          <xdr:nvSpPr>
            <xdr:cNvPr id="83973" name="Option Button 5" hidden="1">
              <a:extLst>
                <a:ext uri="{63B3BB69-23CF-44E3-9099-C40C66FF867C}">
                  <a14:compatExt spid="_x0000_s83973"/>
                </a:ext>
                <a:ext uri="{FF2B5EF4-FFF2-40B4-BE49-F238E27FC236}">
                  <a16:creationId xmlns:a16="http://schemas.microsoft.com/office/drawing/2014/main" id="{00000000-0008-0000-3C00-00000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381000</xdr:colOff>
          <xdr:row>15</xdr:row>
          <xdr:rowOff>457200</xdr:rowOff>
        </xdr:from>
        <xdr:to>
          <xdr:col>10</xdr:col>
          <xdr:colOff>19050</xdr:colOff>
          <xdr:row>17</xdr:row>
          <xdr:rowOff>0</xdr:rowOff>
        </xdr:to>
        <xdr:sp macro="" textlink="">
          <xdr:nvSpPr>
            <xdr:cNvPr id="83974" name="Group Box 6" hidden="1">
              <a:extLst>
                <a:ext uri="{63B3BB69-23CF-44E3-9099-C40C66FF867C}">
                  <a14:compatExt spid="_x0000_s83974"/>
                </a:ext>
                <a:ext uri="{FF2B5EF4-FFF2-40B4-BE49-F238E27FC236}">
                  <a16:creationId xmlns:a16="http://schemas.microsoft.com/office/drawing/2014/main" id="{00000000-0008-0000-3C00-00000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32</xdr:row>
          <xdr:rowOff>47625</xdr:rowOff>
        </xdr:from>
        <xdr:to>
          <xdr:col>11</xdr:col>
          <xdr:colOff>0</xdr:colOff>
          <xdr:row>32</xdr:row>
          <xdr:rowOff>466725</xdr:rowOff>
        </xdr:to>
        <xdr:sp macro="" textlink="">
          <xdr:nvSpPr>
            <xdr:cNvPr id="83975" name="Group Box 7" hidden="1">
              <a:extLst>
                <a:ext uri="{63B3BB69-23CF-44E3-9099-C40C66FF867C}">
                  <a14:compatExt spid="_x0000_s83975"/>
                </a:ext>
                <a:ext uri="{FF2B5EF4-FFF2-40B4-BE49-F238E27FC236}">
                  <a16:creationId xmlns:a16="http://schemas.microsoft.com/office/drawing/2014/main" id="{00000000-0008-0000-3C00-00000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32</xdr:row>
          <xdr:rowOff>104775</xdr:rowOff>
        </xdr:from>
        <xdr:to>
          <xdr:col>4</xdr:col>
          <xdr:colOff>533400</xdr:colOff>
          <xdr:row>32</xdr:row>
          <xdr:rowOff>438150</xdr:rowOff>
        </xdr:to>
        <xdr:sp macro="" textlink="">
          <xdr:nvSpPr>
            <xdr:cNvPr id="83976" name="Option Button 8" hidden="1">
              <a:extLst>
                <a:ext uri="{63B3BB69-23CF-44E3-9099-C40C66FF867C}">
                  <a14:compatExt spid="_x0000_s83976"/>
                </a:ext>
                <a:ext uri="{FF2B5EF4-FFF2-40B4-BE49-F238E27FC236}">
                  <a16:creationId xmlns:a16="http://schemas.microsoft.com/office/drawing/2014/main" id="{00000000-0008-0000-3C00-000008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32</xdr:row>
          <xdr:rowOff>104775</xdr:rowOff>
        </xdr:from>
        <xdr:to>
          <xdr:col>6</xdr:col>
          <xdr:colOff>514350</xdr:colOff>
          <xdr:row>32</xdr:row>
          <xdr:rowOff>419100</xdr:rowOff>
        </xdr:to>
        <xdr:sp macro="" textlink="">
          <xdr:nvSpPr>
            <xdr:cNvPr id="83977" name="Option Button 9" hidden="1">
              <a:extLst>
                <a:ext uri="{63B3BB69-23CF-44E3-9099-C40C66FF867C}">
                  <a14:compatExt spid="_x0000_s83977"/>
                </a:ext>
                <a:ext uri="{FF2B5EF4-FFF2-40B4-BE49-F238E27FC236}">
                  <a16:creationId xmlns:a16="http://schemas.microsoft.com/office/drawing/2014/main" id="{00000000-0008-0000-3C00-00000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752475</xdr:colOff>
          <xdr:row>32</xdr:row>
          <xdr:rowOff>104775</xdr:rowOff>
        </xdr:from>
        <xdr:to>
          <xdr:col>9</xdr:col>
          <xdr:colOff>114300</xdr:colOff>
          <xdr:row>32</xdr:row>
          <xdr:rowOff>409575</xdr:rowOff>
        </xdr:to>
        <xdr:sp macro="" textlink="">
          <xdr:nvSpPr>
            <xdr:cNvPr id="83978" name="Option Button 10" hidden="1">
              <a:extLst>
                <a:ext uri="{63B3BB69-23CF-44E3-9099-C40C66FF867C}">
                  <a14:compatExt spid="_x0000_s83978"/>
                </a:ext>
                <a:ext uri="{FF2B5EF4-FFF2-40B4-BE49-F238E27FC236}">
                  <a16:creationId xmlns:a16="http://schemas.microsoft.com/office/drawing/2014/main" id="{00000000-0008-0000-3C00-00000A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33</xdr:row>
          <xdr:rowOff>28575</xdr:rowOff>
        </xdr:from>
        <xdr:to>
          <xdr:col>7</xdr:col>
          <xdr:colOff>38100</xdr:colOff>
          <xdr:row>33</xdr:row>
          <xdr:rowOff>276225</xdr:rowOff>
        </xdr:to>
        <xdr:sp macro="" textlink="">
          <xdr:nvSpPr>
            <xdr:cNvPr id="83979" name="Option Button 11" hidden="1">
              <a:extLst>
                <a:ext uri="{63B3BB69-23CF-44E3-9099-C40C66FF867C}">
                  <a14:compatExt spid="_x0000_s83979"/>
                </a:ext>
                <a:ext uri="{FF2B5EF4-FFF2-40B4-BE49-F238E27FC236}">
                  <a16:creationId xmlns:a16="http://schemas.microsoft.com/office/drawing/2014/main" id="{00000000-0008-0000-3C00-00000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647700</xdr:colOff>
          <xdr:row>33</xdr:row>
          <xdr:rowOff>28575</xdr:rowOff>
        </xdr:from>
        <xdr:to>
          <xdr:col>9</xdr:col>
          <xdr:colOff>123825</xdr:colOff>
          <xdr:row>33</xdr:row>
          <xdr:rowOff>276225</xdr:rowOff>
        </xdr:to>
        <xdr:sp macro="" textlink="">
          <xdr:nvSpPr>
            <xdr:cNvPr id="83980" name="Option Button 12" hidden="1">
              <a:extLst>
                <a:ext uri="{63B3BB69-23CF-44E3-9099-C40C66FF867C}">
                  <a14:compatExt spid="_x0000_s83980"/>
                </a:ext>
                <a:ext uri="{FF2B5EF4-FFF2-40B4-BE49-F238E27FC236}">
                  <a16:creationId xmlns:a16="http://schemas.microsoft.com/office/drawing/2014/main" id="{00000000-0008-0000-3C00-00000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34</xdr:row>
          <xdr:rowOff>38100</xdr:rowOff>
        </xdr:from>
        <xdr:to>
          <xdr:col>6</xdr:col>
          <xdr:colOff>57150</xdr:colOff>
          <xdr:row>34</xdr:row>
          <xdr:rowOff>285750</xdr:rowOff>
        </xdr:to>
        <xdr:sp macro="" textlink="">
          <xdr:nvSpPr>
            <xdr:cNvPr id="83981" name="Option Button 13" hidden="1">
              <a:extLst>
                <a:ext uri="{63B3BB69-23CF-44E3-9099-C40C66FF867C}">
                  <a14:compatExt spid="_x0000_s83981"/>
                </a:ext>
                <a:ext uri="{FF2B5EF4-FFF2-40B4-BE49-F238E27FC236}">
                  <a16:creationId xmlns:a16="http://schemas.microsoft.com/office/drawing/2014/main" id="{00000000-0008-0000-3C00-00000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34</xdr:row>
          <xdr:rowOff>19050</xdr:rowOff>
        </xdr:from>
        <xdr:to>
          <xdr:col>7</xdr:col>
          <xdr:colOff>304800</xdr:colOff>
          <xdr:row>34</xdr:row>
          <xdr:rowOff>257175</xdr:rowOff>
        </xdr:to>
        <xdr:sp macro="" textlink="">
          <xdr:nvSpPr>
            <xdr:cNvPr id="83982" name="Option Button 14" hidden="1">
              <a:extLst>
                <a:ext uri="{63B3BB69-23CF-44E3-9099-C40C66FF867C}">
                  <a14:compatExt spid="_x0000_s83982"/>
                </a:ext>
                <a:ext uri="{FF2B5EF4-FFF2-40B4-BE49-F238E27FC236}">
                  <a16:creationId xmlns:a16="http://schemas.microsoft.com/office/drawing/2014/main" id="{00000000-0008-0000-3C00-00000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219075</xdr:colOff>
          <xdr:row>34</xdr:row>
          <xdr:rowOff>19050</xdr:rowOff>
        </xdr:from>
        <xdr:to>
          <xdr:col>10</xdr:col>
          <xdr:colOff>0</xdr:colOff>
          <xdr:row>34</xdr:row>
          <xdr:rowOff>257175</xdr:rowOff>
        </xdr:to>
        <xdr:sp macro="" textlink="">
          <xdr:nvSpPr>
            <xdr:cNvPr id="83983" name="Option Button 15" hidden="1">
              <a:extLst>
                <a:ext uri="{63B3BB69-23CF-44E3-9099-C40C66FF867C}">
                  <a14:compatExt spid="_x0000_s83983"/>
                </a:ext>
                <a:ext uri="{FF2B5EF4-FFF2-40B4-BE49-F238E27FC236}">
                  <a16:creationId xmlns:a16="http://schemas.microsoft.com/office/drawing/2014/main" id="{00000000-0008-0000-3C00-00000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33</xdr:row>
          <xdr:rowOff>295275</xdr:rowOff>
        </xdr:from>
        <xdr:to>
          <xdr:col>10</xdr:col>
          <xdr:colOff>342900</xdr:colOff>
          <xdr:row>35</xdr:row>
          <xdr:rowOff>38100</xdr:rowOff>
        </xdr:to>
        <xdr:sp macro="" textlink="">
          <xdr:nvSpPr>
            <xdr:cNvPr id="83984" name="Group Box 16" hidden="1">
              <a:extLst>
                <a:ext uri="{63B3BB69-23CF-44E3-9099-C40C66FF867C}">
                  <a14:compatExt spid="_x0000_s83984"/>
                </a:ext>
                <a:ext uri="{FF2B5EF4-FFF2-40B4-BE49-F238E27FC236}">
                  <a16:creationId xmlns:a16="http://schemas.microsoft.com/office/drawing/2014/main" id="{00000000-0008-0000-3C00-00001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32</xdr:row>
          <xdr:rowOff>447675</xdr:rowOff>
        </xdr:from>
        <xdr:to>
          <xdr:col>10</xdr:col>
          <xdr:colOff>28575</xdr:colOff>
          <xdr:row>34</xdr:row>
          <xdr:rowOff>66675</xdr:rowOff>
        </xdr:to>
        <xdr:sp macro="" textlink="">
          <xdr:nvSpPr>
            <xdr:cNvPr id="83985" name="Group Box 17" hidden="1">
              <a:extLst>
                <a:ext uri="{63B3BB69-23CF-44E3-9099-C40C66FF867C}">
                  <a14:compatExt spid="_x0000_s83985"/>
                </a:ext>
                <a:ext uri="{FF2B5EF4-FFF2-40B4-BE49-F238E27FC236}">
                  <a16:creationId xmlns:a16="http://schemas.microsoft.com/office/drawing/2014/main" id="{00000000-0008-0000-3C00-00001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16</xdr:row>
          <xdr:rowOff>238125</xdr:rowOff>
        </xdr:from>
        <xdr:to>
          <xdr:col>10</xdr:col>
          <xdr:colOff>428625</xdr:colOff>
          <xdr:row>18</xdr:row>
          <xdr:rowOff>9525</xdr:rowOff>
        </xdr:to>
        <xdr:sp macro="" textlink="">
          <xdr:nvSpPr>
            <xdr:cNvPr id="83986" name="Group Box 18" hidden="1">
              <a:extLst>
                <a:ext uri="{63B3BB69-23CF-44E3-9099-C40C66FF867C}">
                  <a14:compatExt spid="_x0000_s83986"/>
                </a:ext>
                <a:ext uri="{FF2B5EF4-FFF2-40B4-BE49-F238E27FC236}">
                  <a16:creationId xmlns:a16="http://schemas.microsoft.com/office/drawing/2014/main" id="{00000000-0008-0000-3C00-00001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15</xdr:row>
          <xdr:rowOff>57150</xdr:rowOff>
        </xdr:from>
        <xdr:to>
          <xdr:col>10</xdr:col>
          <xdr:colOff>523875</xdr:colOff>
          <xdr:row>16</xdr:row>
          <xdr:rowOff>9525</xdr:rowOff>
        </xdr:to>
        <xdr:sp macro="" textlink="">
          <xdr:nvSpPr>
            <xdr:cNvPr id="83987" name="Group Box 19" hidden="1">
              <a:extLst>
                <a:ext uri="{63B3BB69-23CF-44E3-9099-C40C66FF867C}">
                  <a14:compatExt spid="_x0000_s83987"/>
                </a:ext>
                <a:ext uri="{FF2B5EF4-FFF2-40B4-BE49-F238E27FC236}">
                  <a16:creationId xmlns:a16="http://schemas.microsoft.com/office/drawing/2014/main" id="{00000000-0008-0000-3C00-00001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17</xdr:row>
          <xdr:rowOff>38100</xdr:rowOff>
        </xdr:from>
        <xdr:to>
          <xdr:col>6</xdr:col>
          <xdr:colOff>19050</xdr:colOff>
          <xdr:row>17</xdr:row>
          <xdr:rowOff>285750</xdr:rowOff>
        </xdr:to>
        <xdr:sp macro="" textlink="">
          <xdr:nvSpPr>
            <xdr:cNvPr id="83988" name="Option Button 20" hidden="1">
              <a:extLst>
                <a:ext uri="{63B3BB69-23CF-44E3-9099-C40C66FF867C}">
                  <a14:compatExt spid="_x0000_s83988"/>
                </a:ext>
                <a:ext uri="{FF2B5EF4-FFF2-40B4-BE49-F238E27FC236}">
                  <a16:creationId xmlns:a16="http://schemas.microsoft.com/office/drawing/2014/main" id="{00000000-0008-0000-3C00-00001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17</xdr:row>
          <xdr:rowOff>19050</xdr:rowOff>
        </xdr:from>
        <xdr:to>
          <xdr:col>7</xdr:col>
          <xdr:colOff>381000</xdr:colOff>
          <xdr:row>17</xdr:row>
          <xdr:rowOff>266700</xdr:rowOff>
        </xdr:to>
        <xdr:sp macro="" textlink="">
          <xdr:nvSpPr>
            <xdr:cNvPr id="83989" name="Option Button 21" hidden="1">
              <a:extLst>
                <a:ext uri="{63B3BB69-23CF-44E3-9099-C40C66FF867C}">
                  <a14:compatExt spid="_x0000_s83989"/>
                </a:ext>
                <a:ext uri="{FF2B5EF4-FFF2-40B4-BE49-F238E27FC236}">
                  <a16:creationId xmlns:a16="http://schemas.microsoft.com/office/drawing/2014/main" id="{00000000-0008-0000-3C00-00001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17</xdr:row>
          <xdr:rowOff>19050</xdr:rowOff>
        </xdr:from>
        <xdr:to>
          <xdr:col>10</xdr:col>
          <xdr:colOff>28575</xdr:colOff>
          <xdr:row>17</xdr:row>
          <xdr:rowOff>266700</xdr:rowOff>
        </xdr:to>
        <xdr:sp macro="" textlink="">
          <xdr:nvSpPr>
            <xdr:cNvPr id="83990" name="Option Button 22" hidden="1">
              <a:extLst>
                <a:ext uri="{63B3BB69-23CF-44E3-9099-C40C66FF867C}">
                  <a14:compatExt spid="_x0000_s83990"/>
                </a:ext>
                <a:ext uri="{FF2B5EF4-FFF2-40B4-BE49-F238E27FC236}">
                  <a16:creationId xmlns:a16="http://schemas.microsoft.com/office/drawing/2014/main" id="{00000000-0008-0000-3C00-00001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13</xdr:col>
      <xdr:colOff>0</xdr:colOff>
      <xdr:row>15</xdr:row>
      <xdr:rowOff>193766</xdr:rowOff>
    </xdr:from>
    <xdr:to>
      <xdr:col>24</xdr:col>
      <xdr:colOff>209097</xdr:colOff>
      <xdr:row>15</xdr:row>
      <xdr:rowOff>320766</xdr:rowOff>
    </xdr:to>
    <xdr:sp macro="" textlink="">
      <xdr:nvSpPr>
        <xdr:cNvPr id="26" name="左矢印 25">
          <a:extLst>
            <a:ext uri="{FF2B5EF4-FFF2-40B4-BE49-F238E27FC236}">
              <a16:creationId xmlns:a16="http://schemas.microsoft.com/office/drawing/2014/main" id="{00000000-0008-0000-3C00-00001A000000}"/>
            </a:ext>
          </a:extLst>
        </xdr:cNvPr>
        <xdr:cNvSpPr/>
      </xdr:nvSpPr>
      <xdr:spPr>
        <a:xfrm>
          <a:off x="7210425" y="4051391"/>
          <a:ext cx="209097"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209097</xdr:colOff>
      <xdr:row>15</xdr:row>
      <xdr:rowOff>28575</xdr:rowOff>
    </xdr:from>
    <xdr:to>
      <xdr:col>28</xdr:col>
      <xdr:colOff>400050</xdr:colOff>
      <xdr:row>16</xdr:row>
      <xdr:rowOff>160020</xdr:rowOff>
    </xdr:to>
    <xdr:sp macro="" textlink="">
      <xdr:nvSpPr>
        <xdr:cNvPr id="27" name="角丸四角形吹き出し 26">
          <a:extLst>
            <a:ext uri="{FF2B5EF4-FFF2-40B4-BE49-F238E27FC236}">
              <a16:creationId xmlns:a16="http://schemas.microsoft.com/office/drawing/2014/main" id="{00000000-0008-0000-3C00-00001B000000}"/>
            </a:ext>
          </a:extLst>
        </xdr:cNvPr>
        <xdr:cNvSpPr/>
      </xdr:nvSpPr>
      <xdr:spPr>
        <a:xfrm>
          <a:off x="7419522" y="3886200"/>
          <a:ext cx="2934153" cy="63627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「達成状況」及び「要因」について、</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該当する項目を選択してください。</a:t>
          </a:r>
          <a:endParaRPr kumimoji="1" lang="en-US" altLang="ja-JP" sz="1000" b="0">
            <a:solidFill>
              <a:schemeClr val="tx1"/>
            </a:solidFill>
            <a:effectLst/>
            <a:latin typeface="+mn-lt"/>
            <a:ea typeface="+mn-ea"/>
            <a:cs typeface="+mn-cs"/>
          </a:endParaRPr>
        </a:p>
      </xdr:txBody>
    </xdr:sp>
    <xdr:clientData/>
  </xdr:twoCellAnchor>
  <xdr:twoCellAnchor>
    <xdr:from>
      <xdr:col>13</xdr:col>
      <xdr:colOff>0</xdr:colOff>
      <xdr:row>32</xdr:row>
      <xdr:rowOff>203291</xdr:rowOff>
    </xdr:from>
    <xdr:to>
      <xdr:col>24</xdr:col>
      <xdr:colOff>209097</xdr:colOff>
      <xdr:row>32</xdr:row>
      <xdr:rowOff>330291</xdr:rowOff>
    </xdr:to>
    <xdr:sp macro="" textlink="">
      <xdr:nvSpPr>
        <xdr:cNvPr id="28" name="左矢印 27">
          <a:extLst>
            <a:ext uri="{FF2B5EF4-FFF2-40B4-BE49-F238E27FC236}">
              <a16:creationId xmlns:a16="http://schemas.microsoft.com/office/drawing/2014/main" id="{00000000-0008-0000-3C00-00001C000000}"/>
            </a:ext>
          </a:extLst>
        </xdr:cNvPr>
        <xdr:cNvSpPr/>
      </xdr:nvSpPr>
      <xdr:spPr>
        <a:xfrm>
          <a:off x="7210425" y="10014041"/>
          <a:ext cx="209097"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209097</xdr:colOff>
      <xdr:row>32</xdr:row>
      <xdr:rowOff>38100</xdr:rowOff>
    </xdr:from>
    <xdr:to>
      <xdr:col>28</xdr:col>
      <xdr:colOff>400050</xdr:colOff>
      <xdr:row>33</xdr:row>
      <xdr:rowOff>169545</xdr:rowOff>
    </xdr:to>
    <xdr:sp macro="" textlink="">
      <xdr:nvSpPr>
        <xdr:cNvPr id="29" name="角丸四角形吹き出し 28">
          <a:extLst>
            <a:ext uri="{FF2B5EF4-FFF2-40B4-BE49-F238E27FC236}">
              <a16:creationId xmlns:a16="http://schemas.microsoft.com/office/drawing/2014/main" id="{00000000-0008-0000-3C00-00001D000000}"/>
            </a:ext>
          </a:extLst>
        </xdr:cNvPr>
        <xdr:cNvSpPr/>
      </xdr:nvSpPr>
      <xdr:spPr>
        <a:xfrm>
          <a:off x="7419522" y="9848850"/>
          <a:ext cx="2934153" cy="63627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「達成状況」及び「要因」について、</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該当する項目を選択してください。</a:t>
          </a:r>
          <a:endParaRPr kumimoji="1" lang="en-US" altLang="ja-JP" sz="1000" b="0">
            <a:solidFill>
              <a:schemeClr val="tx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83820</xdr:colOff>
      <xdr:row>22</xdr:row>
      <xdr:rowOff>117566</xdr:rowOff>
    </xdr:from>
    <xdr:to>
      <xdr:col>25</xdr:col>
      <xdr:colOff>169092</xdr:colOff>
      <xdr:row>22</xdr:row>
      <xdr:rowOff>244566</xdr:rowOff>
    </xdr:to>
    <xdr:sp macro="" textlink="">
      <xdr:nvSpPr>
        <xdr:cNvPr id="2" name="左矢印 1">
          <a:extLst>
            <a:ext uri="{FF2B5EF4-FFF2-40B4-BE49-F238E27FC236}">
              <a16:creationId xmlns:a16="http://schemas.microsoft.com/office/drawing/2014/main" id="{00000000-0008-0000-3D00-000002000000}"/>
            </a:ext>
          </a:extLst>
        </xdr:cNvPr>
        <xdr:cNvSpPr/>
      </xdr:nvSpPr>
      <xdr:spPr>
        <a:xfrm>
          <a:off x="6606540" y="7028906"/>
          <a:ext cx="199572"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178616</xdr:colOff>
      <xdr:row>21</xdr:row>
      <xdr:rowOff>133350</xdr:rowOff>
    </xdr:from>
    <xdr:to>
      <xdr:col>31</xdr:col>
      <xdr:colOff>504825</xdr:colOff>
      <xdr:row>23</xdr:row>
      <xdr:rowOff>188595</xdr:rowOff>
    </xdr:to>
    <xdr:sp macro="" textlink="">
      <xdr:nvSpPr>
        <xdr:cNvPr id="3" name="角丸四角形吹き出し 2">
          <a:extLst>
            <a:ext uri="{FF2B5EF4-FFF2-40B4-BE49-F238E27FC236}">
              <a16:creationId xmlns:a16="http://schemas.microsoft.com/office/drawing/2014/main" id="{00000000-0008-0000-3D00-000003000000}"/>
            </a:ext>
          </a:extLst>
        </xdr:cNvPr>
        <xdr:cNvSpPr/>
      </xdr:nvSpPr>
      <xdr:spPr>
        <a:xfrm>
          <a:off x="7522391" y="6572250"/>
          <a:ext cx="4250509" cy="8362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「導入台数」には、デフォルトで「０」値が入っています。</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「０」値以外の場合、正味の導入台数を次式により</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（導入台数）＝｛（新規台数）＋（転入台数）｝－｛（廃止台数）＋（転出台数）｝</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算出し、記入してください。</a:t>
          </a:r>
          <a:endParaRPr kumimoji="1" lang="en-US" altLang="ja-JP" sz="1000" b="0">
            <a:solidFill>
              <a:schemeClr val="tx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57150</xdr:colOff>
          <xdr:row>5</xdr:row>
          <xdr:rowOff>38100</xdr:rowOff>
        </xdr:from>
        <xdr:to>
          <xdr:col>7</xdr:col>
          <xdr:colOff>247650</xdr:colOff>
          <xdr:row>5</xdr:row>
          <xdr:rowOff>266700</xdr:rowOff>
        </xdr:to>
        <xdr:sp macro="" textlink="">
          <xdr:nvSpPr>
            <xdr:cNvPr id="96257" name="Option Button 1" hidden="1">
              <a:extLst>
                <a:ext uri="{63B3BB69-23CF-44E3-9099-C40C66FF867C}">
                  <a14:compatExt spid="_x0000_s96257"/>
                </a:ext>
                <a:ext uri="{FF2B5EF4-FFF2-40B4-BE49-F238E27FC236}">
                  <a16:creationId xmlns:a16="http://schemas.microsoft.com/office/drawing/2014/main" id="{00000000-0008-0000-3E00-00000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6</xdr:row>
          <xdr:rowOff>28575</xdr:rowOff>
        </xdr:from>
        <xdr:to>
          <xdr:col>7</xdr:col>
          <xdr:colOff>247650</xdr:colOff>
          <xdr:row>6</xdr:row>
          <xdr:rowOff>266700</xdr:rowOff>
        </xdr:to>
        <xdr:sp macro="" textlink="">
          <xdr:nvSpPr>
            <xdr:cNvPr id="96258" name="Option Button 2" hidden="1">
              <a:extLst>
                <a:ext uri="{63B3BB69-23CF-44E3-9099-C40C66FF867C}">
                  <a14:compatExt spid="_x0000_s96258"/>
                </a:ext>
                <a:ext uri="{FF2B5EF4-FFF2-40B4-BE49-F238E27FC236}">
                  <a16:creationId xmlns:a16="http://schemas.microsoft.com/office/drawing/2014/main" id="{00000000-0008-0000-3E00-00000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xdr:row>
          <xdr:rowOff>28575</xdr:rowOff>
        </xdr:from>
        <xdr:to>
          <xdr:col>7</xdr:col>
          <xdr:colOff>247650</xdr:colOff>
          <xdr:row>7</xdr:row>
          <xdr:rowOff>266700</xdr:rowOff>
        </xdr:to>
        <xdr:sp macro="" textlink="">
          <xdr:nvSpPr>
            <xdr:cNvPr id="96259" name="Option Button 3" hidden="1">
              <a:extLst>
                <a:ext uri="{63B3BB69-23CF-44E3-9099-C40C66FF867C}">
                  <a14:compatExt spid="_x0000_s96259"/>
                </a:ext>
                <a:ext uri="{FF2B5EF4-FFF2-40B4-BE49-F238E27FC236}">
                  <a16:creationId xmlns:a16="http://schemas.microsoft.com/office/drawing/2014/main" id="{00000000-0008-0000-3E00-00000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xdr:row>
          <xdr:rowOff>38100</xdr:rowOff>
        </xdr:from>
        <xdr:to>
          <xdr:col>9</xdr:col>
          <xdr:colOff>247650</xdr:colOff>
          <xdr:row>5</xdr:row>
          <xdr:rowOff>266700</xdr:rowOff>
        </xdr:to>
        <xdr:sp macro="" textlink="">
          <xdr:nvSpPr>
            <xdr:cNvPr id="96260" name="Option Button 4" hidden="1">
              <a:extLst>
                <a:ext uri="{63B3BB69-23CF-44E3-9099-C40C66FF867C}">
                  <a14:compatExt spid="_x0000_s96260"/>
                </a:ext>
                <a:ext uri="{FF2B5EF4-FFF2-40B4-BE49-F238E27FC236}">
                  <a16:creationId xmlns:a16="http://schemas.microsoft.com/office/drawing/2014/main" id="{00000000-0008-0000-3E00-00000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6</xdr:row>
          <xdr:rowOff>28575</xdr:rowOff>
        </xdr:from>
        <xdr:to>
          <xdr:col>9</xdr:col>
          <xdr:colOff>247650</xdr:colOff>
          <xdr:row>6</xdr:row>
          <xdr:rowOff>266700</xdr:rowOff>
        </xdr:to>
        <xdr:sp macro="" textlink="">
          <xdr:nvSpPr>
            <xdr:cNvPr id="96261" name="Option Button 5" hidden="1">
              <a:extLst>
                <a:ext uri="{63B3BB69-23CF-44E3-9099-C40C66FF867C}">
                  <a14:compatExt spid="_x0000_s96261"/>
                </a:ext>
                <a:ext uri="{FF2B5EF4-FFF2-40B4-BE49-F238E27FC236}">
                  <a16:creationId xmlns:a16="http://schemas.microsoft.com/office/drawing/2014/main" id="{00000000-0008-0000-3E00-00000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7</xdr:row>
          <xdr:rowOff>38100</xdr:rowOff>
        </xdr:from>
        <xdr:to>
          <xdr:col>9</xdr:col>
          <xdr:colOff>247650</xdr:colOff>
          <xdr:row>7</xdr:row>
          <xdr:rowOff>266700</xdr:rowOff>
        </xdr:to>
        <xdr:sp macro="" textlink="">
          <xdr:nvSpPr>
            <xdr:cNvPr id="96262" name="Option Button 6" hidden="1">
              <a:extLst>
                <a:ext uri="{63B3BB69-23CF-44E3-9099-C40C66FF867C}">
                  <a14:compatExt spid="_x0000_s96262"/>
                </a:ext>
                <a:ext uri="{FF2B5EF4-FFF2-40B4-BE49-F238E27FC236}">
                  <a16:creationId xmlns:a16="http://schemas.microsoft.com/office/drawing/2014/main" id="{00000000-0008-0000-3E00-00000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8</xdr:row>
          <xdr:rowOff>28575</xdr:rowOff>
        </xdr:from>
        <xdr:to>
          <xdr:col>9</xdr:col>
          <xdr:colOff>247650</xdr:colOff>
          <xdr:row>8</xdr:row>
          <xdr:rowOff>247650</xdr:rowOff>
        </xdr:to>
        <xdr:sp macro="" textlink="">
          <xdr:nvSpPr>
            <xdr:cNvPr id="96263" name="Option Button 7" hidden="1">
              <a:extLst>
                <a:ext uri="{63B3BB69-23CF-44E3-9099-C40C66FF867C}">
                  <a14:compatExt spid="_x0000_s96263"/>
                </a:ext>
                <a:ext uri="{FF2B5EF4-FFF2-40B4-BE49-F238E27FC236}">
                  <a16:creationId xmlns:a16="http://schemas.microsoft.com/office/drawing/2014/main" id="{00000000-0008-0000-3E00-00000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xdr:row>
          <xdr:rowOff>28575</xdr:rowOff>
        </xdr:from>
        <xdr:to>
          <xdr:col>8</xdr:col>
          <xdr:colOff>0</xdr:colOff>
          <xdr:row>8</xdr:row>
          <xdr:rowOff>266700</xdr:rowOff>
        </xdr:to>
        <xdr:sp macro="" textlink="">
          <xdr:nvSpPr>
            <xdr:cNvPr id="96264" name="Group Box 8" hidden="1">
              <a:extLst>
                <a:ext uri="{63B3BB69-23CF-44E3-9099-C40C66FF867C}">
                  <a14:compatExt spid="_x0000_s96264"/>
                </a:ext>
                <a:ext uri="{FF2B5EF4-FFF2-40B4-BE49-F238E27FC236}">
                  <a16:creationId xmlns:a16="http://schemas.microsoft.com/office/drawing/2014/main" id="{00000000-0008-0000-3E00-00000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xdr:row>
          <xdr:rowOff>9525</xdr:rowOff>
        </xdr:from>
        <xdr:to>
          <xdr:col>10</xdr:col>
          <xdr:colOff>0</xdr:colOff>
          <xdr:row>8</xdr:row>
          <xdr:rowOff>266700</xdr:rowOff>
        </xdr:to>
        <xdr:sp macro="" textlink="">
          <xdr:nvSpPr>
            <xdr:cNvPr id="96265" name="Group Box 9" hidden="1">
              <a:extLst>
                <a:ext uri="{63B3BB69-23CF-44E3-9099-C40C66FF867C}">
                  <a14:compatExt spid="_x0000_s96265"/>
                </a:ext>
                <a:ext uri="{FF2B5EF4-FFF2-40B4-BE49-F238E27FC236}">
                  <a16:creationId xmlns:a16="http://schemas.microsoft.com/office/drawing/2014/main" id="{00000000-0008-0000-3E00-000009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xdr:row>
          <xdr:rowOff>9525</xdr:rowOff>
        </xdr:from>
        <xdr:to>
          <xdr:col>7</xdr:col>
          <xdr:colOff>247650</xdr:colOff>
          <xdr:row>8</xdr:row>
          <xdr:rowOff>228600</xdr:rowOff>
        </xdr:to>
        <xdr:sp macro="" textlink="">
          <xdr:nvSpPr>
            <xdr:cNvPr id="96266" name="Option Button 10" hidden="1">
              <a:extLst>
                <a:ext uri="{63B3BB69-23CF-44E3-9099-C40C66FF867C}">
                  <a14:compatExt spid="_x0000_s96266"/>
                </a:ext>
                <a:ext uri="{FF2B5EF4-FFF2-40B4-BE49-F238E27FC236}">
                  <a16:creationId xmlns:a16="http://schemas.microsoft.com/office/drawing/2014/main" id="{00000000-0008-0000-3E00-00000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9</xdr:row>
          <xdr:rowOff>76200</xdr:rowOff>
        </xdr:from>
        <xdr:to>
          <xdr:col>7</xdr:col>
          <xdr:colOff>247650</xdr:colOff>
          <xdr:row>10</xdr:row>
          <xdr:rowOff>0</xdr:rowOff>
        </xdr:to>
        <xdr:sp macro="" textlink="">
          <xdr:nvSpPr>
            <xdr:cNvPr id="96267" name="Option Button 11" hidden="1">
              <a:extLst>
                <a:ext uri="{63B3BB69-23CF-44E3-9099-C40C66FF867C}">
                  <a14:compatExt spid="_x0000_s96267"/>
                </a:ext>
                <a:ext uri="{FF2B5EF4-FFF2-40B4-BE49-F238E27FC236}">
                  <a16:creationId xmlns:a16="http://schemas.microsoft.com/office/drawing/2014/main" id="{00000000-0008-0000-3E00-00000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10</xdr:row>
          <xdr:rowOff>57150</xdr:rowOff>
        </xdr:from>
        <xdr:to>
          <xdr:col>7</xdr:col>
          <xdr:colOff>247650</xdr:colOff>
          <xdr:row>10</xdr:row>
          <xdr:rowOff>266700</xdr:rowOff>
        </xdr:to>
        <xdr:sp macro="" textlink="">
          <xdr:nvSpPr>
            <xdr:cNvPr id="96268" name="Option Button 12" hidden="1">
              <a:extLst>
                <a:ext uri="{63B3BB69-23CF-44E3-9099-C40C66FF867C}">
                  <a14:compatExt spid="_x0000_s96268"/>
                </a:ext>
                <a:ext uri="{FF2B5EF4-FFF2-40B4-BE49-F238E27FC236}">
                  <a16:creationId xmlns:a16="http://schemas.microsoft.com/office/drawing/2014/main" id="{00000000-0008-0000-3E00-00000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11</xdr:row>
          <xdr:rowOff>28575</xdr:rowOff>
        </xdr:from>
        <xdr:to>
          <xdr:col>7</xdr:col>
          <xdr:colOff>247650</xdr:colOff>
          <xdr:row>11</xdr:row>
          <xdr:rowOff>266700</xdr:rowOff>
        </xdr:to>
        <xdr:sp macro="" textlink="">
          <xdr:nvSpPr>
            <xdr:cNvPr id="96269" name="Option Button 13" hidden="1">
              <a:extLst>
                <a:ext uri="{63B3BB69-23CF-44E3-9099-C40C66FF867C}">
                  <a14:compatExt spid="_x0000_s96269"/>
                </a:ext>
                <a:ext uri="{FF2B5EF4-FFF2-40B4-BE49-F238E27FC236}">
                  <a16:creationId xmlns:a16="http://schemas.microsoft.com/office/drawing/2014/main" id="{00000000-0008-0000-3E00-00000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xdr:row>
          <xdr:rowOff>28575</xdr:rowOff>
        </xdr:from>
        <xdr:to>
          <xdr:col>8</xdr:col>
          <xdr:colOff>9525</xdr:colOff>
          <xdr:row>12</xdr:row>
          <xdr:rowOff>247650</xdr:rowOff>
        </xdr:to>
        <xdr:sp macro="" textlink="">
          <xdr:nvSpPr>
            <xdr:cNvPr id="96270" name="Group Box 14" hidden="1">
              <a:extLst>
                <a:ext uri="{63B3BB69-23CF-44E3-9099-C40C66FF867C}">
                  <a14:compatExt spid="_x0000_s96270"/>
                </a:ext>
                <a:ext uri="{FF2B5EF4-FFF2-40B4-BE49-F238E27FC236}">
                  <a16:creationId xmlns:a16="http://schemas.microsoft.com/office/drawing/2014/main" id="{00000000-0008-0000-3E00-00000E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12</xdr:row>
          <xdr:rowOff>28575</xdr:rowOff>
        </xdr:from>
        <xdr:to>
          <xdr:col>7</xdr:col>
          <xdr:colOff>247650</xdr:colOff>
          <xdr:row>12</xdr:row>
          <xdr:rowOff>247650</xdr:rowOff>
        </xdr:to>
        <xdr:sp macro="" textlink="">
          <xdr:nvSpPr>
            <xdr:cNvPr id="96271" name="Option Button 15" hidden="1">
              <a:extLst>
                <a:ext uri="{63B3BB69-23CF-44E3-9099-C40C66FF867C}">
                  <a14:compatExt spid="_x0000_s96271"/>
                </a:ext>
                <a:ext uri="{FF2B5EF4-FFF2-40B4-BE49-F238E27FC236}">
                  <a16:creationId xmlns:a16="http://schemas.microsoft.com/office/drawing/2014/main" id="{00000000-0008-0000-3E00-00000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9</xdr:row>
          <xdr:rowOff>38100</xdr:rowOff>
        </xdr:from>
        <xdr:to>
          <xdr:col>9</xdr:col>
          <xdr:colOff>247650</xdr:colOff>
          <xdr:row>9</xdr:row>
          <xdr:rowOff>266700</xdr:rowOff>
        </xdr:to>
        <xdr:sp macro="" textlink="">
          <xdr:nvSpPr>
            <xdr:cNvPr id="96272" name="Option Button 16" hidden="1">
              <a:extLst>
                <a:ext uri="{63B3BB69-23CF-44E3-9099-C40C66FF867C}">
                  <a14:compatExt spid="_x0000_s96272"/>
                </a:ext>
                <a:ext uri="{FF2B5EF4-FFF2-40B4-BE49-F238E27FC236}">
                  <a16:creationId xmlns:a16="http://schemas.microsoft.com/office/drawing/2014/main" id="{00000000-0008-0000-3E00-00001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10</xdr:row>
          <xdr:rowOff>28575</xdr:rowOff>
        </xdr:from>
        <xdr:to>
          <xdr:col>9</xdr:col>
          <xdr:colOff>247650</xdr:colOff>
          <xdr:row>10</xdr:row>
          <xdr:rowOff>266700</xdr:rowOff>
        </xdr:to>
        <xdr:sp macro="" textlink="">
          <xdr:nvSpPr>
            <xdr:cNvPr id="96273" name="Option Button 17" hidden="1">
              <a:extLst>
                <a:ext uri="{63B3BB69-23CF-44E3-9099-C40C66FF867C}">
                  <a14:compatExt spid="_x0000_s96273"/>
                </a:ext>
                <a:ext uri="{FF2B5EF4-FFF2-40B4-BE49-F238E27FC236}">
                  <a16:creationId xmlns:a16="http://schemas.microsoft.com/office/drawing/2014/main" id="{00000000-0008-0000-3E00-00001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11</xdr:row>
          <xdr:rowOff>38100</xdr:rowOff>
        </xdr:from>
        <xdr:to>
          <xdr:col>9</xdr:col>
          <xdr:colOff>247650</xdr:colOff>
          <xdr:row>11</xdr:row>
          <xdr:rowOff>266700</xdr:rowOff>
        </xdr:to>
        <xdr:sp macro="" textlink="">
          <xdr:nvSpPr>
            <xdr:cNvPr id="96274" name="Option Button 18" hidden="1">
              <a:extLst>
                <a:ext uri="{63B3BB69-23CF-44E3-9099-C40C66FF867C}">
                  <a14:compatExt spid="_x0000_s96274"/>
                </a:ext>
                <a:ext uri="{FF2B5EF4-FFF2-40B4-BE49-F238E27FC236}">
                  <a16:creationId xmlns:a16="http://schemas.microsoft.com/office/drawing/2014/main" id="{00000000-0008-0000-3E00-00001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12</xdr:row>
          <xdr:rowOff>28575</xdr:rowOff>
        </xdr:from>
        <xdr:to>
          <xdr:col>9</xdr:col>
          <xdr:colOff>247650</xdr:colOff>
          <xdr:row>12</xdr:row>
          <xdr:rowOff>247650</xdr:rowOff>
        </xdr:to>
        <xdr:sp macro="" textlink="">
          <xdr:nvSpPr>
            <xdr:cNvPr id="96275" name="Option Button 19" hidden="1">
              <a:extLst>
                <a:ext uri="{63B3BB69-23CF-44E3-9099-C40C66FF867C}">
                  <a14:compatExt spid="_x0000_s96275"/>
                </a:ext>
                <a:ext uri="{FF2B5EF4-FFF2-40B4-BE49-F238E27FC236}">
                  <a16:creationId xmlns:a16="http://schemas.microsoft.com/office/drawing/2014/main" id="{00000000-0008-0000-3E00-00001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723900</xdr:colOff>
          <xdr:row>9</xdr:row>
          <xdr:rowOff>9525</xdr:rowOff>
        </xdr:from>
        <xdr:to>
          <xdr:col>9</xdr:col>
          <xdr:colOff>266700</xdr:colOff>
          <xdr:row>12</xdr:row>
          <xdr:rowOff>266700</xdr:rowOff>
        </xdr:to>
        <xdr:sp macro="" textlink="">
          <xdr:nvSpPr>
            <xdr:cNvPr id="96276" name="Group Box 20" hidden="1">
              <a:extLst>
                <a:ext uri="{63B3BB69-23CF-44E3-9099-C40C66FF867C}">
                  <a14:compatExt spid="_x0000_s96276"/>
                </a:ext>
                <a:ext uri="{FF2B5EF4-FFF2-40B4-BE49-F238E27FC236}">
                  <a16:creationId xmlns:a16="http://schemas.microsoft.com/office/drawing/2014/main" id="{00000000-0008-0000-3E00-00001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13</xdr:row>
          <xdr:rowOff>76200</xdr:rowOff>
        </xdr:from>
        <xdr:to>
          <xdr:col>7</xdr:col>
          <xdr:colOff>247650</xdr:colOff>
          <xdr:row>14</xdr:row>
          <xdr:rowOff>0</xdr:rowOff>
        </xdr:to>
        <xdr:sp macro="" textlink="">
          <xdr:nvSpPr>
            <xdr:cNvPr id="96277" name="Option Button 21" hidden="1">
              <a:extLst>
                <a:ext uri="{63B3BB69-23CF-44E3-9099-C40C66FF867C}">
                  <a14:compatExt spid="_x0000_s96277"/>
                </a:ext>
                <a:ext uri="{FF2B5EF4-FFF2-40B4-BE49-F238E27FC236}">
                  <a16:creationId xmlns:a16="http://schemas.microsoft.com/office/drawing/2014/main" id="{00000000-0008-0000-3E00-00001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14</xdr:row>
          <xdr:rowOff>57150</xdr:rowOff>
        </xdr:from>
        <xdr:to>
          <xdr:col>7</xdr:col>
          <xdr:colOff>247650</xdr:colOff>
          <xdr:row>14</xdr:row>
          <xdr:rowOff>266700</xdr:rowOff>
        </xdr:to>
        <xdr:sp macro="" textlink="">
          <xdr:nvSpPr>
            <xdr:cNvPr id="96278" name="Option Button 22" hidden="1">
              <a:extLst>
                <a:ext uri="{63B3BB69-23CF-44E3-9099-C40C66FF867C}">
                  <a14:compatExt spid="_x0000_s96278"/>
                </a:ext>
                <a:ext uri="{FF2B5EF4-FFF2-40B4-BE49-F238E27FC236}">
                  <a16:creationId xmlns:a16="http://schemas.microsoft.com/office/drawing/2014/main" id="{00000000-0008-0000-3E00-00001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15</xdr:row>
          <xdr:rowOff>57150</xdr:rowOff>
        </xdr:from>
        <xdr:to>
          <xdr:col>7</xdr:col>
          <xdr:colOff>247650</xdr:colOff>
          <xdr:row>15</xdr:row>
          <xdr:rowOff>266700</xdr:rowOff>
        </xdr:to>
        <xdr:sp macro="" textlink="">
          <xdr:nvSpPr>
            <xdr:cNvPr id="96279" name="Option Button 23" hidden="1">
              <a:extLst>
                <a:ext uri="{63B3BB69-23CF-44E3-9099-C40C66FF867C}">
                  <a14:compatExt spid="_x0000_s96279"/>
                </a:ext>
                <a:ext uri="{FF2B5EF4-FFF2-40B4-BE49-F238E27FC236}">
                  <a16:creationId xmlns:a16="http://schemas.microsoft.com/office/drawing/2014/main" id="{00000000-0008-0000-3E00-00001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13</xdr:row>
          <xdr:rowOff>28575</xdr:rowOff>
        </xdr:from>
        <xdr:to>
          <xdr:col>9</xdr:col>
          <xdr:colOff>247650</xdr:colOff>
          <xdr:row>13</xdr:row>
          <xdr:rowOff>266700</xdr:rowOff>
        </xdr:to>
        <xdr:sp macro="" textlink="">
          <xdr:nvSpPr>
            <xdr:cNvPr id="96280" name="Option Button 24" hidden="1">
              <a:extLst>
                <a:ext uri="{63B3BB69-23CF-44E3-9099-C40C66FF867C}">
                  <a14:compatExt spid="_x0000_s96280"/>
                </a:ext>
                <a:ext uri="{FF2B5EF4-FFF2-40B4-BE49-F238E27FC236}">
                  <a16:creationId xmlns:a16="http://schemas.microsoft.com/office/drawing/2014/main" id="{00000000-0008-0000-3E00-00001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14</xdr:row>
          <xdr:rowOff>28575</xdr:rowOff>
        </xdr:from>
        <xdr:to>
          <xdr:col>9</xdr:col>
          <xdr:colOff>247650</xdr:colOff>
          <xdr:row>14</xdr:row>
          <xdr:rowOff>266700</xdr:rowOff>
        </xdr:to>
        <xdr:sp macro="" textlink="">
          <xdr:nvSpPr>
            <xdr:cNvPr id="96281" name="Option Button 25" hidden="1">
              <a:extLst>
                <a:ext uri="{63B3BB69-23CF-44E3-9099-C40C66FF867C}">
                  <a14:compatExt spid="_x0000_s96281"/>
                </a:ext>
                <a:ext uri="{FF2B5EF4-FFF2-40B4-BE49-F238E27FC236}">
                  <a16:creationId xmlns:a16="http://schemas.microsoft.com/office/drawing/2014/main" id="{00000000-0008-0000-3E00-00001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15</xdr:row>
          <xdr:rowOff>38100</xdr:rowOff>
        </xdr:from>
        <xdr:to>
          <xdr:col>9</xdr:col>
          <xdr:colOff>247650</xdr:colOff>
          <xdr:row>15</xdr:row>
          <xdr:rowOff>266700</xdr:rowOff>
        </xdr:to>
        <xdr:sp macro="" textlink="">
          <xdr:nvSpPr>
            <xdr:cNvPr id="96282" name="Option Button 26" hidden="1">
              <a:extLst>
                <a:ext uri="{63B3BB69-23CF-44E3-9099-C40C66FF867C}">
                  <a14:compatExt spid="_x0000_s96282"/>
                </a:ext>
                <a:ext uri="{FF2B5EF4-FFF2-40B4-BE49-F238E27FC236}">
                  <a16:creationId xmlns:a16="http://schemas.microsoft.com/office/drawing/2014/main" id="{00000000-0008-0000-3E00-00001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16</xdr:row>
          <xdr:rowOff>28575</xdr:rowOff>
        </xdr:from>
        <xdr:to>
          <xdr:col>9</xdr:col>
          <xdr:colOff>247650</xdr:colOff>
          <xdr:row>16</xdr:row>
          <xdr:rowOff>247650</xdr:rowOff>
        </xdr:to>
        <xdr:sp macro="" textlink="">
          <xdr:nvSpPr>
            <xdr:cNvPr id="96283" name="Option Button 27" hidden="1">
              <a:extLst>
                <a:ext uri="{63B3BB69-23CF-44E3-9099-C40C66FF867C}">
                  <a14:compatExt spid="_x0000_s96283"/>
                </a:ext>
                <a:ext uri="{FF2B5EF4-FFF2-40B4-BE49-F238E27FC236}">
                  <a16:creationId xmlns:a16="http://schemas.microsoft.com/office/drawing/2014/main" id="{00000000-0008-0000-3E00-00001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xdr:row>
          <xdr:rowOff>28575</xdr:rowOff>
        </xdr:from>
        <xdr:to>
          <xdr:col>8</xdr:col>
          <xdr:colOff>9525</xdr:colOff>
          <xdr:row>16</xdr:row>
          <xdr:rowOff>266700</xdr:rowOff>
        </xdr:to>
        <xdr:sp macro="" textlink="">
          <xdr:nvSpPr>
            <xdr:cNvPr id="96284" name="Group Box 28" hidden="1">
              <a:extLst>
                <a:ext uri="{63B3BB69-23CF-44E3-9099-C40C66FF867C}">
                  <a14:compatExt spid="_x0000_s96284"/>
                </a:ext>
                <a:ext uri="{FF2B5EF4-FFF2-40B4-BE49-F238E27FC236}">
                  <a16:creationId xmlns:a16="http://schemas.microsoft.com/office/drawing/2014/main" id="{00000000-0008-0000-3E00-00001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9525</xdr:rowOff>
        </xdr:from>
        <xdr:to>
          <xdr:col>10</xdr:col>
          <xdr:colOff>9525</xdr:colOff>
          <xdr:row>16</xdr:row>
          <xdr:rowOff>266700</xdr:rowOff>
        </xdr:to>
        <xdr:sp macro="" textlink="">
          <xdr:nvSpPr>
            <xdr:cNvPr id="96285" name="Group Box 29" hidden="1">
              <a:extLst>
                <a:ext uri="{63B3BB69-23CF-44E3-9099-C40C66FF867C}">
                  <a14:compatExt spid="_x0000_s96285"/>
                </a:ext>
                <a:ext uri="{FF2B5EF4-FFF2-40B4-BE49-F238E27FC236}">
                  <a16:creationId xmlns:a16="http://schemas.microsoft.com/office/drawing/2014/main" id="{00000000-0008-0000-3E00-00001D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16</xdr:row>
          <xdr:rowOff>28575</xdr:rowOff>
        </xdr:from>
        <xdr:to>
          <xdr:col>7</xdr:col>
          <xdr:colOff>247650</xdr:colOff>
          <xdr:row>16</xdr:row>
          <xdr:rowOff>247650</xdr:rowOff>
        </xdr:to>
        <xdr:sp macro="" textlink="">
          <xdr:nvSpPr>
            <xdr:cNvPr id="96286" name="Option Button 30" hidden="1">
              <a:extLst>
                <a:ext uri="{63B3BB69-23CF-44E3-9099-C40C66FF867C}">
                  <a14:compatExt spid="_x0000_s96286"/>
                </a:ext>
                <a:ext uri="{FF2B5EF4-FFF2-40B4-BE49-F238E27FC236}">
                  <a16:creationId xmlns:a16="http://schemas.microsoft.com/office/drawing/2014/main" id="{00000000-0008-0000-3E00-00001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17</xdr:row>
          <xdr:rowOff>76200</xdr:rowOff>
        </xdr:from>
        <xdr:to>
          <xdr:col>7</xdr:col>
          <xdr:colOff>247650</xdr:colOff>
          <xdr:row>18</xdr:row>
          <xdr:rowOff>28575</xdr:rowOff>
        </xdr:to>
        <xdr:sp macro="" textlink="">
          <xdr:nvSpPr>
            <xdr:cNvPr id="96287" name="Option Button 31" hidden="1">
              <a:extLst>
                <a:ext uri="{63B3BB69-23CF-44E3-9099-C40C66FF867C}">
                  <a14:compatExt spid="_x0000_s96287"/>
                </a:ext>
                <a:ext uri="{FF2B5EF4-FFF2-40B4-BE49-F238E27FC236}">
                  <a16:creationId xmlns:a16="http://schemas.microsoft.com/office/drawing/2014/main" id="{00000000-0008-0000-3E00-00001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18</xdr:row>
          <xdr:rowOff>57150</xdr:rowOff>
        </xdr:from>
        <xdr:to>
          <xdr:col>7</xdr:col>
          <xdr:colOff>247650</xdr:colOff>
          <xdr:row>18</xdr:row>
          <xdr:rowOff>266700</xdr:rowOff>
        </xdr:to>
        <xdr:sp macro="" textlink="">
          <xdr:nvSpPr>
            <xdr:cNvPr id="96288" name="Option Button 32" hidden="1">
              <a:extLst>
                <a:ext uri="{63B3BB69-23CF-44E3-9099-C40C66FF867C}">
                  <a14:compatExt spid="_x0000_s96288"/>
                </a:ext>
                <a:ext uri="{FF2B5EF4-FFF2-40B4-BE49-F238E27FC236}">
                  <a16:creationId xmlns:a16="http://schemas.microsoft.com/office/drawing/2014/main" id="{00000000-0008-0000-3E00-00002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19</xdr:row>
          <xdr:rowOff>57150</xdr:rowOff>
        </xdr:from>
        <xdr:to>
          <xdr:col>7</xdr:col>
          <xdr:colOff>247650</xdr:colOff>
          <xdr:row>19</xdr:row>
          <xdr:rowOff>266700</xdr:rowOff>
        </xdr:to>
        <xdr:sp macro="" textlink="">
          <xdr:nvSpPr>
            <xdr:cNvPr id="96289" name="Option Button 33" hidden="1">
              <a:extLst>
                <a:ext uri="{63B3BB69-23CF-44E3-9099-C40C66FF867C}">
                  <a14:compatExt spid="_x0000_s96289"/>
                </a:ext>
                <a:ext uri="{FF2B5EF4-FFF2-40B4-BE49-F238E27FC236}">
                  <a16:creationId xmlns:a16="http://schemas.microsoft.com/office/drawing/2014/main" id="{00000000-0008-0000-3E00-00002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17</xdr:row>
          <xdr:rowOff>28575</xdr:rowOff>
        </xdr:from>
        <xdr:to>
          <xdr:col>8</xdr:col>
          <xdr:colOff>28575</xdr:colOff>
          <xdr:row>20</xdr:row>
          <xdr:rowOff>247650</xdr:rowOff>
        </xdr:to>
        <xdr:sp macro="" textlink="">
          <xdr:nvSpPr>
            <xdr:cNvPr id="96290" name="Group Box 34" hidden="1">
              <a:extLst>
                <a:ext uri="{63B3BB69-23CF-44E3-9099-C40C66FF867C}">
                  <a14:compatExt spid="_x0000_s96290"/>
                </a:ext>
                <a:ext uri="{FF2B5EF4-FFF2-40B4-BE49-F238E27FC236}">
                  <a16:creationId xmlns:a16="http://schemas.microsoft.com/office/drawing/2014/main" id="{00000000-0008-0000-3E00-00002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20</xdr:row>
          <xdr:rowOff>9525</xdr:rowOff>
        </xdr:from>
        <xdr:to>
          <xdr:col>7</xdr:col>
          <xdr:colOff>247650</xdr:colOff>
          <xdr:row>20</xdr:row>
          <xdr:rowOff>228600</xdr:rowOff>
        </xdr:to>
        <xdr:sp macro="" textlink="">
          <xdr:nvSpPr>
            <xdr:cNvPr id="96291" name="Option Button 35" hidden="1">
              <a:extLst>
                <a:ext uri="{63B3BB69-23CF-44E3-9099-C40C66FF867C}">
                  <a14:compatExt spid="_x0000_s96291"/>
                </a:ext>
                <a:ext uri="{FF2B5EF4-FFF2-40B4-BE49-F238E27FC236}">
                  <a16:creationId xmlns:a16="http://schemas.microsoft.com/office/drawing/2014/main" id="{00000000-0008-0000-3E00-00002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17</xdr:row>
          <xdr:rowOff>38100</xdr:rowOff>
        </xdr:from>
        <xdr:to>
          <xdr:col>9</xdr:col>
          <xdr:colOff>247650</xdr:colOff>
          <xdr:row>17</xdr:row>
          <xdr:rowOff>266700</xdr:rowOff>
        </xdr:to>
        <xdr:sp macro="" textlink="">
          <xdr:nvSpPr>
            <xdr:cNvPr id="96292" name="Option Button 36" hidden="1">
              <a:extLst>
                <a:ext uri="{63B3BB69-23CF-44E3-9099-C40C66FF867C}">
                  <a14:compatExt spid="_x0000_s96292"/>
                </a:ext>
                <a:ext uri="{FF2B5EF4-FFF2-40B4-BE49-F238E27FC236}">
                  <a16:creationId xmlns:a16="http://schemas.microsoft.com/office/drawing/2014/main" id="{00000000-0008-0000-3E00-00002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18</xdr:row>
          <xdr:rowOff>28575</xdr:rowOff>
        </xdr:from>
        <xdr:to>
          <xdr:col>9</xdr:col>
          <xdr:colOff>247650</xdr:colOff>
          <xdr:row>18</xdr:row>
          <xdr:rowOff>266700</xdr:rowOff>
        </xdr:to>
        <xdr:sp macro="" textlink="">
          <xdr:nvSpPr>
            <xdr:cNvPr id="96293" name="Option Button 37" hidden="1">
              <a:extLst>
                <a:ext uri="{63B3BB69-23CF-44E3-9099-C40C66FF867C}">
                  <a14:compatExt spid="_x0000_s96293"/>
                </a:ext>
                <a:ext uri="{FF2B5EF4-FFF2-40B4-BE49-F238E27FC236}">
                  <a16:creationId xmlns:a16="http://schemas.microsoft.com/office/drawing/2014/main" id="{00000000-0008-0000-3E00-00002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19</xdr:row>
          <xdr:rowOff>38100</xdr:rowOff>
        </xdr:from>
        <xdr:to>
          <xdr:col>9</xdr:col>
          <xdr:colOff>247650</xdr:colOff>
          <xdr:row>19</xdr:row>
          <xdr:rowOff>266700</xdr:rowOff>
        </xdr:to>
        <xdr:sp macro="" textlink="">
          <xdr:nvSpPr>
            <xdr:cNvPr id="96294" name="Option Button 38" hidden="1">
              <a:extLst>
                <a:ext uri="{63B3BB69-23CF-44E3-9099-C40C66FF867C}">
                  <a14:compatExt spid="_x0000_s96294"/>
                </a:ext>
                <a:ext uri="{FF2B5EF4-FFF2-40B4-BE49-F238E27FC236}">
                  <a16:creationId xmlns:a16="http://schemas.microsoft.com/office/drawing/2014/main" id="{00000000-0008-0000-3E00-00002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20</xdr:row>
          <xdr:rowOff>28575</xdr:rowOff>
        </xdr:from>
        <xdr:to>
          <xdr:col>9</xdr:col>
          <xdr:colOff>247650</xdr:colOff>
          <xdr:row>20</xdr:row>
          <xdr:rowOff>247650</xdr:rowOff>
        </xdr:to>
        <xdr:sp macro="" textlink="">
          <xdr:nvSpPr>
            <xdr:cNvPr id="96295" name="Option Button 39" hidden="1">
              <a:extLst>
                <a:ext uri="{63B3BB69-23CF-44E3-9099-C40C66FF867C}">
                  <a14:compatExt spid="_x0000_s96295"/>
                </a:ext>
                <a:ext uri="{FF2B5EF4-FFF2-40B4-BE49-F238E27FC236}">
                  <a16:creationId xmlns:a16="http://schemas.microsoft.com/office/drawing/2014/main" id="{00000000-0008-0000-3E00-00002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9525</xdr:rowOff>
        </xdr:from>
        <xdr:to>
          <xdr:col>10</xdr:col>
          <xdr:colOff>0</xdr:colOff>
          <xdr:row>20</xdr:row>
          <xdr:rowOff>266700</xdr:rowOff>
        </xdr:to>
        <xdr:sp macro="" textlink="">
          <xdr:nvSpPr>
            <xdr:cNvPr id="96296" name="Group Box 40" hidden="1">
              <a:extLst>
                <a:ext uri="{63B3BB69-23CF-44E3-9099-C40C66FF867C}">
                  <a14:compatExt spid="_x0000_s96296"/>
                </a:ext>
                <a:ext uri="{FF2B5EF4-FFF2-40B4-BE49-F238E27FC236}">
                  <a16:creationId xmlns:a16="http://schemas.microsoft.com/office/drawing/2014/main" id="{00000000-0008-0000-3E00-00002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21</xdr:row>
          <xdr:rowOff>76200</xdr:rowOff>
        </xdr:from>
        <xdr:to>
          <xdr:col>7</xdr:col>
          <xdr:colOff>247650</xdr:colOff>
          <xdr:row>22</xdr:row>
          <xdr:rowOff>0</xdr:rowOff>
        </xdr:to>
        <xdr:sp macro="" textlink="">
          <xdr:nvSpPr>
            <xdr:cNvPr id="96297" name="Option Button 41" hidden="1">
              <a:extLst>
                <a:ext uri="{63B3BB69-23CF-44E3-9099-C40C66FF867C}">
                  <a14:compatExt spid="_x0000_s96297"/>
                </a:ext>
                <a:ext uri="{FF2B5EF4-FFF2-40B4-BE49-F238E27FC236}">
                  <a16:creationId xmlns:a16="http://schemas.microsoft.com/office/drawing/2014/main" id="{00000000-0008-0000-3E00-00002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22</xdr:row>
          <xdr:rowOff>38100</xdr:rowOff>
        </xdr:from>
        <xdr:to>
          <xdr:col>7</xdr:col>
          <xdr:colOff>247650</xdr:colOff>
          <xdr:row>22</xdr:row>
          <xdr:rowOff>266700</xdr:rowOff>
        </xdr:to>
        <xdr:sp macro="" textlink="">
          <xdr:nvSpPr>
            <xdr:cNvPr id="96298" name="Option Button 42" hidden="1">
              <a:extLst>
                <a:ext uri="{63B3BB69-23CF-44E3-9099-C40C66FF867C}">
                  <a14:compatExt spid="_x0000_s96298"/>
                </a:ext>
                <a:ext uri="{FF2B5EF4-FFF2-40B4-BE49-F238E27FC236}">
                  <a16:creationId xmlns:a16="http://schemas.microsoft.com/office/drawing/2014/main" id="{00000000-0008-0000-3E00-00002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23</xdr:row>
          <xdr:rowOff>57150</xdr:rowOff>
        </xdr:from>
        <xdr:to>
          <xdr:col>7</xdr:col>
          <xdr:colOff>247650</xdr:colOff>
          <xdr:row>23</xdr:row>
          <xdr:rowOff>266700</xdr:rowOff>
        </xdr:to>
        <xdr:sp macro="" textlink="">
          <xdr:nvSpPr>
            <xdr:cNvPr id="96299" name="Option Button 43" hidden="1">
              <a:extLst>
                <a:ext uri="{63B3BB69-23CF-44E3-9099-C40C66FF867C}">
                  <a14:compatExt spid="_x0000_s96299"/>
                </a:ext>
                <a:ext uri="{FF2B5EF4-FFF2-40B4-BE49-F238E27FC236}">
                  <a16:creationId xmlns:a16="http://schemas.microsoft.com/office/drawing/2014/main" id="{00000000-0008-0000-3E00-00002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21</xdr:row>
          <xdr:rowOff>38100</xdr:rowOff>
        </xdr:from>
        <xdr:to>
          <xdr:col>9</xdr:col>
          <xdr:colOff>247650</xdr:colOff>
          <xdr:row>21</xdr:row>
          <xdr:rowOff>266700</xdr:rowOff>
        </xdr:to>
        <xdr:sp macro="" textlink="">
          <xdr:nvSpPr>
            <xdr:cNvPr id="96300" name="Option Button 44" hidden="1">
              <a:extLst>
                <a:ext uri="{63B3BB69-23CF-44E3-9099-C40C66FF867C}">
                  <a14:compatExt spid="_x0000_s96300"/>
                </a:ext>
                <a:ext uri="{FF2B5EF4-FFF2-40B4-BE49-F238E27FC236}">
                  <a16:creationId xmlns:a16="http://schemas.microsoft.com/office/drawing/2014/main" id="{00000000-0008-0000-3E00-00002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22</xdr:row>
          <xdr:rowOff>28575</xdr:rowOff>
        </xdr:from>
        <xdr:to>
          <xdr:col>9</xdr:col>
          <xdr:colOff>247650</xdr:colOff>
          <xdr:row>22</xdr:row>
          <xdr:rowOff>266700</xdr:rowOff>
        </xdr:to>
        <xdr:sp macro="" textlink="">
          <xdr:nvSpPr>
            <xdr:cNvPr id="96301" name="Option Button 45" hidden="1">
              <a:extLst>
                <a:ext uri="{63B3BB69-23CF-44E3-9099-C40C66FF867C}">
                  <a14:compatExt spid="_x0000_s96301"/>
                </a:ext>
                <a:ext uri="{FF2B5EF4-FFF2-40B4-BE49-F238E27FC236}">
                  <a16:creationId xmlns:a16="http://schemas.microsoft.com/office/drawing/2014/main" id="{00000000-0008-0000-3E00-00002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23</xdr:row>
          <xdr:rowOff>38100</xdr:rowOff>
        </xdr:from>
        <xdr:to>
          <xdr:col>9</xdr:col>
          <xdr:colOff>247650</xdr:colOff>
          <xdr:row>23</xdr:row>
          <xdr:rowOff>266700</xdr:rowOff>
        </xdr:to>
        <xdr:sp macro="" textlink="">
          <xdr:nvSpPr>
            <xdr:cNvPr id="96302" name="Option Button 46" hidden="1">
              <a:extLst>
                <a:ext uri="{63B3BB69-23CF-44E3-9099-C40C66FF867C}">
                  <a14:compatExt spid="_x0000_s96302"/>
                </a:ext>
                <a:ext uri="{FF2B5EF4-FFF2-40B4-BE49-F238E27FC236}">
                  <a16:creationId xmlns:a16="http://schemas.microsoft.com/office/drawing/2014/main" id="{00000000-0008-0000-3E00-00002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24</xdr:row>
          <xdr:rowOff>28575</xdr:rowOff>
        </xdr:from>
        <xdr:to>
          <xdr:col>9</xdr:col>
          <xdr:colOff>247650</xdr:colOff>
          <xdr:row>24</xdr:row>
          <xdr:rowOff>247650</xdr:rowOff>
        </xdr:to>
        <xdr:sp macro="" textlink="">
          <xdr:nvSpPr>
            <xdr:cNvPr id="96303" name="Option Button 47" hidden="1">
              <a:extLst>
                <a:ext uri="{63B3BB69-23CF-44E3-9099-C40C66FF867C}">
                  <a14:compatExt spid="_x0000_s96303"/>
                </a:ext>
                <a:ext uri="{FF2B5EF4-FFF2-40B4-BE49-F238E27FC236}">
                  <a16:creationId xmlns:a16="http://schemas.microsoft.com/office/drawing/2014/main" id="{00000000-0008-0000-3E00-00002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xdr:row>
          <xdr:rowOff>28575</xdr:rowOff>
        </xdr:from>
        <xdr:to>
          <xdr:col>8</xdr:col>
          <xdr:colOff>9525</xdr:colOff>
          <xdr:row>24</xdr:row>
          <xdr:rowOff>266700</xdr:rowOff>
        </xdr:to>
        <xdr:sp macro="" textlink="">
          <xdr:nvSpPr>
            <xdr:cNvPr id="96304" name="Group Box 48" hidden="1">
              <a:extLst>
                <a:ext uri="{63B3BB69-23CF-44E3-9099-C40C66FF867C}">
                  <a14:compatExt spid="_x0000_s96304"/>
                </a:ext>
                <a:ext uri="{FF2B5EF4-FFF2-40B4-BE49-F238E27FC236}">
                  <a16:creationId xmlns:a16="http://schemas.microsoft.com/office/drawing/2014/main" id="{00000000-0008-0000-3E00-000030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xdr:row>
          <xdr:rowOff>9525</xdr:rowOff>
        </xdr:from>
        <xdr:to>
          <xdr:col>10</xdr:col>
          <xdr:colOff>9525</xdr:colOff>
          <xdr:row>24</xdr:row>
          <xdr:rowOff>266700</xdr:rowOff>
        </xdr:to>
        <xdr:sp macro="" textlink="">
          <xdr:nvSpPr>
            <xdr:cNvPr id="96305" name="Group Box 49" hidden="1">
              <a:extLst>
                <a:ext uri="{63B3BB69-23CF-44E3-9099-C40C66FF867C}">
                  <a14:compatExt spid="_x0000_s96305"/>
                </a:ext>
                <a:ext uri="{FF2B5EF4-FFF2-40B4-BE49-F238E27FC236}">
                  <a16:creationId xmlns:a16="http://schemas.microsoft.com/office/drawing/2014/main" id="{00000000-0008-0000-3E00-000031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24</xdr:row>
          <xdr:rowOff>0</xdr:rowOff>
        </xdr:from>
        <xdr:to>
          <xdr:col>7</xdr:col>
          <xdr:colOff>247650</xdr:colOff>
          <xdr:row>24</xdr:row>
          <xdr:rowOff>219075</xdr:rowOff>
        </xdr:to>
        <xdr:sp macro="" textlink="">
          <xdr:nvSpPr>
            <xdr:cNvPr id="96306" name="Option Button 50" hidden="1">
              <a:extLst>
                <a:ext uri="{63B3BB69-23CF-44E3-9099-C40C66FF867C}">
                  <a14:compatExt spid="_x0000_s96306"/>
                </a:ext>
                <a:ext uri="{FF2B5EF4-FFF2-40B4-BE49-F238E27FC236}">
                  <a16:creationId xmlns:a16="http://schemas.microsoft.com/office/drawing/2014/main" id="{00000000-0008-0000-3E00-00003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25</xdr:row>
          <xdr:rowOff>76200</xdr:rowOff>
        </xdr:from>
        <xdr:to>
          <xdr:col>7</xdr:col>
          <xdr:colOff>247650</xdr:colOff>
          <xdr:row>26</xdr:row>
          <xdr:rowOff>28575</xdr:rowOff>
        </xdr:to>
        <xdr:sp macro="" textlink="">
          <xdr:nvSpPr>
            <xdr:cNvPr id="96307" name="Option Button 51" hidden="1">
              <a:extLst>
                <a:ext uri="{63B3BB69-23CF-44E3-9099-C40C66FF867C}">
                  <a14:compatExt spid="_x0000_s96307"/>
                </a:ext>
                <a:ext uri="{FF2B5EF4-FFF2-40B4-BE49-F238E27FC236}">
                  <a16:creationId xmlns:a16="http://schemas.microsoft.com/office/drawing/2014/main" id="{00000000-0008-0000-3E00-00003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26</xdr:row>
          <xdr:rowOff>57150</xdr:rowOff>
        </xdr:from>
        <xdr:to>
          <xdr:col>7</xdr:col>
          <xdr:colOff>247650</xdr:colOff>
          <xdr:row>26</xdr:row>
          <xdr:rowOff>266700</xdr:rowOff>
        </xdr:to>
        <xdr:sp macro="" textlink="">
          <xdr:nvSpPr>
            <xdr:cNvPr id="96308" name="Option Button 52" hidden="1">
              <a:extLst>
                <a:ext uri="{63B3BB69-23CF-44E3-9099-C40C66FF867C}">
                  <a14:compatExt spid="_x0000_s96308"/>
                </a:ext>
                <a:ext uri="{FF2B5EF4-FFF2-40B4-BE49-F238E27FC236}">
                  <a16:creationId xmlns:a16="http://schemas.microsoft.com/office/drawing/2014/main" id="{00000000-0008-0000-3E00-00003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27</xdr:row>
          <xdr:rowOff>28575</xdr:rowOff>
        </xdr:from>
        <xdr:to>
          <xdr:col>7</xdr:col>
          <xdr:colOff>247650</xdr:colOff>
          <xdr:row>27</xdr:row>
          <xdr:rowOff>266700</xdr:rowOff>
        </xdr:to>
        <xdr:sp macro="" textlink="">
          <xdr:nvSpPr>
            <xdr:cNvPr id="96309" name="Option Button 53" hidden="1">
              <a:extLst>
                <a:ext uri="{63B3BB69-23CF-44E3-9099-C40C66FF867C}">
                  <a14:compatExt spid="_x0000_s96309"/>
                </a:ext>
                <a:ext uri="{FF2B5EF4-FFF2-40B4-BE49-F238E27FC236}">
                  <a16:creationId xmlns:a16="http://schemas.microsoft.com/office/drawing/2014/main" id="{00000000-0008-0000-3E00-00003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25</xdr:row>
          <xdr:rowOff>28575</xdr:rowOff>
        </xdr:from>
        <xdr:to>
          <xdr:col>8</xdr:col>
          <xdr:colOff>28575</xdr:colOff>
          <xdr:row>28</xdr:row>
          <xdr:rowOff>247650</xdr:rowOff>
        </xdr:to>
        <xdr:sp macro="" textlink="">
          <xdr:nvSpPr>
            <xdr:cNvPr id="96310" name="Group Box 54" hidden="1">
              <a:extLst>
                <a:ext uri="{63B3BB69-23CF-44E3-9099-C40C66FF867C}">
                  <a14:compatExt spid="_x0000_s96310"/>
                </a:ext>
                <a:ext uri="{FF2B5EF4-FFF2-40B4-BE49-F238E27FC236}">
                  <a16:creationId xmlns:a16="http://schemas.microsoft.com/office/drawing/2014/main" id="{00000000-0008-0000-3E00-000036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27</xdr:row>
          <xdr:rowOff>266700</xdr:rowOff>
        </xdr:from>
        <xdr:to>
          <xdr:col>7</xdr:col>
          <xdr:colOff>247650</xdr:colOff>
          <xdr:row>28</xdr:row>
          <xdr:rowOff>219075</xdr:rowOff>
        </xdr:to>
        <xdr:sp macro="" textlink="">
          <xdr:nvSpPr>
            <xdr:cNvPr id="96311" name="Option Button 55" hidden="1">
              <a:extLst>
                <a:ext uri="{63B3BB69-23CF-44E3-9099-C40C66FF867C}">
                  <a14:compatExt spid="_x0000_s96311"/>
                </a:ext>
                <a:ext uri="{FF2B5EF4-FFF2-40B4-BE49-F238E27FC236}">
                  <a16:creationId xmlns:a16="http://schemas.microsoft.com/office/drawing/2014/main" id="{00000000-0008-0000-3E00-00003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25</xdr:row>
          <xdr:rowOff>38100</xdr:rowOff>
        </xdr:from>
        <xdr:to>
          <xdr:col>9</xdr:col>
          <xdr:colOff>247650</xdr:colOff>
          <xdr:row>25</xdr:row>
          <xdr:rowOff>266700</xdr:rowOff>
        </xdr:to>
        <xdr:sp macro="" textlink="">
          <xdr:nvSpPr>
            <xdr:cNvPr id="96312" name="Option Button 56" hidden="1">
              <a:extLst>
                <a:ext uri="{63B3BB69-23CF-44E3-9099-C40C66FF867C}">
                  <a14:compatExt spid="_x0000_s96312"/>
                </a:ext>
                <a:ext uri="{FF2B5EF4-FFF2-40B4-BE49-F238E27FC236}">
                  <a16:creationId xmlns:a16="http://schemas.microsoft.com/office/drawing/2014/main" id="{00000000-0008-0000-3E00-00003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26</xdr:row>
          <xdr:rowOff>28575</xdr:rowOff>
        </xdr:from>
        <xdr:to>
          <xdr:col>9</xdr:col>
          <xdr:colOff>247650</xdr:colOff>
          <xdr:row>26</xdr:row>
          <xdr:rowOff>266700</xdr:rowOff>
        </xdr:to>
        <xdr:sp macro="" textlink="">
          <xdr:nvSpPr>
            <xdr:cNvPr id="96313" name="Option Button 57" hidden="1">
              <a:extLst>
                <a:ext uri="{63B3BB69-23CF-44E3-9099-C40C66FF867C}">
                  <a14:compatExt spid="_x0000_s96313"/>
                </a:ext>
                <a:ext uri="{FF2B5EF4-FFF2-40B4-BE49-F238E27FC236}">
                  <a16:creationId xmlns:a16="http://schemas.microsoft.com/office/drawing/2014/main" id="{00000000-0008-0000-3E00-00003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27</xdr:row>
          <xdr:rowOff>38100</xdr:rowOff>
        </xdr:from>
        <xdr:to>
          <xdr:col>9</xdr:col>
          <xdr:colOff>247650</xdr:colOff>
          <xdr:row>27</xdr:row>
          <xdr:rowOff>266700</xdr:rowOff>
        </xdr:to>
        <xdr:sp macro="" textlink="">
          <xdr:nvSpPr>
            <xdr:cNvPr id="96314" name="Option Button 58" hidden="1">
              <a:extLst>
                <a:ext uri="{63B3BB69-23CF-44E3-9099-C40C66FF867C}">
                  <a14:compatExt spid="_x0000_s96314"/>
                </a:ext>
                <a:ext uri="{FF2B5EF4-FFF2-40B4-BE49-F238E27FC236}">
                  <a16:creationId xmlns:a16="http://schemas.microsoft.com/office/drawing/2014/main" id="{00000000-0008-0000-3E00-00003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28</xdr:row>
          <xdr:rowOff>28575</xdr:rowOff>
        </xdr:from>
        <xdr:to>
          <xdr:col>9</xdr:col>
          <xdr:colOff>247650</xdr:colOff>
          <xdr:row>28</xdr:row>
          <xdr:rowOff>247650</xdr:rowOff>
        </xdr:to>
        <xdr:sp macro="" textlink="">
          <xdr:nvSpPr>
            <xdr:cNvPr id="96315" name="Option Button 59" hidden="1">
              <a:extLst>
                <a:ext uri="{63B3BB69-23CF-44E3-9099-C40C66FF867C}">
                  <a14:compatExt spid="_x0000_s96315"/>
                </a:ext>
                <a:ext uri="{FF2B5EF4-FFF2-40B4-BE49-F238E27FC236}">
                  <a16:creationId xmlns:a16="http://schemas.microsoft.com/office/drawing/2014/main" id="{00000000-0008-0000-3E00-00003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xdr:row>
          <xdr:rowOff>9525</xdr:rowOff>
        </xdr:from>
        <xdr:to>
          <xdr:col>10</xdr:col>
          <xdr:colOff>0</xdr:colOff>
          <xdr:row>28</xdr:row>
          <xdr:rowOff>266700</xdr:rowOff>
        </xdr:to>
        <xdr:sp macro="" textlink="">
          <xdr:nvSpPr>
            <xdr:cNvPr id="96316" name="Group Box 60" hidden="1">
              <a:extLst>
                <a:ext uri="{63B3BB69-23CF-44E3-9099-C40C66FF867C}">
                  <a14:compatExt spid="_x0000_s96316"/>
                </a:ext>
                <a:ext uri="{FF2B5EF4-FFF2-40B4-BE49-F238E27FC236}">
                  <a16:creationId xmlns:a16="http://schemas.microsoft.com/office/drawing/2014/main" id="{00000000-0008-0000-3E00-00003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29</xdr:row>
          <xdr:rowOff>76200</xdr:rowOff>
        </xdr:from>
        <xdr:to>
          <xdr:col>7</xdr:col>
          <xdr:colOff>247650</xdr:colOff>
          <xdr:row>30</xdr:row>
          <xdr:rowOff>9525</xdr:rowOff>
        </xdr:to>
        <xdr:sp macro="" textlink="">
          <xdr:nvSpPr>
            <xdr:cNvPr id="96317" name="Option Button 61" hidden="1">
              <a:extLst>
                <a:ext uri="{63B3BB69-23CF-44E3-9099-C40C66FF867C}">
                  <a14:compatExt spid="_x0000_s96317"/>
                </a:ext>
                <a:ext uri="{FF2B5EF4-FFF2-40B4-BE49-F238E27FC236}">
                  <a16:creationId xmlns:a16="http://schemas.microsoft.com/office/drawing/2014/main" id="{00000000-0008-0000-3E00-00003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30</xdr:row>
          <xdr:rowOff>76200</xdr:rowOff>
        </xdr:from>
        <xdr:to>
          <xdr:col>7</xdr:col>
          <xdr:colOff>247650</xdr:colOff>
          <xdr:row>31</xdr:row>
          <xdr:rowOff>9525</xdr:rowOff>
        </xdr:to>
        <xdr:sp macro="" textlink="">
          <xdr:nvSpPr>
            <xdr:cNvPr id="96318" name="Option Button 62" hidden="1">
              <a:extLst>
                <a:ext uri="{63B3BB69-23CF-44E3-9099-C40C66FF867C}">
                  <a14:compatExt spid="_x0000_s96318"/>
                </a:ext>
                <a:ext uri="{FF2B5EF4-FFF2-40B4-BE49-F238E27FC236}">
                  <a16:creationId xmlns:a16="http://schemas.microsoft.com/office/drawing/2014/main" id="{00000000-0008-0000-3E00-00003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31</xdr:row>
          <xdr:rowOff>76200</xdr:rowOff>
        </xdr:from>
        <xdr:to>
          <xdr:col>7</xdr:col>
          <xdr:colOff>247650</xdr:colOff>
          <xdr:row>32</xdr:row>
          <xdr:rowOff>0</xdr:rowOff>
        </xdr:to>
        <xdr:sp macro="" textlink="">
          <xdr:nvSpPr>
            <xdr:cNvPr id="96319" name="Option Button 63" hidden="1">
              <a:extLst>
                <a:ext uri="{63B3BB69-23CF-44E3-9099-C40C66FF867C}">
                  <a14:compatExt spid="_x0000_s96319"/>
                </a:ext>
                <a:ext uri="{FF2B5EF4-FFF2-40B4-BE49-F238E27FC236}">
                  <a16:creationId xmlns:a16="http://schemas.microsoft.com/office/drawing/2014/main" id="{00000000-0008-0000-3E00-00003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29</xdr:row>
          <xdr:rowOff>76200</xdr:rowOff>
        </xdr:from>
        <xdr:to>
          <xdr:col>9</xdr:col>
          <xdr:colOff>247650</xdr:colOff>
          <xdr:row>30</xdr:row>
          <xdr:rowOff>0</xdr:rowOff>
        </xdr:to>
        <xdr:sp macro="" textlink="">
          <xdr:nvSpPr>
            <xdr:cNvPr id="96320" name="Option Button 64" hidden="1">
              <a:extLst>
                <a:ext uri="{63B3BB69-23CF-44E3-9099-C40C66FF867C}">
                  <a14:compatExt spid="_x0000_s96320"/>
                </a:ext>
                <a:ext uri="{FF2B5EF4-FFF2-40B4-BE49-F238E27FC236}">
                  <a16:creationId xmlns:a16="http://schemas.microsoft.com/office/drawing/2014/main" id="{00000000-0008-0000-3E00-00004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30</xdr:row>
          <xdr:rowOff>57150</xdr:rowOff>
        </xdr:from>
        <xdr:to>
          <xdr:col>9</xdr:col>
          <xdr:colOff>247650</xdr:colOff>
          <xdr:row>30</xdr:row>
          <xdr:rowOff>266700</xdr:rowOff>
        </xdr:to>
        <xdr:sp macro="" textlink="">
          <xdr:nvSpPr>
            <xdr:cNvPr id="96321" name="Option Button 65" hidden="1">
              <a:extLst>
                <a:ext uri="{63B3BB69-23CF-44E3-9099-C40C66FF867C}">
                  <a14:compatExt spid="_x0000_s96321"/>
                </a:ext>
                <a:ext uri="{FF2B5EF4-FFF2-40B4-BE49-F238E27FC236}">
                  <a16:creationId xmlns:a16="http://schemas.microsoft.com/office/drawing/2014/main" id="{00000000-0008-0000-3E00-00004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31</xdr:row>
          <xdr:rowOff>76200</xdr:rowOff>
        </xdr:from>
        <xdr:to>
          <xdr:col>9</xdr:col>
          <xdr:colOff>247650</xdr:colOff>
          <xdr:row>32</xdr:row>
          <xdr:rowOff>0</xdr:rowOff>
        </xdr:to>
        <xdr:sp macro="" textlink="">
          <xdr:nvSpPr>
            <xdr:cNvPr id="96322" name="Option Button 66" hidden="1">
              <a:extLst>
                <a:ext uri="{63B3BB69-23CF-44E3-9099-C40C66FF867C}">
                  <a14:compatExt spid="_x0000_s96322"/>
                </a:ext>
                <a:ext uri="{FF2B5EF4-FFF2-40B4-BE49-F238E27FC236}">
                  <a16:creationId xmlns:a16="http://schemas.microsoft.com/office/drawing/2014/main" id="{00000000-0008-0000-3E00-00004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32</xdr:row>
          <xdr:rowOff>38100</xdr:rowOff>
        </xdr:from>
        <xdr:to>
          <xdr:col>9</xdr:col>
          <xdr:colOff>247650</xdr:colOff>
          <xdr:row>32</xdr:row>
          <xdr:rowOff>266700</xdr:rowOff>
        </xdr:to>
        <xdr:sp macro="" textlink="">
          <xdr:nvSpPr>
            <xdr:cNvPr id="96323" name="Option Button 67" hidden="1">
              <a:extLst>
                <a:ext uri="{63B3BB69-23CF-44E3-9099-C40C66FF867C}">
                  <a14:compatExt spid="_x0000_s96323"/>
                </a:ext>
                <a:ext uri="{FF2B5EF4-FFF2-40B4-BE49-F238E27FC236}">
                  <a16:creationId xmlns:a16="http://schemas.microsoft.com/office/drawing/2014/main" id="{00000000-0008-0000-3E00-00004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xdr:row>
          <xdr:rowOff>38100</xdr:rowOff>
        </xdr:from>
        <xdr:to>
          <xdr:col>8</xdr:col>
          <xdr:colOff>9525</xdr:colOff>
          <xdr:row>32</xdr:row>
          <xdr:rowOff>266700</xdr:rowOff>
        </xdr:to>
        <xdr:sp macro="" textlink="">
          <xdr:nvSpPr>
            <xdr:cNvPr id="96324" name="Group Box 68" hidden="1">
              <a:extLst>
                <a:ext uri="{63B3BB69-23CF-44E3-9099-C40C66FF867C}">
                  <a14:compatExt spid="_x0000_s96324"/>
                </a:ext>
                <a:ext uri="{FF2B5EF4-FFF2-40B4-BE49-F238E27FC236}">
                  <a16:creationId xmlns:a16="http://schemas.microsoft.com/office/drawing/2014/main" id="{00000000-0008-0000-3E00-00004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29</xdr:row>
          <xdr:rowOff>28575</xdr:rowOff>
        </xdr:from>
        <xdr:to>
          <xdr:col>10</xdr:col>
          <xdr:colOff>9525</xdr:colOff>
          <xdr:row>32</xdr:row>
          <xdr:rowOff>266700</xdr:rowOff>
        </xdr:to>
        <xdr:sp macro="" textlink="">
          <xdr:nvSpPr>
            <xdr:cNvPr id="96325" name="Group Box 69" hidden="1">
              <a:extLst>
                <a:ext uri="{63B3BB69-23CF-44E3-9099-C40C66FF867C}">
                  <a14:compatExt spid="_x0000_s96325"/>
                </a:ext>
                <a:ext uri="{FF2B5EF4-FFF2-40B4-BE49-F238E27FC236}">
                  <a16:creationId xmlns:a16="http://schemas.microsoft.com/office/drawing/2014/main" id="{00000000-0008-0000-3E00-000045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32</xdr:row>
          <xdr:rowOff>9525</xdr:rowOff>
        </xdr:from>
        <xdr:to>
          <xdr:col>7</xdr:col>
          <xdr:colOff>247650</xdr:colOff>
          <xdr:row>32</xdr:row>
          <xdr:rowOff>228600</xdr:rowOff>
        </xdr:to>
        <xdr:sp macro="" textlink="">
          <xdr:nvSpPr>
            <xdr:cNvPr id="96326" name="Option Button 70" hidden="1">
              <a:extLst>
                <a:ext uri="{63B3BB69-23CF-44E3-9099-C40C66FF867C}">
                  <a14:compatExt spid="_x0000_s96326"/>
                </a:ext>
                <a:ext uri="{FF2B5EF4-FFF2-40B4-BE49-F238E27FC236}">
                  <a16:creationId xmlns:a16="http://schemas.microsoft.com/office/drawing/2014/main" id="{00000000-0008-0000-3E00-00004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33</xdr:row>
          <xdr:rowOff>76200</xdr:rowOff>
        </xdr:from>
        <xdr:to>
          <xdr:col>7</xdr:col>
          <xdr:colOff>247650</xdr:colOff>
          <xdr:row>34</xdr:row>
          <xdr:rowOff>28575</xdr:rowOff>
        </xdr:to>
        <xdr:sp macro="" textlink="">
          <xdr:nvSpPr>
            <xdr:cNvPr id="96327" name="Option Button 71" hidden="1">
              <a:extLst>
                <a:ext uri="{63B3BB69-23CF-44E3-9099-C40C66FF867C}">
                  <a14:compatExt spid="_x0000_s96327"/>
                </a:ext>
                <a:ext uri="{FF2B5EF4-FFF2-40B4-BE49-F238E27FC236}">
                  <a16:creationId xmlns:a16="http://schemas.microsoft.com/office/drawing/2014/main" id="{00000000-0008-0000-3E00-00004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34</xdr:row>
          <xdr:rowOff>57150</xdr:rowOff>
        </xdr:from>
        <xdr:to>
          <xdr:col>7</xdr:col>
          <xdr:colOff>247650</xdr:colOff>
          <xdr:row>34</xdr:row>
          <xdr:rowOff>266700</xdr:rowOff>
        </xdr:to>
        <xdr:sp macro="" textlink="">
          <xdr:nvSpPr>
            <xdr:cNvPr id="96328" name="Option Button 72" hidden="1">
              <a:extLst>
                <a:ext uri="{63B3BB69-23CF-44E3-9099-C40C66FF867C}">
                  <a14:compatExt spid="_x0000_s96328"/>
                </a:ext>
                <a:ext uri="{FF2B5EF4-FFF2-40B4-BE49-F238E27FC236}">
                  <a16:creationId xmlns:a16="http://schemas.microsoft.com/office/drawing/2014/main" id="{00000000-0008-0000-3E00-00004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35</xdr:row>
          <xdr:rowOff>38100</xdr:rowOff>
        </xdr:from>
        <xdr:to>
          <xdr:col>7</xdr:col>
          <xdr:colOff>247650</xdr:colOff>
          <xdr:row>35</xdr:row>
          <xdr:rowOff>266700</xdr:rowOff>
        </xdr:to>
        <xdr:sp macro="" textlink="">
          <xdr:nvSpPr>
            <xdr:cNvPr id="96329" name="Option Button 73" hidden="1">
              <a:extLst>
                <a:ext uri="{63B3BB69-23CF-44E3-9099-C40C66FF867C}">
                  <a14:compatExt spid="_x0000_s96329"/>
                </a:ext>
                <a:ext uri="{FF2B5EF4-FFF2-40B4-BE49-F238E27FC236}">
                  <a16:creationId xmlns:a16="http://schemas.microsoft.com/office/drawing/2014/main" id="{00000000-0008-0000-3E00-00004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33</xdr:row>
          <xdr:rowOff>47625</xdr:rowOff>
        </xdr:from>
        <xdr:to>
          <xdr:col>8</xdr:col>
          <xdr:colOff>28575</xdr:colOff>
          <xdr:row>36</xdr:row>
          <xdr:rowOff>266700</xdr:rowOff>
        </xdr:to>
        <xdr:sp macro="" textlink="">
          <xdr:nvSpPr>
            <xdr:cNvPr id="96330" name="Group Box 74" hidden="1">
              <a:extLst>
                <a:ext uri="{63B3BB69-23CF-44E3-9099-C40C66FF867C}">
                  <a14:compatExt spid="_x0000_s96330"/>
                </a:ext>
                <a:ext uri="{FF2B5EF4-FFF2-40B4-BE49-F238E27FC236}">
                  <a16:creationId xmlns:a16="http://schemas.microsoft.com/office/drawing/2014/main" id="{00000000-0008-0000-3E00-00004A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36</xdr:row>
          <xdr:rowOff>28575</xdr:rowOff>
        </xdr:from>
        <xdr:to>
          <xdr:col>7</xdr:col>
          <xdr:colOff>247650</xdr:colOff>
          <xdr:row>36</xdr:row>
          <xdr:rowOff>247650</xdr:rowOff>
        </xdr:to>
        <xdr:sp macro="" textlink="">
          <xdr:nvSpPr>
            <xdr:cNvPr id="96331" name="Option Button 75" hidden="1">
              <a:extLst>
                <a:ext uri="{63B3BB69-23CF-44E3-9099-C40C66FF867C}">
                  <a14:compatExt spid="_x0000_s96331"/>
                </a:ext>
                <a:ext uri="{FF2B5EF4-FFF2-40B4-BE49-F238E27FC236}">
                  <a16:creationId xmlns:a16="http://schemas.microsoft.com/office/drawing/2014/main" id="{00000000-0008-0000-3E00-00004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33</xdr:row>
          <xdr:rowOff>76200</xdr:rowOff>
        </xdr:from>
        <xdr:to>
          <xdr:col>9</xdr:col>
          <xdr:colOff>247650</xdr:colOff>
          <xdr:row>34</xdr:row>
          <xdr:rowOff>0</xdr:rowOff>
        </xdr:to>
        <xdr:sp macro="" textlink="">
          <xdr:nvSpPr>
            <xdr:cNvPr id="96332" name="Option Button 76" hidden="1">
              <a:extLst>
                <a:ext uri="{63B3BB69-23CF-44E3-9099-C40C66FF867C}">
                  <a14:compatExt spid="_x0000_s96332"/>
                </a:ext>
                <a:ext uri="{FF2B5EF4-FFF2-40B4-BE49-F238E27FC236}">
                  <a16:creationId xmlns:a16="http://schemas.microsoft.com/office/drawing/2014/main" id="{00000000-0008-0000-3E00-00004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34</xdr:row>
          <xdr:rowOff>57150</xdr:rowOff>
        </xdr:from>
        <xdr:to>
          <xdr:col>9</xdr:col>
          <xdr:colOff>247650</xdr:colOff>
          <xdr:row>34</xdr:row>
          <xdr:rowOff>266700</xdr:rowOff>
        </xdr:to>
        <xdr:sp macro="" textlink="">
          <xdr:nvSpPr>
            <xdr:cNvPr id="96333" name="Option Button 77" hidden="1">
              <a:extLst>
                <a:ext uri="{63B3BB69-23CF-44E3-9099-C40C66FF867C}">
                  <a14:compatExt spid="_x0000_s96333"/>
                </a:ext>
                <a:ext uri="{FF2B5EF4-FFF2-40B4-BE49-F238E27FC236}">
                  <a16:creationId xmlns:a16="http://schemas.microsoft.com/office/drawing/2014/main" id="{00000000-0008-0000-3E00-00004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35</xdr:row>
          <xdr:rowOff>38100</xdr:rowOff>
        </xdr:from>
        <xdr:to>
          <xdr:col>9</xdr:col>
          <xdr:colOff>247650</xdr:colOff>
          <xdr:row>35</xdr:row>
          <xdr:rowOff>266700</xdr:rowOff>
        </xdr:to>
        <xdr:sp macro="" textlink="">
          <xdr:nvSpPr>
            <xdr:cNvPr id="96334" name="Option Button 78" hidden="1">
              <a:extLst>
                <a:ext uri="{63B3BB69-23CF-44E3-9099-C40C66FF867C}">
                  <a14:compatExt spid="_x0000_s96334"/>
                </a:ext>
                <a:ext uri="{FF2B5EF4-FFF2-40B4-BE49-F238E27FC236}">
                  <a16:creationId xmlns:a16="http://schemas.microsoft.com/office/drawing/2014/main" id="{00000000-0008-0000-3E00-00004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36</xdr:row>
          <xdr:rowOff>38100</xdr:rowOff>
        </xdr:from>
        <xdr:to>
          <xdr:col>9</xdr:col>
          <xdr:colOff>247650</xdr:colOff>
          <xdr:row>36</xdr:row>
          <xdr:rowOff>266700</xdr:rowOff>
        </xdr:to>
        <xdr:sp macro="" textlink="">
          <xdr:nvSpPr>
            <xdr:cNvPr id="96335" name="Option Button 79" hidden="1">
              <a:extLst>
                <a:ext uri="{63B3BB69-23CF-44E3-9099-C40C66FF867C}">
                  <a14:compatExt spid="_x0000_s96335"/>
                </a:ext>
                <a:ext uri="{FF2B5EF4-FFF2-40B4-BE49-F238E27FC236}">
                  <a16:creationId xmlns:a16="http://schemas.microsoft.com/office/drawing/2014/main" id="{00000000-0008-0000-3E00-00004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33</xdr:row>
          <xdr:rowOff>28575</xdr:rowOff>
        </xdr:from>
        <xdr:to>
          <xdr:col>10</xdr:col>
          <xdr:colOff>0</xdr:colOff>
          <xdr:row>36</xdr:row>
          <xdr:rowOff>266700</xdr:rowOff>
        </xdr:to>
        <xdr:sp macro="" textlink="">
          <xdr:nvSpPr>
            <xdr:cNvPr id="96336" name="Group Box 80" hidden="1">
              <a:extLst>
                <a:ext uri="{63B3BB69-23CF-44E3-9099-C40C66FF867C}">
                  <a14:compatExt spid="_x0000_s96336"/>
                </a:ext>
                <a:ext uri="{FF2B5EF4-FFF2-40B4-BE49-F238E27FC236}">
                  <a16:creationId xmlns:a16="http://schemas.microsoft.com/office/drawing/2014/main" id="{00000000-0008-0000-3E00-000050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37</xdr:row>
          <xdr:rowOff>76200</xdr:rowOff>
        </xdr:from>
        <xdr:to>
          <xdr:col>7</xdr:col>
          <xdr:colOff>247650</xdr:colOff>
          <xdr:row>38</xdr:row>
          <xdr:rowOff>0</xdr:rowOff>
        </xdr:to>
        <xdr:sp macro="" textlink="">
          <xdr:nvSpPr>
            <xdr:cNvPr id="96337" name="Option Button 81" hidden="1">
              <a:extLst>
                <a:ext uri="{63B3BB69-23CF-44E3-9099-C40C66FF867C}">
                  <a14:compatExt spid="_x0000_s96337"/>
                </a:ext>
                <a:ext uri="{FF2B5EF4-FFF2-40B4-BE49-F238E27FC236}">
                  <a16:creationId xmlns:a16="http://schemas.microsoft.com/office/drawing/2014/main" id="{00000000-0008-0000-3E00-00005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38</xdr:row>
          <xdr:rowOff>76200</xdr:rowOff>
        </xdr:from>
        <xdr:to>
          <xdr:col>7</xdr:col>
          <xdr:colOff>247650</xdr:colOff>
          <xdr:row>39</xdr:row>
          <xdr:rowOff>9525</xdr:rowOff>
        </xdr:to>
        <xdr:sp macro="" textlink="">
          <xdr:nvSpPr>
            <xdr:cNvPr id="96338" name="Option Button 82" hidden="1">
              <a:extLst>
                <a:ext uri="{63B3BB69-23CF-44E3-9099-C40C66FF867C}">
                  <a14:compatExt spid="_x0000_s96338"/>
                </a:ext>
                <a:ext uri="{FF2B5EF4-FFF2-40B4-BE49-F238E27FC236}">
                  <a16:creationId xmlns:a16="http://schemas.microsoft.com/office/drawing/2014/main" id="{00000000-0008-0000-3E00-00005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39</xdr:row>
          <xdr:rowOff>57150</xdr:rowOff>
        </xdr:from>
        <xdr:to>
          <xdr:col>7</xdr:col>
          <xdr:colOff>247650</xdr:colOff>
          <xdr:row>39</xdr:row>
          <xdr:rowOff>266700</xdr:rowOff>
        </xdr:to>
        <xdr:sp macro="" textlink="">
          <xdr:nvSpPr>
            <xdr:cNvPr id="96339" name="Option Button 83" hidden="1">
              <a:extLst>
                <a:ext uri="{63B3BB69-23CF-44E3-9099-C40C66FF867C}">
                  <a14:compatExt spid="_x0000_s96339"/>
                </a:ext>
                <a:ext uri="{FF2B5EF4-FFF2-40B4-BE49-F238E27FC236}">
                  <a16:creationId xmlns:a16="http://schemas.microsoft.com/office/drawing/2014/main" id="{00000000-0008-0000-3E00-00005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37</xdr:row>
          <xdr:rowOff>57150</xdr:rowOff>
        </xdr:from>
        <xdr:to>
          <xdr:col>9</xdr:col>
          <xdr:colOff>247650</xdr:colOff>
          <xdr:row>37</xdr:row>
          <xdr:rowOff>266700</xdr:rowOff>
        </xdr:to>
        <xdr:sp macro="" textlink="">
          <xdr:nvSpPr>
            <xdr:cNvPr id="96340" name="Option Button 84" hidden="1">
              <a:extLst>
                <a:ext uri="{63B3BB69-23CF-44E3-9099-C40C66FF867C}">
                  <a14:compatExt spid="_x0000_s96340"/>
                </a:ext>
                <a:ext uri="{FF2B5EF4-FFF2-40B4-BE49-F238E27FC236}">
                  <a16:creationId xmlns:a16="http://schemas.microsoft.com/office/drawing/2014/main" id="{00000000-0008-0000-3E00-00005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38</xdr:row>
          <xdr:rowOff>38100</xdr:rowOff>
        </xdr:from>
        <xdr:to>
          <xdr:col>9</xdr:col>
          <xdr:colOff>247650</xdr:colOff>
          <xdr:row>38</xdr:row>
          <xdr:rowOff>266700</xdr:rowOff>
        </xdr:to>
        <xdr:sp macro="" textlink="">
          <xdr:nvSpPr>
            <xdr:cNvPr id="96341" name="Option Button 85" hidden="1">
              <a:extLst>
                <a:ext uri="{63B3BB69-23CF-44E3-9099-C40C66FF867C}">
                  <a14:compatExt spid="_x0000_s96341"/>
                </a:ext>
                <a:ext uri="{FF2B5EF4-FFF2-40B4-BE49-F238E27FC236}">
                  <a16:creationId xmlns:a16="http://schemas.microsoft.com/office/drawing/2014/main" id="{00000000-0008-0000-3E00-00005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39</xdr:row>
          <xdr:rowOff>57150</xdr:rowOff>
        </xdr:from>
        <xdr:to>
          <xdr:col>9</xdr:col>
          <xdr:colOff>247650</xdr:colOff>
          <xdr:row>39</xdr:row>
          <xdr:rowOff>266700</xdr:rowOff>
        </xdr:to>
        <xdr:sp macro="" textlink="">
          <xdr:nvSpPr>
            <xdr:cNvPr id="96342" name="Option Button 86" hidden="1">
              <a:extLst>
                <a:ext uri="{63B3BB69-23CF-44E3-9099-C40C66FF867C}">
                  <a14:compatExt spid="_x0000_s96342"/>
                </a:ext>
                <a:ext uri="{FF2B5EF4-FFF2-40B4-BE49-F238E27FC236}">
                  <a16:creationId xmlns:a16="http://schemas.microsoft.com/office/drawing/2014/main" id="{00000000-0008-0000-3E00-00005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40</xdr:row>
          <xdr:rowOff>28575</xdr:rowOff>
        </xdr:from>
        <xdr:to>
          <xdr:col>9</xdr:col>
          <xdr:colOff>247650</xdr:colOff>
          <xdr:row>40</xdr:row>
          <xdr:rowOff>266700</xdr:rowOff>
        </xdr:to>
        <xdr:sp macro="" textlink="">
          <xdr:nvSpPr>
            <xdr:cNvPr id="96343" name="Option Button 87" hidden="1">
              <a:extLst>
                <a:ext uri="{63B3BB69-23CF-44E3-9099-C40C66FF867C}">
                  <a14:compatExt spid="_x0000_s96343"/>
                </a:ext>
                <a:ext uri="{FF2B5EF4-FFF2-40B4-BE49-F238E27FC236}">
                  <a16:creationId xmlns:a16="http://schemas.microsoft.com/office/drawing/2014/main" id="{00000000-0008-0000-3E00-00005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37</xdr:row>
          <xdr:rowOff>28575</xdr:rowOff>
        </xdr:from>
        <xdr:to>
          <xdr:col>8</xdr:col>
          <xdr:colOff>9525</xdr:colOff>
          <xdr:row>40</xdr:row>
          <xdr:rowOff>266700</xdr:rowOff>
        </xdr:to>
        <xdr:sp macro="" textlink="">
          <xdr:nvSpPr>
            <xdr:cNvPr id="96344" name="Group Box 88" hidden="1">
              <a:extLst>
                <a:ext uri="{63B3BB69-23CF-44E3-9099-C40C66FF867C}">
                  <a14:compatExt spid="_x0000_s96344"/>
                </a:ext>
                <a:ext uri="{FF2B5EF4-FFF2-40B4-BE49-F238E27FC236}">
                  <a16:creationId xmlns:a16="http://schemas.microsoft.com/office/drawing/2014/main" id="{00000000-0008-0000-3E00-00005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37</xdr:row>
          <xdr:rowOff>28575</xdr:rowOff>
        </xdr:from>
        <xdr:to>
          <xdr:col>10</xdr:col>
          <xdr:colOff>9525</xdr:colOff>
          <xdr:row>40</xdr:row>
          <xdr:rowOff>266700</xdr:rowOff>
        </xdr:to>
        <xdr:sp macro="" textlink="">
          <xdr:nvSpPr>
            <xdr:cNvPr id="96345" name="Group Box 89" hidden="1">
              <a:extLst>
                <a:ext uri="{63B3BB69-23CF-44E3-9099-C40C66FF867C}">
                  <a14:compatExt spid="_x0000_s96345"/>
                </a:ext>
                <a:ext uri="{FF2B5EF4-FFF2-40B4-BE49-F238E27FC236}">
                  <a16:creationId xmlns:a16="http://schemas.microsoft.com/office/drawing/2014/main" id="{00000000-0008-0000-3E00-000059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40</xdr:row>
          <xdr:rowOff>38100</xdr:rowOff>
        </xdr:from>
        <xdr:to>
          <xdr:col>7</xdr:col>
          <xdr:colOff>247650</xdr:colOff>
          <xdr:row>40</xdr:row>
          <xdr:rowOff>266700</xdr:rowOff>
        </xdr:to>
        <xdr:sp macro="" textlink="">
          <xdr:nvSpPr>
            <xdr:cNvPr id="96346" name="Option Button 90" hidden="1">
              <a:extLst>
                <a:ext uri="{63B3BB69-23CF-44E3-9099-C40C66FF867C}">
                  <a14:compatExt spid="_x0000_s96346"/>
                </a:ext>
                <a:ext uri="{FF2B5EF4-FFF2-40B4-BE49-F238E27FC236}">
                  <a16:creationId xmlns:a16="http://schemas.microsoft.com/office/drawing/2014/main" id="{00000000-0008-0000-3E00-00005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41</xdr:row>
          <xdr:rowOff>76200</xdr:rowOff>
        </xdr:from>
        <xdr:to>
          <xdr:col>7</xdr:col>
          <xdr:colOff>247650</xdr:colOff>
          <xdr:row>42</xdr:row>
          <xdr:rowOff>9525</xdr:rowOff>
        </xdr:to>
        <xdr:sp macro="" textlink="">
          <xdr:nvSpPr>
            <xdr:cNvPr id="96347" name="Option Button 91" hidden="1">
              <a:extLst>
                <a:ext uri="{63B3BB69-23CF-44E3-9099-C40C66FF867C}">
                  <a14:compatExt spid="_x0000_s96347"/>
                </a:ext>
                <a:ext uri="{FF2B5EF4-FFF2-40B4-BE49-F238E27FC236}">
                  <a16:creationId xmlns:a16="http://schemas.microsoft.com/office/drawing/2014/main" id="{00000000-0008-0000-3E00-00005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42</xdr:row>
          <xdr:rowOff>76200</xdr:rowOff>
        </xdr:from>
        <xdr:to>
          <xdr:col>7</xdr:col>
          <xdr:colOff>247650</xdr:colOff>
          <xdr:row>43</xdr:row>
          <xdr:rowOff>9525</xdr:rowOff>
        </xdr:to>
        <xdr:sp macro="" textlink="">
          <xdr:nvSpPr>
            <xdr:cNvPr id="96348" name="Option Button 92" hidden="1">
              <a:extLst>
                <a:ext uri="{63B3BB69-23CF-44E3-9099-C40C66FF867C}">
                  <a14:compatExt spid="_x0000_s96348"/>
                </a:ext>
                <a:ext uri="{FF2B5EF4-FFF2-40B4-BE49-F238E27FC236}">
                  <a16:creationId xmlns:a16="http://schemas.microsoft.com/office/drawing/2014/main" id="{00000000-0008-0000-3E00-00005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43</xdr:row>
          <xdr:rowOff>76200</xdr:rowOff>
        </xdr:from>
        <xdr:to>
          <xdr:col>7</xdr:col>
          <xdr:colOff>247650</xdr:colOff>
          <xdr:row>44</xdr:row>
          <xdr:rowOff>0</xdr:rowOff>
        </xdr:to>
        <xdr:sp macro="" textlink="">
          <xdr:nvSpPr>
            <xdr:cNvPr id="96349" name="Option Button 93" hidden="1">
              <a:extLst>
                <a:ext uri="{63B3BB69-23CF-44E3-9099-C40C66FF867C}">
                  <a14:compatExt spid="_x0000_s96349"/>
                </a:ext>
                <a:ext uri="{FF2B5EF4-FFF2-40B4-BE49-F238E27FC236}">
                  <a16:creationId xmlns:a16="http://schemas.microsoft.com/office/drawing/2014/main" id="{00000000-0008-0000-3E00-00005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41</xdr:row>
          <xdr:rowOff>38100</xdr:rowOff>
        </xdr:from>
        <xdr:to>
          <xdr:col>8</xdr:col>
          <xdr:colOff>28575</xdr:colOff>
          <xdr:row>44</xdr:row>
          <xdr:rowOff>266700</xdr:rowOff>
        </xdr:to>
        <xdr:sp macro="" textlink="">
          <xdr:nvSpPr>
            <xdr:cNvPr id="96350" name="Group Box 94" hidden="1">
              <a:extLst>
                <a:ext uri="{63B3BB69-23CF-44E3-9099-C40C66FF867C}">
                  <a14:compatExt spid="_x0000_s96350"/>
                </a:ext>
                <a:ext uri="{FF2B5EF4-FFF2-40B4-BE49-F238E27FC236}">
                  <a16:creationId xmlns:a16="http://schemas.microsoft.com/office/drawing/2014/main" id="{00000000-0008-0000-3E00-00005E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44</xdr:row>
          <xdr:rowOff>28575</xdr:rowOff>
        </xdr:from>
        <xdr:to>
          <xdr:col>7</xdr:col>
          <xdr:colOff>247650</xdr:colOff>
          <xdr:row>44</xdr:row>
          <xdr:rowOff>247650</xdr:rowOff>
        </xdr:to>
        <xdr:sp macro="" textlink="">
          <xdr:nvSpPr>
            <xdr:cNvPr id="96351" name="Option Button 95" hidden="1">
              <a:extLst>
                <a:ext uri="{63B3BB69-23CF-44E3-9099-C40C66FF867C}">
                  <a14:compatExt spid="_x0000_s96351"/>
                </a:ext>
                <a:ext uri="{FF2B5EF4-FFF2-40B4-BE49-F238E27FC236}">
                  <a16:creationId xmlns:a16="http://schemas.microsoft.com/office/drawing/2014/main" id="{00000000-0008-0000-3E00-00005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41</xdr:row>
          <xdr:rowOff>57150</xdr:rowOff>
        </xdr:from>
        <xdr:to>
          <xdr:col>9</xdr:col>
          <xdr:colOff>247650</xdr:colOff>
          <xdr:row>41</xdr:row>
          <xdr:rowOff>266700</xdr:rowOff>
        </xdr:to>
        <xdr:sp macro="" textlink="">
          <xdr:nvSpPr>
            <xdr:cNvPr id="96352" name="Option Button 96" hidden="1">
              <a:extLst>
                <a:ext uri="{63B3BB69-23CF-44E3-9099-C40C66FF867C}">
                  <a14:compatExt spid="_x0000_s96352"/>
                </a:ext>
                <a:ext uri="{FF2B5EF4-FFF2-40B4-BE49-F238E27FC236}">
                  <a16:creationId xmlns:a16="http://schemas.microsoft.com/office/drawing/2014/main" id="{00000000-0008-0000-3E00-00006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42</xdr:row>
          <xdr:rowOff>38100</xdr:rowOff>
        </xdr:from>
        <xdr:to>
          <xdr:col>9</xdr:col>
          <xdr:colOff>247650</xdr:colOff>
          <xdr:row>42</xdr:row>
          <xdr:rowOff>266700</xdr:rowOff>
        </xdr:to>
        <xdr:sp macro="" textlink="">
          <xdr:nvSpPr>
            <xdr:cNvPr id="96353" name="Option Button 97" hidden="1">
              <a:extLst>
                <a:ext uri="{63B3BB69-23CF-44E3-9099-C40C66FF867C}">
                  <a14:compatExt spid="_x0000_s96353"/>
                </a:ext>
                <a:ext uri="{FF2B5EF4-FFF2-40B4-BE49-F238E27FC236}">
                  <a16:creationId xmlns:a16="http://schemas.microsoft.com/office/drawing/2014/main" id="{00000000-0008-0000-3E00-00006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43</xdr:row>
          <xdr:rowOff>28575</xdr:rowOff>
        </xdr:from>
        <xdr:to>
          <xdr:col>9</xdr:col>
          <xdr:colOff>247650</xdr:colOff>
          <xdr:row>43</xdr:row>
          <xdr:rowOff>266700</xdr:rowOff>
        </xdr:to>
        <xdr:sp macro="" textlink="">
          <xdr:nvSpPr>
            <xdr:cNvPr id="96354" name="Option Button 98" hidden="1">
              <a:extLst>
                <a:ext uri="{63B3BB69-23CF-44E3-9099-C40C66FF867C}">
                  <a14:compatExt spid="_x0000_s96354"/>
                </a:ext>
                <a:ext uri="{FF2B5EF4-FFF2-40B4-BE49-F238E27FC236}">
                  <a16:creationId xmlns:a16="http://schemas.microsoft.com/office/drawing/2014/main" id="{00000000-0008-0000-3E00-00006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44</xdr:row>
          <xdr:rowOff>28575</xdr:rowOff>
        </xdr:from>
        <xdr:to>
          <xdr:col>9</xdr:col>
          <xdr:colOff>247650</xdr:colOff>
          <xdr:row>44</xdr:row>
          <xdr:rowOff>266700</xdr:rowOff>
        </xdr:to>
        <xdr:sp macro="" textlink="">
          <xdr:nvSpPr>
            <xdr:cNvPr id="96355" name="Option Button 99" hidden="1">
              <a:extLst>
                <a:ext uri="{63B3BB69-23CF-44E3-9099-C40C66FF867C}">
                  <a14:compatExt spid="_x0000_s96355"/>
                </a:ext>
                <a:ext uri="{FF2B5EF4-FFF2-40B4-BE49-F238E27FC236}">
                  <a16:creationId xmlns:a16="http://schemas.microsoft.com/office/drawing/2014/main" id="{00000000-0008-0000-3E00-00006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28575</xdr:rowOff>
        </xdr:from>
        <xdr:to>
          <xdr:col>10</xdr:col>
          <xdr:colOff>0</xdr:colOff>
          <xdr:row>44</xdr:row>
          <xdr:rowOff>266700</xdr:rowOff>
        </xdr:to>
        <xdr:sp macro="" textlink="">
          <xdr:nvSpPr>
            <xdr:cNvPr id="96356" name="Group Box 100" hidden="1">
              <a:extLst>
                <a:ext uri="{63B3BB69-23CF-44E3-9099-C40C66FF867C}">
                  <a14:compatExt spid="_x0000_s96356"/>
                </a:ext>
                <a:ext uri="{FF2B5EF4-FFF2-40B4-BE49-F238E27FC236}">
                  <a16:creationId xmlns:a16="http://schemas.microsoft.com/office/drawing/2014/main" id="{00000000-0008-0000-3E00-00006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71</xdr:row>
          <xdr:rowOff>38100</xdr:rowOff>
        </xdr:from>
        <xdr:to>
          <xdr:col>7</xdr:col>
          <xdr:colOff>266700</xdr:colOff>
          <xdr:row>71</xdr:row>
          <xdr:rowOff>266700</xdr:rowOff>
        </xdr:to>
        <xdr:sp macro="" textlink="">
          <xdr:nvSpPr>
            <xdr:cNvPr id="96357" name="Option Button 101" hidden="1">
              <a:extLst>
                <a:ext uri="{63B3BB69-23CF-44E3-9099-C40C66FF867C}">
                  <a14:compatExt spid="_x0000_s96357"/>
                </a:ext>
                <a:ext uri="{FF2B5EF4-FFF2-40B4-BE49-F238E27FC236}">
                  <a16:creationId xmlns:a16="http://schemas.microsoft.com/office/drawing/2014/main" id="{00000000-0008-0000-3E00-00006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72</xdr:row>
          <xdr:rowOff>57150</xdr:rowOff>
        </xdr:from>
        <xdr:to>
          <xdr:col>7</xdr:col>
          <xdr:colOff>266700</xdr:colOff>
          <xdr:row>72</xdr:row>
          <xdr:rowOff>266700</xdr:rowOff>
        </xdr:to>
        <xdr:sp macro="" textlink="">
          <xdr:nvSpPr>
            <xdr:cNvPr id="96358" name="Option Button 102" hidden="1">
              <a:extLst>
                <a:ext uri="{63B3BB69-23CF-44E3-9099-C40C66FF867C}">
                  <a14:compatExt spid="_x0000_s96358"/>
                </a:ext>
                <a:ext uri="{FF2B5EF4-FFF2-40B4-BE49-F238E27FC236}">
                  <a16:creationId xmlns:a16="http://schemas.microsoft.com/office/drawing/2014/main" id="{00000000-0008-0000-3E00-00006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73</xdr:row>
          <xdr:rowOff>28575</xdr:rowOff>
        </xdr:from>
        <xdr:to>
          <xdr:col>7</xdr:col>
          <xdr:colOff>266700</xdr:colOff>
          <xdr:row>73</xdr:row>
          <xdr:rowOff>266700</xdr:rowOff>
        </xdr:to>
        <xdr:sp macro="" textlink="">
          <xdr:nvSpPr>
            <xdr:cNvPr id="96359" name="Option Button 103" hidden="1">
              <a:extLst>
                <a:ext uri="{63B3BB69-23CF-44E3-9099-C40C66FF867C}">
                  <a14:compatExt spid="_x0000_s96359"/>
                </a:ext>
                <a:ext uri="{FF2B5EF4-FFF2-40B4-BE49-F238E27FC236}">
                  <a16:creationId xmlns:a16="http://schemas.microsoft.com/office/drawing/2014/main" id="{00000000-0008-0000-3E00-00006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71</xdr:row>
          <xdr:rowOff>28575</xdr:rowOff>
        </xdr:from>
        <xdr:to>
          <xdr:col>9</xdr:col>
          <xdr:colOff>247650</xdr:colOff>
          <xdr:row>71</xdr:row>
          <xdr:rowOff>247650</xdr:rowOff>
        </xdr:to>
        <xdr:sp macro="" textlink="">
          <xdr:nvSpPr>
            <xdr:cNvPr id="96360" name="Option Button 104" hidden="1">
              <a:extLst>
                <a:ext uri="{63B3BB69-23CF-44E3-9099-C40C66FF867C}">
                  <a14:compatExt spid="_x0000_s96360"/>
                </a:ext>
                <a:ext uri="{FF2B5EF4-FFF2-40B4-BE49-F238E27FC236}">
                  <a16:creationId xmlns:a16="http://schemas.microsoft.com/office/drawing/2014/main" id="{00000000-0008-0000-3E00-00006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72</xdr:row>
          <xdr:rowOff>9525</xdr:rowOff>
        </xdr:from>
        <xdr:to>
          <xdr:col>9</xdr:col>
          <xdr:colOff>247650</xdr:colOff>
          <xdr:row>72</xdr:row>
          <xdr:rowOff>228600</xdr:rowOff>
        </xdr:to>
        <xdr:sp macro="" textlink="">
          <xdr:nvSpPr>
            <xdr:cNvPr id="96361" name="Option Button 105" hidden="1">
              <a:extLst>
                <a:ext uri="{63B3BB69-23CF-44E3-9099-C40C66FF867C}">
                  <a14:compatExt spid="_x0000_s96361"/>
                </a:ext>
                <a:ext uri="{FF2B5EF4-FFF2-40B4-BE49-F238E27FC236}">
                  <a16:creationId xmlns:a16="http://schemas.microsoft.com/office/drawing/2014/main" id="{00000000-0008-0000-3E00-00006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73</xdr:row>
          <xdr:rowOff>28575</xdr:rowOff>
        </xdr:from>
        <xdr:to>
          <xdr:col>9</xdr:col>
          <xdr:colOff>247650</xdr:colOff>
          <xdr:row>73</xdr:row>
          <xdr:rowOff>247650</xdr:rowOff>
        </xdr:to>
        <xdr:sp macro="" textlink="">
          <xdr:nvSpPr>
            <xdr:cNvPr id="96362" name="Option Button 106" hidden="1">
              <a:extLst>
                <a:ext uri="{63B3BB69-23CF-44E3-9099-C40C66FF867C}">
                  <a14:compatExt spid="_x0000_s96362"/>
                </a:ext>
                <a:ext uri="{FF2B5EF4-FFF2-40B4-BE49-F238E27FC236}">
                  <a16:creationId xmlns:a16="http://schemas.microsoft.com/office/drawing/2014/main" id="{00000000-0008-0000-3E00-00006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74</xdr:row>
          <xdr:rowOff>0</xdr:rowOff>
        </xdr:from>
        <xdr:to>
          <xdr:col>9</xdr:col>
          <xdr:colOff>247650</xdr:colOff>
          <xdr:row>74</xdr:row>
          <xdr:rowOff>219075</xdr:rowOff>
        </xdr:to>
        <xdr:sp macro="" textlink="">
          <xdr:nvSpPr>
            <xdr:cNvPr id="96363" name="Option Button 107" hidden="1">
              <a:extLst>
                <a:ext uri="{63B3BB69-23CF-44E3-9099-C40C66FF867C}">
                  <a14:compatExt spid="_x0000_s96363"/>
                </a:ext>
                <a:ext uri="{FF2B5EF4-FFF2-40B4-BE49-F238E27FC236}">
                  <a16:creationId xmlns:a16="http://schemas.microsoft.com/office/drawing/2014/main" id="{00000000-0008-0000-3E00-00006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71</xdr:row>
          <xdr:rowOff>0</xdr:rowOff>
        </xdr:from>
        <xdr:to>
          <xdr:col>8</xdr:col>
          <xdr:colOff>9525</xdr:colOff>
          <xdr:row>74</xdr:row>
          <xdr:rowOff>228600</xdr:rowOff>
        </xdr:to>
        <xdr:sp macro="" textlink="">
          <xdr:nvSpPr>
            <xdr:cNvPr id="96364" name="Group Box 108" hidden="1">
              <a:extLst>
                <a:ext uri="{63B3BB69-23CF-44E3-9099-C40C66FF867C}">
                  <a14:compatExt spid="_x0000_s96364"/>
                </a:ext>
                <a:ext uri="{FF2B5EF4-FFF2-40B4-BE49-F238E27FC236}">
                  <a16:creationId xmlns:a16="http://schemas.microsoft.com/office/drawing/2014/main" id="{00000000-0008-0000-3E00-00006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70</xdr:row>
          <xdr:rowOff>266700</xdr:rowOff>
        </xdr:from>
        <xdr:to>
          <xdr:col>10</xdr:col>
          <xdr:colOff>9525</xdr:colOff>
          <xdr:row>74</xdr:row>
          <xdr:rowOff>228600</xdr:rowOff>
        </xdr:to>
        <xdr:sp macro="" textlink="">
          <xdr:nvSpPr>
            <xdr:cNvPr id="96365" name="Group Box 109" hidden="1">
              <a:extLst>
                <a:ext uri="{63B3BB69-23CF-44E3-9099-C40C66FF867C}">
                  <a14:compatExt spid="_x0000_s96365"/>
                </a:ext>
                <a:ext uri="{FF2B5EF4-FFF2-40B4-BE49-F238E27FC236}">
                  <a16:creationId xmlns:a16="http://schemas.microsoft.com/office/drawing/2014/main" id="{00000000-0008-0000-3E00-00006D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73</xdr:row>
          <xdr:rowOff>266700</xdr:rowOff>
        </xdr:from>
        <xdr:to>
          <xdr:col>7</xdr:col>
          <xdr:colOff>266700</xdr:colOff>
          <xdr:row>74</xdr:row>
          <xdr:rowOff>219075</xdr:rowOff>
        </xdr:to>
        <xdr:sp macro="" textlink="">
          <xdr:nvSpPr>
            <xdr:cNvPr id="96366" name="Option Button 110" hidden="1">
              <a:extLst>
                <a:ext uri="{63B3BB69-23CF-44E3-9099-C40C66FF867C}">
                  <a14:compatExt spid="_x0000_s96366"/>
                </a:ext>
                <a:ext uri="{FF2B5EF4-FFF2-40B4-BE49-F238E27FC236}">
                  <a16:creationId xmlns:a16="http://schemas.microsoft.com/office/drawing/2014/main" id="{00000000-0008-0000-3E00-00006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75</xdr:row>
          <xdr:rowOff>76200</xdr:rowOff>
        </xdr:from>
        <xdr:to>
          <xdr:col>7</xdr:col>
          <xdr:colOff>266700</xdr:colOff>
          <xdr:row>76</xdr:row>
          <xdr:rowOff>28575</xdr:rowOff>
        </xdr:to>
        <xdr:sp macro="" textlink="">
          <xdr:nvSpPr>
            <xdr:cNvPr id="96367" name="Option Button 111" hidden="1">
              <a:extLst>
                <a:ext uri="{63B3BB69-23CF-44E3-9099-C40C66FF867C}">
                  <a14:compatExt spid="_x0000_s96367"/>
                </a:ext>
                <a:ext uri="{FF2B5EF4-FFF2-40B4-BE49-F238E27FC236}">
                  <a16:creationId xmlns:a16="http://schemas.microsoft.com/office/drawing/2014/main" id="{00000000-0008-0000-3E00-00006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76</xdr:row>
          <xdr:rowOff>76200</xdr:rowOff>
        </xdr:from>
        <xdr:to>
          <xdr:col>7</xdr:col>
          <xdr:colOff>266700</xdr:colOff>
          <xdr:row>77</xdr:row>
          <xdr:rowOff>0</xdr:rowOff>
        </xdr:to>
        <xdr:sp macro="" textlink="">
          <xdr:nvSpPr>
            <xdr:cNvPr id="96368" name="Option Button 112" hidden="1">
              <a:extLst>
                <a:ext uri="{63B3BB69-23CF-44E3-9099-C40C66FF867C}">
                  <a14:compatExt spid="_x0000_s96368"/>
                </a:ext>
                <a:ext uri="{FF2B5EF4-FFF2-40B4-BE49-F238E27FC236}">
                  <a16:creationId xmlns:a16="http://schemas.microsoft.com/office/drawing/2014/main" id="{00000000-0008-0000-3E00-00007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77</xdr:row>
          <xdr:rowOff>57150</xdr:rowOff>
        </xdr:from>
        <xdr:to>
          <xdr:col>7</xdr:col>
          <xdr:colOff>266700</xdr:colOff>
          <xdr:row>77</xdr:row>
          <xdr:rowOff>266700</xdr:rowOff>
        </xdr:to>
        <xdr:sp macro="" textlink="">
          <xdr:nvSpPr>
            <xdr:cNvPr id="96369" name="Option Button 113" hidden="1">
              <a:extLst>
                <a:ext uri="{63B3BB69-23CF-44E3-9099-C40C66FF867C}">
                  <a14:compatExt spid="_x0000_s96369"/>
                </a:ext>
                <a:ext uri="{FF2B5EF4-FFF2-40B4-BE49-F238E27FC236}">
                  <a16:creationId xmlns:a16="http://schemas.microsoft.com/office/drawing/2014/main" id="{00000000-0008-0000-3E00-00007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75</xdr:row>
          <xdr:rowOff>9525</xdr:rowOff>
        </xdr:from>
        <xdr:to>
          <xdr:col>8</xdr:col>
          <xdr:colOff>28575</xdr:colOff>
          <xdr:row>78</xdr:row>
          <xdr:rowOff>219075</xdr:rowOff>
        </xdr:to>
        <xdr:sp macro="" textlink="">
          <xdr:nvSpPr>
            <xdr:cNvPr id="96370" name="Group Box 114" hidden="1">
              <a:extLst>
                <a:ext uri="{63B3BB69-23CF-44E3-9099-C40C66FF867C}">
                  <a14:compatExt spid="_x0000_s96370"/>
                </a:ext>
                <a:ext uri="{FF2B5EF4-FFF2-40B4-BE49-F238E27FC236}">
                  <a16:creationId xmlns:a16="http://schemas.microsoft.com/office/drawing/2014/main" id="{00000000-0008-0000-3E00-00007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77</xdr:row>
          <xdr:rowOff>266700</xdr:rowOff>
        </xdr:from>
        <xdr:to>
          <xdr:col>7</xdr:col>
          <xdr:colOff>266700</xdr:colOff>
          <xdr:row>78</xdr:row>
          <xdr:rowOff>219075</xdr:rowOff>
        </xdr:to>
        <xdr:sp macro="" textlink="">
          <xdr:nvSpPr>
            <xdr:cNvPr id="96371" name="Option Button 115" hidden="1">
              <a:extLst>
                <a:ext uri="{63B3BB69-23CF-44E3-9099-C40C66FF867C}">
                  <a14:compatExt spid="_x0000_s96371"/>
                </a:ext>
                <a:ext uri="{FF2B5EF4-FFF2-40B4-BE49-F238E27FC236}">
                  <a16:creationId xmlns:a16="http://schemas.microsoft.com/office/drawing/2014/main" id="{00000000-0008-0000-3E00-00007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75</xdr:row>
          <xdr:rowOff>28575</xdr:rowOff>
        </xdr:from>
        <xdr:to>
          <xdr:col>9</xdr:col>
          <xdr:colOff>247650</xdr:colOff>
          <xdr:row>75</xdr:row>
          <xdr:rowOff>247650</xdr:rowOff>
        </xdr:to>
        <xdr:sp macro="" textlink="">
          <xdr:nvSpPr>
            <xdr:cNvPr id="96372" name="Option Button 116" hidden="1">
              <a:extLst>
                <a:ext uri="{63B3BB69-23CF-44E3-9099-C40C66FF867C}">
                  <a14:compatExt spid="_x0000_s96372"/>
                </a:ext>
                <a:ext uri="{FF2B5EF4-FFF2-40B4-BE49-F238E27FC236}">
                  <a16:creationId xmlns:a16="http://schemas.microsoft.com/office/drawing/2014/main" id="{00000000-0008-0000-3E00-00007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76</xdr:row>
          <xdr:rowOff>9525</xdr:rowOff>
        </xdr:from>
        <xdr:to>
          <xdr:col>9</xdr:col>
          <xdr:colOff>247650</xdr:colOff>
          <xdr:row>76</xdr:row>
          <xdr:rowOff>228600</xdr:rowOff>
        </xdr:to>
        <xdr:sp macro="" textlink="">
          <xdr:nvSpPr>
            <xdr:cNvPr id="96373" name="Option Button 117" hidden="1">
              <a:extLst>
                <a:ext uri="{63B3BB69-23CF-44E3-9099-C40C66FF867C}">
                  <a14:compatExt spid="_x0000_s96373"/>
                </a:ext>
                <a:ext uri="{FF2B5EF4-FFF2-40B4-BE49-F238E27FC236}">
                  <a16:creationId xmlns:a16="http://schemas.microsoft.com/office/drawing/2014/main" id="{00000000-0008-0000-3E00-00007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77</xdr:row>
          <xdr:rowOff>0</xdr:rowOff>
        </xdr:from>
        <xdr:to>
          <xdr:col>9</xdr:col>
          <xdr:colOff>247650</xdr:colOff>
          <xdr:row>77</xdr:row>
          <xdr:rowOff>219075</xdr:rowOff>
        </xdr:to>
        <xdr:sp macro="" textlink="">
          <xdr:nvSpPr>
            <xdr:cNvPr id="96374" name="Option Button 118" hidden="1">
              <a:extLst>
                <a:ext uri="{63B3BB69-23CF-44E3-9099-C40C66FF867C}">
                  <a14:compatExt spid="_x0000_s96374"/>
                </a:ext>
                <a:ext uri="{FF2B5EF4-FFF2-40B4-BE49-F238E27FC236}">
                  <a16:creationId xmlns:a16="http://schemas.microsoft.com/office/drawing/2014/main" id="{00000000-0008-0000-3E00-00007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78</xdr:row>
          <xdr:rowOff>0</xdr:rowOff>
        </xdr:from>
        <xdr:to>
          <xdr:col>9</xdr:col>
          <xdr:colOff>247650</xdr:colOff>
          <xdr:row>78</xdr:row>
          <xdr:rowOff>219075</xdr:rowOff>
        </xdr:to>
        <xdr:sp macro="" textlink="">
          <xdr:nvSpPr>
            <xdr:cNvPr id="96375" name="Option Button 119" hidden="1">
              <a:extLst>
                <a:ext uri="{63B3BB69-23CF-44E3-9099-C40C66FF867C}">
                  <a14:compatExt spid="_x0000_s96375"/>
                </a:ext>
                <a:ext uri="{FF2B5EF4-FFF2-40B4-BE49-F238E27FC236}">
                  <a16:creationId xmlns:a16="http://schemas.microsoft.com/office/drawing/2014/main" id="{00000000-0008-0000-3E00-00007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74</xdr:row>
          <xdr:rowOff>266700</xdr:rowOff>
        </xdr:from>
        <xdr:to>
          <xdr:col>10</xdr:col>
          <xdr:colOff>0</xdr:colOff>
          <xdr:row>78</xdr:row>
          <xdr:rowOff>228600</xdr:rowOff>
        </xdr:to>
        <xdr:sp macro="" textlink="">
          <xdr:nvSpPr>
            <xdr:cNvPr id="96376" name="Group Box 120" hidden="1">
              <a:extLst>
                <a:ext uri="{63B3BB69-23CF-44E3-9099-C40C66FF867C}">
                  <a14:compatExt spid="_x0000_s96376"/>
                </a:ext>
                <a:ext uri="{FF2B5EF4-FFF2-40B4-BE49-F238E27FC236}">
                  <a16:creationId xmlns:a16="http://schemas.microsoft.com/office/drawing/2014/main" id="{00000000-0008-0000-3E00-00007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79</xdr:row>
          <xdr:rowOff>28575</xdr:rowOff>
        </xdr:from>
        <xdr:to>
          <xdr:col>7</xdr:col>
          <xdr:colOff>266700</xdr:colOff>
          <xdr:row>79</xdr:row>
          <xdr:rowOff>247650</xdr:rowOff>
        </xdr:to>
        <xdr:sp macro="" textlink="">
          <xdr:nvSpPr>
            <xdr:cNvPr id="96377" name="Option Button 121" hidden="1">
              <a:extLst>
                <a:ext uri="{63B3BB69-23CF-44E3-9099-C40C66FF867C}">
                  <a14:compatExt spid="_x0000_s96377"/>
                </a:ext>
                <a:ext uri="{FF2B5EF4-FFF2-40B4-BE49-F238E27FC236}">
                  <a16:creationId xmlns:a16="http://schemas.microsoft.com/office/drawing/2014/main" id="{00000000-0008-0000-3E00-00007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80</xdr:row>
          <xdr:rowOff>28575</xdr:rowOff>
        </xdr:from>
        <xdr:to>
          <xdr:col>7</xdr:col>
          <xdr:colOff>266700</xdr:colOff>
          <xdr:row>80</xdr:row>
          <xdr:rowOff>266700</xdr:rowOff>
        </xdr:to>
        <xdr:sp macro="" textlink="">
          <xdr:nvSpPr>
            <xdr:cNvPr id="96378" name="Option Button 122" hidden="1">
              <a:extLst>
                <a:ext uri="{63B3BB69-23CF-44E3-9099-C40C66FF867C}">
                  <a14:compatExt spid="_x0000_s96378"/>
                </a:ext>
                <a:ext uri="{FF2B5EF4-FFF2-40B4-BE49-F238E27FC236}">
                  <a16:creationId xmlns:a16="http://schemas.microsoft.com/office/drawing/2014/main" id="{00000000-0008-0000-3E00-00007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81</xdr:row>
          <xdr:rowOff>9525</xdr:rowOff>
        </xdr:from>
        <xdr:to>
          <xdr:col>7</xdr:col>
          <xdr:colOff>266700</xdr:colOff>
          <xdr:row>81</xdr:row>
          <xdr:rowOff>228600</xdr:rowOff>
        </xdr:to>
        <xdr:sp macro="" textlink="">
          <xdr:nvSpPr>
            <xdr:cNvPr id="96379" name="Option Button 123" hidden="1">
              <a:extLst>
                <a:ext uri="{63B3BB69-23CF-44E3-9099-C40C66FF867C}">
                  <a14:compatExt spid="_x0000_s96379"/>
                </a:ext>
                <a:ext uri="{FF2B5EF4-FFF2-40B4-BE49-F238E27FC236}">
                  <a16:creationId xmlns:a16="http://schemas.microsoft.com/office/drawing/2014/main" id="{00000000-0008-0000-3E00-00007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79</xdr:row>
          <xdr:rowOff>28575</xdr:rowOff>
        </xdr:from>
        <xdr:to>
          <xdr:col>8</xdr:col>
          <xdr:colOff>28575</xdr:colOff>
          <xdr:row>82</xdr:row>
          <xdr:rowOff>228600</xdr:rowOff>
        </xdr:to>
        <xdr:sp macro="" textlink="">
          <xdr:nvSpPr>
            <xdr:cNvPr id="96380" name="Group Box 124" hidden="1">
              <a:extLst>
                <a:ext uri="{63B3BB69-23CF-44E3-9099-C40C66FF867C}">
                  <a14:compatExt spid="_x0000_s96380"/>
                </a:ext>
                <a:ext uri="{FF2B5EF4-FFF2-40B4-BE49-F238E27FC236}">
                  <a16:creationId xmlns:a16="http://schemas.microsoft.com/office/drawing/2014/main" id="{00000000-0008-0000-3E00-00007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82</xdr:row>
          <xdr:rowOff>9525</xdr:rowOff>
        </xdr:from>
        <xdr:to>
          <xdr:col>7</xdr:col>
          <xdr:colOff>266700</xdr:colOff>
          <xdr:row>82</xdr:row>
          <xdr:rowOff>228600</xdr:rowOff>
        </xdr:to>
        <xdr:sp macro="" textlink="">
          <xdr:nvSpPr>
            <xdr:cNvPr id="96381" name="Option Button 125" hidden="1">
              <a:extLst>
                <a:ext uri="{63B3BB69-23CF-44E3-9099-C40C66FF867C}">
                  <a14:compatExt spid="_x0000_s96381"/>
                </a:ext>
                <a:ext uri="{FF2B5EF4-FFF2-40B4-BE49-F238E27FC236}">
                  <a16:creationId xmlns:a16="http://schemas.microsoft.com/office/drawing/2014/main" id="{00000000-0008-0000-3E00-00007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79</xdr:row>
          <xdr:rowOff>28575</xdr:rowOff>
        </xdr:from>
        <xdr:to>
          <xdr:col>9</xdr:col>
          <xdr:colOff>247650</xdr:colOff>
          <xdr:row>79</xdr:row>
          <xdr:rowOff>266700</xdr:rowOff>
        </xdr:to>
        <xdr:sp macro="" textlink="">
          <xdr:nvSpPr>
            <xdr:cNvPr id="96382" name="Option Button 126" hidden="1">
              <a:extLst>
                <a:ext uri="{63B3BB69-23CF-44E3-9099-C40C66FF867C}">
                  <a14:compatExt spid="_x0000_s96382"/>
                </a:ext>
                <a:ext uri="{FF2B5EF4-FFF2-40B4-BE49-F238E27FC236}">
                  <a16:creationId xmlns:a16="http://schemas.microsoft.com/office/drawing/2014/main" id="{00000000-0008-0000-3E00-00007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80</xdr:row>
          <xdr:rowOff>28575</xdr:rowOff>
        </xdr:from>
        <xdr:to>
          <xdr:col>9</xdr:col>
          <xdr:colOff>247650</xdr:colOff>
          <xdr:row>80</xdr:row>
          <xdr:rowOff>247650</xdr:rowOff>
        </xdr:to>
        <xdr:sp macro="" textlink="">
          <xdr:nvSpPr>
            <xdr:cNvPr id="96383" name="Option Button 127" hidden="1">
              <a:extLst>
                <a:ext uri="{63B3BB69-23CF-44E3-9099-C40C66FF867C}">
                  <a14:compatExt spid="_x0000_s96383"/>
                </a:ext>
                <a:ext uri="{FF2B5EF4-FFF2-40B4-BE49-F238E27FC236}">
                  <a16:creationId xmlns:a16="http://schemas.microsoft.com/office/drawing/2014/main" id="{00000000-0008-0000-3E00-00007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81</xdr:row>
          <xdr:rowOff>9525</xdr:rowOff>
        </xdr:from>
        <xdr:to>
          <xdr:col>9</xdr:col>
          <xdr:colOff>247650</xdr:colOff>
          <xdr:row>81</xdr:row>
          <xdr:rowOff>228600</xdr:rowOff>
        </xdr:to>
        <xdr:sp macro="" textlink="">
          <xdr:nvSpPr>
            <xdr:cNvPr id="96384" name="Option Button 128" hidden="1">
              <a:extLst>
                <a:ext uri="{63B3BB69-23CF-44E3-9099-C40C66FF867C}">
                  <a14:compatExt spid="_x0000_s96384"/>
                </a:ext>
                <a:ext uri="{FF2B5EF4-FFF2-40B4-BE49-F238E27FC236}">
                  <a16:creationId xmlns:a16="http://schemas.microsoft.com/office/drawing/2014/main" id="{00000000-0008-0000-3E00-00008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82</xdr:row>
          <xdr:rowOff>9525</xdr:rowOff>
        </xdr:from>
        <xdr:to>
          <xdr:col>9</xdr:col>
          <xdr:colOff>247650</xdr:colOff>
          <xdr:row>82</xdr:row>
          <xdr:rowOff>228600</xdr:rowOff>
        </xdr:to>
        <xdr:sp macro="" textlink="">
          <xdr:nvSpPr>
            <xdr:cNvPr id="96385" name="Option Button 129" hidden="1">
              <a:extLst>
                <a:ext uri="{63B3BB69-23CF-44E3-9099-C40C66FF867C}">
                  <a14:compatExt spid="_x0000_s96385"/>
                </a:ext>
                <a:ext uri="{FF2B5EF4-FFF2-40B4-BE49-F238E27FC236}">
                  <a16:creationId xmlns:a16="http://schemas.microsoft.com/office/drawing/2014/main" id="{00000000-0008-0000-3E00-00008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79</xdr:row>
          <xdr:rowOff>0</xdr:rowOff>
        </xdr:from>
        <xdr:to>
          <xdr:col>10</xdr:col>
          <xdr:colOff>0</xdr:colOff>
          <xdr:row>82</xdr:row>
          <xdr:rowOff>247650</xdr:rowOff>
        </xdr:to>
        <xdr:sp macro="" textlink="">
          <xdr:nvSpPr>
            <xdr:cNvPr id="96386" name="Group Box 130" hidden="1">
              <a:extLst>
                <a:ext uri="{63B3BB69-23CF-44E3-9099-C40C66FF867C}">
                  <a14:compatExt spid="_x0000_s96386"/>
                </a:ext>
                <a:ext uri="{FF2B5EF4-FFF2-40B4-BE49-F238E27FC236}">
                  <a16:creationId xmlns:a16="http://schemas.microsoft.com/office/drawing/2014/main" id="{00000000-0008-0000-3E00-00008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83</xdr:row>
          <xdr:rowOff>76200</xdr:rowOff>
        </xdr:from>
        <xdr:to>
          <xdr:col>7</xdr:col>
          <xdr:colOff>247650</xdr:colOff>
          <xdr:row>84</xdr:row>
          <xdr:rowOff>9525</xdr:rowOff>
        </xdr:to>
        <xdr:sp macro="" textlink="">
          <xdr:nvSpPr>
            <xdr:cNvPr id="96387" name="Option Button 131" hidden="1">
              <a:extLst>
                <a:ext uri="{63B3BB69-23CF-44E3-9099-C40C66FF867C}">
                  <a14:compatExt spid="_x0000_s96387"/>
                </a:ext>
                <a:ext uri="{FF2B5EF4-FFF2-40B4-BE49-F238E27FC236}">
                  <a16:creationId xmlns:a16="http://schemas.microsoft.com/office/drawing/2014/main" id="{00000000-0008-0000-3E00-00008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84</xdr:row>
          <xdr:rowOff>76200</xdr:rowOff>
        </xdr:from>
        <xdr:to>
          <xdr:col>7</xdr:col>
          <xdr:colOff>247650</xdr:colOff>
          <xdr:row>85</xdr:row>
          <xdr:rowOff>0</xdr:rowOff>
        </xdr:to>
        <xdr:sp macro="" textlink="">
          <xdr:nvSpPr>
            <xdr:cNvPr id="96388" name="Option Button 132" hidden="1">
              <a:extLst>
                <a:ext uri="{63B3BB69-23CF-44E3-9099-C40C66FF867C}">
                  <a14:compatExt spid="_x0000_s96388"/>
                </a:ext>
                <a:ext uri="{FF2B5EF4-FFF2-40B4-BE49-F238E27FC236}">
                  <a16:creationId xmlns:a16="http://schemas.microsoft.com/office/drawing/2014/main" id="{00000000-0008-0000-3E00-00008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85</xdr:row>
          <xdr:rowOff>38100</xdr:rowOff>
        </xdr:from>
        <xdr:to>
          <xdr:col>7</xdr:col>
          <xdr:colOff>247650</xdr:colOff>
          <xdr:row>85</xdr:row>
          <xdr:rowOff>266700</xdr:rowOff>
        </xdr:to>
        <xdr:sp macro="" textlink="">
          <xdr:nvSpPr>
            <xdr:cNvPr id="96389" name="Option Button 133" hidden="1">
              <a:extLst>
                <a:ext uri="{63B3BB69-23CF-44E3-9099-C40C66FF867C}">
                  <a14:compatExt spid="_x0000_s96389"/>
                </a:ext>
                <a:ext uri="{FF2B5EF4-FFF2-40B4-BE49-F238E27FC236}">
                  <a16:creationId xmlns:a16="http://schemas.microsoft.com/office/drawing/2014/main" id="{00000000-0008-0000-3E00-00008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83</xdr:row>
          <xdr:rowOff>28575</xdr:rowOff>
        </xdr:from>
        <xdr:to>
          <xdr:col>8</xdr:col>
          <xdr:colOff>28575</xdr:colOff>
          <xdr:row>86</xdr:row>
          <xdr:rowOff>228600</xdr:rowOff>
        </xdr:to>
        <xdr:sp macro="" textlink="">
          <xdr:nvSpPr>
            <xdr:cNvPr id="96390" name="Group Box 134" hidden="1">
              <a:extLst>
                <a:ext uri="{63B3BB69-23CF-44E3-9099-C40C66FF867C}">
                  <a14:compatExt spid="_x0000_s96390"/>
                </a:ext>
                <a:ext uri="{FF2B5EF4-FFF2-40B4-BE49-F238E27FC236}">
                  <a16:creationId xmlns:a16="http://schemas.microsoft.com/office/drawing/2014/main" id="{00000000-0008-0000-3E00-000086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86</xdr:row>
          <xdr:rowOff>9525</xdr:rowOff>
        </xdr:from>
        <xdr:to>
          <xdr:col>7</xdr:col>
          <xdr:colOff>247650</xdr:colOff>
          <xdr:row>86</xdr:row>
          <xdr:rowOff>228600</xdr:rowOff>
        </xdr:to>
        <xdr:sp macro="" textlink="">
          <xdr:nvSpPr>
            <xdr:cNvPr id="96391" name="Option Button 135" hidden="1">
              <a:extLst>
                <a:ext uri="{63B3BB69-23CF-44E3-9099-C40C66FF867C}">
                  <a14:compatExt spid="_x0000_s96391"/>
                </a:ext>
                <a:ext uri="{FF2B5EF4-FFF2-40B4-BE49-F238E27FC236}">
                  <a16:creationId xmlns:a16="http://schemas.microsoft.com/office/drawing/2014/main" id="{00000000-0008-0000-3E00-00008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83</xdr:row>
          <xdr:rowOff>28575</xdr:rowOff>
        </xdr:from>
        <xdr:to>
          <xdr:col>9</xdr:col>
          <xdr:colOff>247650</xdr:colOff>
          <xdr:row>83</xdr:row>
          <xdr:rowOff>266700</xdr:rowOff>
        </xdr:to>
        <xdr:sp macro="" textlink="">
          <xdr:nvSpPr>
            <xdr:cNvPr id="96392" name="Option Button 136" hidden="1">
              <a:extLst>
                <a:ext uri="{63B3BB69-23CF-44E3-9099-C40C66FF867C}">
                  <a14:compatExt spid="_x0000_s96392"/>
                </a:ext>
                <a:ext uri="{FF2B5EF4-FFF2-40B4-BE49-F238E27FC236}">
                  <a16:creationId xmlns:a16="http://schemas.microsoft.com/office/drawing/2014/main" id="{00000000-0008-0000-3E00-00008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84</xdr:row>
          <xdr:rowOff>28575</xdr:rowOff>
        </xdr:from>
        <xdr:to>
          <xdr:col>9</xdr:col>
          <xdr:colOff>247650</xdr:colOff>
          <xdr:row>84</xdr:row>
          <xdr:rowOff>247650</xdr:rowOff>
        </xdr:to>
        <xdr:sp macro="" textlink="">
          <xdr:nvSpPr>
            <xdr:cNvPr id="96393" name="Option Button 137" hidden="1">
              <a:extLst>
                <a:ext uri="{63B3BB69-23CF-44E3-9099-C40C66FF867C}">
                  <a14:compatExt spid="_x0000_s96393"/>
                </a:ext>
                <a:ext uri="{FF2B5EF4-FFF2-40B4-BE49-F238E27FC236}">
                  <a16:creationId xmlns:a16="http://schemas.microsoft.com/office/drawing/2014/main" id="{00000000-0008-0000-3E00-00008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85</xdr:row>
          <xdr:rowOff>9525</xdr:rowOff>
        </xdr:from>
        <xdr:to>
          <xdr:col>9</xdr:col>
          <xdr:colOff>247650</xdr:colOff>
          <xdr:row>85</xdr:row>
          <xdr:rowOff>228600</xdr:rowOff>
        </xdr:to>
        <xdr:sp macro="" textlink="">
          <xdr:nvSpPr>
            <xdr:cNvPr id="96394" name="Option Button 138" hidden="1">
              <a:extLst>
                <a:ext uri="{63B3BB69-23CF-44E3-9099-C40C66FF867C}">
                  <a14:compatExt spid="_x0000_s96394"/>
                </a:ext>
                <a:ext uri="{FF2B5EF4-FFF2-40B4-BE49-F238E27FC236}">
                  <a16:creationId xmlns:a16="http://schemas.microsoft.com/office/drawing/2014/main" id="{00000000-0008-0000-3E00-00008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86</xdr:row>
          <xdr:rowOff>9525</xdr:rowOff>
        </xdr:from>
        <xdr:to>
          <xdr:col>9</xdr:col>
          <xdr:colOff>247650</xdr:colOff>
          <xdr:row>86</xdr:row>
          <xdr:rowOff>228600</xdr:rowOff>
        </xdr:to>
        <xdr:sp macro="" textlink="">
          <xdr:nvSpPr>
            <xdr:cNvPr id="96395" name="Option Button 139" hidden="1">
              <a:extLst>
                <a:ext uri="{63B3BB69-23CF-44E3-9099-C40C66FF867C}">
                  <a14:compatExt spid="_x0000_s96395"/>
                </a:ext>
                <a:ext uri="{FF2B5EF4-FFF2-40B4-BE49-F238E27FC236}">
                  <a16:creationId xmlns:a16="http://schemas.microsoft.com/office/drawing/2014/main" id="{00000000-0008-0000-3E00-00008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83</xdr:row>
          <xdr:rowOff>0</xdr:rowOff>
        </xdr:from>
        <xdr:to>
          <xdr:col>10</xdr:col>
          <xdr:colOff>9525</xdr:colOff>
          <xdr:row>86</xdr:row>
          <xdr:rowOff>247650</xdr:rowOff>
        </xdr:to>
        <xdr:sp macro="" textlink="">
          <xdr:nvSpPr>
            <xdr:cNvPr id="96396" name="Group Box 140" hidden="1">
              <a:extLst>
                <a:ext uri="{63B3BB69-23CF-44E3-9099-C40C66FF867C}">
                  <a14:compatExt spid="_x0000_s96396"/>
                </a:ext>
                <a:ext uri="{FF2B5EF4-FFF2-40B4-BE49-F238E27FC236}">
                  <a16:creationId xmlns:a16="http://schemas.microsoft.com/office/drawing/2014/main" id="{00000000-0008-0000-3E00-00008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67</xdr:row>
          <xdr:rowOff>28575</xdr:rowOff>
        </xdr:from>
        <xdr:to>
          <xdr:col>7</xdr:col>
          <xdr:colOff>247650</xdr:colOff>
          <xdr:row>67</xdr:row>
          <xdr:rowOff>247650</xdr:rowOff>
        </xdr:to>
        <xdr:sp macro="" textlink="">
          <xdr:nvSpPr>
            <xdr:cNvPr id="96397" name="Option Button 141" hidden="1">
              <a:extLst>
                <a:ext uri="{63B3BB69-23CF-44E3-9099-C40C66FF867C}">
                  <a14:compatExt spid="_x0000_s96397"/>
                </a:ext>
                <a:ext uri="{FF2B5EF4-FFF2-40B4-BE49-F238E27FC236}">
                  <a16:creationId xmlns:a16="http://schemas.microsoft.com/office/drawing/2014/main" id="{00000000-0008-0000-3E00-00008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68</xdr:row>
          <xdr:rowOff>28575</xdr:rowOff>
        </xdr:from>
        <xdr:to>
          <xdr:col>7</xdr:col>
          <xdr:colOff>247650</xdr:colOff>
          <xdr:row>68</xdr:row>
          <xdr:rowOff>266700</xdr:rowOff>
        </xdr:to>
        <xdr:sp macro="" textlink="">
          <xdr:nvSpPr>
            <xdr:cNvPr id="96398" name="Option Button 142" hidden="1">
              <a:extLst>
                <a:ext uri="{63B3BB69-23CF-44E3-9099-C40C66FF867C}">
                  <a14:compatExt spid="_x0000_s96398"/>
                </a:ext>
                <a:ext uri="{FF2B5EF4-FFF2-40B4-BE49-F238E27FC236}">
                  <a16:creationId xmlns:a16="http://schemas.microsoft.com/office/drawing/2014/main" id="{00000000-0008-0000-3E00-00008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69</xdr:row>
          <xdr:rowOff>9525</xdr:rowOff>
        </xdr:from>
        <xdr:to>
          <xdr:col>7</xdr:col>
          <xdr:colOff>247650</xdr:colOff>
          <xdr:row>69</xdr:row>
          <xdr:rowOff>228600</xdr:rowOff>
        </xdr:to>
        <xdr:sp macro="" textlink="">
          <xdr:nvSpPr>
            <xdr:cNvPr id="96399" name="Option Button 143" hidden="1">
              <a:extLst>
                <a:ext uri="{63B3BB69-23CF-44E3-9099-C40C66FF867C}">
                  <a14:compatExt spid="_x0000_s96399"/>
                </a:ext>
                <a:ext uri="{FF2B5EF4-FFF2-40B4-BE49-F238E27FC236}">
                  <a16:creationId xmlns:a16="http://schemas.microsoft.com/office/drawing/2014/main" id="{00000000-0008-0000-3E00-00008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67</xdr:row>
          <xdr:rowOff>28575</xdr:rowOff>
        </xdr:from>
        <xdr:to>
          <xdr:col>9</xdr:col>
          <xdr:colOff>247650</xdr:colOff>
          <xdr:row>67</xdr:row>
          <xdr:rowOff>266700</xdr:rowOff>
        </xdr:to>
        <xdr:sp macro="" textlink="">
          <xdr:nvSpPr>
            <xdr:cNvPr id="96400" name="Option Button 144" hidden="1">
              <a:extLst>
                <a:ext uri="{63B3BB69-23CF-44E3-9099-C40C66FF867C}">
                  <a14:compatExt spid="_x0000_s96400"/>
                </a:ext>
                <a:ext uri="{FF2B5EF4-FFF2-40B4-BE49-F238E27FC236}">
                  <a16:creationId xmlns:a16="http://schemas.microsoft.com/office/drawing/2014/main" id="{00000000-0008-0000-3E00-00009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68</xdr:row>
          <xdr:rowOff>28575</xdr:rowOff>
        </xdr:from>
        <xdr:to>
          <xdr:col>9</xdr:col>
          <xdr:colOff>247650</xdr:colOff>
          <xdr:row>68</xdr:row>
          <xdr:rowOff>247650</xdr:rowOff>
        </xdr:to>
        <xdr:sp macro="" textlink="">
          <xdr:nvSpPr>
            <xdr:cNvPr id="96401" name="Option Button 145" hidden="1">
              <a:extLst>
                <a:ext uri="{63B3BB69-23CF-44E3-9099-C40C66FF867C}">
                  <a14:compatExt spid="_x0000_s96401"/>
                </a:ext>
                <a:ext uri="{FF2B5EF4-FFF2-40B4-BE49-F238E27FC236}">
                  <a16:creationId xmlns:a16="http://schemas.microsoft.com/office/drawing/2014/main" id="{00000000-0008-0000-3E00-00009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69</xdr:row>
          <xdr:rowOff>28575</xdr:rowOff>
        </xdr:from>
        <xdr:to>
          <xdr:col>9</xdr:col>
          <xdr:colOff>247650</xdr:colOff>
          <xdr:row>69</xdr:row>
          <xdr:rowOff>266700</xdr:rowOff>
        </xdr:to>
        <xdr:sp macro="" textlink="">
          <xdr:nvSpPr>
            <xdr:cNvPr id="96402" name="Option Button 146" hidden="1">
              <a:extLst>
                <a:ext uri="{63B3BB69-23CF-44E3-9099-C40C66FF867C}">
                  <a14:compatExt spid="_x0000_s96402"/>
                </a:ext>
                <a:ext uri="{FF2B5EF4-FFF2-40B4-BE49-F238E27FC236}">
                  <a16:creationId xmlns:a16="http://schemas.microsoft.com/office/drawing/2014/main" id="{00000000-0008-0000-3E00-00009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70</xdr:row>
          <xdr:rowOff>9525</xdr:rowOff>
        </xdr:from>
        <xdr:to>
          <xdr:col>9</xdr:col>
          <xdr:colOff>247650</xdr:colOff>
          <xdr:row>70</xdr:row>
          <xdr:rowOff>228600</xdr:rowOff>
        </xdr:to>
        <xdr:sp macro="" textlink="">
          <xdr:nvSpPr>
            <xdr:cNvPr id="96403" name="Option Button 147" hidden="1">
              <a:extLst>
                <a:ext uri="{63B3BB69-23CF-44E3-9099-C40C66FF867C}">
                  <a14:compatExt spid="_x0000_s96403"/>
                </a:ext>
                <a:ext uri="{FF2B5EF4-FFF2-40B4-BE49-F238E27FC236}">
                  <a16:creationId xmlns:a16="http://schemas.microsoft.com/office/drawing/2014/main" id="{00000000-0008-0000-3E00-00009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67</xdr:row>
          <xdr:rowOff>9525</xdr:rowOff>
        </xdr:from>
        <xdr:to>
          <xdr:col>8</xdr:col>
          <xdr:colOff>28575</xdr:colOff>
          <xdr:row>70</xdr:row>
          <xdr:rowOff>247650</xdr:rowOff>
        </xdr:to>
        <xdr:sp macro="" textlink="">
          <xdr:nvSpPr>
            <xdr:cNvPr id="96404" name="Group Box 148" hidden="1">
              <a:extLst>
                <a:ext uri="{63B3BB69-23CF-44E3-9099-C40C66FF867C}">
                  <a14:compatExt spid="_x0000_s96404"/>
                </a:ext>
                <a:ext uri="{FF2B5EF4-FFF2-40B4-BE49-F238E27FC236}">
                  <a16:creationId xmlns:a16="http://schemas.microsoft.com/office/drawing/2014/main" id="{00000000-0008-0000-3E00-00009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67</xdr:row>
          <xdr:rowOff>0</xdr:rowOff>
        </xdr:from>
        <xdr:to>
          <xdr:col>10</xdr:col>
          <xdr:colOff>28575</xdr:colOff>
          <xdr:row>70</xdr:row>
          <xdr:rowOff>247650</xdr:rowOff>
        </xdr:to>
        <xdr:sp macro="" textlink="">
          <xdr:nvSpPr>
            <xdr:cNvPr id="96405" name="Group Box 149" hidden="1">
              <a:extLst>
                <a:ext uri="{63B3BB69-23CF-44E3-9099-C40C66FF867C}">
                  <a14:compatExt spid="_x0000_s96405"/>
                </a:ext>
                <a:ext uri="{FF2B5EF4-FFF2-40B4-BE49-F238E27FC236}">
                  <a16:creationId xmlns:a16="http://schemas.microsoft.com/office/drawing/2014/main" id="{00000000-0008-0000-3E00-000095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70</xdr:row>
          <xdr:rowOff>9525</xdr:rowOff>
        </xdr:from>
        <xdr:to>
          <xdr:col>7</xdr:col>
          <xdr:colOff>247650</xdr:colOff>
          <xdr:row>70</xdr:row>
          <xdr:rowOff>228600</xdr:rowOff>
        </xdr:to>
        <xdr:sp macro="" textlink="">
          <xdr:nvSpPr>
            <xdr:cNvPr id="96406" name="Option Button 150" hidden="1">
              <a:extLst>
                <a:ext uri="{63B3BB69-23CF-44E3-9099-C40C66FF867C}">
                  <a14:compatExt spid="_x0000_s96406"/>
                </a:ext>
                <a:ext uri="{FF2B5EF4-FFF2-40B4-BE49-F238E27FC236}">
                  <a16:creationId xmlns:a16="http://schemas.microsoft.com/office/drawing/2014/main" id="{00000000-0008-0000-3E00-00009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58</xdr:row>
          <xdr:rowOff>76200</xdr:rowOff>
        </xdr:from>
        <xdr:to>
          <xdr:col>7</xdr:col>
          <xdr:colOff>247650</xdr:colOff>
          <xdr:row>59</xdr:row>
          <xdr:rowOff>9525</xdr:rowOff>
        </xdr:to>
        <xdr:sp macro="" textlink="">
          <xdr:nvSpPr>
            <xdr:cNvPr id="96407" name="Option Button 151" hidden="1">
              <a:extLst>
                <a:ext uri="{63B3BB69-23CF-44E3-9099-C40C66FF867C}">
                  <a14:compatExt spid="_x0000_s96407"/>
                </a:ext>
                <a:ext uri="{FF2B5EF4-FFF2-40B4-BE49-F238E27FC236}">
                  <a16:creationId xmlns:a16="http://schemas.microsoft.com/office/drawing/2014/main" id="{00000000-0008-0000-3E00-00009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59</xdr:row>
          <xdr:rowOff>76200</xdr:rowOff>
        </xdr:from>
        <xdr:to>
          <xdr:col>7</xdr:col>
          <xdr:colOff>247650</xdr:colOff>
          <xdr:row>60</xdr:row>
          <xdr:rowOff>0</xdr:rowOff>
        </xdr:to>
        <xdr:sp macro="" textlink="">
          <xdr:nvSpPr>
            <xdr:cNvPr id="96408" name="Option Button 152" hidden="1">
              <a:extLst>
                <a:ext uri="{63B3BB69-23CF-44E3-9099-C40C66FF867C}">
                  <a14:compatExt spid="_x0000_s96408"/>
                </a:ext>
                <a:ext uri="{FF2B5EF4-FFF2-40B4-BE49-F238E27FC236}">
                  <a16:creationId xmlns:a16="http://schemas.microsoft.com/office/drawing/2014/main" id="{00000000-0008-0000-3E00-00009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60</xdr:row>
          <xdr:rowOff>57150</xdr:rowOff>
        </xdr:from>
        <xdr:to>
          <xdr:col>7</xdr:col>
          <xdr:colOff>247650</xdr:colOff>
          <xdr:row>60</xdr:row>
          <xdr:rowOff>266700</xdr:rowOff>
        </xdr:to>
        <xdr:sp macro="" textlink="">
          <xdr:nvSpPr>
            <xdr:cNvPr id="96409" name="Option Button 153" hidden="1">
              <a:extLst>
                <a:ext uri="{63B3BB69-23CF-44E3-9099-C40C66FF867C}">
                  <a14:compatExt spid="_x0000_s96409"/>
                </a:ext>
                <a:ext uri="{FF2B5EF4-FFF2-40B4-BE49-F238E27FC236}">
                  <a16:creationId xmlns:a16="http://schemas.microsoft.com/office/drawing/2014/main" id="{00000000-0008-0000-3E00-00009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58</xdr:row>
          <xdr:rowOff>38100</xdr:rowOff>
        </xdr:from>
        <xdr:to>
          <xdr:col>9</xdr:col>
          <xdr:colOff>266700</xdr:colOff>
          <xdr:row>58</xdr:row>
          <xdr:rowOff>266700</xdr:rowOff>
        </xdr:to>
        <xdr:sp macro="" textlink="">
          <xdr:nvSpPr>
            <xdr:cNvPr id="96410" name="Option Button 154" hidden="1">
              <a:extLst>
                <a:ext uri="{63B3BB69-23CF-44E3-9099-C40C66FF867C}">
                  <a14:compatExt spid="_x0000_s96410"/>
                </a:ext>
                <a:ext uri="{FF2B5EF4-FFF2-40B4-BE49-F238E27FC236}">
                  <a16:creationId xmlns:a16="http://schemas.microsoft.com/office/drawing/2014/main" id="{00000000-0008-0000-3E00-00009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59</xdr:row>
          <xdr:rowOff>28575</xdr:rowOff>
        </xdr:from>
        <xdr:to>
          <xdr:col>9</xdr:col>
          <xdr:colOff>266700</xdr:colOff>
          <xdr:row>59</xdr:row>
          <xdr:rowOff>266700</xdr:rowOff>
        </xdr:to>
        <xdr:sp macro="" textlink="">
          <xdr:nvSpPr>
            <xdr:cNvPr id="96411" name="Option Button 155" hidden="1">
              <a:extLst>
                <a:ext uri="{63B3BB69-23CF-44E3-9099-C40C66FF867C}">
                  <a14:compatExt spid="_x0000_s96411"/>
                </a:ext>
                <a:ext uri="{FF2B5EF4-FFF2-40B4-BE49-F238E27FC236}">
                  <a16:creationId xmlns:a16="http://schemas.microsoft.com/office/drawing/2014/main" id="{00000000-0008-0000-3E00-00009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60</xdr:row>
          <xdr:rowOff>38100</xdr:rowOff>
        </xdr:from>
        <xdr:to>
          <xdr:col>9</xdr:col>
          <xdr:colOff>266700</xdr:colOff>
          <xdr:row>60</xdr:row>
          <xdr:rowOff>266700</xdr:rowOff>
        </xdr:to>
        <xdr:sp macro="" textlink="">
          <xdr:nvSpPr>
            <xdr:cNvPr id="96412" name="Option Button 156" hidden="1">
              <a:extLst>
                <a:ext uri="{63B3BB69-23CF-44E3-9099-C40C66FF867C}">
                  <a14:compatExt spid="_x0000_s96412"/>
                </a:ext>
                <a:ext uri="{FF2B5EF4-FFF2-40B4-BE49-F238E27FC236}">
                  <a16:creationId xmlns:a16="http://schemas.microsoft.com/office/drawing/2014/main" id="{00000000-0008-0000-3E00-00009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61</xdr:row>
          <xdr:rowOff>28575</xdr:rowOff>
        </xdr:from>
        <xdr:to>
          <xdr:col>9</xdr:col>
          <xdr:colOff>266700</xdr:colOff>
          <xdr:row>61</xdr:row>
          <xdr:rowOff>247650</xdr:rowOff>
        </xdr:to>
        <xdr:sp macro="" textlink="">
          <xdr:nvSpPr>
            <xdr:cNvPr id="96413" name="Option Button 157" hidden="1">
              <a:extLst>
                <a:ext uri="{63B3BB69-23CF-44E3-9099-C40C66FF867C}">
                  <a14:compatExt spid="_x0000_s96413"/>
                </a:ext>
                <a:ext uri="{FF2B5EF4-FFF2-40B4-BE49-F238E27FC236}">
                  <a16:creationId xmlns:a16="http://schemas.microsoft.com/office/drawing/2014/main" id="{00000000-0008-0000-3E00-00009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58</xdr:row>
          <xdr:rowOff>28575</xdr:rowOff>
        </xdr:from>
        <xdr:to>
          <xdr:col>8</xdr:col>
          <xdr:colOff>9525</xdr:colOff>
          <xdr:row>61</xdr:row>
          <xdr:rowOff>266700</xdr:rowOff>
        </xdr:to>
        <xdr:sp macro="" textlink="">
          <xdr:nvSpPr>
            <xdr:cNvPr id="96414" name="Group Box 158" hidden="1">
              <a:extLst>
                <a:ext uri="{63B3BB69-23CF-44E3-9099-C40C66FF867C}">
                  <a14:compatExt spid="_x0000_s96414"/>
                </a:ext>
                <a:ext uri="{FF2B5EF4-FFF2-40B4-BE49-F238E27FC236}">
                  <a16:creationId xmlns:a16="http://schemas.microsoft.com/office/drawing/2014/main" id="{00000000-0008-0000-3E00-00009E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58</xdr:row>
          <xdr:rowOff>9525</xdr:rowOff>
        </xdr:from>
        <xdr:to>
          <xdr:col>10</xdr:col>
          <xdr:colOff>9525</xdr:colOff>
          <xdr:row>61</xdr:row>
          <xdr:rowOff>266700</xdr:rowOff>
        </xdr:to>
        <xdr:sp macro="" textlink="">
          <xdr:nvSpPr>
            <xdr:cNvPr id="96415" name="Group Box 159" hidden="1">
              <a:extLst>
                <a:ext uri="{63B3BB69-23CF-44E3-9099-C40C66FF867C}">
                  <a14:compatExt spid="_x0000_s96415"/>
                </a:ext>
                <a:ext uri="{FF2B5EF4-FFF2-40B4-BE49-F238E27FC236}">
                  <a16:creationId xmlns:a16="http://schemas.microsoft.com/office/drawing/2014/main" id="{00000000-0008-0000-3E00-00009F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61</xdr:row>
          <xdr:rowOff>28575</xdr:rowOff>
        </xdr:from>
        <xdr:to>
          <xdr:col>7</xdr:col>
          <xdr:colOff>247650</xdr:colOff>
          <xdr:row>61</xdr:row>
          <xdr:rowOff>247650</xdr:rowOff>
        </xdr:to>
        <xdr:sp macro="" textlink="">
          <xdr:nvSpPr>
            <xdr:cNvPr id="96416" name="Option Button 160" hidden="1">
              <a:extLst>
                <a:ext uri="{63B3BB69-23CF-44E3-9099-C40C66FF867C}">
                  <a14:compatExt spid="_x0000_s96416"/>
                </a:ext>
                <a:ext uri="{FF2B5EF4-FFF2-40B4-BE49-F238E27FC236}">
                  <a16:creationId xmlns:a16="http://schemas.microsoft.com/office/drawing/2014/main" id="{00000000-0008-0000-3E00-0000A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54</xdr:row>
          <xdr:rowOff>76200</xdr:rowOff>
        </xdr:from>
        <xdr:to>
          <xdr:col>7</xdr:col>
          <xdr:colOff>247650</xdr:colOff>
          <xdr:row>55</xdr:row>
          <xdr:rowOff>9525</xdr:rowOff>
        </xdr:to>
        <xdr:sp macro="" textlink="">
          <xdr:nvSpPr>
            <xdr:cNvPr id="96417" name="Option Button 161" hidden="1">
              <a:extLst>
                <a:ext uri="{63B3BB69-23CF-44E3-9099-C40C66FF867C}">
                  <a14:compatExt spid="_x0000_s96417"/>
                </a:ext>
                <a:ext uri="{FF2B5EF4-FFF2-40B4-BE49-F238E27FC236}">
                  <a16:creationId xmlns:a16="http://schemas.microsoft.com/office/drawing/2014/main" id="{00000000-0008-0000-3E00-0000A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55</xdr:row>
          <xdr:rowOff>76200</xdr:rowOff>
        </xdr:from>
        <xdr:to>
          <xdr:col>7</xdr:col>
          <xdr:colOff>247650</xdr:colOff>
          <xdr:row>56</xdr:row>
          <xdr:rowOff>9525</xdr:rowOff>
        </xdr:to>
        <xdr:sp macro="" textlink="">
          <xdr:nvSpPr>
            <xdr:cNvPr id="96418" name="Option Button 162" hidden="1">
              <a:extLst>
                <a:ext uri="{63B3BB69-23CF-44E3-9099-C40C66FF867C}">
                  <a14:compatExt spid="_x0000_s96418"/>
                </a:ext>
                <a:ext uri="{FF2B5EF4-FFF2-40B4-BE49-F238E27FC236}">
                  <a16:creationId xmlns:a16="http://schemas.microsoft.com/office/drawing/2014/main" id="{00000000-0008-0000-3E00-0000A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56</xdr:row>
          <xdr:rowOff>76200</xdr:rowOff>
        </xdr:from>
        <xdr:to>
          <xdr:col>7</xdr:col>
          <xdr:colOff>247650</xdr:colOff>
          <xdr:row>57</xdr:row>
          <xdr:rowOff>0</xdr:rowOff>
        </xdr:to>
        <xdr:sp macro="" textlink="">
          <xdr:nvSpPr>
            <xdr:cNvPr id="96419" name="Option Button 163" hidden="1">
              <a:extLst>
                <a:ext uri="{63B3BB69-23CF-44E3-9099-C40C66FF867C}">
                  <a14:compatExt spid="_x0000_s96419"/>
                </a:ext>
                <a:ext uri="{FF2B5EF4-FFF2-40B4-BE49-F238E27FC236}">
                  <a16:creationId xmlns:a16="http://schemas.microsoft.com/office/drawing/2014/main" id="{00000000-0008-0000-3E00-0000A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54</xdr:row>
          <xdr:rowOff>57150</xdr:rowOff>
        </xdr:from>
        <xdr:to>
          <xdr:col>9</xdr:col>
          <xdr:colOff>247650</xdr:colOff>
          <xdr:row>54</xdr:row>
          <xdr:rowOff>266700</xdr:rowOff>
        </xdr:to>
        <xdr:sp macro="" textlink="">
          <xdr:nvSpPr>
            <xdr:cNvPr id="96420" name="Option Button 164" hidden="1">
              <a:extLst>
                <a:ext uri="{63B3BB69-23CF-44E3-9099-C40C66FF867C}">
                  <a14:compatExt spid="_x0000_s96420"/>
                </a:ext>
                <a:ext uri="{FF2B5EF4-FFF2-40B4-BE49-F238E27FC236}">
                  <a16:creationId xmlns:a16="http://schemas.microsoft.com/office/drawing/2014/main" id="{00000000-0008-0000-3E00-0000A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55</xdr:row>
          <xdr:rowOff>38100</xdr:rowOff>
        </xdr:from>
        <xdr:to>
          <xdr:col>9</xdr:col>
          <xdr:colOff>247650</xdr:colOff>
          <xdr:row>55</xdr:row>
          <xdr:rowOff>266700</xdr:rowOff>
        </xdr:to>
        <xdr:sp macro="" textlink="">
          <xdr:nvSpPr>
            <xdr:cNvPr id="96421" name="Option Button 165" hidden="1">
              <a:extLst>
                <a:ext uri="{63B3BB69-23CF-44E3-9099-C40C66FF867C}">
                  <a14:compatExt spid="_x0000_s96421"/>
                </a:ext>
                <a:ext uri="{FF2B5EF4-FFF2-40B4-BE49-F238E27FC236}">
                  <a16:creationId xmlns:a16="http://schemas.microsoft.com/office/drawing/2014/main" id="{00000000-0008-0000-3E00-0000A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56</xdr:row>
          <xdr:rowOff>57150</xdr:rowOff>
        </xdr:from>
        <xdr:to>
          <xdr:col>9</xdr:col>
          <xdr:colOff>247650</xdr:colOff>
          <xdr:row>56</xdr:row>
          <xdr:rowOff>266700</xdr:rowOff>
        </xdr:to>
        <xdr:sp macro="" textlink="">
          <xdr:nvSpPr>
            <xdr:cNvPr id="96422" name="Option Button 166" hidden="1">
              <a:extLst>
                <a:ext uri="{63B3BB69-23CF-44E3-9099-C40C66FF867C}">
                  <a14:compatExt spid="_x0000_s96422"/>
                </a:ext>
                <a:ext uri="{FF2B5EF4-FFF2-40B4-BE49-F238E27FC236}">
                  <a16:creationId xmlns:a16="http://schemas.microsoft.com/office/drawing/2014/main" id="{00000000-0008-0000-3E00-0000A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57</xdr:row>
          <xdr:rowOff>28575</xdr:rowOff>
        </xdr:from>
        <xdr:to>
          <xdr:col>9</xdr:col>
          <xdr:colOff>247650</xdr:colOff>
          <xdr:row>57</xdr:row>
          <xdr:rowOff>266700</xdr:rowOff>
        </xdr:to>
        <xdr:sp macro="" textlink="">
          <xdr:nvSpPr>
            <xdr:cNvPr id="96423" name="Option Button 167" hidden="1">
              <a:extLst>
                <a:ext uri="{63B3BB69-23CF-44E3-9099-C40C66FF867C}">
                  <a14:compatExt spid="_x0000_s96423"/>
                </a:ext>
                <a:ext uri="{FF2B5EF4-FFF2-40B4-BE49-F238E27FC236}">
                  <a16:creationId xmlns:a16="http://schemas.microsoft.com/office/drawing/2014/main" id="{00000000-0008-0000-3E00-0000A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54</xdr:row>
          <xdr:rowOff>28575</xdr:rowOff>
        </xdr:from>
        <xdr:to>
          <xdr:col>8</xdr:col>
          <xdr:colOff>28575</xdr:colOff>
          <xdr:row>57</xdr:row>
          <xdr:rowOff>266700</xdr:rowOff>
        </xdr:to>
        <xdr:sp macro="" textlink="">
          <xdr:nvSpPr>
            <xdr:cNvPr id="96424" name="Group Box 168" hidden="1">
              <a:extLst>
                <a:ext uri="{63B3BB69-23CF-44E3-9099-C40C66FF867C}">
                  <a14:compatExt spid="_x0000_s96424"/>
                </a:ext>
                <a:ext uri="{FF2B5EF4-FFF2-40B4-BE49-F238E27FC236}">
                  <a16:creationId xmlns:a16="http://schemas.microsoft.com/office/drawing/2014/main" id="{00000000-0008-0000-3E00-0000A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54</xdr:row>
          <xdr:rowOff>28575</xdr:rowOff>
        </xdr:from>
        <xdr:to>
          <xdr:col>10</xdr:col>
          <xdr:colOff>28575</xdr:colOff>
          <xdr:row>57</xdr:row>
          <xdr:rowOff>266700</xdr:rowOff>
        </xdr:to>
        <xdr:sp macro="" textlink="">
          <xdr:nvSpPr>
            <xdr:cNvPr id="96425" name="Group Box 169" hidden="1">
              <a:extLst>
                <a:ext uri="{63B3BB69-23CF-44E3-9099-C40C66FF867C}">
                  <a14:compatExt spid="_x0000_s96425"/>
                </a:ext>
                <a:ext uri="{FF2B5EF4-FFF2-40B4-BE49-F238E27FC236}">
                  <a16:creationId xmlns:a16="http://schemas.microsoft.com/office/drawing/2014/main" id="{00000000-0008-0000-3E00-0000A9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57</xdr:row>
          <xdr:rowOff>38100</xdr:rowOff>
        </xdr:from>
        <xdr:to>
          <xdr:col>7</xdr:col>
          <xdr:colOff>247650</xdr:colOff>
          <xdr:row>57</xdr:row>
          <xdr:rowOff>266700</xdr:rowOff>
        </xdr:to>
        <xdr:sp macro="" textlink="">
          <xdr:nvSpPr>
            <xdr:cNvPr id="96426" name="Option Button 170" hidden="1">
              <a:extLst>
                <a:ext uri="{63B3BB69-23CF-44E3-9099-C40C66FF867C}">
                  <a14:compatExt spid="_x0000_s96426"/>
                </a:ext>
                <a:ext uri="{FF2B5EF4-FFF2-40B4-BE49-F238E27FC236}">
                  <a16:creationId xmlns:a16="http://schemas.microsoft.com/office/drawing/2014/main" id="{00000000-0008-0000-3E00-0000A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50</xdr:row>
          <xdr:rowOff>57150</xdr:rowOff>
        </xdr:from>
        <xdr:to>
          <xdr:col>7</xdr:col>
          <xdr:colOff>247650</xdr:colOff>
          <xdr:row>50</xdr:row>
          <xdr:rowOff>266700</xdr:rowOff>
        </xdr:to>
        <xdr:sp macro="" textlink="">
          <xdr:nvSpPr>
            <xdr:cNvPr id="96427" name="Option Button 171" hidden="1">
              <a:extLst>
                <a:ext uri="{63B3BB69-23CF-44E3-9099-C40C66FF867C}">
                  <a14:compatExt spid="_x0000_s96427"/>
                </a:ext>
                <a:ext uri="{FF2B5EF4-FFF2-40B4-BE49-F238E27FC236}">
                  <a16:creationId xmlns:a16="http://schemas.microsoft.com/office/drawing/2014/main" id="{00000000-0008-0000-3E00-0000A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51</xdr:row>
          <xdr:rowOff>76200</xdr:rowOff>
        </xdr:from>
        <xdr:to>
          <xdr:col>7</xdr:col>
          <xdr:colOff>247650</xdr:colOff>
          <xdr:row>52</xdr:row>
          <xdr:rowOff>0</xdr:rowOff>
        </xdr:to>
        <xdr:sp macro="" textlink="">
          <xdr:nvSpPr>
            <xdr:cNvPr id="96428" name="Option Button 172" hidden="1">
              <a:extLst>
                <a:ext uri="{63B3BB69-23CF-44E3-9099-C40C66FF867C}">
                  <a14:compatExt spid="_x0000_s96428"/>
                </a:ext>
                <a:ext uri="{FF2B5EF4-FFF2-40B4-BE49-F238E27FC236}">
                  <a16:creationId xmlns:a16="http://schemas.microsoft.com/office/drawing/2014/main" id="{00000000-0008-0000-3E00-0000A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52</xdr:row>
          <xdr:rowOff>38100</xdr:rowOff>
        </xdr:from>
        <xdr:to>
          <xdr:col>7</xdr:col>
          <xdr:colOff>247650</xdr:colOff>
          <xdr:row>52</xdr:row>
          <xdr:rowOff>266700</xdr:rowOff>
        </xdr:to>
        <xdr:sp macro="" textlink="">
          <xdr:nvSpPr>
            <xdr:cNvPr id="96429" name="Option Button 173" hidden="1">
              <a:extLst>
                <a:ext uri="{63B3BB69-23CF-44E3-9099-C40C66FF867C}">
                  <a14:compatExt spid="_x0000_s96429"/>
                </a:ext>
                <a:ext uri="{FF2B5EF4-FFF2-40B4-BE49-F238E27FC236}">
                  <a16:creationId xmlns:a16="http://schemas.microsoft.com/office/drawing/2014/main" id="{00000000-0008-0000-3E00-0000A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50</xdr:row>
          <xdr:rowOff>28575</xdr:rowOff>
        </xdr:from>
        <xdr:to>
          <xdr:col>9</xdr:col>
          <xdr:colOff>247650</xdr:colOff>
          <xdr:row>50</xdr:row>
          <xdr:rowOff>266700</xdr:rowOff>
        </xdr:to>
        <xdr:sp macro="" textlink="">
          <xdr:nvSpPr>
            <xdr:cNvPr id="96430" name="Option Button 174" hidden="1">
              <a:extLst>
                <a:ext uri="{63B3BB69-23CF-44E3-9099-C40C66FF867C}">
                  <a14:compatExt spid="_x0000_s96430"/>
                </a:ext>
                <a:ext uri="{FF2B5EF4-FFF2-40B4-BE49-F238E27FC236}">
                  <a16:creationId xmlns:a16="http://schemas.microsoft.com/office/drawing/2014/main" id="{00000000-0008-0000-3E00-0000A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51</xdr:row>
          <xdr:rowOff>28575</xdr:rowOff>
        </xdr:from>
        <xdr:to>
          <xdr:col>9</xdr:col>
          <xdr:colOff>247650</xdr:colOff>
          <xdr:row>51</xdr:row>
          <xdr:rowOff>247650</xdr:rowOff>
        </xdr:to>
        <xdr:sp macro="" textlink="">
          <xdr:nvSpPr>
            <xdr:cNvPr id="96431" name="Option Button 175" hidden="1">
              <a:extLst>
                <a:ext uri="{63B3BB69-23CF-44E3-9099-C40C66FF867C}">
                  <a14:compatExt spid="_x0000_s96431"/>
                </a:ext>
                <a:ext uri="{FF2B5EF4-FFF2-40B4-BE49-F238E27FC236}">
                  <a16:creationId xmlns:a16="http://schemas.microsoft.com/office/drawing/2014/main" id="{00000000-0008-0000-3E00-0000A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52</xdr:row>
          <xdr:rowOff>28575</xdr:rowOff>
        </xdr:from>
        <xdr:to>
          <xdr:col>9</xdr:col>
          <xdr:colOff>247650</xdr:colOff>
          <xdr:row>52</xdr:row>
          <xdr:rowOff>266700</xdr:rowOff>
        </xdr:to>
        <xdr:sp macro="" textlink="">
          <xdr:nvSpPr>
            <xdr:cNvPr id="96432" name="Option Button 176" hidden="1">
              <a:extLst>
                <a:ext uri="{63B3BB69-23CF-44E3-9099-C40C66FF867C}">
                  <a14:compatExt spid="_x0000_s96432"/>
                </a:ext>
                <a:ext uri="{FF2B5EF4-FFF2-40B4-BE49-F238E27FC236}">
                  <a16:creationId xmlns:a16="http://schemas.microsoft.com/office/drawing/2014/main" id="{00000000-0008-0000-3E00-0000B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53</xdr:row>
          <xdr:rowOff>9525</xdr:rowOff>
        </xdr:from>
        <xdr:to>
          <xdr:col>9</xdr:col>
          <xdr:colOff>247650</xdr:colOff>
          <xdr:row>53</xdr:row>
          <xdr:rowOff>228600</xdr:rowOff>
        </xdr:to>
        <xdr:sp macro="" textlink="">
          <xdr:nvSpPr>
            <xdr:cNvPr id="96433" name="Option Button 177" hidden="1">
              <a:extLst>
                <a:ext uri="{63B3BB69-23CF-44E3-9099-C40C66FF867C}">
                  <a14:compatExt spid="_x0000_s96433"/>
                </a:ext>
                <a:ext uri="{FF2B5EF4-FFF2-40B4-BE49-F238E27FC236}">
                  <a16:creationId xmlns:a16="http://schemas.microsoft.com/office/drawing/2014/main" id="{00000000-0008-0000-3E00-0000B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50</xdr:row>
          <xdr:rowOff>9525</xdr:rowOff>
        </xdr:from>
        <xdr:to>
          <xdr:col>8</xdr:col>
          <xdr:colOff>76200</xdr:colOff>
          <xdr:row>54</xdr:row>
          <xdr:rowOff>38100</xdr:rowOff>
        </xdr:to>
        <xdr:sp macro="" textlink="">
          <xdr:nvSpPr>
            <xdr:cNvPr id="96434" name="Group Box 178" hidden="1">
              <a:extLst>
                <a:ext uri="{63B3BB69-23CF-44E3-9099-C40C66FF867C}">
                  <a14:compatExt spid="_x0000_s96434"/>
                </a:ext>
                <a:ext uri="{FF2B5EF4-FFF2-40B4-BE49-F238E27FC236}">
                  <a16:creationId xmlns:a16="http://schemas.microsoft.com/office/drawing/2014/main" id="{00000000-0008-0000-3E00-0000B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50</xdr:row>
          <xdr:rowOff>0</xdr:rowOff>
        </xdr:from>
        <xdr:to>
          <xdr:col>10</xdr:col>
          <xdr:colOff>28575</xdr:colOff>
          <xdr:row>53</xdr:row>
          <xdr:rowOff>247650</xdr:rowOff>
        </xdr:to>
        <xdr:sp macro="" textlink="">
          <xdr:nvSpPr>
            <xdr:cNvPr id="96435" name="Group Box 179" hidden="1">
              <a:extLst>
                <a:ext uri="{63B3BB69-23CF-44E3-9099-C40C66FF867C}">
                  <a14:compatExt spid="_x0000_s96435"/>
                </a:ext>
                <a:ext uri="{FF2B5EF4-FFF2-40B4-BE49-F238E27FC236}">
                  <a16:creationId xmlns:a16="http://schemas.microsoft.com/office/drawing/2014/main" id="{00000000-0008-0000-3E00-0000B3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53</xdr:row>
          <xdr:rowOff>38100</xdr:rowOff>
        </xdr:from>
        <xdr:to>
          <xdr:col>7</xdr:col>
          <xdr:colOff>247650</xdr:colOff>
          <xdr:row>53</xdr:row>
          <xdr:rowOff>266700</xdr:rowOff>
        </xdr:to>
        <xdr:sp macro="" textlink="">
          <xdr:nvSpPr>
            <xdr:cNvPr id="96436" name="Option Button 180" hidden="1">
              <a:extLst>
                <a:ext uri="{63B3BB69-23CF-44E3-9099-C40C66FF867C}">
                  <a14:compatExt spid="_x0000_s96436"/>
                </a:ext>
                <a:ext uri="{FF2B5EF4-FFF2-40B4-BE49-F238E27FC236}">
                  <a16:creationId xmlns:a16="http://schemas.microsoft.com/office/drawing/2014/main" id="{00000000-0008-0000-3E00-0000B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ndanka\&#35336;&#30011;&#26360;\&#38656;&#35201;&#29677;\&#36895;&#22577;\H11&#36895;&#22577;\10&#36895;&#22577;Bac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29872;&#22659;&#21109;&#36896;&#23616;\Users\egashira\Dropbox%20(&#12456;&#12492;&#12456;&#12473;&#29872;&#22659;)\01000_03_&#26412;&#31038;_&#25216;&#34899;&#37096;\&#25216;&#34899;&#37096;\3.&#21463;&#27880;&#26989;&#21209;&#23550;&#24540;\&#29872;&#22659;&#35336;&#30011;22-18%20&#27178;&#27996;&#24066;_R4&#22320;&#29699;&#28201;&#26262;&#21270;&#35336;&#30011;&#26360;&#21046;&#24230;\&#20316;&#26989;\&#26681;&#25312;&#31639;&#23450;&#20462;&#27491;&#26696;\&#26681;&#25312;&#31639;&#23450;1&#21495;2&#21495;_2022.11.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29872;&#22659;&#21109;&#36896;&#23616;\Users\user\Desktop\R03_1&#22577;&#21578;&#26360;_&#20462;&#27491;&#29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転記用"/>
      <sheetName val="エネルギー使用量【入力シート】"/>
      <sheetName val="外部供給量【入力シート】"/>
      <sheetName val="報告【５】自主的対策【入力シート】"/>
      <sheetName val="参考_電気のCO2排出係数"/>
      <sheetName val="小1"/>
      <sheetName val="小2"/>
      <sheetName val="小3"/>
      <sheetName val="大1"/>
      <sheetName val="大2"/>
    </sheetNames>
    <sheetDataSet>
      <sheetData sheetId="0"/>
      <sheetData sheetId="1"/>
      <sheetData sheetId="2"/>
      <sheetData sheetId="3">
        <row r="10">
          <cell r="BH10" t="str">
            <v>原油(コンデンセートを除く)</v>
          </cell>
        </row>
        <row r="11">
          <cell r="BH11" t="str">
            <v>原油のうちコンデンセート(NGL)</v>
          </cell>
        </row>
        <row r="12">
          <cell r="BH12" t="str">
            <v>揮発油（ガソリン）</v>
          </cell>
        </row>
        <row r="13">
          <cell r="BH13" t="str">
            <v>ナフサ</v>
          </cell>
        </row>
        <row r="14">
          <cell r="BH14" t="str">
            <v>灯油</v>
          </cell>
        </row>
        <row r="15">
          <cell r="BH15" t="str">
            <v>軽油</v>
          </cell>
        </row>
        <row r="16">
          <cell r="BH16" t="str">
            <v>Ａ重油</v>
          </cell>
        </row>
        <row r="17">
          <cell r="BH17" t="str">
            <v>Ｂ・Ｃ重油</v>
          </cell>
        </row>
        <row r="18">
          <cell r="BH18" t="str">
            <v>石油アスファルト</v>
          </cell>
        </row>
        <row r="19">
          <cell r="BH19" t="str">
            <v>石油コークス</v>
          </cell>
        </row>
        <row r="20">
          <cell r="BH20" t="str">
            <v>液化石油ガス(ＬＰＧ)</v>
          </cell>
        </row>
        <row r="21">
          <cell r="BH21" t="str">
            <v>石油系炭化水素ガス</v>
          </cell>
        </row>
        <row r="22">
          <cell r="BH22" t="str">
            <v>液化天然ガス（ＬＮＧ）</v>
          </cell>
        </row>
        <row r="23">
          <cell r="BH23" t="str">
            <v>その他可燃性天然ガス</v>
          </cell>
        </row>
        <row r="24">
          <cell r="BH24" t="str">
            <v>原料炭</v>
          </cell>
        </row>
        <row r="25">
          <cell r="BH25" t="str">
            <v>一般炭</v>
          </cell>
        </row>
        <row r="26">
          <cell r="BH26" t="str">
            <v>無煙炭</v>
          </cell>
        </row>
        <row r="27">
          <cell r="BH27" t="str">
            <v>石炭コークス</v>
          </cell>
        </row>
        <row r="28">
          <cell r="BH28" t="str">
            <v>コールタール</v>
          </cell>
        </row>
        <row r="29">
          <cell r="BH29" t="str">
            <v>コークス炉ガス</v>
          </cell>
        </row>
        <row r="30">
          <cell r="BH30" t="str">
            <v>高炉ガス</v>
          </cell>
        </row>
        <row r="31">
          <cell r="BH31" t="str">
            <v>転炉ガス</v>
          </cell>
        </row>
        <row r="32">
          <cell r="BH32" t="str">
            <v>都市ガス</v>
          </cell>
        </row>
        <row r="33">
          <cell r="BH33" t="str">
            <v>産業用蒸気</v>
          </cell>
        </row>
        <row r="34">
          <cell r="BH34" t="str">
            <v>産業用以外の蒸気</v>
          </cell>
        </row>
        <row r="35">
          <cell r="BH35" t="str">
            <v>温水</v>
          </cell>
        </row>
        <row r="36">
          <cell r="BH36" t="str">
            <v>冷水</v>
          </cell>
        </row>
        <row r="37">
          <cell r="BH37" t="str">
            <v>昼間買電</v>
          </cell>
        </row>
        <row r="38">
          <cell r="BH38" t="str">
            <v>夜間買電</v>
          </cell>
        </row>
        <row r="39">
          <cell r="BH39" t="str">
            <v>上記以外の買電</v>
          </cell>
        </row>
        <row r="40">
          <cell r="BH40" t="str">
            <v>その他の燃料１</v>
          </cell>
        </row>
        <row r="41">
          <cell r="BH41" t="str">
            <v>その他の燃料２</v>
          </cell>
        </row>
        <row r="42">
          <cell r="BH42" t="str">
            <v>その他の燃料３</v>
          </cell>
        </row>
      </sheetData>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３】"/>
      <sheetName val="【４】"/>
      <sheetName val="【５～７】"/>
      <sheetName val="【８】"/>
      <sheetName val="【９】"/>
      <sheetName val="【１０～１１】"/>
      <sheetName val="【個別票】"/>
    </sheetNames>
    <sheetDataSet>
      <sheetData sheetId="0" refreshError="1"/>
      <sheetData sheetId="1" refreshError="1"/>
      <sheetData sheetId="2" refreshError="1"/>
      <sheetData sheetId="3" refreshError="1"/>
      <sheetData sheetId="4">
        <row r="10">
          <cell r="BH10" t="str">
            <v>原油(コンデンセートを除く)</v>
          </cell>
        </row>
        <row r="11">
          <cell r="BH11" t="str">
            <v>原油のうちコンデンセート(NGL)</v>
          </cell>
        </row>
        <row r="12">
          <cell r="BH12" t="str">
            <v>揮発油（ガソリン）</v>
          </cell>
        </row>
        <row r="13">
          <cell r="BH13" t="str">
            <v>ナフサ</v>
          </cell>
        </row>
        <row r="14">
          <cell r="BH14" t="str">
            <v>灯油</v>
          </cell>
        </row>
        <row r="15">
          <cell r="BH15" t="str">
            <v>軽油</v>
          </cell>
        </row>
        <row r="16">
          <cell r="BH16" t="str">
            <v>Ａ重油</v>
          </cell>
        </row>
        <row r="17">
          <cell r="BH17" t="str">
            <v>Ｂ・Ｃ重油</v>
          </cell>
        </row>
        <row r="18">
          <cell r="BH18" t="str">
            <v>石油アスファルト</v>
          </cell>
        </row>
        <row r="19">
          <cell r="BH19" t="str">
            <v>石油コークス</v>
          </cell>
        </row>
        <row r="20">
          <cell r="BH20" t="str">
            <v>液化石油ガス(ＬＰＧ)</v>
          </cell>
        </row>
        <row r="21">
          <cell r="BH21" t="str">
            <v>石油系炭化水素ガス</v>
          </cell>
        </row>
        <row r="22">
          <cell r="BH22" t="str">
            <v>液化天然ガス（ＬＮＧ）</v>
          </cell>
        </row>
        <row r="23">
          <cell r="BH23" t="str">
            <v>その他可燃性天然ガス</v>
          </cell>
        </row>
        <row r="24">
          <cell r="BH24" t="str">
            <v>原料炭</v>
          </cell>
        </row>
        <row r="25">
          <cell r="BH25" t="str">
            <v>一般炭</v>
          </cell>
        </row>
        <row r="26">
          <cell r="BH26" t="str">
            <v>無煙炭</v>
          </cell>
        </row>
        <row r="27">
          <cell r="BH27" t="str">
            <v>石炭コークス</v>
          </cell>
        </row>
        <row r="28">
          <cell r="BH28" t="str">
            <v>コールタール</v>
          </cell>
        </row>
        <row r="29">
          <cell r="BH29" t="str">
            <v>コークス炉ガス</v>
          </cell>
        </row>
        <row r="30">
          <cell r="BH30" t="str">
            <v>高炉ガス</v>
          </cell>
        </row>
        <row r="31">
          <cell r="BH31" t="str">
            <v>転炉ガス</v>
          </cell>
        </row>
        <row r="32">
          <cell r="BH32" t="str">
            <v>都市ガス</v>
          </cell>
        </row>
        <row r="33">
          <cell r="BH33" t="str">
            <v>産業用蒸気</v>
          </cell>
        </row>
        <row r="34">
          <cell r="BH34" t="str">
            <v>産業用以外の蒸気</v>
          </cell>
        </row>
        <row r="35">
          <cell r="BH35" t="str">
            <v>温水</v>
          </cell>
        </row>
        <row r="36">
          <cell r="BH36" t="str">
            <v>冷水</v>
          </cell>
        </row>
        <row r="37">
          <cell r="BH37" t="str">
            <v>昼間買電</v>
          </cell>
        </row>
        <row r="38">
          <cell r="BH38" t="str">
            <v>夜間買電</v>
          </cell>
        </row>
        <row r="39">
          <cell r="BH39" t="str">
            <v>上記以外の買電</v>
          </cell>
        </row>
        <row r="40">
          <cell r="BH40" t="str">
            <v>その他の燃料１</v>
          </cell>
        </row>
        <row r="41">
          <cell r="BH41" t="str">
            <v>その他の燃料２</v>
          </cell>
        </row>
        <row r="42">
          <cell r="BH42" t="str">
            <v>その他の燃料３</v>
          </cell>
        </row>
      </sheetData>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6.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7.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8.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9.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0.v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1.vml"/><Relationship Id="rId1" Type="http://schemas.openxmlformats.org/officeDocument/2006/relationships/printerSettings" Target="../printerSettings/printerSettings4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2.v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3.v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4.v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5.v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6.vml"/><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47.vml"/><Relationship Id="rId7" Type="http://schemas.openxmlformats.org/officeDocument/2006/relationships/ctrlProp" Target="../ctrlProps/ctrlProp10.xml"/><Relationship Id="rId12" Type="http://schemas.openxmlformats.org/officeDocument/2006/relationships/ctrlProp" Target="../ctrlProps/ctrlProp15.xml"/><Relationship Id="rId2" Type="http://schemas.openxmlformats.org/officeDocument/2006/relationships/drawing" Target="../drawings/drawing6.xml"/><Relationship Id="rId1" Type="http://schemas.openxmlformats.org/officeDocument/2006/relationships/printerSettings" Target="../printerSettings/printerSettings52.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18" Type="http://schemas.openxmlformats.org/officeDocument/2006/relationships/ctrlProp" Target="../ctrlProps/ctrlProp30.xml"/><Relationship Id="rId3" Type="http://schemas.openxmlformats.org/officeDocument/2006/relationships/vmlDrawing" Target="../drawings/vmlDrawing48.vml"/><Relationship Id="rId21" Type="http://schemas.openxmlformats.org/officeDocument/2006/relationships/ctrlProp" Target="../ctrlProps/ctrlProp33.x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5" Type="http://schemas.openxmlformats.org/officeDocument/2006/relationships/ctrlProp" Target="../ctrlProps/ctrlProp37.xml"/><Relationship Id="rId2" Type="http://schemas.openxmlformats.org/officeDocument/2006/relationships/drawing" Target="../drawings/drawing7.xml"/><Relationship Id="rId16" Type="http://schemas.openxmlformats.org/officeDocument/2006/relationships/ctrlProp" Target="../ctrlProps/ctrlProp28.xml"/><Relationship Id="rId20" Type="http://schemas.openxmlformats.org/officeDocument/2006/relationships/ctrlProp" Target="../ctrlProps/ctrlProp32.xml"/><Relationship Id="rId1" Type="http://schemas.openxmlformats.org/officeDocument/2006/relationships/printerSettings" Target="../printerSettings/printerSettings53.bin"/><Relationship Id="rId6" Type="http://schemas.openxmlformats.org/officeDocument/2006/relationships/ctrlProp" Target="../ctrlProps/ctrlProp18.xml"/><Relationship Id="rId11" Type="http://schemas.openxmlformats.org/officeDocument/2006/relationships/ctrlProp" Target="../ctrlProps/ctrlProp23.xml"/><Relationship Id="rId24" Type="http://schemas.openxmlformats.org/officeDocument/2006/relationships/ctrlProp" Target="../ctrlProps/ctrlProp36.xml"/><Relationship Id="rId5" Type="http://schemas.openxmlformats.org/officeDocument/2006/relationships/ctrlProp" Target="../ctrlProps/ctrlProp17.xml"/><Relationship Id="rId15" Type="http://schemas.openxmlformats.org/officeDocument/2006/relationships/ctrlProp" Target="../ctrlProps/ctrlProp27.xml"/><Relationship Id="rId23" Type="http://schemas.openxmlformats.org/officeDocument/2006/relationships/ctrlProp" Target="../ctrlProps/ctrlProp35.xml"/><Relationship Id="rId10" Type="http://schemas.openxmlformats.org/officeDocument/2006/relationships/ctrlProp" Target="../ctrlProps/ctrlProp22.xml"/><Relationship Id="rId19" Type="http://schemas.openxmlformats.org/officeDocument/2006/relationships/ctrlProp" Target="../ctrlProps/ctrlProp31.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 Id="rId22" Type="http://schemas.openxmlformats.org/officeDocument/2006/relationships/ctrlProp" Target="../ctrlProps/ctrlProp34.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117" Type="http://schemas.openxmlformats.org/officeDocument/2006/relationships/ctrlProp" Target="../ctrlProps/ctrlProp151.xml"/><Relationship Id="rId21" Type="http://schemas.openxmlformats.org/officeDocument/2006/relationships/ctrlProp" Target="../ctrlProps/ctrlProp55.xml"/><Relationship Id="rId42" Type="http://schemas.openxmlformats.org/officeDocument/2006/relationships/ctrlProp" Target="../ctrlProps/ctrlProp76.xml"/><Relationship Id="rId63" Type="http://schemas.openxmlformats.org/officeDocument/2006/relationships/ctrlProp" Target="../ctrlProps/ctrlProp97.xml"/><Relationship Id="rId84" Type="http://schemas.openxmlformats.org/officeDocument/2006/relationships/ctrlProp" Target="../ctrlProps/ctrlProp118.xml"/><Relationship Id="rId138" Type="http://schemas.openxmlformats.org/officeDocument/2006/relationships/ctrlProp" Target="../ctrlProps/ctrlProp172.xml"/><Relationship Id="rId159" Type="http://schemas.openxmlformats.org/officeDocument/2006/relationships/ctrlProp" Target="../ctrlProps/ctrlProp193.xml"/><Relationship Id="rId170" Type="http://schemas.openxmlformats.org/officeDocument/2006/relationships/ctrlProp" Target="../ctrlProps/ctrlProp204.xml"/><Relationship Id="rId107" Type="http://schemas.openxmlformats.org/officeDocument/2006/relationships/ctrlProp" Target="../ctrlProps/ctrlProp141.xml"/><Relationship Id="rId11" Type="http://schemas.openxmlformats.org/officeDocument/2006/relationships/ctrlProp" Target="../ctrlProps/ctrlProp45.xml"/><Relationship Id="rId32" Type="http://schemas.openxmlformats.org/officeDocument/2006/relationships/ctrlProp" Target="../ctrlProps/ctrlProp66.xml"/><Relationship Id="rId53" Type="http://schemas.openxmlformats.org/officeDocument/2006/relationships/ctrlProp" Target="../ctrlProps/ctrlProp87.xml"/><Relationship Id="rId74" Type="http://schemas.openxmlformats.org/officeDocument/2006/relationships/ctrlProp" Target="../ctrlProps/ctrlProp108.xml"/><Relationship Id="rId128" Type="http://schemas.openxmlformats.org/officeDocument/2006/relationships/ctrlProp" Target="../ctrlProps/ctrlProp162.xml"/><Relationship Id="rId149" Type="http://schemas.openxmlformats.org/officeDocument/2006/relationships/ctrlProp" Target="../ctrlProps/ctrlProp183.xml"/><Relationship Id="rId5" Type="http://schemas.openxmlformats.org/officeDocument/2006/relationships/ctrlProp" Target="../ctrlProps/ctrlProp39.xml"/><Relationship Id="rId95" Type="http://schemas.openxmlformats.org/officeDocument/2006/relationships/ctrlProp" Target="../ctrlProps/ctrlProp129.xml"/><Relationship Id="rId160" Type="http://schemas.openxmlformats.org/officeDocument/2006/relationships/ctrlProp" Target="../ctrlProps/ctrlProp194.xml"/><Relationship Id="rId181" Type="http://schemas.openxmlformats.org/officeDocument/2006/relationships/ctrlProp" Target="../ctrlProps/ctrlProp215.xml"/><Relationship Id="rId22" Type="http://schemas.openxmlformats.org/officeDocument/2006/relationships/ctrlProp" Target="../ctrlProps/ctrlProp56.xml"/><Relationship Id="rId43" Type="http://schemas.openxmlformats.org/officeDocument/2006/relationships/ctrlProp" Target="../ctrlProps/ctrlProp77.xml"/><Relationship Id="rId64" Type="http://schemas.openxmlformats.org/officeDocument/2006/relationships/ctrlProp" Target="../ctrlProps/ctrlProp98.xml"/><Relationship Id="rId118" Type="http://schemas.openxmlformats.org/officeDocument/2006/relationships/ctrlProp" Target="../ctrlProps/ctrlProp152.xml"/><Relationship Id="rId139" Type="http://schemas.openxmlformats.org/officeDocument/2006/relationships/ctrlProp" Target="../ctrlProps/ctrlProp173.xml"/><Relationship Id="rId85" Type="http://schemas.openxmlformats.org/officeDocument/2006/relationships/ctrlProp" Target="../ctrlProps/ctrlProp119.xml"/><Relationship Id="rId150" Type="http://schemas.openxmlformats.org/officeDocument/2006/relationships/ctrlProp" Target="../ctrlProps/ctrlProp184.xml"/><Relationship Id="rId171" Type="http://schemas.openxmlformats.org/officeDocument/2006/relationships/ctrlProp" Target="../ctrlProps/ctrlProp205.xml"/><Relationship Id="rId12" Type="http://schemas.openxmlformats.org/officeDocument/2006/relationships/ctrlProp" Target="../ctrlProps/ctrlProp46.xml"/><Relationship Id="rId33" Type="http://schemas.openxmlformats.org/officeDocument/2006/relationships/ctrlProp" Target="../ctrlProps/ctrlProp67.xml"/><Relationship Id="rId108" Type="http://schemas.openxmlformats.org/officeDocument/2006/relationships/ctrlProp" Target="../ctrlProps/ctrlProp142.xml"/><Relationship Id="rId129" Type="http://schemas.openxmlformats.org/officeDocument/2006/relationships/ctrlProp" Target="../ctrlProps/ctrlProp163.xml"/><Relationship Id="rId54" Type="http://schemas.openxmlformats.org/officeDocument/2006/relationships/ctrlProp" Target="../ctrlProps/ctrlProp88.xml"/><Relationship Id="rId75" Type="http://schemas.openxmlformats.org/officeDocument/2006/relationships/ctrlProp" Target="../ctrlProps/ctrlProp109.xml"/><Relationship Id="rId96" Type="http://schemas.openxmlformats.org/officeDocument/2006/relationships/ctrlProp" Target="../ctrlProps/ctrlProp130.xml"/><Relationship Id="rId140" Type="http://schemas.openxmlformats.org/officeDocument/2006/relationships/ctrlProp" Target="../ctrlProps/ctrlProp174.xml"/><Relationship Id="rId161" Type="http://schemas.openxmlformats.org/officeDocument/2006/relationships/ctrlProp" Target="../ctrlProps/ctrlProp195.xml"/><Relationship Id="rId182" Type="http://schemas.openxmlformats.org/officeDocument/2006/relationships/ctrlProp" Target="../ctrlProps/ctrlProp216.xml"/><Relationship Id="rId6" Type="http://schemas.openxmlformats.org/officeDocument/2006/relationships/ctrlProp" Target="../ctrlProps/ctrlProp40.xml"/><Relationship Id="rId23" Type="http://schemas.openxmlformats.org/officeDocument/2006/relationships/ctrlProp" Target="../ctrlProps/ctrlProp57.xml"/><Relationship Id="rId119" Type="http://schemas.openxmlformats.org/officeDocument/2006/relationships/ctrlProp" Target="../ctrlProps/ctrlProp153.xml"/><Relationship Id="rId44" Type="http://schemas.openxmlformats.org/officeDocument/2006/relationships/ctrlProp" Target="../ctrlProps/ctrlProp78.xml"/><Relationship Id="rId60" Type="http://schemas.openxmlformats.org/officeDocument/2006/relationships/ctrlProp" Target="../ctrlProps/ctrlProp94.xml"/><Relationship Id="rId65" Type="http://schemas.openxmlformats.org/officeDocument/2006/relationships/ctrlProp" Target="../ctrlProps/ctrlProp99.xml"/><Relationship Id="rId81" Type="http://schemas.openxmlformats.org/officeDocument/2006/relationships/ctrlProp" Target="../ctrlProps/ctrlProp115.xml"/><Relationship Id="rId86" Type="http://schemas.openxmlformats.org/officeDocument/2006/relationships/ctrlProp" Target="../ctrlProps/ctrlProp120.xml"/><Relationship Id="rId130" Type="http://schemas.openxmlformats.org/officeDocument/2006/relationships/ctrlProp" Target="../ctrlProps/ctrlProp164.xml"/><Relationship Id="rId135" Type="http://schemas.openxmlformats.org/officeDocument/2006/relationships/ctrlProp" Target="../ctrlProps/ctrlProp169.xml"/><Relationship Id="rId151" Type="http://schemas.openxmlformats.org/officeDocument/2006/relationships/ctrlProp" Target="../ctrlProps/ctrlProp185.xml"/><Relationship Id="rId156" Type="http://schemas.openxmlformats.org/officeDocument/2006/relationships/ctrlProp" Target="../ctrlProps/ctrlProp190.xml"/><Relationship Id="rId177" Type="http://schemas.openxmlformats.org/officeDocument/2006/relationships/ctrlProp" Target="../ctrlProps/ctrlProp211.xml"/><Relationship Id="rId172" Type="http://schemas.openxmlformats.org/officeDocument/2006/relationships/ctrlProp" Target="../ctrlProps/ctrlProp206.xml"/><Relationship Id="rId13" Type="http://schemas.openxmlformats.org/officeDocument/2006/relationships/ctrlProp" Target="../ctrlProps/ctrlProp47.xml"/><Relationship Id="rId18" Type="http://schemas.openxmlformats.org/officeDocument/2006/relationships/ctrlProp" Target="../ctrlProps/ctrlProp52.xml"/><Relationship Id="rId39" Type="http://schemas.openxmlformats.org/officeDocument/2006/relationships/ctrlProp" Target="../ctrlProps/ctrlProp73.xml"/><Relationship Id="rId109" Type="http://schemas.openxmlformats.org/officeDocument/2006/relationships/ctrlProp" Target="../ctrlProps/ctrlProp143.xml"/><Relationship Id="rId34" Type="http://schemas.openxmlformats.org/officeDocument/2006/relationships/ctrlProp" Target="../ctrlProps/ctrlProp68.xml"/><Relationship Id="rId50" Type="http://schemas.openxmlformats.org/officeDocument/2006/relationships/ctrlProp" Target="../ctrlProps/ctrlProp84.xml"/><Relationship Id="rId55" Type="http://schemas.openxmlformats.org/officeDocument/2006/relationships/ctrlProp" Target="../ctrlProps/ctrlProp89.xml"/><Relationship Id="rId76" Type="http://schemas.openxmlformats.org/officeDocument/2006/relationships/ctrlProp" Target="../ctrlProps/ctrlProp110.xml"/><Relationship Id="rId97" Type="http://schemas.openxmlformats.org/officeDocument/2006/relationships/ctrlProp" Target="../ctrlProps/ctrlProp131.xml"/><Relationship Id="rId104" Type="http://schemas.openxmlformats.org/officeDocument/2006/relationships/ctrlProp" Target="../ctrlProps/ctrlProp138.xml"/><Relationship Id="rId120" Type="http://schemas.openxmlformats.org/officeDocument/2006/relationships/ctrlProp" Target="../ctrlProps/ctrlProp154.xml"/><Relationship Id="rId125" Type="http://schemas.openxmlformats.org/officeDocument/2006/relationships/ctrlProp" Target="../ctrlProps/ctrlProp159.xml"/><Relationship Id="rId141" Type="http://schemas.openxmlformats.org/officeDocument/2006/relationships/ctrlProp" Target="../ctrlProps/ctrlProp175.xml"/><Relationship Id="rId146" Type="http://schemas.openxmlformats.org/officeDocument/2006/relationships/ctrlProp" Target="../ctrlProps/ctrlProp180.xml"/><Relationship Id="rId167" Type="http://schemas.openxmlformats.org/officeDocument/2006/relationships/ctrlProp" Target="../ctrlProps/ctrlProp201.xml"/><Relationship Id="rId7" Type="http://schemas.openxmlformats.org/officeDocument/2006/relationships/ctrlProp" Target="../ctrlProps/ctrlProp41.xml"/><Relationship Id="rId71" Type="http://schemas.openxmlformats.org/officeDocument/2006/relationships/ctrlProp" Target="../ctrlProps/ctrlProp105.xml"/><Relationship Id="rId92" Type="http://schemas.openxmlformats.org/officeDocument/2006/relationships/ctrlProp" Target="../ctrlProps/ctrlProp126.xml"/><Relationship Id="rId162" Type="http://schemas.openxmlformats.org/officeDocument/2006/relationships/ctrlProp" Target="../ctrlProps/ctrlProp196.xml"/><Relationship Id="rId183" Type="http://schemas.openxmlformats.org/officeDocument/2006/relationships/ctrlProp" Target="../ctrlProps/ctrlProp217.xml"/><Relationship Id="rId2" Type="http://schemas.openxmlformats.org/officeDocument/2006/relationships/drawing" Target="../drawings/drawing9.xml"/><Relationship Id="rId29" Type="http://schemas.openxmlformats.org/officeDocument/2006/relationships/ctrlProp" Target="../ctrlProps/ctrlProp63.xml"/><Relationship Id="rId24" Type="http://schemas.openxmlformats.org/officeDocument/2006/relationships/ctrlProp" Target="../ctrlProps/ctrlProp58.xml"/><Relationship Id="rId40" Type="http://schemas.openxmlformats.org/officeDocument/2006/relationships/ctrlProp" Target="../ctrlProps/ctrlProp74.xml"/><Relationship Id="rId45" Type="http://schemas.openxmlformats.org/officeDocument/2006/relationships/ctrlProp" Target="../ctrlProps/ctrlProp79.xml"/><Relationship Id="rId66" Type="http://schemas.openxmlformats.org/officeDocument/2006/relationships/ctrlProp" Target="../ctrlProps/ctrlProp100.xml"/><Relationship Id="rId87" Type="http://schemas.openxmlformats.org/officeDocument/2006/relationships/ctrlProp" Target="../ctrlProps/ctrlProp121.xml"/><Relationship Id="rId110" Type="http://schemas.openxmlformats.org/officeDocument/2006/relationships/ctrlProp" Target="../ctrlProps/ctrlProp144.xml"/><Relationship Id="rId115" Type="http://schemas.openxmlformats.org/officeDocument/2006/relationships/ctrlProp" Target="../ctrlProps/ctrlProp149.xml"/><Relationship Id="rId131" Type="http://schemas.openxmlformats.org/officeDocument/2006/relationships/ctrlProp" Target="../ctrlProps/ctrlProp165.xml"/><Relationship Id="rId136" Type="http://schemas.openxmlformats.org/officeDocument/2006/relationships/ctrlProp" Target="../ctrlProps/ctrlProp170.xml"/><Relationship Id="rId157" Type="http://schemas.openxmlformats.org/officeDocument/2006/relationships/ctrlProp" Target="../ctrlProps/ctrlProp191.xml"/><Relationship Id="rId178" Type="http://schemas.openxmlformats.org/officeDocument/2006/relationships/ctrlProp" Target="../ctrlProps/ctrlProp212.xml"/><Relationship Id="rId61" Type="http://schemas.openxmlformats.org/officeDocument/2006/relationships/ctrlProp" Target="../ctrlProps/ctrlProp95.xml"/><Relationship Id="rId82" Type="http://schemas.openxmlformats.org/officeDocument/2006/relationships/ctrlProp" Target="../ctrlProps/ctrlProp116.xml"/><Relationship Id="rId152" Type="http://schemas.openxmlformats.org/officeDocument/2006/relationships/ctrlProp" Target="../ctrlProps/ctrlProp186.xml"/><Relationship Id="rId173" Type="http://schemas.openxmlformats.org/officeDocument/2006/relationships/ctrlProp" Target="../ctrlProps/ctrlProp207.xml"/><Relationship Id="rId19" Type="http://schemas.openxmlformats.org/officeDocument/2006/relationships/ctrlProp" Target="../ctrlProps/ctrlProp53.xml"/><Relationship Id="rId14" Type="http://schemas.openxmlformats.org/officeDocument/2006/relationships/ctrlProp" Target="../ctrlProps/ctrlProp48.xml"/><Relationship Id="rId30" Type="http://schemas.openxmlformats.org/officeDocument/2006/relationships/ctrlProp" Target="../ctrlProps/ctrlProp64.xml"/><Relationship Id="rId35" Type="http://schemas.openxmlformats.org/officeDocument/2006/relationships/ctrlProp" Target="../ctrlProps/ctrlProp69.xml"/><Relationship Id="rId56" Type="http://schemas.openxmlformats.org/officeDocument/2006/relationships/ctrlProp" Target="../ctrlProps/ctrlProp90.xml"/><Relationship Id="rId77" Type="http://schemas.openxmlformats.org/officeDocument/2006/relationships/ctrlProp" Target="../ctrlProps/ctrlProp111.xml"/><Relationship Id="rId100" Type="http://schemas.openxmlformats.org/officeDocument/2006/relationships/ctrlProp" Target="../ctrlProps/ctrlProp134.xml"/><Relationship Id="rId105" Type="http://schemas.openxmlformats.org/officeDocument/2006/relationships/ctrlProp" Target="../ctrlProps/ctrlProp139.xml"/><Relationship Id="rId126" Type="http://schemas.openxmlformats.org/officeDocument/2006/relationships/ctrlProp" Target="../ctrlProps/ctrlProp160.xml"/><Relationship Id="rId147" Type="http://schemas.openxmlformats.org/officeDocument/2006/relationships/ctrlProp" Target="../ctrlProps/ctrlProp181.xml"/><Relationship Id="rId168" Type="http://schemas.openxmlformats.org/officeDocument/2006/relationships/ctrlProp" Target="../ctrlProps/ctrlProp202.xml"/><Relationship Id="rId8" Type="http://schemas.openxmlformats.org/officeDocument/2006/relationships/ctrlProp" Target="../ctrlProps/ctrlProp42.xml"/><Relationship Id="rId51" Type="http://schemas.openxmlformats.org/officeDocument/2006/relationships/ctrlProp" Target="../ctrlProps/ctrlProp85.xml"/><Relationship Id="rId72" Type="http://schemas.openxmlformats.org/officeDocument/2006/relationships/ctrlProp" Target="../ctrlProps/ctrlProp106.xml"/><Relationship Id="rId93" Type="http://schemas.openxmlformats.org/officeDocument/2006/relationships/ctrlProp" Target="../ctrlProps/ctrlProp127.xml"/><Relationship Id="rId98" Type="http://schemas.openxmlformats.org/officeDocument/2006/relationships/ctrlProp" Target="../ctrlProps/ctrlProp132.xml"/><Relationship Id="rId121" Type="http://schemas.openxmlformats.org/officeDocument/2006/relationships/ctrlProp" Target="../ctrlProps/ctrlProp155.xml"/><Relationship Id="rId142" Type="http://schemas.openxmlformats.org/officeDocument/2006/relationships/ctrlProp" Target="../ctrlProps/ctrlProp176.xml"/><Relationship Id="rId163" Type="http://schemas.openxmlformats.org/officeDocument/2006/relationships/ctrlProp" Target="../ctrlProps/ctrlProp197.xml"/><Relationship Id="rId3" Type="http://schemas.openxmlformats.org/officeDocument/2006/relationships/vmlDrawing" Target="../drawings/vmlDrawing49.vml"/><Relationship Id="rId25" Type="http://schemas.openxmlformats.org/officeDocument/2006/relationships/ctrlProp" Target="../ctrlProps/ctrlProp59.xml"/><Relationship Id="rId46" Type="http://schemas.openxmlformats.org/officeDocument/2006/relationships/ctrlProp" Target="../ctrlProps/ctrlProp80.xml"/><Relationship Id="rId67" Type="http://schemas.openxmlformats.org/officeDocument/2006/relationships/ctrlProp" Target="../ctrlProps/ctrlProp101.xml"/><Relationship Id="rId116" Type="http://schemas.openxmlformats.org/officeDocument/2006/relationships/ctrlProp" Target="../ctrlProps/ctrlProp150.xml"/><Relationship Id="rId137" Type="http://schemas.openxmlformats.org/officeDocument/2006/relationships/ctrlProp" Target="../ctrlProps/ctrlProp171.xml"/><Relationship Id="rId158" Type="http://schemas.openxmlformats.org/officeDocument/2006/relationships/ctrlProp" Target="../ctrlProps/ctrlProp192.xml"/><Relationship Id="rId20" Type="http://schemas.openxmlformats.org/officeDocument/2006/relationships/ctrlProp" Target="../ctrlProps/ctrlProp54.xml"/><Relationship Id="rId41" Type="http://schemas.openxmlformats.org/officeDocument/2006/relationships/ctrlProp" Target="../ctrlProps/ctrlProp75.xml"/><Relationship Id="rId62" Type="http://schemas.openxmlformats.org/officeDocument/2006/relationships/ctrlProp" Target="../ctrlProps/ctrlProp96.xml"/><Relationship Id="rId83" Type="http://schemas.openxmlformats.org/officeDocument/2006/relationships/ctrlProp" Target="../ctrlProps/ctrlProp117.xml"/><Relationship Id="rId88" Type="http://schemas.openxmlformats.org/officeDocument/2006/relationships/ctrlProp" Target="../ctrlProps/ctrlProp122.xml"/><Relationship Id="rId111" Type="http://schemas.openxmlformats.org/officeDocument/2006/relationships/ctrlProp" Target="../ctrlProps/ctrlProp145.xml"/><Relationship Id="rId132" Type="http://schemas.openxmlformats.org/officeDocument/2006/relationships/ctrlProp" Target="../ctrlProps/ctrlProp166.xml"/><Relationship Id="rId153" Type="http://schemas.openxmlformats.org/officeDocument/2006/relationships/ctrlProp" Target="../ctrlProps/ctrlProp187.xml"/><Relationship Id="rId174" Type="http://schemas.openxmlformats.org/officeDocument/2006/relationships/ctrlProp" Target="../ctrlProps/ctrlProp208.xml"/><Relationship Id="rId179" Type="http://schemas.openxmlformats.org/officeDocument/2006/relationships/ctrlProp" Target="../ctrlProps/ctrlProp213.xml"/><Relationship Id="rId15" Type="http://schemas.openxmlformats.org/officeDocument/2006/relationships/ctrlProp" Target="../ctrlProps/ctrlProp49.xml"/><Relationship Id="rId36" Type="http://schemas.openxmlformats.org/officeDocument/2006/relationships/ctrlProp" Target="../ctrlProps/ctrlProp70.xml"/><Relationship Id="rId57" Type="http://schemas.openxmlformats.org/officeDocument/2006/relationships/ctrlProp" Target="../ctrlProps/ctrlProp91.xml"/><Relationship Id="rId106" Type="http://schemas.openxmlformats.org/officeDocument/2006/relationships/ctrlProp" Target="../ctrlProps/ctrlProp140.xml"/><Relationship Id="rId127" Type="http://schemas.openxmlformats.org/officeDocument/2006/relationships/ctrlProp" Target="../ctrlProps/ctrlProp161.xml"/><Relationship Id="rId10" Type="http://schemas.openxmlformats.org/officeDocument/2006/relationships/ctrlProp" Target="../ctrlProps/ctrlProp44.xml"/><Relationship Id="rId31" Type="http://schemas.openxmlformats.org/officeDocument/2006/relationships/ctrlProp" Target="../ctrlProps/ctrlProp65.xml"/><Relationship Id="rId52" Type="http://schemas.openxmlformats.org/officeDocument/2006/relationships/ctrlProp" Target="../ctrlProps/ctrlProp86.xml"/><Relationship Id="rId73" Type="http://schemas.openxmlformats.org/officeDocument/2006/relationships/ctrlProp" Target="../ctrlProps/ctrlProp107.xml"/><Relationship Id="rId78" Type="http://schemas.openxmlformats.org/officeDocument/2006/relationships/ctrlProp" Target="../ctrlProps/ctrlProp112.xml"/><Relationship Id="rId94" Type="http://schemas.openxmlformats.org/officeDocument/2006/relationships/ctrlProp" Target="../ctrlProps/ctrlProp128.xml"/><Relationship Id="rId99" Type="http://schemas.openxmlformats.org/officeDocument/2006/relationships/ctrlProp" Target="../ctrlProps/ctrlProp133.xml"/><Relationship Id="rId101" Type="http://schemas.openxmlformats.org/officeDocument/2006/relationships/ctrlProp" Target="../ctrlProps/ctrlProp135.xml"/><Relationship Id="rId122" Type="http://schemas.openxmlformats.org/officeDocument/2006/relationships/ctrlProp" Target="../ctrlProps/ctrlProp156.xml"/><Relationship Id="rId143" Type="http://schemas.openxmlformats.org/officeDocument/2006/relationships/ctrlProp" Target="../ctrlProps/ctrlProp177.xml"/><Relationship Id="rId148" Type="http://schemas.openxmlformats.org/officeDocument/2006/relationships/ctrlProp" Target="../ctrlProps/ctrlProp182.xml"/><Relationship Id="rId164" Type="http://schemas.openxmlformats.org/officeDocument/2006/relationships/ctrlProp" Target="../ctrlProps/ctrlProp198.xml"/><Relationship Id="rId169" Type="http://schemas.openxmlformats.org/officeDocument/2006/relationships/ctrlProp" Target="../ctrlProps/ctrlProp203.xml"/><Relationship Id="rId4" Type="http://schemas.openxmlformats.org/officeDocument/2006/relationships/ctrlProp" Target="../ctrlProps/ctrlProp38.xml"/><Relationship Id="rId9" Type="http://schemas.openxmlformats.org/officeDocument/2006/relationships/ctrlProp" Target="../ctrlProps/ctrlProp43.xml"/><Relationship Id="rId180" Type="http://schemas.openxmlformats.org/officeDocument/2006/relationships/ctrlProp" Target="../ctrlProps/ctrlProp214.xml"/><Relationship Id="rId26" Type="http://schemas.openxmlformats.org/officeDocument/2006/relationships/ctrlProp" Target="../ctrlProps/ctrlProp60.xml"/><Relationship Id="rId47" Type="http://schemas.openxmlformats.org/officeDocument/2006/relationships/ctrlProp" Target="../ctrlProps/ctrlProp81.xml"/><Relationship Id="rId68" Type="http://schemas.openxmlformats.org/officeDocument/2006/relationships/ctrlProp" Target="../ctrlProps/ctrlProp102.xml"/><Relationship Id="rId89" Type="http://schemas.openxmlformats.org/officeDocument/2006/relationships/ctrlProp" Target="../ctrlProps/ctrlProp123.xml"/><Relationship Id="rId112" Type="http://schemas.openxmlformats.org/officeDocument/2006/relationships/ctrlProp" Target="../ctrlProps/ctrlProp146.xml"/><Relationship Id="rId133" Type="http://schemas.openxmlformats.org/officeDocument/2006/relationships/ctrlProp" Target="../ctrlProps/ctrlProp167.xml"/><Relationship Id="rId154" Type="http://schemas.openxmlformats.org/officeDocument/2006/relationships/ctrlProp" Target="../ctrlProps/ctrlProp188.xml"/><Relationship Id="rId175" Type="http://schemas.openxmlformats.org/officeDocument/2006/relationships/ctrlProp" Target="../ctrlProps/ctrlProp209.xml"/><Relationship Id="rId16" Type="http://schemas.openxmlformats.org/officeDocument/2006/relationships/ctrlProp" Target="../ctrlProps/ctrlProp50.xml"/><Relationship Id="rId37" Type="http://schemas.openxmlformats.org/officeDocument/2006/relationships/ctrlProp" Target="../ctrlProps/ctrlProp71.xml"/><Relationship Id="rId58" Type="http://schemas.openxmlformats.org/officeDocument/2006/relationships/ctrlProp" Target="../ctrlProps/ctrlProp92.xml"/><Relationship Id="rId79" Type="http://schemas.openxmlformats.org/officeDocument/2006/relationships/ctrlProp" Target="../ctrlProps/ctrlProp113.xml"/><Relationship Id="rId102" Type="http://schemas.openxmlformats.org/officeDocument/2006/relationships/ctrlProp" Target="../ctrlProps/ctrlProp136.xml"/><Relationship Id="rId123" Type="http://schemas.openxmlformats.org/officeDocument/2006/relationships/ctrlProp" Target="../ctrlProps/ctrlProp157.xml"/><Relationship Id="rId144" Type="http://schemas.openxmlformats.org/officeDocument/2006/relationships/ctrlProp" Target="../ctrlProps/ctrlProp178.xml"/><Relationship Id="rId90" Type="http://schemas.openxmlformats.org/officeDocument/2006/relationships/ctrlProp" Target="../ctrlProps/ctrlProp124.xml"/><Relationship Id="rId165" Type="http://schemas.openxmlformats.org/officeDocument/2006/relationships/ctrlProp" Target="../ctrlProps/ctrlProp199.xml"/><Relationship Id="rId27" Type="http://schemas.openxmlformats.org/officeDocument/2006/relationships/ctrlProp" Target="../ctrlProps/ctrlProp61.xml"/><Relationship Id="rId48" Type="http://schemas.openxmlformats.org/officeDocument/2006/relationships/ctrlProp" Target="../ctrlProps/ctrlProp82.xml"/><Relationship Id="rId69" Type="http://schemas.openxmlformats.org/officeDocument/2006/relationships/ctrlProp" Target="../ctrlProps/ctrlProp103.xml"/><Relationship Id="rId113" Type="http://schemas.openxmlformats.org/officeDocument/2006/relationships/ctrlProp" Target="../ctrlProps/ctrlProp147.xml"/><Relationship Id="rId134" Type="http://schemas.openxmlformats.org/officeDocument/2006/relationships/ctrlProp" Target="../ctrlProps/ctrlProp168.xml"/><Relationship Id="rId80" Type="http://schemas.openxmlformats.org/officeDocument/2006/relationships/ctrlProp" Target="../ctrlProps/ctrlProp114.xml"/><Relationship Id="rId155" Type="http://schemas.openxmlformats.org/officeDocument/2006/relationships/ctrlProp" Target="../ctrlProps/ctrlProp189.xml"/><Relationship Id="rId176" Type="http://schemas.openxmlformats.org/officeDocument/2006/relationships/ctrlProp" Target="../ctrlProps/ctrlProp210.xml"/><Relationship Id="rId17" Type="http://schemas.openxmlformats.org/officeDocument/2006/relationships/ctrlProp" Target="../ctrlProps/ctrlProp51.xml"/><Relationship Id="rId38" Type="http://schemas.openxmlformats.org/officeDocument/2006/relationships/ctrlProp" Target="../ctrlProps/ctrlProp72.xml"/><Relationship Id="rId59" Type="http://schemas.openxmlformats.org/officeDocument/2006/relationships/ctrlProp" Target="../ctrlProps/ctrlProp93.xml"/><Relationship Id="rId103" Type="http://schemas.openxmlformats.org/officeDocument/2006/relationships/ctrlProp" Target="../ctrlProps/ctrlProp137.xml"/><Relationship Id="rId124" Type="http://schemas.openxmlformats.org/officeDocument/2006/relationships/ctrlProp" Target="../ctrlProps/ctrlProp158.xml"/><Relationship Id="rId70" Type="http://schemas.openxmlformats.org/officeDocument/2006/relationships/ctrlProp" Target="../ctrlProps/ctrlProp104.xml"/><Relationship Id="rId91" Type="http://schemas.openxmlformats.org/officeDocument/2006/relationships/ctrlProp" Target="../ctrlProps/ctrlProp125.xml"/><Relationship Id="rId145" Type="http://schemas.openxmlformats.org/officeDocument/2006/relationships/ctrlProp" Target="../ctrlProps/ctrlProp179.xml"/><Relationship Id="rId166" Type="http://schemas.openxmlformats.org/officeDocument/2006/relationships/ctrlProp" Target="../ctrlProps/ctrlProp200.xml"/><Relationship Id="rId1" Type="http://schemas.openxmlformats.org/officeDocument/2006/relationships/printerSettings" Target="../printerSettings/printerSettings55.bin"/><Relationship Id="rId28" Type="http://schemas.openxmlformats.org/officeDocument/2006/relationships/ctrlProp" Target="../ctrlProps/ctrlProp62.xml"/><Relationship Id="rId49" Type="http://schemas.openxmlformats.org/officeDocument/2006/relationships/ctrlProp" Target="../ctrlProps/ctrlProp83.xml"/><Relationship Id="rId114" Type="http://schemas.openxmlformats.org/officeDocument/2006/relationships/ctrlProp" Target="../ctrlProps/ctrlProp148.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10.xml"/><Relationship Id="rId1" Type="http://schemas.openxmlformats.org/officeDocument/2006/relationships/printerSettings" Target="../printerSettings/printerSettings56.bin"/><Relationship Id="rId4" Type="http://schemas.openxmlformats.org/officeDocument/2006/relationships/comments" Target="../comments46.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222.xml"/><Relationship Id="rId3" Type="http://schemas.openxmlformats.org/officeDocument/2006/relationships/vmlDrawing" Target="../drawings/vmlDrawing51.vml"/><Relationship Id="rId7" Type="http://schemas.openxmlformats.org/officeDocument/2006/relationships/ctrlProp" Target="../ctrlProps/ctrlProp221.xml"/><Relationship Id="rId2" Type="http://schemas.openxmlformats.org/officeDocument/2006/relationships/drawing" Target="../drawings/drawing11.xml"/><Relationship Id="rId1" Type="http://schemas.openxmlformats.org/officeDocument/2006/relationships/printerSettings" Target="../printerSettings/printerSettings57.bin"/><Relationship Id="rId6" Type="http://schemas.openxmlformats.org/officeDocument/2006/relationships/ctrlProp" Target="../ctrlProps/ctrlProp220.xml"/><Relationship Id="rId11" Type="http://schemas.openxmlformats.org/officeDocument/2006/relationships/ctrlProp" Target="../ctrlProps/ctrlProp225.xml"/><Relationship Id="rId5" Type="http://schemas.openxmlformats.org/officeDocument/2006/relationships/ctrlProp" Target="../ctrlProps/ctrlProp219.xml"/><Relationship Id="rId10" Type="http://schemas.openxmlformats.org/officeDocument/2006/relationships/ctrlProp" Target="../ctrlProps/ctrlProp224.xml"/><Relationship Id="rId4" Type="http://schemas.openxmlformats.org/officeDocument/2006/relationships/ctrlProp" Target="../ctrlProps/ctrlProp218.xml"/><Relationship Id="rId9" Type="http://schemas.openxmlformats.org/officeDocument/2006/relationships/ctrlProp" Target="../ctrlProps/ctrlProp223.xml"/></Relationships>
</file>

<file path=xl/worksheets/_rels/sheet66.xml.rels><?xml version="1.0" encoding="UTF-8" standalone="yes"?>
<Relationships xmlns="http://schemas.openxmlformats.org/package/2006/relationships"><Relationship Id="rId26" Type="http://schemas.openxmlformats.org/officeDocument/2006/relationships/ctrlProp" Target="../ctrlProps/ctrlProp248.xml"/><Relationship Id="rId117" Type="http://schemas.openxmlformats.org/officeDocument/2006/relationships/ctrlProp" Target="../ctrlProps/ctrlProp339.xml"/><Relationship Id="rId21" Type="http://schemas.openxmlformats.org/officeDocument/2006/relationships/ctrlProp" Target="../ctrlProps/ctrlProp243.xml"/><Relationship Id="rId42" Type="http://schemas.openxmlformats.org/officeDocument/2006/relationships/ctrlProp" Target="../ctrlProps/ctrlProp264.xml"/><Relationship Id="rId47" Type="http://schemas.openxmlformats.org/officeDocument/2006/relationships/ctrlProp" Target="../ctrlProps/ctrlProp269.xml"/><Relationship Id="rId63" Type="http://schemas.openxmlformats.org/officeDocument/2006/relationships/ctrlProp" Target="../ctrlProps/ctrlProp285.xml"/><Relationship Id="rId68" Type="http://schemas.openxmlformats.org/officeDocument/2006/relationships/ctrlProp" Target="../ctrlProps/ctrlProp290.xml"/><Relationship Id="rId84" Type="http://schemas.openxmlformats.org/officeDocument/2006/relationships/ctrlProp" Target="../ctrlProps/ctrlProp306.xml"/><Relationship Id="rId89" Type="http://schemas.openxmlformats.org/officeDocument/2006/relationships/ctrlProp" Target="../ctrlProps/ctrlProp311.xml"/><Relationship Id="rId112" Type="http://schemas.openxmlformats.org/officeDocument/2006/relationships/ctrlProp" Target="../ctrlProps/ctrlProp334.xml"/><Relationship Id="rId16" Type="http://schemas.openxmlformats.org/officeDocument/2006/relationships/ctrlProp" Target="../ctrlProps/ctrlProp238.xml"/><Relationship Id="rId107" Type="http://schemas.openxmlformats.org/officeDocument/2006/relationships/ctrlProp" Target="../ctrlProps/ctrlProp329.xml"/><Relationship Id="rId11" Type="http://schemas.openxmlformats.org/officeDocument/2006/relationships/ctrlProp" Target="../ctrlProps/ctrlProp233.xml"/><Relationship Id="rId32" Type="http://schemas.openxmlformats.org/officeDocument/2006/relationships/ctrlProp" Target="../ctrlProps/ctrlProp254.xml"/><Relationship Id="rId37" Type="http://schemas.openxmlformats.org/officeDocument/2006/relationships/ctrlProp" Target="../ctrlProps/ctrlProp259.xml"/><Relationship Id="rId53" Type="http://schemas.openxmlformats.org/officeDocument/2006/relationships/ctrlProp" Target="../ctrlProps/ctrlProp275.xml"/><Relationship Id="rId58" Type="http://schemas.openxmlformats.org/officeDocument/2006/relationships/ctrlProp" Target="../ctrlProps/ctrlProp280.xml"/><Relationship Id="rId74" Type="http://schemas.openxmlformats.org/officeDocument/2006/relationships/ctrlProp" Target="../ctrlProps/ctrlProp296.xml"/><Relationship Id="rId79" Type="http://schemas.openxmlformats.org/officeDocument/2006/relationships/ctrlProp" Target="../ctrlProps/ctrlProp301.xml"/><Relationship Id="rId102" Type="http://schemas.openxmlformats.org/officeDocument/2006/relationships/ctrlProp" Target="../ctrlProps/ctrlProp324.xml"/><Relationship Id="rId123" Type="http://schemas.openxmlformats.org/officeDocument/2006/relationships/ctrlProp" Target="../ctrlProps/ctrlProp345.xml"/><Relationship Id="rId5" Type="http://schemas.openxmlformats.org/officeDocument/2006/relationships/ctrlProp" Target="../ctrlProps/ctrlProp227.xml"/><Relationship Id="rId90" Type="http://schemas.openxmlformats.org/officeDocument/2006/relationships/ctrlProp" Target="../ctrlProps/ctrlProp312.xml"/><Relationship Id="rId95" Type="http://schemas.openxmlformats.org/officeDocument/2006/relationships/ctrlProp" Target="../ctrlProps/ctrlProp317.xml"/><Relationship Id="rId22" Type="http://schemas.openxmlformats.org/officeDocument/2006/relationships/ctrlProp" Target="../ctrlProps/ctrlProp244.xml"/><Relationship Id="rId27" Type="http://schemas.openxmlformats.org/officeDocument/2006/relationships/ctrlProp" Target="../ctrlProps/ctrlProp249.xml"/><Relationship Id="rId43" Type="http://schemas.openxmlformats.org/officeDocument/2006/relationships/ctrlProp" Target="../ctrlProps/ctrlProp265.xml"/><Relationship Id="rId48" Type="http://schemas.openxmlformats.org/officeDocument/2006/relationships/ctrlProp" Target="../ctrlProps/ctrlProp270.xml"/><Relationship Id="rId64" Type="http://schemas.openxmlformats.org/officeDocument/2006/relationships/ctrlProp" Target="../ctrlProps/ctrlProp286.xml"/><Relationship Id="rId69" Type="http://schemas.openxmlformats.org/officeDocument/2006/relationships/ctrlProp" Target="../ctrlProps/ctrlProp291.xml"/><Relationship Id="rId113" Type="http://schemas.openxmlformats.org/officeDocument/2006/relationships/ctrlProp" Target="../ctrlProps/ctrlProp335.xml"/><Relationship Id="rId118" Type="http://schemas.openxmlformats.org/officeDocument/2006/relationships/ctrlProp" Target="../ctrlProps/ctrlProp340.xml"/><Relationship Id="rId80" Type="http://schemas.openxmlformats.org/officeDocument/2006/relationships/ctrlProp" Target="../ctrlProps/ctrlProp302.xml"/><Relationship Id="rId85" Type="http://schemas.openxmlformats.org/officeDocument/2006/relationships/ctrlProp" Target="../ctrlProps/ctrlProp307.xml"/><Relationship Id="rId12" Type="http://schemas.openxmlformats.org/officeDocument/2006/relationships/ctrlProp" Target="../ctrlProps/ctrlProp234.xml"/><Relationship Id="rId17" Type="http://schemas.openxmlformats.org/officeDocument/2006/relationships/ctrlProp" Target="../ctrlProps/ctrlProp239.xml"/><Relationship Id="rId33" Type="http://schemas.openxmlformats.org/officeDocument/2006/relationships/ctrlProp" Target="../ctrlProps/ctrlProp255.xml"/><Relationship Id="rId38" Type="http://schemas.openxmlformats.org/officeDocument/2006/relationships/ctrlProp" Target="../ctrlProps/ctrlProp260.xml"/><Relationship Id="rId59" Type="http://schemas.openxmlformats.org/officeDocument/2006/relationships/ctrlProp" Target="../ctrlProps/ctrlProp281.xml"/><Relationship Id="rId103" Type="http://schemas.openxmlformats.org/officeDocument/2006/relationships/ctrlProp" Target="../ctrlProps/ctrlProp325.xml"/><Relationship Id="rId108" Type="http://schemas.openxmlformats.org/officeDocument/2006/relationships/ctrlProp" Target="../ctrlProps/ctrlProp330.xml"/><Relationship Id="rId54" Type="http://schemas.openxmlformats.org/officeDocument/2006/relationships/ctrlProp" Target="../ctrlProps/ctrlProp276.xml"/><Relationship Id="rId70" Type="http://schemas.openxmlformats.org/officeDocument/2006/relationships/ctrlProp" Target="../ctrlProps/ctrlProp292.xml"/><Relationship Id="rId75" Type="http://schemas.openxmlformats.org/officeDocument/2006/relationships/ctrlProp" Target="../ctrlProps/ctrlProp297.xml"/><Relationship Id="rId91" Type="http://schemas.openxmlformats.org/officeDocument/2006/relationships/ctrlProp" Target="../ctrlProps/ctrlProp313.xml"/><Relationship Id="rId96" Type="http://schemas.openxmlformats.org/officeDocument/2006/relationships/ctrlProp" Target="../ctrlProps/ctrlProp318.xml"/><Relationship Id="rId1" Type="http://schemas.openxmlformats.org/officeDocument/2006/relationships/printerSettings" Target="../printerSettings/printerSettings58.bin"/><Relationship Id="rId6" Type="http://schemas.openxmlformats.org/officeDocument/2006/relationships/ctrlProp" Target="../ctrlProps/ctrlProp228.xml"/><Relationship Id="rId23" Type="http://schemas.openxmlformats.org/officeDocument/2006/relationships/ctrlProp" Target="../ctrlProps/ctrlProp245.xml"/><Relationship Id="rId28" Type="http://schemas.openxmlformats.org/officeDocument/2006/relationships/ctrlProp" Target="../ctrlProps/ctrlProp250.xml"/><Relationship Id="rId49" Type="http://schemas.openxmlformats.org/officeDocument/2006/relationships/ctrlProp" Target="../ctrlProps/ctrlProp271.xml"/><Relationship Id="rId114" Type="http://schemas.openxmlformats.org/officeDocument/2006/relationships/ctrlProp" Target="../ctrlProps/ctrlProp336.xml"/><Relationship Id="rId119" Type="http://schemas.openxmlformats.org/officeDocument/2006/relationships/ctrlProp" Target="../ctrlProps/ctrlProp341.xml"/><Relationship Id="rId44" Type="http://schemas.openxmlformats.org/officeDocument/2006/relationships/ctrlProp" Target="../ctrlProps/ctrlProp266.xml"/><Relationship Id="rId60" Type="http://schemas.openxmlformats.org/officeDocument/2006/relationships/ctrlProp" Target="../ctrlProps/ctrlProp282.xml"/><Relationship Id="rId65" Type="http://schemas.openxmlformats.org/officeDocument/2006/relationships/ctrlProp" Target="../ctrlProps/ctrlProp287.xml"/><Relationship Id="rId81" Type="http://schemas.openxmlformats.org/officeDocument/2006/relationships/ctrlProp" Target="../ctrlProps/ctrlProp303.xml"/><Relationship Id="rId86" Type="http://schemas.openxmlformats.org/officeDocument/2006/relationships/ctrlProp" Target="../ctrlProps/ctrlProp308.xml"/><Relationship Id="rId4" Type="http://schemas.openxmlformats.org/officeDocument/2006/relationships/ctrlProp" Target="../ctrlProps/ctrlProp226.xml"/><Relationship Id="rId9" Type="http://schemas.openxmlformats.org/officeDocument/2006/relationships/ctrlProp" Target="../ctrlProps/ctrlProp231.xml"/><Relationship Id="rId13" Type="http://schemas.openxmlformats.org/officeDocument/2006/relationships/ctrlProp" Target="../ctrlProps/ctrlProp235.xml"/><Relationship Id="rId18" Type="http://schemas.openxmlformats.org/officeDocument/2006/relationships/ctrlProp" Target="../ctrlProps/ctrlProp240.xml"/><Relationship Id="rId39" Type="http://schemas.openxmlformats.org/officeDocument/2006/relationships/ctrlProp" Target="../ctrlProps/ctrlProp261.xml"/><Relationship Id="rId109" Type="http://schemas.openxmlformats.org/officeDocument/2006/relationships/ctrlProp" Target="../ctrlProps/ctrlProp331.xml"/><Relationship Id="rId34" Type="http://schemas.openxmlformats.org/officeDocument/2006/relationships/ctrlProp" Target="../ctrlProps/ctrlProp256.xml"/><Relationship Id="rId50" Type="http://schemas.openxmlformats.org/officeDocument/2006/relationships/ctrlProp" Target="../ctrlProps/ctrlProp272.xml"/><Relationship Id="rId55" Type="http://schemas.openxmlformats.org/officeDocument/2006/relationships/ctrlProp" Target="../ctrlProps/ctrlProp277.xml"/><Relationship Id="rId76" Type="http://schemas.openxmlformats.org/officeDocument/2006/relationships/ctrlProp" Target="../ctrlProps/ctrlProp298.xml"/><Relationship Id="rId97" Type="http://schemas.openxmlformats.org/officeDocument/2006/relationships/ctrlProp" Target="../ctrlProps/ctrlProp319.xml"/><Relationship Id="rId104" Type="http://schemas.openxmlformats.org/officeDocument/2006/relationships/ctrlProp" Target="../ctrlProps/ctrlProp326.xml"/><Relationship Id="rId120" Type="http://schemas.openxmlformats.org/officeDocument/2006/relationships/ctrlProp" Target="../ctrlProps/ctrlProp342.xml"/><Relationship Id="rId7" Type="http://schemas.openxmlformats.org/officeDocument/2006/relationships/ctrlProp" Target="../ctrlProps/ctrlProp229.xml"/><Relationship Id="rId71" Type="http://schemas.openxmlformats.org/officeDocument/2006/relationships/ctrlProp" Target="../ctrlProps/ctrlProp293.xml"/><Relationship Id="rId92" Type="http://schemas.openxmlformats.org/officeDocument/2006/relationships/ctrlProp" Target="../ctrlProps/ctrlProp314.xml"/><Relationship Id="rId2" Type="http://schemas.openxmlformats.org/officeDocument/2006/relationships/drawing" Target="../drawings/drawing12.xml"/><Relationship Id="rId29" Type="http://schemas.openxmlformats.org/officeDocument/2006/relationships/ctrlProp" Target="../ctrlProps/ctrlProp251.xml"/><Relationship Id="rId24" Type="http://schemas.openxmlformats.org/officeDocument/2006/relationships/ctrlProp" Target="../ctrlProps/ctrlProp246.xml"/><Relationship Id="rId40" Type="http://schemas.openxmlformats.org/officeDocument/2006/relationships/ctrlProp" Target="../ctrlProps/ctrlProp262.xml"/><Relationship Id="rId45" Type="http://schemas.openxmlformats.org/officeDocument/2006/relationships/ctrlProp" Target="../ctrlProps/ctrlProp267.xml"/><Relationship Id="rId66" Type="http://schemas.openxmlformats.org/officeDocument/2006/relationships/ctrlProp" Target="../ctrlProps/ctrlProp288.xml"/><Relationship Id="rId87" Type="http://schemas.openxmlformats.org/officeDocument/2006/relationships/ctrlProp" Target="../ctrlProps/ctrlProp309.xml"/><Relationship Id="rId110" Type="http://schemas.openxmlformats.org/officeDocument/2006/relationships/ctrlProp" Target="../ctrlProps/ctrlProp332.xml"/><Relationship Id="rId115" Type="http://schemas.openxmlformats.org/officeDocument/2006/relationships/ctrlProp" Target="../ctrlProps/ctrlProp337.xml"/><Relationship Id="rId61" Type="http://schemas.openxmlformats.org/officeDocument/2006/relationships/ctrlProp" Target="../ctrlProps/ctrlProp283.xml"/><Relationship Id="rId82" Type="http://schemas.openxmlformats.org/officeDocument/2006/relationships/ctrlProp" Target="../ctrlProps/ctrlProp304.xml"/><Relationship Id="rId19" Type="http://schemas.openxmlformats.org/officeDocument/2006/relationships/ctrlProp" Target="../ctrlProps/ctrlProp241.xml"/><Relationship Id="rId14" Type="http://schemas.openxmlformats.org/officeDocument/2006/relationships/ctrlProp" Target="../ctrlProps/ctrlProp236.xml"/><Relationship Id="rId30" Type="http://schemas.openxmlformats.org/officeDocument/2006/relationships/ctrlProp" Target="../ctrlProps/ctrlProp252.xml"/><Relationship Id="rId35" Type="http://schemas.openxmlformats.org/officeDocument/2006/relationships/ctrlProp" Target="../ctrlProps/ctrlProp257.xml"/><Relationship Id="rId56" Type="http://schemas.openxmlformats.org/officeDocument/2006/relationships/ctrlProp" Target="../ctrlProps/ctrlProp278.xml"/><Relationship Id="rId77" Type="http://schemas.openxmlformats.org/officeDocument/2006/relationships/ctrlProp" Target="../ctrlProps/ctrlProp299.xml"/><Relationship Id="rId100" Type="http://schemas.openxmlformats.org/officeDocument/2006/relationships/ctrlProp" Target="../ctrlProps/ctrlProp322.xml"/><Relationship Id="rId105" Type="http://schemas.openxmlformats.org/officeDocument/2006/relationships/ctrlProp" Target="../ctrlProps/ctrlProp327.xml"/><Relationship Id="rId8" Type="http://schemas.openxmlformats.org/officeDocument/2006/relationships/ctrlProp" Target="../ctrlProps/ctrlProp230.xml"/><Relationship Id="rId51" Type="http://schemas.openxmlformats.org/officeDocument/2006/relationships/ctrlProp" Target="../ctrlProps/ctrlProp273.xml"/><Relationship Id="rId72" Type="http://schemas.openxmlformats.org/officeDocument/2006/relationships/ctrlProp" Target="../ctrlProps/ctrlProp294.xml"/><Relationship Id="rId93" Type="http://schemas.openxmlformats.org/officeDocument/2006/relationships/ctrlProp" Target="../ctrlProps/ctrlProp315.xml"/><Relationship Id="rId98" Type="http://schemas.openxmlformats.org/officeDocument/2006/relationships/ctrlProp" Target="../ctrlProps/ctrlProp320.xml"/><Relationship Id="rId121" Type="http://schemas.openxmlformats.org/officeDocument/2006/relationships/ctrlProp" Target="../ctrlProps/ctrlProp343.xml"/><Relationship Id="rId3" Type="http://schemas.openxmlformats.org/officeDocument/2006/relationships/vmlDrawing" Target="../drawings/vmlDrawing52.vml"/><Relationship Id="rId25" Type="http://schemas.openxmlformats.org/officeDocument/2006/relationships/ctrlProp" Target="../ctrlProps/ctrlProp247.xml"/><Relationship Id="rId46" Type="http://schemas.openxmlformats.org/officeDocument/2006/relationships/ctrlProp" Target="../ctrlProps/ctrlProp268.xml"/><Relationship Id="rId67" Type="http://schemas.openxmlformats.org/officeDocument/2006/relationships/ctrlProp" Target="../ctrlProps/ctrlProp289.xml"/><Relationship Id="rId116" Type="http://schemas.openxmlformats.org/officeDocument/2006/relationships/ctrlProp" Target="../ctrlProps/ctrlProp338.xml"/><Relationship Id="rId20" Type="http://schemas.openxmlformats.org/officeDocument/2006/relationships/ctrlProp" Target="../ctrlProps/ctrlProp242.xml"/><Relationship Id="rId41" Type="http://schemas.openxmlformats.org/officeDocument/2006/relationships/ctrlProp" Target="../ctrlProps/ctrlProp263.xml"/><Relationship Id="rId62" Type="http://schemas.openxmlformats.org/officeDocument/2006/relationships/ctrlProp" Target="../ctrlProps/ctrlProp284.xml"/><Relationship Id="rId83" Type="http://schemas.openxmlformats.org/officeDocument/2006/relationships/ctrlProp" Target="../ctrlProps/ctrlProp305.xml"/><Relationship Id="rId88" Type="http://schemas.openxmlformats.org/officeDocument/2006/relationships/ctrlProp" Target="../ctrlProps/ctrlProp310.xml"/><Relationship Id="rId111" Type="http://schemas.openxmlformats.org/officeDocument/2006/relationships/ctrlProp" Target="../ctrlProps/ctrlProp333.xml"/><Relationship Id="rId15" Type="http://schemas.openxmlformats.org/officeDocument/2006/relationships/ctrlProp" Target="../ctrlProps/ctrlProp237.xml"/><Relationship Id="rId36" Type="http://schemas.openxmlformats.org/officeDocument/2006/relationships/ctrlProp" Target="../ctrlProps/ctrlProp258.xml"/><Relationship Id="rId57" Type="http://schemas.openxmlformats.org/officeDocument/2006/relationships/ctrlProp" Target="../ctrlProps/ctrlProp279.xml"/><Relationship Id="rId106" Type="http://schemas.openxmlformats.org/officeDocument/2006/relationships/ctrlProp" Target="../ctrlProps/ctrlProp328.xml"/><Relationship Id="rId10" Type="http://schemas.openxmlformats.org/officeDocument/2006/relationships/ctrlProp" Target="../ctrlProps/ctrlProp232.xml"/><Relationship Id="rId31" Type="http://schemas.openxmlformats.org/officeDocument/2006/relationships/ctrlProp" Target="../ctrlProps/ctrlProp253.xml"/><Relationship Id="rId52" Type="http://schemas.openxmlformats.org/officeDocument/2006/relationships/ctrlProp" Target="../ctrlProps/ctrlProp274.xml"/><Relationship Id="rId73" Type="http://schemas.openxmlformats.org/officeDocument/2006/relationships/ctrlProp" Target="../ctrlProps/ctrlProp295.xml"/><Relationship Id="rId78" Type="http://schemas.openxmlformats.org/officeDocument/2006/relationships/ctrlProp" Target="../ctrlProps/ctrlProp300.xml"/><Relationship Id="rId94" Type="http://schemas.openxmlformats.org/officeDocument/2006/relationships/ctrlProp" Target="../ctrlProps/ctrlProp316.xml"/><Relationship Id="rId99" Type="http://schemas.openxmlformats.org/officeDocument/2006/relationships/ctrlProp" Target="../ctrlProps/ctrlProp321.xml"/><Relationship Id="rId101" Type="http://schemas.openxmlformats.org/officeDocument/2006/relationships/ctrlProp" Target="../ctrlProps/ctrlProp323.xml"/><Relationship Id="rId122" Type="http://schemas.openxmlformats.org/officeDocument/2006/relationships/ctrlProp" Target="../ctrlProps/ctrlProp344.xml"/></Relationships>
</file>

<file path=xl/worksheets/_rels/sheet67.xml.rels><?xml version="1.0" encoding="UTF-8" standalone="yes"?>
<Relationships xmlns="http://schemas.openxmlformats.org/package/2006/relationships"><Relationship Id="rId8" Type="http://schemas.openxmlformats.org/officeDocument/2006/relationships/ctrlProp" Target="../ctrlProps/ctrlProp350.xml"/><Relationship Id="rId3" Type="http://schemas.openxmlformats.org/officeDocument/2006/relationships/vmlDrawing" Target="../drawings/vmlDrawing53.vml"/><Relationship Id="rId7" Type="http://schemas.openxmlformats.org/officeDocument/2006/relationships/ctrlProp" Target="../ctrlProps/ctrlProp349.xml"/><Relationship Id="rId2" Type="http://schemas.openxmlformats.org/officeDocument/2006/relationships/drawing" Target="../drawings/drawing13.xml"/><Relationship Id="rId1" Type="http://schemas.openxmlformats.org/officeDocument/2006/relationships/printerSettings" Target="../printerSettings/printerSettings59.bin"/><Relationship Id="rId6" Type="http://schemas.openxmlformats.org/officeDocument/2006/relationships/ctrlProp" Target="../ctrlProps/ctrlProp348.xml"/><Relationship Id="rId5" Type="http://schemas.openxmlformats.org/officeDocument/2006/relationships/ctrlProp" Target="../ctrlProps/ctrlProp347.xml"/><Relationship Id="rId4" Type="http://schemas.openxmlformats.org/officeDocument/2006/relationships/ctrlProp" Target="../ctrlProps/ctrlProp346.xml"/><Relationship Id="rId9" Type="http://schemas.openxmlformats.org/officeDocument/2006/relationships/ctrlProp" Target="../ctrlProps/ctrlProp351.xml"/></Relationships>
</file>

<file path=xl/worksheets/_rels/sheet68.xml.rels><?xml version="1.0" encoding="UTF-8" standalone="yes"?>
<Relationships xmlns="http://schemas.openxmlformats.org/package/2006/relationships"><Relationship Id="rId3" Type="http://schemas.openxmlformats.org/officeDocument/2006/relationships/ctrlProp" Target="../ctrlProps/ctrlProp352.xml"/><Relationship Id="rId2" Type="http://schemas.openxmlformats.org/officeDocument/2006/relationships/vmlDrawing" Target="../drawings/vmlDrawing54.vml"/><Relationship Id="rId1" Type="http://schemas.openxmlformats.org/officeDocument/2006/relationships/drawing" Target="../drawings/drawing14.xml"/><Relationship Id="rId6" Type="http://schemas.openxmlformats.org/officeDocument/2006/relationships/comments" Target="../comments47.xml"/><Relationship Id="rId5" Type="http://schemas.openxmlformats.org/officeDocument/2006/relationships/ctrlProp" Target="../ctrlProps/ctrlProp354.xml"/><Relationship Id="rId4" Type="http://schemas.openxmlformats.org/officeDocument/2006/relationships/ctrlProp" Target="../ctrlProps/ctrlProp353.xml"/></Relationships>
</file>

<file path=xl/worksheets/_rels/sheet69.xml.rels><?xml version="1.0" encoding="UTF-8" standalone="yes"?>
<Relationships xmlns="http://schemas.openxmlformats.org/package/2006/relationships"><Relationship Id="rId8" Type="http://schemas.openxmlformats.org/officeDocument/2006/relationships/ctrlProp" Target="../ctrlProps/ctrlProp359.xml"/><Relationship Id="rId13" Type="http://schemas.openxmlformats.org/officeDocument/2006/relationships/ctrlProp" Target="../ctrlProps/ctrlProp364.xml"/><Relationship Id="rId3" Type="http://schemas.openxmlformats.org/officeDocument/2006/relationships/vmlDrawing" Target="../drawings/vmlDrawing55.vml"/><Relationship Id="rId7" Type="http://schemas.openxmlformats.org/officeDocument/2006/relationships/ctrlProp" Target="../ctrlProps/ctrlProp358.xml"/><Relationship Id="rId12" Type="http://schemas.openxmlformats.org/officeDocument/2006/relationships/ctrlProp" Target="../ctrlProps/ctrlProp363.xml"/><Relationship Id="rId2" Type="http://schemas.openxmlformats.org/officeDocument/2006/relationships/drawing" Target="../drawings/drawing15.xml"/><Relationship Id="rId1" Type="http://schemas.openxmlformats.org/officeDocument/2006/relationships/printerSettings" Target="../printerSettings/printerSettings60.bin"/><Relationship Id="rId6" Type="http://schemas.openxmlformats.org/officeDocument/2006/relationships/ctrlProp" Target="../ctrlProps/ctrlProp357.xml"/><Relationship Id="rId11" Type="http://schemas.openxmlformats.org/officeDocument/2006/relationships/ctrlProp" Target="../ctrlProps/ctrlProp362.xml"/><Relationship Id="rId5" Type="http://schemas.openxmlformats.org/officeDocument/2006/relationships/ctrlProp" Target="../ctrlProps/ctrlProp356.xml"/><Relationship Id="rId15" Type="http://schemas.openxmlformats.org/officeDocument/2006/relationships/ctrlProp" Target="../ctrlProps/ctrlProp366.xml"/><Relationship Id="rId10" Type="http://schemas.openxmlformats.org/officeDocument/2006/relationships/ctrlProp" Target="../ctrlProps/ctrlProp361.xml"/><Relationship Id="rId4" Type="http://schemas.openxmlformats.org/officeDocument/2006/relationships/ctrlProp" Target="../ctrlProps/ctrlProp355.xml"/><Relationship Id="rId9" Type="http://schemas.openxmlformats.org/officeDocument/2006/relationships/ctrlProp" Target="../ctrlProps/ctrlProp360.xml"/><Relationship Id="rId14" Type="http://schemas.openxmlformats.org/officeDocument/2006/relationships/ctrlProp" Target="../ctrlProps/ctrlProp36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17" Type="http://schemas.openxmlformats.org/officeDocument/2006/relationships/ctrlProp" Target="../ctrlProps/ctrlProp480.xml"/><Relationship Id="rId21" Type="http://schemas.openxmlformats.org/officeDocument/2006/relationships/ctrlProp" Target="../ctrlProps/ctrlProp384.xml"/><Relationship Id="rId42" Type="http://schemas.openxmlformats.org/officeDocument/2006/relationships/ctrlProp" Target="../ctrlProps/ctrlProp405.xml"/><Relationship Id="rId63" Type="http://schemas.openxmlformats.org/officeDocument/2006/relationships/ctrlProp" Target="../ctrlProps/ctrlProp426.xml"/><Relationship Id="rId84" Type="http://schemas.openxmlformats.org/officeDocument/2006/relationships/ctrlProp" Target="../ctrlProps/ctrlProp447.xml"/><Relationship Id="rId138" Type="http://schemas.openxmlformats.org/officeDocument/2006/relationships/ctrlProp" Target="../ctrlProps/ctrlProp501.xml"/><Relationship Id="rId159" Type="http://schemas.openxmlformats.org/officeDocument/2006/relationships/ctrlProp" Target="../ctrlProps/ctrlProp522.xml"/><Relationship Id="rId170" Type="http://schemas.openxmlformats.org/officeDocument/2006/relationships/ctrlProp" Target="../ctrlProps/ctrlProp533.xml"/><Relationship Id="rId107" Type="http://schemas.openxmlformats.org/officeDocument/2006/relationships/ctrlProp" Target="../ctrlProps/ctrlProp470.xml"/><Relationship Id="rId11" Type="http://schemas.openxmlformats.org/officeDocument/2006/relationships/ctrlProp" Target="../ctrlProps/ctrlProp374.xml"/><Relationship Id="rId32" Type="http://schemas.openxmlformats.org/officeDocument/2006/relationships/ctrlProp" Target="../ctrlProps/ctrlProp395.xml"/><Relationship Id="rId53" Type="http://schemas.openxmlformats.org/officeDocument/2006/relationships/ctrlProp" Target="../ctrlProps/ctrlProp416.xml"/><Relationship Id="rId74" Type="http://schemas.openxmlformats.org/officeDocument/2006/relationships/ctrlProp" Target="../ctrlProps/ctrlProp437.xml"/><Relationship Id="rId128" Type="http://schemas.openxmlformats.org/officeDocument/2006/relationships/ctrlProp" Target="../ctrlProps/ctrlProp491.xml"/><Relationship Id="rId149" Type="http://schemas.openxmlformats.org/officeDocument/2006/relationships/ctrlProp" Target="../ctrlProps/ctrlProp512.xml"/><Relationship Id="rId5" Type="http://schemas.openxmlformats.org/officeDocument/2006/relationships/ctrlProp" Target="../ctrlProps/ctrlProp368.xml"/><Relationship Id="rId95" Type="http://schemas.openxmlformats.org/officeDocument/2006/relationships/ctrlProp" Target="../ctrlProps/ctrlProp458.xml"/><Relationship Id="rId160" Type="http://schemas.openxmlformats.org/officeDocument/2006/relationships/ctrlProp" Target="../ctrlProps/ctrlProp523.xml"/><Relationship Id="rId181" Type="http://schemas.openxmlformats.org/officeDocument/2006/relationships/ctrlProp" Target="../ctrlProps/ctrlProp544.xml"/><Relationship Id="rId22" Type="http://schemas.openxmlformats.org/officeDocument/2006/relationships/ctrlProp" Target="../ctrlProps/ctrlProp385.xml"/><Relationship Id="rId43" Type="http://schemas.openxmlformats.org/officeDocument/2006/relationships/ctrlProp" Target="../ctrlProps/ctrlProp406.xml"/><Relationship Id="rId64" Type="http://schemas.openxmlformats.org/officeDocument/2006/relationships/ctrlProp" Target="../ctrlProps/ctrlProp427.xml"/><Relationship Id="rId118" Type="http://schemas.openxmlformats.org/officeDocument/2006/relationships/ctrlProp" Target="../ctrlProps/ctrlProp481.xml"/><Relationship Id="rId139" Type="http://schemas.openxmlformats.org/officeDocument/2006/relationships/ctrlProp" Target="../ctrlProps/ctrlProp502.xml"/><Relationship Id="rId85" Type="http://schemas.openxmlformats.org/officeDocument/2006/relationships/ctrlProp" Target="../ctrlProps/ctrlProp448.xml"/><Relationship Id="rId150" Type="http://schemas.openxmlformats.org/officeDocument/2006/relationships/ctrlProp" Target="../ctrlProps/ctrlProp513.xml"/><Relationship Id="rId171" Type="http://schemas.openxmlformats.org/officeDocument/2006/relationships/ctrlProp" Target="../ctrlProps/ctrlProp534.xml"/><Relationship Id="rId12" Type="http://schemas.openxmlformats.org/officeDocument/2006/relationships/ctrlProp" Target="../ctrlProps/ctrlProp375.xml"/><Relationship Id="rId33" Type="http://schemas.openxmlformats.org/officeDocument/2006/relationships/ctrlProp" Target="../ctrlProps/ctrlProp396.xml"/><Relationship Id="rId108" Type="http://schemas.openxmlformats.org/officeDocument/2006/relationships/ctrlProp" Target="../ctrlProps/ctrlProp471.xml"/><Relationship Id="rId129" Type="http://schemas.openxmlformats.org/officeDocument/2006/relationships/ctrlProp" Target="../ctrlProps/ctrlProp492.xml"/><Relationship Id="rId54" Type="http://schemas.openxmlformats.org/officeDocument/2006/relationships/ctrlProp" Target="../ctrlProps/ctrlProp417.xml"/><Relationship Id="rId75" Type="http://schemas.openxmlformats.org/officeDocument/2006/relationships/ctrlProp" Target="../ctrlProps/ctrlProp438.xml"/><Relationship Id="rId96" Type="http://schemas.openxmlformats.org/officeDocument/2006/relationships/ctrlProp" Target="../ctrlProps/ctrlProp459.xml"/><Relationship Id="rId140" Type="http://schemas.openxmlformats.org/officeDocument/2006/relationships/ctrlProp" Target="../ctrlProps/ctrlProp503.xml"/><Relationship Id="rId161" Type="http://schemas.openxmlformats.org/officeDocument/2006/relationships/ctrlProp" Target="../ctrlProps/ctrlProp524.xml"/><Relationship Id="rId182" Type="http://schemas.openxmlformats.org/officeDocument/2006/relationships/ctrlProp" Target="../ctrlProps/ctrlProp545.xml"/><Relationship Id="rId6" Type="http://schemas.openxmlformats.org/officeDocument/2006/relationships/ctrlProp" Target="../ctrlProps/ctrlProp369.xml"/><Relationship Id="rId23" Type="http://schemas.openxmlformats.org/officeDocument/2006/relationships/ctrlProp" Target="../ctrlProps/ctrlProp386.xml"/><Relationship Id="rId119" Type="http://schemas.openxmlformats.org/officeDocument/2006/relationships/ctrlProp" Target="../ctrlProps/ctrlProp482.xml"/><Relationship Id="rId44" Type="http://schemas.openxmlformats.org/officeDocument/2006/relationships/ctrlProp" Target="../ctrlProps/ctrlProp407.xml"/><Relationship Id="rId60" Type="http://schemas.openxmlformats.org/officeDocument/2006/relationships/ctrlProp" Target="../ctrlProps/ctrlProp423.xml"/><Relationship Id="rId65" Type="http://schemas.openxmlformats.org/officeDocument/2006/relationships/ctrlProp" Target="../ctrlProps/ctrlProp428.xml"/><Relationship Id="rId81" Type="http://schemas.openxmlformats.org/officeDocument/2006/relationships/ctrlProp" Target="../ctrlProps/ctrlProp444.xml"/><Relationship Id="rId86" Type="http://schemas.openxmlformats.org/officeDocument/2006/relationships/ctrlProp" Target="../ctrlProps/ctrlProp449.xml"/><Relationship Id="rId130" Type="http://schemas.openxmlformats.org/officeDocument/2006/relationships/ctrlProp" Target="../ctrlProps/ctrlProp493.xml"/><Relationship Id="rId135" Type="http://schemas.openxmlformats.org/officeDocument/2006/relationships/ctrlProp" Target="../ctrlProps/ctrlProp498.xml"/><Relationship Id="rId151" Type="http://schemas.openxmlformats.org/officeDocument/2006/relationships/ctrlProp" Target="../ctrlProps/ctrlProp514.xml"/><Relationship Id="rId156" Type="http://schemas.openxmlformats.org/officeDocument/2006/relationships/ctrlProp" Target="../ctrlProps/ctrlProp519.xml"/><Relationship Id="rId177" Type="http://schemas.openxmlformats.org/officeDocument/2006/relationships/ctrlProp" Target="../ctrlProps/ctrlProp540.xml"/><Relationship Id="rId172" Type="http://schemas.openxmlformats.org/officeDocument/2006/relationships/ctrlProp" Target="../ctrlProps/ctrlProp535.xml"/><Relationship Id="rId13" Type="http://schemas.openxmlformats.org/officeDocument/2006/relationships/ctrlProp" Target="../ctrlProps/ctrlProp376.xml"/><Relationship Id="rId18" Type="http://schemas.openxmlformats.org/officeDocument/2006/relationships/ctrlProp" Target="../ctrlProps/ctrlProp381.xml"/><Relationship Id="rId39" Type="http://schemas.openxmlformats.org/officeDocument/2006/relationships/ctrlProp" Target="../ctrlProps/ctrlProp402.xml"/><Relationship Id="rId109" Type="http://schemas.openxmlformats.org/officeDocument/2006/relationships/ctrlProp" Target="../ctrlProps/ctrlProp472.xml"/><Relationship Id="rId34" Type="http://schemas.openxmlformats.org/officeDocument/2006/relationships/ctrlProp" Target="../ctrlProps/ctrlProp397.xml"/><Relationship Id="rId50" Type="http://schemas.openxmlformats.org/officeDocument/2006/relationships/ctrlProp" Target="../ctrlProps/ctrlProp413.xml"/><Relationship Id="rId55" Type="http://schemas.openxmlformats.org/officeDocument/2006/relationships/ctrlProp" Target="../ctrlProps/ctrlProp418.xml"/><Relationship Id="rId76" Type="http://schemas.openxmlformats.org/officeDocument/2006/relationships/ctrlProp" Target="../ctrlProps/ctrlProp439.xml"/><Relationship Id="rId97" Type="http://schemas.openxmlformats.org/officeDocument/2006/relationships/ctrlProp" Target="../ctrlProps/ctrlProp460.xml"/><Relationship Id="rId104" Type="http://schemas.openxmlformats.org/officeDocument/2006/relationships/ctrlProp" Target="../ctrlProps/ctrlProp467.xml"/><Relationship Id="rId120" Type="http://schemas.openxmlformats.org/officeDocument/2006/relationships/ctrlProp" Target="../ctrlProps/ctrlProp483.xml"/><Relationship Id="rId125" Type="http://schemas.openxmlformats.org/officeDocument/2006/relationships/ctrlProp" Target="../ctrlProps/ctrlProp488.xml"/><Relationship Id="rId141" Type="http://schemas.openxmlformats.org/officeDocument/2006/relationships/ctrlProp" Target="../ctrlProps/ctrlProp504.xml"/><Relationship Id="rId146" Type="http://schemas.openxmlformats.org/officeDocument/2006/relationships/ctrlProp" Target="../ctrlProps/ctrlProp509.xml"/><Relationship Id="rId167" Type="http://schemas.openxmlformats.org/officeDocument/2006/relationships/ctrlProp" Target="../ctrlProps/ctrlProp530.xml"/><Relationship Id="rId7" Type="http://schemas.openxmlformats.org/officeDocument/2006/relationships/ctrlProp" Target="../ctrlProps/ctrlProp370.xml"/><Relationship Id="rId71" Type="http://schemas.openxmlformats.org/officeDocument/2006/relationships/ctrlProp" Target="../ctrlProps/ctrlProp434.xml"/><Relationship Id="rId92" Type="http://schemas.openxmlformats.org/officeDocument/2006/relationships/ctrlProp" Target="../ctrlProps/ctrlProp455.xml"/><Relationship Id="rId162" Type="http://schemas.openxmlformats.org/officeDocument/2006/relationships/ctrlProp" Target="../ctrlProps/ctrlProp525.xml"/><Relationship Id="rId183" Type="http://schemas.openxmlformats.org/officeDocument/2006/relationships/ctrlProp" Target="../ctrlProps/ctrlProp546.xml"/><Relationship Id="rId2" Type="http://schemas.openxmlformats.org/officeDocument/2006/relationships/drawing" Target="../drawings/drawing16.xml"/><Relationship Id="rId29" Type="http://schemas.openxmlformats.org/officeDocument/2006/relationships/ctrlProp" Target="../ctrlProps/ctrlProp392.xml"/><Relationship Id="rId24" Type="http://schemas.openxmlformats.org/officeDocument/2006/relationships/ctrlProp" Target="../ctrlProps/ctrlProp387.xml"/><Relationship Id="rId40" Type="http://schemas.openxmlformats.org/officeDocument/2006/relationships/ctrlProp" Target="../ctrlProps/ctrlProp403.xml"/><Relationship Id="rId45" Type="http://schemas.openxmlformats.org/officeDocument/2006/relationships/ctrlProp" Target="../ctrlProps/ctrlProp408.xml"/><Relationship Id="rId66" Type="http://schemas.openxmlformats.org/officeDocument/2006/relationships/ctrlProp" Target="../ctrlProps/ctrlProp429.xml"/><Relationship Id="rId87" Type="http://schemas.openxmlformats.org/officeDocument/2006/relationships/ctrlProp" Target="../ctrlProps/ctrlProp450.xml"/><Relationship Id="rId110" Type="http://schemas.openxmlformats.org/officeDocument/2006/relationships/ctrlProp" Target="../ctrlProps/ctrlProp473.xml"/><Relationship Id="rId115" Type="http://schemas.openxmlformats.org/officeDocument/2006/relationships/ctrlProp" Target="../ctrlProps/ctrlProp478.xml"/><Relationship Id="rId131" Type="http://schemas.openxmlformats.org/officeDocument/2006/relationships/ctrlProp" Target="../ctrlProps/ctrlProp494.xml"/><Relationship Id="rId136" Type="http://schemas.openxmlformats.org/officeDocument/2006/relationships/ctrlProp" Target="../ctrlProps/ctrlProp499.xml"/><Relationship Id="rId157" Type="http://schemas.openxmlformats.org/officeDocument/2006/relationships/ctrlProp" Target="../ctrlProps/ctrlProp520.xml"/><Relationship Id="rId178" Type="http://schemas.openxmlformats.org/officeDocument/2006/relationships/ctrlProp" Target="../ctrlProps/ctrlProp541.xml"/><Relationship Id="rId61" Type="http://schemas.openxmlformats.org/officeDocument/2006/relationships/ctrlProp" Target="../ctrlProps/ctrlProp424.xml"/><Relationship Id="rId82" Type="http://schemas.openxmlformats.org/officeDocument/2006/relationships/ctrlProp" Target="../ctrlProps/ctrlProp445.xml"/><Relationship Id="rId152" Type="http://schemas.openxmlformats.org/officeDocument/2006/relationships/ctrlProp" Target="../ctrlProps/ctrlProp515.xml"/><Relationship Id="rId173" Type="http://schemas.openxmlformats.org/officeDocument/2006/relationships/ctrlProp" Target="../ctrlProps/ctrlProp536.xml"/><Relationship Id="rId19" Type="http://schemas.openxmlformats.org/officeDocument/2006/relationships/ctrlProp" Target="../ctrlProps/ctrlProp382.xml"/><Relationship Id="rId14" Type="http://schemas.openxmlformats.org/officeDocument/2006/relationships/ctrlProp" Target="../ctrlProps/ctrlProp377.xml"/><Relationship Id="rId30" Type="http://schemas.openxmlformats.org/officeDocument/2006/relationships/ctrlProp" Target="../ctrlProps/ctrlProp393.xml"/><Relationship Id="rId35" Type="http://schemas.openxmlformats.org/officeDocument/2006/relationships/ctrlProp" Target="../ctrlProps/ctrlProp398.xml"/><Relationship Id="rId56" Type="http://schemas.openxmlformats.org/officeDocument/2006/relationships/ctrlProp" Target="../ctrlProps/ctrlProp419.xml"/><Relationship Id="rId77" Type="http://schemas.openxmlformats.org/officeDocument/2006/relationships/ctrlProp" Target="../ctrlProps/ctrlProp440.xml"/><Relationship Id="rId100" Type="http://schemas.openxmlformats.org/officeDocument/2006/relationships/ctrlProp" Target="../ctrlProps/ctrlProp463.xml"/><Relationship Id="rId105" Type="http://schemas.openxmlformats.org/officeDocument/2006/relationships/ctrlProp" Target="../ctrlProps/ctrlProp468.xml"/><Relationship Id="rId126" Type="http://schemas.openxmlformats.org/officeDocument/2006/relationships/ctrlProp" Target="../ctrlProps/ctrlProp489.xml"/><Relationship Id="rId147" Type="http://schemas.openxmlformats.org/officeDocument/2006/relationships/ctrlProp" Target="../ctrlProps/ctrlProp510.xml"/><Relationship Id="rId168" Type="http://schemas.openxmlformats.org/officeDocument/2006/relationships/ctrlProp" Target="../ctrlProps/ctrlProp531.xml"/><Relationship Id="rId8" Type="http://schemas.openxmlformats.org/officeDocument/2006/relationships/ctrlProp" Target="../ctrlProps/ctrlProp371.xml"/><Relationship Id="rId51" Type="http://schemas.openxmlformats.org/officeDocument/2006/relationships/ctrlProp" Target="../ctrlProps/ctrlProp414.xml"/><Relationship Id="rId72" Type="http://schemas.openxmlformats.org/officeDocument/2006/relationships/ctrlProp" Target="../ctrlProps/ctrlProp435.xml"/><Relationship Id="rId93" Type="http://schemas.openxmlformats.org/officeDocument/2006/relationships/ctrlProp" Target="../ctrlProps/ctrlProp456.xml"/><Relationship Id="rId98" Type="http://schemas.openxmlformats.org/officeDocument/2006/relationships/ctrlProp" Target="../ctrlProps/ctrlProp461.xml"/><Relationship Id="rId121" Type="http://schemas.openxmlformats.org/officeDocument/2006/relationships/ctrlProp" Target="../ctrlProps/ctrlProp484.xml"/><Relationship Id="rId142" Type="http://schemas.openxmlformats.org/officeDocument/2006/relationships/ctrlProp" Target="../ctrlProps/ctrlProp505.xml"/><Relationship Id="rId163" Type="http://schemas.openxmlformats.org/officeDocument/2006/relationships/ctrlProp" Target="../ctrlProps/ctrlProp526.xml"/><Relationship Id="rId3" Type="http://schemas.openxmlformats.org/officeDocument/2006/relationships/vmlDrawing" Target="../drawings/vmlDrawing56.vml"/><Relationship Id="rId25" Type="http://schemas.openxmlformats.org/officeDocument/2006/relationships/ctrlProp" Target="../ctrlProps/ctrlProp388.xml"/><Relationship Id="rId46" Type="http://schemas.openxmlformats.org/officeDocument/2006/relationships/ctrlProp" Target="../ctrlProps/ctrlProp409.xml"/><Relationship Id="rId67" Type="http://schemas.openxmlformats.org/officeDocument/2006/relationships/ctrlProp" Target="../ctrlProps/ctrlProp430.xml"/><Relationship Id="rId116" Type="http://schemas.openxmlformats.org/officeDocument/2006/relationships/ctrlProp" Target="../ctrlProps/ctrlProp479.xml"/><Relationship Id="rId137" Type="http://schemas.openxmlformats.org/officeDocument/2006/relationships/ctrlProp" Target="../ctrlProps/ctrlProp500.xml"/><Relationship Id="rId158" Type="http://schemas.openxmlformats.org/officeDocument/2006/relationships/ctrlProp" Target="../ctrlProps/ctrlProp521.xml"/><Relationship Id="rId20" Type="http://schemas.openxmlformats.org/officeDocument/2006/relationships/ctrlProp" Target="../ctrlProps/ctrlProp383.xml"/><Relationship Id="rId41" Type="http://schemas.openxmlformats.org/officeDocument/2006/relationships/ctrlProp" Target="../ctrlProps/ctrlProp404.xml"/><Relationship Id="rId62" Type="http://schemas.openxmlformats.org/officeDocument/2006/relationships/ctrlProp" Target="../ctrlProps/ctrlProp425.xml"/><Relationship Id="rId83" Type="http://schemas.openxmlformats.org/officeDocument/2006/relationships/ctrlProp" Target="../ctrlProps/ctrlProp446.xml"/><Relationship Id="rId88" Type="http://schemas.openxmlformats.org/officeDocument/2006/relationships/ctrlProp" Target="../ctrlProps/ctrlProp451.xml"/><Relationship Id="rId111" Type="http://schemas.openxmlformats.org/officeDocument/2006/relationships/ctrlProp" Target="../ctrlProps/ctrlProp474.xml"/><Relationship Id="rId132" Type="http://schemas.openxmlformats.org/officeDocument/2006/relationships/ctrlProp" Target="../ctrlProps/ctrlProp495.xml"/><Relationship Id="rId153" Type="http://schemas.openxmlformats.org/officeDocument/2006/relationships/ctrlProp" Target="../ctrlProps/ctrlProp516.xml"/><Relationship Id="rId174" Type="http://schemas.openxmlformats.org/officeDocument/2006/relationships/ctrlProp" Target="../ctrlProps/ctrlProp537.xml"/><Relationship Id="rId179" Type="http://schemas.openxmlformats.org/officeDocument/2006/relationships/ctrlProp" Target="../ctrlProps/ctrlProp542.xml"/><Relationship Id="rId15" Type="http://schemas.openxmlformats.org/officeDocument/2006/relationships/ctrlProp" Target="../ctrlProps/ctrlProp378.xml"/><Relationship Id="rId36" Type="http://schemas.openxmlformats.org/officeDocument/2006/relationships/ctrlProp" Target="../ctrlProps/ctrlProp399.xml"/><Relationship Id="rId57" Type="http://schemas.openxmlformats.org/officeDocument/2006/relationships/ctrlProp" Target="../ctrlProps/ctrlProp420.xml"/><Relationship Id="rId106" Type="http://schemas.openxmlformats.org/officeDocument/2006/relationships/ctrlProp" Target="../ctrlProps/ctrlProp469.xml"/><Relationship Id="rId127" Type="http://schemas.openxmlformats.org/officeDocument/2006/relationships/ctrlProp" Target="../ctrlProps/ctrlProp490.xml"/><Relationship Id="rId10" Type="http://schemas.openxmlformats.org/officeDocument/2006/relationships/ctrlProp" Target="../ctrlProps/ctrlProp373.xml"/><Relationship Id="rId31" Type="http://schemas.openxmlformats.org/officeDocument/2006/relationships/ctrlProp" Target="../ctrlProps/ctrlProp394.xml"/><Relationship Id="rId52" Type="http://schemas.openxmlformats.org/officeDocument/2006/relationships/ctrlProp" Target="../ctrlProps/ctrlProp415.xml"/><Relationship Id="rId73" Type="http://schemas.openxmlformats.org/officeDocument/2006/relationships/ctrlProp" Target="../ctrlProps/ctrlProp436.xml"/><Relationship Id="rId78" Type="http://schemas.openxmlformats.org/officeDocument/2006/relationships/ctrlProp" Target="../ctrlProps/ctrlProp441.xml"/><Relationship Id="rId94" Type="http://schemas.openxmlformats.org/officeDocument/2006/relationships/ctrlProp" Target="../ctrlProps/ctrlProp457.xml"/><Relationship Id="rId99" Type="http://schemas.openxmlformats.org/officeDocument/2006/relationships/ctrlProp" Target="../ctrlProps/ctrlProp462.xml"/><Relationship Id="rId101" Type="http://schemas.openxmlformats.org/officeDocument/2006/relationships/ctrlProp" Target="../ctrlProps/ctrlProp464.xml"/><Relationship Id="rId122" Type="http://schemas.openxmlformats.org/officeDocument/2006/relationships/ctrlProp" Target="../ctrlProps/ctrlProp485.xml"/><Relationship Id="rId143" Type="http://schemas.openxmlformats.org/officeDocument/2006/relationships/ctrlProp" Target="../ctrlProps/ctrlProp506.xml"/><Relationship Id="rId148" Type="http://schemas.openxmlformats.org/officeDocument/2006/relationships/ctrlProp" Target="../ctrlProps/ctrlProp511.xml"/><Relationship Id="rId164" Type="http://schemas.openxmlformats.org/officeDocument/2006/relationships/ctrlProp" Target="../ctrlProps/ctrlProp527.xml"/><Relationship Id="rId169" Type="http://schemas.openxmlformats.org/officeDocument/2006/relationships/ctrlProp" Target="../ctrlProps/ctrlProp532.xml"/><Relationship Id="rId4" Type="http://schemas.openxmlformats.org/officeDocument/2006/relationships/ctrlProp" Target="../ctrlProps/ctrlProp367.xml"/><Relationship Id="rId9" Type="http://schemas.openxmlformats.org/officeDocument/2006/relationships/ctrlProp" Target="../ctrlProps/ctrlProp372.xml"/><Relationship Id="rId180" Type="http://schemas.openxmlformats.org/officeDocument/2006/relationships/ctrlProp" Target="../ctrlProps/ctrlProp543.xml"/><Relationship Id="rId26" Type="http://schemas.openxmlformats.org/officeDocument/2006/relationships/ctrlProp" Target="../ctrlProps/ctrlProp389.xml"/><Relationship Id="rId47" Type="http://schemas.openxmlformats.org/officeDocument/2006/relationships/ctrlProp" Target="../ctrlProps/ctrlProp410.xml"/><Relationship Id="rId68" Type="http://schemas.openxmlformats.org/officeDocument/2006/relationships/ctrlProp" Target="../ctrlProps/ctrlProp431.xml"/><Relationship Id="rId89" Type="http://schemas.openxmlformats.org/officeDocument/2006/relationships/ctrlProp" Target="../ctrlProps/ctrlProp452.xml"/><Relationship Id="rId112" Type="http://schemas.openxmlformats.org/officeDocument/2006/relationships/ctrlProp" Target="../ctrlProps/ctrlProp475.xml"/><Relationship Id="rId133" Type="http://schemas.openxmlformats.org/officeDocument/2006/relationships/ctrlProp" Target="../ctrlProps/ctrlProp496.xml"/><Relationship Id="rId154" Type="http://schemas.openxmlformats.org/officeDocument/2006/relationships/ctrlProp" Target="../ctrlProps/ctrlProp517.xml"/><Relationship Id="rId175" Type="http://schemas.openxmlformats.org/officeDocument/2006/relationships/ctrlProp" Target="../ctrlProps/ctrlProp538.xml"/><Relationship Id="rId16" Type="http://schemas.openxmlformats.org/officeDocument/2006/relationships/ctrlProp" Target="../ctrlProps/ctrlProp379.xml"/><Relationship Id="rId37" Type="http://schemas.openxmlformats.org/officeDocument/2006/relationships/ctrlProp" Target="../ctrlProps/ctrlProp400.xml"/><Relationship Id="rId58" Type="http://schemas.openxmlformats.org/officeDocument/2006/relationships/ctrlProp" Target="../ctrlProps/ctrlProp421.xml"/><Relationship Id="rId79" Type="http://schemas.openxmlformats.org/officeDocument/2006/relationships/ctrlProp" Target="../ctrlProps/ctrlProp442.xml"/><Relationship Id="rId102" Type="http://schemas.openxmlformats.org/officeDocument/2006/relationships/ctrlProp" Target="../ctrlProps/ctrlProp465.xml"/><Relationship Id="rId123" Type="http://schemas.openxmlformats.org/officeDocument/2006/relationships/ctrlProp" Target="../ctrlProps/ctrlProp486.xml"/><Relationship Id="rId144" Type="http://schemas.openxmlformats.org/officeDocument/2006/relationships/ctrlProp" Target="../ctrlProps/ctrlProp507.xml"/><Relationship Id="rId90" Type="http://schemas.openxmlformats.org/officeDocument/2006/relationships/ctrlProp" Target="../ctrlProps/ctrlProp453.xml"/><Relationship Id="rId165" Type="http://schemas.openxmlformats.org/officeDocument/2006/relationships/ctrlProp" Target="../ctrlProps/ctrlProp528.xml"/><Relationship Id="rId27" Type="http://schemas.openxmlformats.org/officeDocument/2006/relationships/ctrlProp" Target="../ctrlProps/ctrlProp390.xml"/><Relationship Id="rId48" Type="http://schemas.openxmlformats.org/officeDocument/2006/relationships/ctrlProp" Target="../ctrlProps/ctrlProp411.xml"/><Relationship Id="rId69" Type="http://schemas.openxmlformats.org/officeDocument/2006/relationships/ctrlProp" Target="../ctrlProps/ctrlProp432.xml"/><Relationship Id="rId113" Type="http://schemas.openxmlformats.org/officeDocument/2006/relationships/ctrlProp" Target="../ctrlProps/ctrlProp476.xml"/><Relationship Id="rId134" Type="http://schemas.openxmlformats.org/officeDocument/2006/relationships/ctrlProp" Target="../ctrlProps/ctrlProp497.xml"/><Relationship Id="rId80" Type="http://schemas.openxmlformats.org/officeDocument/2006/relationships/ctrlProp" Target="../ctrlProps/ctrlProp443.xml"/><Relationship Id="rId155" Type="http://schemas.openxmlformats.org/officeDocument/2006/relationships/ctrlProp" Target="../ctrlProps/ctrlProp518.xml"/><Relationship Id="rId176" Type="http://schemas.openxmlformats.org/officeDocument/2006/relationships/ctrlProp" Target="../ctrlProps/ctrlProp539.xml"/><Relationship Id="rId17" Type="http://schemas.openxmlformats.org/officeDocument/2006/relationships/ctrlProp" Target="../ctrlProps/ctrlProp380.xml"/><Relationship Id="rId38" Type="http://schemas.openxmlformats.org/officeDocument/2006/relationships/ctrlProp" Target="../ctrlProps/ctrlProp401.xml"/><Relationship Id="rId59" Type="http://schemas.openxmlformats.org/officeDocument/2006/relationships/ctrlProp" Target="../ctrlProps/ctrlProp422.xml"/><Relationship Id="rId103" Type="http://schemas.openxmlformats.org/officeDocument/2006/relationships/ctrlProp" Target="../ctrlProps/ctrlProp466.xml"/><Relationship Id="rId124" Type="http://schemas.openxmlformats.org/officeDocument/2006/relationships/ctrlProp" Target="../ctrlProps/ctrlProp487.xml"/><Relationship Id="rId70" Type="http://schemas.openxmlformats.org/officeDocument/2006/relationships/ctrlProp" Target="../ctrlProps/ctrlProp433.xml"/><Relationship Id="rId91" Type="http://schemas.openxmlformats.org/officeDocument/2006/relationships/ctrlProp" Target="../ctrlProps/ctrlProp454.xml"/><Relationship Id="rId145" Type="http://schemas.openxmlformats.org/officeDocument/2006/relationships/ctrlProp" Target="../ctrlProps/ctrlProp508.xml"/><Relationship Id="rId166" Type="http://schemas.openxmlformats.org/officeDocument/2006/relationships/ctrlProp" Target="../ctrlProps/ctrlProp529.xml"/><Relationship Id="rId1" Type="http://schemas.openxmlformats.org/officeDocument/2006/relationships/printerSettings" Target="../printerSettings/printerSettings61.bin"/><Relationship Id="rId28" Type="http://schemas.openxmlformats.org/officeDocument/2006/relationships/ctrlProp" Target="../ctrlProps/ctrlProp391.xml"/><Relationship Id="rId49" Type="http://schemas.openxmlformats.org/officeDocument/2006/relationships/ctrlProp" Target="../ctrlProps/ctrlProp412.xml"/><Relationship Id="rId114" Type="http://schemas.openxmlformats.org/officeDocument/2006/relationships/ctrlProp" Target="../ctrlProps/ctrlProp477.xml"/></Relationships>
</file>

<file path=xl/worksheets/_rels/sheet71.xml.rels><?xml version="1.0" encoding="UTF-8" standalone="yes"?>
<Relationships xmlns="http://schemas.openxmlformats.org/package/2006/relationships"><Relationship Id="rId26" Type="http://schemas.openxmlformats.org/officeDocument/2006/relationships/ctrlProp" Target="../ctrlProps/ctrlProp569.xml"/><Relationship Id="rId117" Type="http://schemas.openxmlformats.org/officeDocument/2006/relationships/ctrlProp" Target="../ctrlProps/ctrlProp660.xml"/><Relationship Id="rId21" Type="http://schemas.openxmlformats.org/officeDocument/2006/relationships/ctrlProp" Target="../ctrlProps/ctrlProp564.xml"/><Relationship Id="rId42" Type="http://schemas.openxmlformats.org/officeDocument/2006/relationships/ctrlProp" Target="../ctrlProps/ctrlProp585.xml"/><Relationship Id="rId47" Type="http://schemas.openxmlformats.org/officeDocument/2006/relationships/ctrlProp" Target="../ctrlProps/ctrlProp590.xml"/><Relationship Id="rId63" Type="http://schemas.openxmlformats.org/officeDocument/2006/relationships/ctrlProp" Target="../ctrlProps/ctrlProp606.xml"/><Relationship Id="rId68" Type="http://schemas.openxmlformats.org/officeDocument/2006/relationships/ctrlProp" Target="../ctrlProps/ctrlProp611.xml"/><Relationship Id="rId84" Type="http://schemas.openxmlformats.org/officeDocument/2006/relationships/ctrlProp" Target="../ctrlProps/ctrlProp627.xml"/><Relationship Id="rId89" Type="http://schemas.openxmlformats.org/officeDocument/2006/relationships/ctrlProp" Target="../ctrlProps/ctrlProp632.xml"/><Relationship Id="rId112" Type="http://schemas.openxmlformats.org/officeDocument/2006/relationships/ctrlProp" Target="../ctrlProps/ctrlProp655.xml"/><Relationship Id="rId16" Type="http://schemas.openxmlformats.org/officeDocument/2006/relationships/ctrlProp" Target="../ctrlProps/ctrlProp559.xml"/><Relationship Id="rId107" Type="http://schemas.openxmlformats.org/officeDocument/2006/relationships/ctrlProp" Target="../ctrlProps/ctrlProp650.xml"/><Relationship Id="rId11" Type="http://schemas.openxmlformats.org/officeDocument/2006/relationships/ctrlProp" Target="../ctrlProps/ctrlProp554.xml"/><Relationship Id="rId32" Type="http://schemas.openxmlformats.org/officeDocument/2006/relationships/ctrlProp" Target="../ctrlProps/ctrlProp575.xml"/><Relationship Id="rId37" Type="http://schemas.openxmlformats.org/officeDocument/2006/relationships/ctrlProp" Target="../ctrlProps/ctrlProp580.xml"/><Relationship Id="rId53" Type="http://schemas.openxmlformats.org/officeDocument/2006/relationships/ctrlProp" Target="../ctrlProps/ctrlProp596.xml"/><Relationship Id="rId58" Type="http://schemas.openxmlformats.org/officeDocument/2006/relationships/ctrlProp" Target="../ctrlProps/ctrlProp601.xml"/><Relationship Id="rId74" Type="http://schemas.openxmlformats.org/officeDocument/2006/relationships/ctrlProp" Target="../ctrlProps/ctrlProp617.xml"/><Relationship Id="rId79" Type="http://schemas.openxmlformats.org/officeDocument/2006/relationships/ctrlProp" Target="../ctrlProps/ctrlProp622.xml"/><Relationship Id="rId102" Type="http://schemas.openxmlformats.org/officeDocument/2006/relationships/ctrlProp" Target="../ctrlProps/ctrlProp645.xml"/><Relationship Id="rId123" Type="http://schemas.openxmlformats.org/officeDocument/2006/relationships/ctrlProp" Target="../ctrlProps/ctrlProp666.xml"/><Relationship Id="rId5" Type="http://schemas.openxmlformats.org/officeDocument/2006/relationships/ctrlProp" Target="../ctrlProps/ctrlProp548.xml"/><Relationship Id="rId90" Type="http://schemas.openxmlformats.org/officeDocument/2006/relationships/ctrlProp" Target="../ctrlProps/ctrlProp633.xml"/><Relationship Id="rId95" Type="http://schemas.openxmlformats.org/officeDocument/2006/relationships/ctrlProp" Target="../ctrlProps/ctrlProp638.xml"/><Relationship Id="rId22" Type="http://schemas.openxmlformats.org/officeDocument/2006/relationships/ctrlProp" Target="../ctrlProps/ctrlProp565.xml"/><Relationship Id="rId27" Type="http://schemas.openxmlformats.org/officeDocument/2006/relationships/ctrlProp" Target="../ctrlProps/ctrlProp570.xml"/><Relationship Id="rId43" Type="http://schemas.openxmlformats.org/officeDocument/2006/relationships/ctrlProp" Target="../ctrlProps/ctrlProp586.xml"/><Relationship Id="rId48" Type="http://schemas.openxmlformats.org/officeDocument/2006/relationships/ctrlProp" Target="../ctrlProps/ctrlProp591.xml"/><Relationship Id="rId64" Type="http://schemas.openxmlformats.org/officeDocument/2006/relationships/ctrlProp" Target="../ctrlProps/ctrlProp607.xml"/><Relationship Id="rId69" Type="http://schemas.openxmlformats.org/officeDocument/2006/relationships/ctrlProp" Target="../ctrlProps/ctrlProp612.xml"/><Relationship Id="rId113" Type="http://schemas.openxmlformats.org/officeDocument/2006/relationships/ctrlProp" Target="../ctrlProps/ctrlProp656.xml"/><Relationship Id="rId118" Type="http://schemas.openxmlformats.org/officeDocument/2006/relationships/ctrlProp" Target="../ctrlProps/ctrlProp661.xml"/><Relationship Id="rId80" Type="http://schemas.openxmlformats.org/officeDocument/2006/relationships/ctrlProp" Target="../ctrlProps/ctrlProp623.xml"/><Relationship Id="rId85" Type="http://schemas.openxmlformats.org/officeDocument/2006/relationships/ctrlProp" Target="../ctrlProps/ctrlProp628.xml"/><Relationship Id="rId12" Type="http://schemas.openxmlformats.org/officeDocument/2006/relationships/ctrlProp" Target="../ctrlProps/ctrlProp555.xml"/><Relationship Id="rId17" Type="http://schemas.openxmlformats.org/officeDocument/2006/relationships/ctrlProp" Target="../ctrlProps/ctrlProp560.xml"/><Relationship Id="rId33" Type="http://schemas.openxmlformats.org/officeDocument/2006/relationships/ctrlProp" Target="../ctrlProps/ctrlProp576.xml"/><Relationship Id="rId38" Type="http://schemas.openxmlformats.org/officeDocument/2006/relationships/ctrlProp" Target="../ctrlProps/ctrlProp581.xml"/><Relationship Id="rId59" Type="http://schemas.openxmlformats.org/officeDocument/2006/relationships/ctrlProp" Target="../ctrlProps/ctrlProp602.xml"/><Relationship Id="rId103" Type="http://schemas.openxmlformats.org/officeDocument/2006/relationships/ctrlProp" Target="../ctrlProps/ctrlProp646.xml"/><Relationship Id="rId108" Type="http://schemas.openxmlformats.org/officeDocument/2006/relationships/ctrlProp" Target="../ctrlProps/ctrlProp651.xml"/><Relationship Id="rId54" Type="http://schemas.openxmlformats.org/officeDocument/2006/relationships/ctrlProp" Target="../ctrlProps/ctrlProp597.xml"/><Relationship Id="rId70" Type="http://schemas.openxmlformats.org/officeDocument/2006/relationships/ctrlProp" Target="../ctrlProps/ctrlProp613.xml"/><Relationship Id="rId75" Type="http://schemas.openxmlformats.org/officeDocument/2006/relationships/ctrlProp" Target="../ctrlProps/ctrlProp618.xml"/><Relationship Id="rId91" Type="http://schemas.openxmlformats.org/officeDocument/2006/relationships/ctrlProp" Target="../ctrlProps/ctrlProp634.xml"/><Relationship Id="rId96" Type="http://schemas.openxmlformats.org/officeDocument/2006/relationships/ctrlProp" Target="../ctrlProps/ctrlProp639.xml"/><Relationship Id="rId1" Type="http://schemas.openxmlformats.org/officeDocument/2006/relationships/printerSettings" Target="../printerSettings/printerSettings62.bin"/><Relationship Id="rId6" Type="http://schemas.openxmlformats.org/officeDocument/2006/relationships/ctrlProp" Target="../ctrlProps/ctrlProp549.xml"/><Relationship Id="rId23" Type="http://schemas.openxmlformats.org/officeDocument/2006/relationships/ctrlProp" Target="../ctrlProps/ctrlProp566.xml"/><Relationship Id="rId28" Type="http://schemas.openxmlformats.org/officeDocument/2006/relationships/ctrlProp" Target="../ctrlProps/ctrlProp571.xml"/><Relationship Id="rId49" Type="http://schemas.openxmlformats.org/officeDocument/2006/relationships/ctrlProp" Target="../ctrlProps/ctrlProp592.xml"/><Relationship Id="rId114" Type="http://schemas.openxmlformats.org/officeDocument/2006/relationships/ctrlProp" Target="../ctrlProps/ctrlProp657.xml"/><Relationship Id="rId119" Type="http://schemas.openxmlformats.org/officeDocument/2006/relationships/ctrlProp" Target="../ctrlProps/ctrlProp662.xml"/><Relationship Id="rId44" Type="http://schemas.openxmlformats.org/officeDocument/2006/relationships/ctrlProp" Target="../ctrlProps/ctrlProp587.xml"/><Relationship Id="rId60" Type="http://schemas.openxmlformats.org/officeDocument/2006/relationships/ctrlProp" Target="../ctrlProps/ctrlProp603.xml"/><Relationship Id="rId65" Type="http://schemas.openxmlformats.org/officeDocument/2006/relationships/ctrlProp" Target="../ctrlProps/ctrlProp608.xml"/><Relationship Id="rId81" Type="http://schemas.openxmlformats.org/officeDocument/2006/relationships/ctrlProp" Target="../ctrlProps/ctrlProp624.xml"/><Relationship Id="rId86" Type="http://schemas.openxmlformats.org/officeDocument/2006/relationships/ctrlProp" Target="../ctrlProps/ctrlProp629.xml"/><Relationship Id="rId4" Type="http://schemas.openxmlformats.org/officeDocument/2006/relationships/ctrlProp" Target="../ctrlProps/ctrlProp547.xml"/><Relationship Id="rId9" Type="http://schemas.openxmlformats.org/officeDocument/2006/relationships/ctrlProp" Target="../ctrlProps/ctrlProp552.xml"/><Relationship Id="rId13" Type="http://schemas.openxmlformats.org/officeDocument/2006/relationships/ctrlProp" Target="../ctrlProps/ctrlProp556.xml"/><Relationship Id="rId18" Type="http://schemas.openxmlformats.org/officeDocument/2006/relationships/ctrlProp" Target="../ctrlProps/ctrlProp561.xml"/><Relationship Id="rId39" Type="http://schemas.openxmlformats.org/officeDocument/2006/relationships/ctrlProp" Target="../ctrlProps/ctrlProp582.xml"/><Relationship Id="rId109" Type="http://schemas.openxmlformats.org/officeDocument/2006/relationships/ctrlProp" Target="../ctrlProps/ctrlProp652.xml"/><Relationship Id="rId34" Type="http://schemas.openxmlformats.org/officeDocument/2006/relationships/ctrlProp" Target="../ctrlProps/ctrlProp577.xml"/><Relationship Id="rId50" Type="http://schemas.openxmlformats.org/officeDocument/2006/relationships/ctrlProp" Target="../ctrlProps/ctrlProp593.xml"/><Relationship Id="rId55" Type="http://schemas.openxmlformats.org/officeDocument/2006/relationships/ctrlProp" Target="../ctrlProps/ctrlProp598.xml"/><Relationship Id="rId76" Type="http://schemas.openxmlformats.org/officeDocument/2006/relationships/ctrlProp" Target="../ctrlProps/ctrlProp619.xml"/><Relationship Id="rId97" Type="http://schemas.openxmlformats.org/officeDocument/2006/relationships/ctrlProp" Target="../ctrlProps/ctrlProp640.xml"/><Relationship Id="rId104" Type="http://schemas.openxmlformats.org/officeDocument/2006/relationships/ctrlProp" Target="../ctrlProps/ctrlProp647.xml"/><Relationship Id="rId120" Type="http://schemas.openxmlformats.org/officeDocument/2006/relationships/ctrlProp" Target="../ctrlProps/ctrlProp663.xml"/><Relationship Id="rId7" Type="http://schemas.openxmlformats.org/officeDocument/2006/relationships/ctrlProp" Target="../ctrlProps/ctrlProp550.xml"/><Relationship Id="rId71" Type="http://schemas.openxmlformats.org/officeDocument/2006/relationships/ctrlProp" Target="../ctrlProps/ctrlProp614.xml"/><Relationship Id="rId92" Type="http://schemas.openxmlformats.org/officeDocument/2006/relationships/ctrlProp" Target="../ctrlProps/ctrlProp635.xml"/><Relationship Id="rId2" Type="http://schemas.openxmlformats.org/officeDocument/2006/relationships/drawing" Target="../drawings/drawing17.xml"/><Relationship Id="rId29" Type="http://schemas.openxmlformats.org/officeDocument/2006/relationships/ctrlProp" Target="../ctrlProps/ctrlProp572.xml"/><Relationship Id="rId24" Type="http://schemas.openxmlformats.org/officeDocument/2006/relationships/ctrlProp" Target="../ctrlProps/ctrlProp567.xml"/><Relationship Id="rId40" Type="http://schemas.openxmlformats.org/officeDocument/2006/relationships/ctrlProp" Target="../ctrlProps/ctrlProp583.xml"/><Relationship Id="rId45" Type="http://schemas.openxmlformats.org/officeDocument/2006/relationships/ctrlProp" Target="../ctrlProps/ctrlProp588.xml"/><Relationship Id="rId66" Type="http://schemas.openxmlformats.org/officeDocument/2006/relationships/ctrlProp" Target="../ctrlProps/ctrlProp609.xml"/><Relationship Id="rId87" Type="http://schemas.openxmlformats.org/officeDocument/2006/relationships/ctrlProp" Target="../ctrlProps/ctrlProp630.xml"/><Relationship Id="rId110" Type="http://schemas.openxmlformats.org/officeDocument/2006/relationships/ctrlProp" Target="../ctrlProps/ctrlProp653.xml"/><Relationship Id="rId115" Type="http://schemas.openxmlformats.org/officeDocument/2006/relationships/ctrlProp" Target="../ctrlProps/ctrlProp658.xml"/><Relationship Id="rId61" Type="http://schemas.openxmlformats.org/officeDocument/2006/relationships/ctrlProp" Target="../ctrlProps/ctrlProp604.xml"/><Relationship Id="rId82" Type="http://schemas.openxmlformats.org/officeDocument/2006/relationships/ctrlProp" Target="../ctrlProps/ctrlProp625.xml"/><Relationship Id="rId19" Type="http://schemas.openxmlformats.org/officeDocument/2006/relationships/ctrlProp" Target="../ctrlProps/ctrlProp562.xml"/><Relationship Id="rId14" Type="http://schemas.openxmlformats.org/officeDocument/2006/relationships/ctrlProp" Target="../ctrlProps/ctrlProp557.xml"/><Relationship Id="rId30" Type="http://schemas.openxmlformats.org/officeDocument/2006/relationships/ctrlProp" Target="../ctrlProps/ctrlProp573.xml"/><Relationship Id="rId35" Type="http://schemas.openxmlformats.org/officeDocument/2006/relationships/ctrlProp" Target="../ctrlProps/ctrlProp578.xml"/><Relationship Id="rId56" Type="http://schemas.openxmlformats.org/officeDocument/2006/relationships/ctrlProp" Target="../ctrlProps/ctrlProp599.xml"/><Relationship Id="rId77" Type="http://schemas.openxmlformats.org/officeDocument/2006/relationships/ctrlProp" Target="../ctrlProps/ctrlProp620.xml"/><Relationship Id="rId100" Type="http://schemas.openxmlformats.org/officeDocument/2006/relationships/ctrlProp" Target="../ctrlProps/ctrlProp643.xml"/><Relationship Id="rId105" Type="http://schemas.openxmlformats.org/officeDocument/2006/relationships/ctrlProp" Target="../ctrlProps/ctrlProp648.xml"/><Relationship Id="rId8" Type="http://schemas.openxmlformats.org/officeDocument/2006/relationships/ctrlProp" Target="../ctrlProps/ctrlProp551.xml"/><Relationship Id="rId51" Type="http://schemas.openxmlformats.org/officeDocument/2006/relationships/ctrlProp" Target="../ctrlProps/ctrlProp594.xml"/><Relationship Id="rId72" Type="http://schemas.openxmlformats.org/officeDocument/2006/relationships/ctrlProp" Target="../ctrlProps/ctrlProp615.xml"/><Relationship Id="rId93" Type="http://schemas.openxmlformats.org/officeDocument/2006/relationships/ctrlProp" Target="../ctrlProps/ctrlProp636.xml"/><Relationship Id="rId98" Type="http://schemas.openxmlformats.org/officeDocument/2006/relationships/ctrlProp" Target="../ctrlProps/ctrlProp641.xml"/><Relationship Id="rId121" Type="http://schemas.openxmlformats.org/officeDocument/2006/relationships/ctrlProp" Target="../ctrlProps/ctrlProp664.xml"/><Relationship Id="rId3" Type="http://schemas.openxmlformats.org/officeDocument/2006/relationships/vmlDrawing" Target="../drawings/vmlDrawing57.vml"/><Relationship Id="rId25" Type="http://schemas.openxmlformats.org/officeDocument/2006/relationships/ctrlProp" Target="../ctrlProps/ctrlProp568.xml"/><Relationship Id="rId46" Type="http://schemas.openxmlformats.org/officeDocument/2006/relationships/ctrlProp" Target="../ctrlProps/ctrlProp589.xml"/><Relationship Id="rId67" Type="http://schemas.openxmlformats.org/officeDocument/2006/relationships/ctrlProp" Target="../ctrlProps/ctrlProp610.xml"/><Relationship Id="rId116" Type="http://schemas.openxmlformats.org/officeDocument/2006/relationships/ctrlProp" Target="../ctrlProps/ctrlProp659.xml"/><Relationship Id="rId20" Type="http://schemas.openxmlformats.org/officeDocument/2006/relationships/ctrlProp" Target="../ctrlProps/ctrlProp563.xml"/><Relationship Id="rId41" Type="http://schemas.openxmlformats.org/officeDocument/2006/relationships/ctrlProp" Target="../ctrlProps/ctrlProp584.xml"/><Relationship Id="rId62" Type="http://schemas.openxmlformats.org/officeDocument/2006/relationships/ctrlProp" Target="../ctrlProps/ctrlProp605.xml"/><Relationship Id="rId83" Type="http://schemas.openxmlformats.org/officeDocument/2006/relationships/ctrlProp" Target="../ctrlProps/ctrlProp626.xml"/><Relationship Id="rId88" Type="http://schemas.openxmlformats.org/officeDocument/2006/relationships/ctrlProp" Target="../ctrlProps/ctrlProp631.xml"/><Relationship Id="rId111" Type="http://schemas.openxmlformats.org/officeDocument/2006/relationships/ctrlProp" Target="../ctrlProps/ctrlProp654.xml"/><Relationship Id="rId15" Type="http://schemas.openxmlformats.org/officeDocument/2006/relationships/ctrlProp" Target="../ctrlProps/ctrlProp558.xml"/><Relationship Id="rId36" Type="http://schemas.openxmlformats.org/officeDocument/2006/relationships/ctrlProp" Target="../ctrlProps/ctrlProp579.xml"/><Relationship Id="rId57" Type="http://schemas.openxmlformats.org/officeDocument/2006/relationships/ctrlProp" Target="../ctrlProps/ctrlProp600.xml"/><Relationship Id="rId106" Type="http://schemas.openxmlformats.org/officeDocument/2006/relationships/ctrlProp" Target="../ctrlProps/ctrlProp649.xml"/><Relationship Id="rId10" Type="http://schemas.openxmlformats.org/officeDocument/2006/relationships/ctrlProp" Target="../ctrlProps/ctrlProp553.xml"/><Relationship Id="rId31" Type="http://schemas.openxmlformats.org/officeDocument/2006/relationships/ctrlProp" Target="../ctrlProps/ctrlProp574.xml"/><Relationship Id="rId52" Type="http://schemas.openxmlformats.org/officeDocument/2006/relationships/ctrlProp" Target="../ctrlProps/ctrlProp595.xml"/><Relationship Id="rId73" Type="http://schemas.openxmlformats.org/officeDocument/2006/relationships/ctrlProp" Target="../ctrlProps/ctrlProp616.xml"/><Relationship Id="rId78" Type="http://schemas.openxmlformats.org/officeDocument/2006/relationships/ctrlProp" Target="../ctrlProps/ctrlProp621.xml"/><Relationship Id="rId94" Type="http://schemas.openxmlformats.org/officeDocument/2006/relationships/ctrlProp" Target="../ctrlProps/ctrlProp637.xml"/><Relationship Id="rId99" Type="http://schemas.openxmlformats.org/officeDocument/2006/relationships/ctrlProp" Target="../ctrlProps/ctrlProp642.xml"/><Relationship Id="rId101" Type="http://schemas.openxmlformats.org/officeDocument/2006/relationships/ctrlProp" Target="../ctrlProps/ctrlProp644.xml"/><Relationship Id="rId122" Type="http://schemas.openxmlformats.org/officeDocument/2006/relationships/ctrlProp" Target="../ctrlProps/ctrlProp665.xm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0"/>
  <dimension ref="A1:I398"/>
  <sheetViews>
    <sheetView showGridLines="0" topLeftCell="A153" zoomScale="70" zoomScaleNormal="70" workbookViewId="0">
      <pane ySplit="3" topLeftCell="A375" activePane="bottomLeft" state="frozen"/>
      <selection activeCell="A153" sqref="A153"/>
      <selection pane="bottomLeft" activeCell="E384" sqref="E384"/>
    </sheetView>
  </sheetViews>
  <sheetFormatPr defaultRowHeight="13.5"/>
  <cols>
    <col min="1" max="1" width="5.125" customWidth="1"/>
    <col min="2" max="2" width="12.5" style="55" customWidth="1"/>
    <col min="3" max="3" width="20.25" style="55" bestFit="1" customWidth="1"/>
    <col min="4" max="4" width="20.125" bestFit="1" customWidth="1"/>
    <col min="5" max="5" width="71" customWidth="1"/>
    <col min="6" max="6" width="9.75" customWidth="1"/>
    <col min="12" max="12" width="19.375" customWidth="1"/>
  </cols>
  <sheetData>
    <row r="1" spans="1:5" hidden="1">
      <c r="A1" t="s">
        <v>4465</v>
      </c>
    </row>
    <row r="2" spans="1:5" hidden="1">
      <c r="A2" s="1384"/>
      <c r="B2" s="1390" t="s">
        <v>4418</v>
      </c>
      <c r="C2" s="1369" t="s">
        <v>4421</v>
      </c>
      <c r="D2" s="1366" t="s">
        <v>4422</v>
      </c>
      <c r="E2" s="1385" t="s">
        <v>4423</v>
      </c>
    </row>
    <row r="3" spans="1:5" hidden="1">
      <c r="A3" s="1370"/>
      <c r="B3" s="1391"/>
      <c r="C3" s="1371"/>
      <c r="D3" s="1368"/>
      <c r="E3" s="1386"/>
    </row>
    <row r="4" spans="1:5" hidden="1">
      <c r="A4" s="1384">
        <v>1</v>
      </c>
      <c r="B4" s="1392">
        <v>1</v>
      </c>
      <c r="C4" s="1387">
        <v>45002</v>
      </c>
      <c r="D4" s="1366" t="s">
        <v>4424</v>
      </c>
      <c r="E4" s="1385" t="s">
        <v>4426</v>
      </c>
    </row>
    <row r="5" spans="1:5" hidden="1">
      <c r="A5" s="1370"/>
      <c r="B5" s="1393"/>
      <c r="C5" s="1371"/>
      <c r="D5" s="1368"/>
      <c r="E5" s="1386"/>
    </row>
    <row r="6" spans="1:5" hidden="1">
      <c r="A6" s="1384">
        <v>2</v>
      </c>
      <c r="B6" s="1392">
        <v>2</v>
      </c>
      <c r="C6" s="1387">
        <v>45008</v>
      </c>
      <c r="D6" s="1366" t="s">
        <v>4425</v>
      </c>
      <c r="E6" s="1385" t="s">
        <v>4427</v>
      </c>
    </row>
    <row r="7" spans="1:5" hidden="1">
      <c r="A7" s="1388"/>
      <c r="B7" s="1394"/>
      <c r="D7" s="1367"/>
      <c r="E7" s="1389" t="s">
        <v>4428</v>
      </c>
    </row>
    <row r="8" spans="1:5" hidden="1">
      <c r="A8" s="1388"/>
      <c r="B8" s="1394"/>
      <c r="D8" s="1367"/>
      <c r="E8" s="1389" t="s">
        <v>4429</v>
      </c>
    </row>
    <row r="9" spans="1:5" hidden="1">
      <c r="A9" s="1388"/>
      <c r="B9" s="1394"/>
      <c r="D9" s="1367"/>
      <c r="E9" s="1389" t="s">
        <v>4430</v>
      </c>
    </row>
    <row r="10" spans="1:5" hidden="1">
      <c r="A10" s="1388"/>
      <c r="B10" s="1394"/>
      <c r="D10" s="1367"/>
      <c r="E10" s="1389" t="s">
        <v>4431</v>
      </c>
    </row>
    <row r="11" spans="1:5" hidden="1">
      <c r="A11" s="1388"/>
      <c r="B11" s="1394"/>
      <c r="D11" s="1367"/>
      <c r="E11" s="1389" t="s">
        <v>4469</v>
      </c>
    </row>
    <row r="12" spans="1:5" hidden="1">
      <c r="A12" s="1388"/>
      <c r="B12" s="1394"/>
      <c r="D12" s="1367"/>
      <c r="E12" s="1389" t="s">
        <v>4437</v>
      </c>
    </row>
    <row r="13" spans="1:5" hidden="1">
      <c r="A13" s="1388"/>
      <c r="B13" s="1394"/>
      <c r="D13" s="1367"/>
      <c r="E13" s="1389" t="s">
        <v>4432</v>
      </c>
    </row>
    <row r="14" spans="1:5" hidden="1">
      <c r="A14" s="1388"/>
      <c r="B14" s="1394"/>
      <c r="D14" s="1367"/>
      <c r="E14" s="1389" t="s">
        <v>4433</v>
      </c>
    </row>
    <row r="15" spans="1:5" hidden="1">
      <c r="A15" s="1388"/>
      <c r="B15" s="1394"/>
      <c r="D15" s="1367"/>
      <c r="E15" s="1389" t="s">
        <v>4434</v>
      </c>
    </row>
    <row r="16" spans="1:5" hidden="1">
      <c r="A16" s="1388"/>
      <c r="B16" s="1394"/>
      <c r="D16" s="1367"/>
      <c r="E16" s="1389" t="s">
        <v>4435</v>
      </c>
    </row>
    <row r="17" spans="1:5" hidden="1">
      <c r="A17" s="1388"/>
      <c r="B17" s="1394"/>
      <c r="D17" s="1367"/>
      <c r="E17" s="1389" t="s">
        <v>4436</v>
      </c>
    </row>
    <row r="18" spans="1:5" hidden="1">
      <c r="A18" s="1388"/>
      <c r="B18" s="1394"/>
      <c r="D18" s="1367"/>
      <c r="E18" s="1389" t="s">
        <v>4438</v>
      </c>
    </row>
    <row r="19" spans="1:5" hidden="1">
      <c r="A19" s="1388"/>
      <c r="B19" s="1394"/>
      <c r="D19" s="1367"/>
      <c r="E19" s="1389" t="s">
        <v>4439</v>
      </c>
    </row>
    <row r="20" spans="1:5" hidden="1">
      <c r="A20" s="1388"/>
      <c r="B20" s="1394"/>
      <c r="D20" s="1367"/>
      <c r="E20" s="1389" t="s">
        <v>4440</v>
      </c>
    </row>
    <row r="21" spans="1:5" hidden="1">
      <c r="A21" s="1388"/>
      <c r="B21" s="1394"/>
      <c r="D21" s="1367"/>
      <c r="E21" s="1389" t="s">
        <v>4441</v>
      </c>
    </row>
    <row r="22" spans="1:5" hidden="1">
      <c r="A22" s="1388"/>
      <c r="B22" s="1394"/>
      <c r="D22" s="1367"/>
      <c r="E22" s="1389" t="s">
        <v>4442</v>
      </c>
    </row>
    <row r="23" spans="1:5" hidden="1">
      <c r="A23" s="1388"/>
      <c r="B23" s="1394"/>
      <c r="D23" s="1367"/>
      <c r="E23" s="1389" t="s">
        <v>4443</v>
      </c>
    </row>
    <row r="24" spans="1:5" hidden="1">
      <c r="A24" s="1388"/>
      <c r="B24" s="1394"/>
      <c r="D24" s="1367"/>
      <c r="E24" s="1389" t="s">
        <v>4444</v>
      </c>
    </row>
    <row r="25" spans="1:5" hidden="1">
      <c r="A25" s="1388"/>
      <c r="B25" s="1394"/>
      <c r="D25" s="1367"/>
      <c r="E25" s="1389" t="s">
        <v>4445</v>
      </c>
    </row>
    <row r="26" spans="1:5" hidden="1">
      <c r="A26" s="1388"/>
      <c r="B26" s="1394"/>
      <c r="D26" s="1367"/>
      <c r="E26" s="1389" t="s">
        <v>4446</v>
      </c>
    </row>
    <row r="27" spans="1:5" hidden="1">
      <c r="A27" s="1388"/>
      <c r="B27" s="1394"/>
      <c r="D27" s="1367"/>
      <c r="E27" s="1389" t="s">
        <v>4447</v>
      </c>
    </row>
    <row r="28" spans="1:5" hidden="1">
      <c r="A28" s="1388"/>
      <c r="B28" s="1394"/>
      <c r="D28" s="1367"/>
      <c r="E28" s="1389" t="s">
        <v>4448</v>
      </c>
    </row>
    <row r="29" spans="1:5" hidden="1">
      <c r="A29" s="1388"/>
      <c r="B29" s="1394"/>
      <c r="D29" s="1367"/>
      <c r="E29" s="1389" t="s">
        <v>4449</v>
      </c>
    </row>
    <row r="30" spans="1:5" hidden="1">
      <c r="A30" s="1388"/>
      <c r="B30" s="1394"/>
      <c r="D30" s="1367"/>
      <c r="E30" s="1389" t="s">
        <v>4450</v>
      </c>
    </row>
    <row r="31" spans="1:5" hidden="1">
      <c r="A31" s="1388"/>
      <c r="B31" s="1394"/>
      <c r="D31" s="1367"/>
      <c r="E31" s="1389" t="s">
        <v>4451</v>
      </c>
    </row>
    <row r="32" spans="1:5" hidden="1">
      <c r="A32" s="1388"/>
      <c r="B32" s="1394"/>
      <c r="D32" s="1367"/>
      <c r="E32" s="1389" t="s">
        <v>4452</v>
      </c>
    </row>
    <row r="33" spans="1:5" hidden="1">
      <c r="A33" s="1388"/>
      <c r="B33" s="1394"/>
      <c r="D33" s="1367"/>
      <c r="E33" s="1389" t="s">
        <v>4453</v>
      </c>
    </row>
    <row r="34" spans="1:5" hidden="1">
      <c r="A34" s="1388"/>
      <c r="B34" s="1394"/>
      <c r="D34" s="1367"/>
      <c r="E34" s="1389" t="s">
        <v>4454</v>
      </c>
    </row>
    <row r="35" spans="1:5" hidden="1">
      <c r="A35" s="1388"/>
      <c r="B35" s="1394"/>
      <c r="D35" s="1367"/>
      <c r="E35" s="1389" t="s">
        <v>4455</v>
      </c>
    </row>
    <row r="36" spans="1:5" hidden="1">
      <c r="A36" s="1388"/>
      <c r="B36" s="1394"/>
      <c r="D36" s="1367"/>
      <c r="E36" s="1389" t="s">
        <v>4456</v>
      </c>
    </row>
    <row r="37" spans="1:5" hidden="1">
      <c r="A37" s="1388"/>
      <c r="B37" s="1394"/>
      <c r="D37" s="1367"/>
      <c r="E37" s="1389" t="s">
        <v>4457</v>
      </c>
    </row>
    <row r="38" spans="1:5" hidden="1">
      <c r="A38" s="1388"/>
      <c r="B38" s="1394"/>
      <c r="D38" s="1367"/>
      <c r="E38" s="1389" t="s">
        <v>4458</v>
      </c>
    </row>
    <row r="39" spans="1:5" hidden="1">
      <c r="A39" s="1388"/>
      <c r="B39" s="1394"/>
      <c r="D39" s="1367"/>
      <c r="E39" s="1389" t="s">
        <v>4460</v>
      </c>
    </row>
    <row r="40" spans="1:5" hidden="1">
      <c r="A40" s="1388"/>
      <c r="B40" s="1394"/>
      <c r="D40" s="1367"/>
      <c r="E40" s="1389" t="s">
        <v>4459</v>
      </c>
    </row>
    <row r="41" spans="1:5" hidden="1">
      <c r="A41" s="1388"/>
      <c r="B41" s="1394"/>
      <c r="D41" s="1367"/>
      <c r="E41" s="1389" t="s">
        <v>4461</v>
      </c>
    </row>
    <row r="42" spans="1:5" hidden="1">
      <c r="A42" s="1388"/>
      <c r="B42" s="1394"/>
      <c r="D42" s="1367"/>
      <c r="E42" s="1389" t="s">
        <v>4462</v>
      </c>
    </row>
    <row r="43" spans="1:5" hidden="1">
      <c r="A43" s="1388"/>
      <c r="B43" s="1394"/>
      <c r="D43" s="1367"/>
      <c r="E43" s="1389" t="s">
        <v>4464</v>
      </c>
    </row>
    <row r="44" spans="1:5" hidden="1">
      <c r="A44" s="1388"/>
      <c r="B44" s="1394"/>
      <c r="C44" s="1405"/>
      <c r="D44" s="1406"/>
      <c r="E44" s="1407" t="s">
        <v>4463</v>
      </c>
    </row>
    <row r="45" spans="1:5" hidden="1">
      <c r="A45" s="1408">
        <v>3</v>
      </c>
      <c r="B45" s="1394"/>
      <c r="C45" s="1404">
        <v>45009</v>
      </c>
      <c r="D45" s="1367" t="s">
        <v>4472</v>
      </c>
      <c r="E45" s="1389" t="s">
        <v>4478</v>
      </c>
    </row>
    <row r="46" spans="1:5" hidden="1">
      <c r="A46" s="1406"/>
      <c r="B46" s="1394"/>
      <c r="C46" s="1405"/>
      <c r="D46" s="1406"/>
      <c r="E46" s="1407" t="s">
        <v>4473</v>
      </c>
    </row>
    <row r="47" spans="1:5" hidden="1">
      <c r="A47" s="1388">
        <v>4</v>
      </c>
      <c r="B47" s="1394"/>
      <c r="C47" s="1404">
        <v>45012</v>
      </c>
      <c r="D47" s="1367" t="s">
        <v>4475</v>
      </c>
      <c r="E47" s="1389" t="s">
        <v>4479</v>
      </c>
    </row>
    <row r="48" spans="1:5" hidden="1">
      <c r="A48" s="1388"/>
      <c r="B48" s="1394"/>
      <c r="D48" s="1367"/>
      <c r="E48" s="1389" t="s">
        <v>4476</v>
      </c>
    </row>
    <row r="49" spans="1:5" hidden="1">
      <c r="A49" s="1370"/>
      <c r="B49" s="1393"/>
      <c r="C49" s="1371"/>
      <c r="D49" s="1368"/>
      <c r="E49" s="1386"/>
    </row>
    <row r="50" spans="1:5" hidden="1">
      <c r="A50" s="1388">
        <v>5</v>
      </c>
      <c r="B50" s="1394">
        <v>3</v>
      </c>
      <c r="C50" s="1404">
        <v>45012</v>
      </c>
      <c r="D50" s="1367" t="s">
        <v>4477</v>
      </c>
      <c r="E50" s="1389" t="s">
        <v>4484</v>
      </c>
    </row>
    <row r="51" spans="1:5" hidden="1">
      <c r="A51" s="1388"/>
      <c r="B51" s="1394"/>
      <c r="D51" s="1367"/>
      <c r="E51" s="1389" t="s">
        <v>4485</v>
      </c>
    </row>
    <row r="52" spans="1:5" hidden="1">
      <c r="A52" s="1388"/>
      <c r="B52" s="1394"/>
      <c r="D52" s="1367"/>
      <c r="E52" s="1389" t="s">
        <v>4480</v>
      </c>
    </row>
    <row r="53" spans="1:5" hidden="1">
      <c r="A53" s="1388"/>
      <c r="B53" s="1394"/>
      <c r="D53" s="1367"/>
      <c r="E53" s="1389" t="s">
        <v>4481</v>
      </c>
    </row>
    <row r="54" spans="1:5" hidden="1">
      <c r="A54" s="1370"/>
      <c r="B54" s="1393"/>
      <c r="C54" s="1371"/>
      <c r="D54" s="1368"/>
      <c r="E54" s="1386"/>
    </row>
    <row r="55" spans="1:5" hidden="1">
      <c r="A55" s="1414">
        <v>6</v>
      </c>
      <c r="B55" s="1394">
        <v>4</v>
      </c>
      <c r="C55" s="1413">
        <v>45019</v>
      </c>
      <c r="D55" s="1414" t="s">
        <v>4493</v>
      </c>
      <c r="E55" s="1415" t="s">
        <v>4494</v>
      </c>
    </row>
    <row r="56" spans="1:5" ht="67.5" hidden="1">
      <c r="A56" s="1388">
        <v>7</v>
      </c>
      <c r="B56" s="1394"/>
      <c r="C56" s="1404">
        <v>45020</v>
      </c>
      <c r="D56" s="1367" t="s">
        <v>4497</v>
      </c>
      <c r="E56" s="1416" t="s">
        <v>4498</v>
      </c>
    </row>
    <row r="57" spans="1:5" hidden="1">
      <c r="A57" s="1388"/>
      <c r="B57" s="1394"/>
      <c r="D57" s="1367"/>
      <c r="E57" s="1389" t="s">
        <v>4499</v>
      </c>
    </row>
    <row r="58" spans="1:5" hidden="1">
      <c r="A58" s="1370"/>
      <c r="B58" s="1393"/>
      <c r="C58" s="1371"/>
      <c r="D58" s="1368"/>
      <c r="E58" s="1386"/>
    </row>
    <row r="59" spans="1:5" hidden="1">
      <c r="A59" s="1388">
        <v>8</v>
      </c>
      <c r="B59" s="1394">
        <v>5</v>
      </c>
      <c r="C59" s="1404">
        <v>45022</v>
      </c>
      <c r="D59" s="1367" t="s">
        <v>4504</v>
      </c>
      <c r="E59" s="1389" t="s">
        <v>4505</v>
      </c>
    </row>
    <row r="60" spans="1:5" hidden="1">
      <c r="A60" s="1388"/>
      <c r="B60" s="1394"/>
      <c r="D60" s="1367"/>
      <c r="E60" s="1389" t="s">
        <v>4506</v>
      </c>
    </row>
    <row r="61" spans="1:5" hidden="1">
      <c r="A61" s="1431"/>
      <c r="B61" s="1394"/>
      <c r="C61" s="1432"/>
      <c r="D61" s="1433"/>
      <c r="E61" s="1434" t="s">
        <v>4507</v>
      </c>
    </row>
    <row r="62" spans="1:5" hidden="1">
      <c r="A62" s="1388">
        <v>9</v>
      </c>
      <c r="B62" s="1394"/>
      <c r="C62" s="1404">
        <v>45026</v>
      </c>
      <c r="D62" s="1367" t="s">
        <v>4508</v>
      </c>
      <c r="E62" s="1389" t="s">
        <v>4509</v>
      </c>
    </row>
    <row r="63" spans="1:5" hidden="1">
      <c r="A63" s="1388"/>
      <c r="B63" s="1394"/>
      <c r="D63" s="1367"/>
      <c r="E63" s="1389" t="s">
        <v>4510</v>
      </c>
    </row>
    <row r="64" spans="1:5" hidden="1">
      <c r="A64" s="1388"/>
      <c r="B64" s="1394"/>
      <c r="D64" s="1367"/>
      <c r="E64" s="1389" t="s">
        <v>4512</v>
      </c>
    </row>
    <row r="65" spans="1:5" hidden="1">
      <c r="A65" s="1370"/>
      <c r="B65" s="1393"/>
      <c r="C65" s="1371"/>
      <c r="D65" s="1368"/>
      <c r="E65" s="1386" t="s">
        <v>4511</v>
      </c>
    </row>
    <row r="66" spans="1:5" hidden="1">
      <c r="A66" s="1388">
        <v>10</v>
      </c>
      <c r="B66" s="1394">
        <v>6</v>
      </c>
      <c r="C66" s="1404">
        <v>45034</v>
      </c>
      <c r="D66" s="1367" t="s">
        <v>4513</v>
      </c>
      <c r="E66" s="1389" t="s">
        <v>4514</v>
      </c>
    </row>
    <row r="67" spans="1:5" hidden="1">
      <c r="A67" s="1388"/>
      <c r="B67" s="1394"/>
      <c r="D67" s="1367"/>
      <c r="E67" s="1389" t="s">
        <v>4515</v>
      </c>
    </row>
    <row r="68" spans="1:5" hidden="1">
      <c r="A68" s="1388"/>
      <c r="B68" s="1394"/>
      <c r="D68" s="1367"/>
      <c r="E68" s="1389" t="s">
        <v>4516</v>
      </c>
    </row>
    <row r="69" spans="1:5" hidden="1">
      <c r="A69" s="1388"/>
      <c r="B69" s="1394"/>
      <c r="D69" s="1367"/>
      <c r="E69" s="1389" t="s">
        <v>4517</v>
      </c>
    </row>
    <row r="70" spans="1:5" hidden="1">
      <c r="A70" s="1388"/>
      <c r="B70" s="1394"/>
      <c r="D70" s="1367"/>
      <c r="E70" s="1389" t="s">
        <v>4518</v>
      </c>
    </row>
    <row r="71" spans="1:5" hidden="1">
      <c r="A71" s="1388"/>
      <c r="B71" s="1394"/>
      <c r="D71" s="1367"/>
      <c r="E71" s="1389" t="s">
        <v>4519</v>
      </c>
    </row>
    <row r="72" spans="1:5" hidden="1">
      <c r="A72" s="1388"/>
      <c r="B72" s="1394"/>
      <c r="D72" s="1367"/>
      <c r="E72" s="1389" t="s">
        <v>4522</v>
      </c>
    </row>
    <row r="73" spans="1:5" hidden="1">
      <c r="A73" s="1388"/>
      <c r="B73" s="1394"/>
      <c r="D73" s="1367"/>
      <c r="E73" s="1389" t="s">
        <v>4520</v>
      </c>
    </row>
    <row r="74" spans="1:5" hidden="1">
      <c r="A74" s="1388"/>
      <c r="B74" s="1394"/>
      <c r="D74" s="1367"/>
      <c r="E74" s="1389" t="s">
        <v>4521</v>
      </c>
    </row>
    <row r="75" spans="1:5" hidden="1">
      <c r="A75" s="1388"/>
      <c r="B75" s="1394"/>
      <c r="D75" s="1367"/>
      <c r="E75" s="1389" t="s">
        <v>4523</v>
      </c>
    </row>
    <row r="76" spans="1:5" hidden="1">
      <c r="A76" s="1388"/>
      <c r="B76" s="1394"/>
      <c r="D76" s="1367"/>
      <c r="E76" s="1389" t="s">
        <v>4524</v>
      </c>
    </row>
    <row r="77" spans="1:5" hidden="1">
      <c r="A77" s="1370"/>
      <c r="B77" s="1393"/>
      <c r="C77" s="1371"/>
      <c r="D77" s="1368"/>
      <c r="E77" s="1386"/>
    </row>
    <row r="78" spans="1:5" hidden="1">
      <c r="A78" s="1388">
        <v>11</v>
      </c>
      <c r="B78" s="1394">
        <v>7</v>
      </c>
      <c r="C78" s="1404">
        <v>45040</v>
      </c>
      <c r="D78" s="1367" t="s">
        <v>4525</v>
      </c>
      <c r="E78" s="1389" t="s">
        <v>4526</v>
      </c>
    </row>
    <row r="79" spans="1:5" hidden="1">
      <c r="A79" s="1388"/>
      <c r="B79" s="1394"/>
      <c r="D79" s="1367"/>
      <c r="E79" s="1389" t="s">
        <v>4527</v>
      </c>
    </row>
    <row r="80" spans="1:5" hidden="1">
      <c r="A80" s="1388"/>
      <c r="B80" s="1394"/>
      <c r="D80" s="1367"/>
      <c r="E80" s="1389" t="s">
        <v>4528</v>
      </c>
    </row>
    <row r="81" spans="1:5" hidden="1">
      <c r="A81" s="1431"/>
      <c r="B81" s="1394"/>
      <c r="C81" s="1432"/>
      <c r="D81" s="1433"/>
      <c r="E81" s="1434" t="s">
        <v>4529</v>
      </c>
    </row>
    <row r="82" spans="1:5" hidden="1">
      <c r="A82" s="1388">
        <v>12</v>
      </c>
      <c r="B82" s="1394"/>
      <c r="C82" s="1404">
        <v>45041</v>
      </c>
      <c r="D82" s="1367" t="s">
        <v>4533</v>
      </c>
      <c r="E82" s="1389" t="s">
        <v>4530</v>
      </c>
    </row>
    <row r="83" spans="1:5" hidden="1">
      <c r="A83" s="1388"/>
      <c r="B83" s="1394"/>
      <c r="D83" s="1367"/>
      <c r="E83" s="1389" t="s">
        <v>4531</v>
      </c>
    </row>
    <row r="84" spans="1:5" hidden="1">
      <c r="A84" s="1388"/>
      <c r="B84" s="1394"/>
      <c r="D84" s="1367"/>
      <c r="E84" s="1389" t="s">
        <v>4532</v>
      </c>
    </row>
    <row r="85" spans="1:5" hidden="1">
      <c r="A85" s="1370"/>
      <c r="B85" s="1393"/>
      <c r="C85" s="1371"/>
      <c r="D85" s="1614"/>
      <c r="E85" s="1386"/>
    </row>
    <row r="86" spans="1:5" hidden="1">
      <c r="A86" s="1388">
        <v>13</v>
      </c>
      <c r="B86" s="1394">
        <v>1</v>
      </c>
      <c r="C86" s="1404">
        <v>45071</v>
      </c>
      <c r="D86" s="1367" t="s">
        <v>4694</v>
      </c>
      <c r="E86" s="1389" t="s">
        <v>4695</v>
      </c>
    </row>
    <row r="87" spans="1:5" hidden="1">
      <c r="A87" s="1388"/>
      <c r="B87" s="1394"/>
      <c r="D87" s="1367"/>
      <c r="E87" s="1389" t="s">
        <v>4696</v>
      </c>
    </row>
    <row r="88" spans="1:5" hidden="1">
      <c r="A88" s="1388"/>
      <c r="B88" s="1394"/>
      <c r="D88" s="1367"/>
      <c r="E88" s="1389" t="s">
        <v>4697</v>
      </c>
    </row>
    <row r="89" spans="1:5" hidden="1">
      <c r="A89" s="1388"/>
      <c r="B89" s="1394"/>
      <c r="D89" s="1367"/>
      <c r="E89" s="1389" t="s">
        <v>4698</v>
      </c>
    </row>
    <row r="90" spans="1:5" hidden="1">
      <c r="A90" s="1388"/>
      <c r="B90" s="1394"/>
      <c r="D90" s="1613"/>
      <c r="E90" s="1389" t="s">
        <v>4699</v>
      </c>
    </row>
    <row r="91" spans="1:5" hidden="1">
      <c r="A91" s="1388"/>
      <c r="B91" s="1394"/>
      <c r="D91" s="1613"/>
      <c r="E91" s="1389" t="s">
        <v>4700</v>
      </c>
    </row>
    <row r="92" spans="1:5" hidden="1">
      <c r="A92" s="1388"/>
      <c r="B92" s="1394"/>
      <c r="D92" s="1613"/>
      <c r="E92" s="1389" t="s">
        <v>4701</v>
      </c>
    </row>
    <row r="93" spans="1:5" hidden="1">
      <c r="A93" s="1370"/>
      <c r="B93" s="1393"/>
      <c r="C93" s="1371"/>
      <c r="D93" s="1368"/>
      <c r="E93" s="1386"/>
    </row>
    <row r="94" spans="1:5" hidden="1">
      <c r="A94" s="1622">
        <v>14</v>
      </c>
      <c r="B94" s="1392">
        <v>1</v>
      </c>
      <c r="C94" s="1626">
        <v>45075</v>
      </c>
      <c r="D94" s="1622" t="s">
        <v>4711</v>
      </c>
      <c r="E94" s="1627" t="s">
        <v>4712</v>
      </c>
    </row>
    <row r="95" spans="1:5" hidden="1">
      <c r="A95" s="1623"/>
      <c r="B95" s="1394"/>
      <c r="C95" s="1628"/>
      <c r="D95" s="1623"/>
      <c r="E95" s="1623" t="s">
        <v>4713</v>
      </c>
    </row>
    <row r="96" spans="1:5" hidden="1">
      <c r="A96" s="1623"/>
      <c r="B96" s="1394"/>
      <c r="C96" s="1628"/>
      <c r="D96" s="1623"/>
      <c r="E96" s="1623" t="s">
        <v>4714</v>
      </c>
    </row>
    <row r="97" spans="1:5" hidden="1">
      <c r="A97" s="1623"/>
      <c r="B97" s="1394"/>
      <c r="C97" s="1628"/>
      <c r="D97" s="1623"/>
      <c r="E97" s="1623" t="s">
        <v>4715</v>
      </c>
    </row>
    <row r="98" spans="1:5" hidden="1">
      <c r="A98" s="1623"/>
      <c r="B98" s="1394"/>
      <c r="C98" s="1628"/>
      <c r="D98" s="1623"/>
      <c r="E98" s="1623" t="s">
        <v>4716</v>
      </c>
    </row>
    <row r="99" spans="1:5" hidden="1">
      <c r="A99" s="1623"/>
      <c r="B99" s="1394"/>
      <c r="C99" s="1628"/>
      <c r="D99" s="1623"/>
      <c r="E99" s="1623" t="s">
        <v>4717</v>
      </c>
    </row>
    <row r="100" spans="1:5" hidden="1">
      <c r="A100" s="1624"/>
      <c r="B100" s="1391"/>
      <c r="C100" s="1391"/>
      <c r="D100" s="1624"/>
      <c r="E100" s="1624" t="s">
        <v>4718</v>
      </c>
    </row>
    <row r="101" spans="1:5" hidden="1">
      <c r="A101" s="1388">
        <v>15</v>
      </c>
      <c r="B101" s="1394">
        <v>2</v>
      </c>
      <c r="C101" s="1404">
        <v>45078</v>
      </c>
      <c r="D101" s="1625" t="s">
        <v>4425</v>
      </c>
      <c r="E101" s="1389" t="s">
        <v>4720</v>
      </c>
    </row>
    <row r="102" spans="1:5" hidden="1">
      <c r="A102" s="1388"/>
      <c r="B102" s="1394"/>
      <c r="D102" s="1625"/>
      <c r="E102" s="1630" t="s">
        <v>4721</v>
      </c>
    </row>
    <row r="103" spans="1:5" hidden="1">
      <c r="A103" s="1388"/>
      <c r="B103" s="1394"/>
      <c r="D103" s="1625"/>
      <c r="E103" s="1389" t="s">
        <v>4719</v>
      </c>
    </row>
    <row r="104" spans="1:5" hidden="1">
      <c r="A104" s="1388"/>
      <c r="B104" s="1394"/>
      <c r="D104" s="1625"/>
      <c r="E104" s="1389" t="s">
        <v>4725</v>
      </c>
    </row>
    <row r="105" spans="1:5" hidden="1">
      <c r="A105" s="1388"/>
      <c r="B105" s="1394"/>
      <c r="D105" s="1625"/>
      <c r="E105" s="1389" t="s">
        <v>4722</v>
      </c>
    </row>
    <row r="106" spans="1:5" hidden="1">
      <c r="A106" s="1388"/>
      <c r="B106" s="1394"/>
      <c r="D106" s="1625"/>
      <c r="E106" s="1389" t="s">
        <v>4723</v>
      </c>
    </row>
    <row r="107" spans="1:5" hidden="1">
      <c r="A107" s="1388"/>
      <c r="B107" s="1394"/>
      <c r="D107" s="1625"/>
      <c r="E107" s="1389" t="s">
        <v>4724</v>
      </c>
    </row>
    <row r="108" spans="1:5" hidden="1">
      <c r="A108" s="1388"/>
      <c r="B108" s="1394"/>
      <c r="D108" s="1629"/>
      <c r="E108" s="1389" t="s">
        <v>4726</v>
      </c>
    </row>
    <row r="109" spans="1:5" hidden="1">
      <c r="A109" s="1388"/>
      <c r="B109" s="1394"/>
      <c r="D109" s="1629"/>
      <c r="E109" s="1389" t="s">
        <v>4727</v>
      </c>
    </row>
    <row r="110" spans="1:5" hidden="1">
      <c r="A110" s="1388"/>
      <c r="B110" s="1394"/>
      <c r="D110" s="1629"/>
      <c r="E110" s="1389" t="s">
        <v>4728</v>
      </c>
    </row>
    <row r="111" spans="1:5" hidden="1">
      <c r="A111" s="1370"/>
      <c r="B111" s="1393"/>
      <c r="C111" s="1371"/>
      <c r="D111" s="1632"/>
      <c r="E111" s="1386"/>
    </row>
    <row r="112" spans="1:5" ht="27" hidden="1">
      <c r="A112" s="1384">
        <v>16</v>
      </c>
      <c r="B112" s="1392">
        <v>3</v>
      </c>
      <c r="C112" s="1387">
        <v>45089</v>
      </c>
      <c r="D112" s="1627" t="s">
        <v>4730</v>
      </c>
      <c r="E112" s="1635" t="s">
        <v>4729</v>
      </c>
    </row>
    <row r="113" spans="1:6" hidden="1">
      <c r="A113" s="1370"/>
      <c r="B113" s="1393"/>
      <c r="C113" s="1371"/>
      <c r="D113" s="1634"/>
      <c r="E113" s="1386"/>
    </row>
    <row r="114" spans="1:6" ht="40.5" hidden="1">
      <c r="A114" s="1388">
        <v>17</v>
      </c>
      <c r="B114" s="1394">
        <v>3</v>
      </c>
      <c r="C114" s="1404">
        <v>45110</v>
      </c>
      <c r="D114" s="1633" t="s">
        <v>4731</v>
      </c>
      <c r="E114" s="1416" t="s">
        <v>4732</v>
      </c>
    </row>
    <row r="115" spans="1:6" hidden="1">
      <c r="A115" s="1388"/>
      <c r="B115" s="1394"/>
      <c r="D115" s="1633"/>
      <c r="E115" s="1389" t="s">
        <v>4733</v>
      </c>
    </row>
    <row r="116" spans="1:6" hidden="1">
      <c r="A116" s="1370"/>
      <c r="B116" s="1393"/>
      <c r="C116" s="1371"/>
      <c r="D116" s="1634"/>
      <c r="E116" s="1386"/>
    </row>
    <row r="117" spans="1:6" hidden="1">
      <c r="A117" s="1388">
        <v>18</v>
      </c>
      <c r="B117" s="1394">
        <v>3</v>
      </c>
      <c r="C117" s="1404">
        <v>45113</v>
      </c>
      <c r="D117" s="1633" t="s">
        <v>4734</v>
      </c>
      <c r="E117" s="1389" t="s">
        <v>4735</v>
      </c>
    </row>
    <row r="118" spans="1:6" hidden="1">
      <c r="A118" s="1388"/>
      <c r="B118" s="1394"/>
      <c r="D118" s="1633"/>
      <c r="E118" s="1389" t="s">
        <v>4736</v>
      </c>
    </row>
    <row r="119" spans="1:6" hidden="1">
      <c r="A119" s="1388"/>
      <c r="B119" s="1394"/>
      <c r="D119" s="1633"/>
      <c r="E119" s="1389"/>
    </row>
    <row r="120" spans="1:6" ht="27" hidden="1">
      <c r="A120" s="1384">
        <v>19</v>
      </c>
      <c r="B120" s="1392">
        <v>4</v>
      </c>
      <c r="C120" s="1387">
        <v>45114</v>
      </c>
      <c r="D120" s="1637" t="s">
        <v>4737</v>
      </c>
      <c r="E120" s="1627" t="s">
        <v>4738</v>
      </c>
    </row>
    <row r="121" spans="1:6" hidden="1">
      <c r="A121" s="1388"/>
      <c r="B121" s="1394"/>
      <c r="C121" s="1636"/>
      <c r="D121" s="1638"/>
      <c r="E121" s="1630" t="s">
        <v>4739</v>
      </c>
    </row>
    <row r="122" spans="1:6" ht="14.25" hidden="1" thickBot="1">
      <c r="A122" s="1639"/>
      <c r="B122" s="1640"/>
      <c r="C122" s="1641"/>
      <c r="D122" s="1642"/>
      <c r="E122" s="1643"/>
      <c r="F122" s="1707"/>
    </row>
    <row r="123" spans="1:6" hidden="1"/>
    <row r="124" spans="1:6" hidden="1"/>
    <row r="125" spans="1:6" hidden="1"/>
    <row r="126" spans="1:6" hidden="1"/>
    <row r="127" spans="1:6" hidden="1"/>
    <row r="128" spans="1: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spans="1:5" hidden="1"/>
    <row r="146" spans="1:5" hidden="1"/>
    <row r="147" spans="1:5" hidden="1"/>
    <row r="148" spans="1:5" hidden="1"/>
    <row r="149" spans="1:5" hidden="1"/>
    <row r="150" spans="1:5" hidden="1"/>
    <row r="151" spans="1:5" hidden="1"/>
    <row r="152" spans="1:5" ht="14.25" hidden="1" thickBot="1"/>
    <row r="153" spans="1:5">
      <c r="A153" s="1827" t="s">
        <v>4740</v>
      </c>
      <c r="B153" s="1828"/>
      <c r="C153" s="1828"/>
      <c r="D153" s="1828"/>
      <c r="E153" s="1829"/>
    </row>
    <row r="154" spans="1:5" ht="14.25" thickBot="1">
      <c r="A154" s="1830"/>
      <c r="B154" s="1831"/>
      <c r="C154" s="1831"/>
      <c r="D154" s="1831"/>
      <c r="E154" s="1832"/>
    </row>
    <row r="155" spans="1:5" ht="30" customHeight="1" thickBot="1">
      <c r="A155" s="1763" t="s">
        <v>4741</v>
      </c>
      <c r="B155" s="1764" t="s">
        <v>5391</v>
      </c>
      <c r="C155" s="1765" t="s">
        <v>4742</v>
      </c>
      <c r="D155" s="1765" t="s">
        <v>4743</v>
      </c>
      <c r="E155" s="1766" t="s">
        <v>4744</v>
      </c>
    </row>
    <row r="156" spans="1:5" ht="30" customHeight="1">
      <c r="A156" s="1760">
        <v>1</v>
      </c>
      <c r="B156" s="1761">
        <v>45156</v>
      </c>
      <c r="C156" s="1760" t="s">
        <v>4745</v>
      </c>
      <c r="D156" s="1760" t="s">
        <v>4746</v>
      </c>
      <c r="E156" s="1762" t="s">
        <v>4747</v>
      </c>
    </row>
    <row r="157" spans="1:5" ht="30" customHeight="1">
      <c r="A157" s="1645">
        <v>2</v>
      </c>
      <c r="B157" s="1646">
        <v>45156</v>
      </c>
      <c r="C157" s="1645" t="s">
        <v>4748</v>
      </c>
      <c r="D157" s="1645" t="s">
        <v>4749</v>
      </c>
      <c r="E157" s="1644" t="s">
        <v>4750</v>
      </c>
    </row>
    <row r="158" spans="1:5" ht="30" customHeight="1">
      <c r="A158" s="1645">
        <v>3</v>
      </c>
      <c r="B158" s="1646">
        <v>45162</v>
      </c>
      <c r="C158" s="1645" t="s">
        <v>4753</v>
      </c>
      <c r="D158" s="1645" t="s">
        <v>4754</v>
      </c>
      <c r="E158" s="1644" t="s">
        <v>4755</v>
      </c>
    </row>
    <row r="159" spans="1:5" ht="30" customHeight="1">
      <c r="A159" s="1645">
        <v>4</v>
      </c>
      <c r="B159" s="1646">
        <v>45162</v>
      </c>
      <c r="C159" s="1645" t="s">
        <v>4761</v>
      </c>
      <c r="D159" s="1645" t="s">
        <v>4762</v>
      </c>
      <c r="E159" s="1644"/>
    </row>
    <row r="160" spans="1:5" ht="30" customHeight="1">
      <c r="A160" s="1645">
        <v>5</v>
      </c>
      <c r="B160" s="1645"/>
      <c r="C160" s="1645" t="s">
        <v>4756</v>
      </c>
      <c r="D160" s="1645"/>
      <c r="E160" s="1647" t="s">
        <v>4757</v>
      </c>
    </row>
    <row r="161" spans="1:8" ht="54">
      <c r="A161" s="1645">
        <v>6</v>
      </c>
      <c r="B161" s="1646">
        <v>45170</v>
      </c>
      <c r="C161" s="1645" t="s">
        <v>4758</v>
      </c>
      <c r="D161" s="1645" t="s">
        <v>4760</v>
      </c>
      <c r="E161" s="1647" t="s">
        <v>4759</v>
      </c>
    </row>
    <row r="162" spans="1:8" ht="30" customHeight="1">
      <c r="A162" s="1645">
        <v>7</v>
      </c>
      <c r="B162" s="1646">
        <v>45202</v>
      </c>
      <c r="C162" s="1645" t="s">
        <v>4763</v>
      </c>
      <c r="D162" s="1648" t="s">
        <v>4764</v>
      </c>
      <c r="E162" s="1647" t="s">
        <v>4765</v>
      </c>
    </row>
    <row r="163" spans="1:8" ht="40.5">
      <c r="A163" s="1645">
        <v>8</v>
      </c>
      <c r="B163" s="1646">
        <v>45205</v>
      </c>
      <c r="C163" s="1645" t="s">
        <v>4766</v>
      </c>
      <c r="D163" s="1645" t="s">
        <v>4767</v>
      </c>
      <c r="E163" s="1647" t="s">
        <v>4768</v>
      </c>
    </row>
    <row r="164" spans="1:8" ht="18" customHeight="1" thickBot="1">
      <c r="A164" t="s">
        <v>5937</v>
      </c>
    </row>
    <row r="165" spans="1:8" ht="30" customHeight="1" thickBot="1">
      <c r="A165" s="1763" t="s">
        <v>4741</v>
      </c>
      <c r="B165" s="1764" t="s">
        <v>5391</v>
      </c>
      <c r="C165" s="1765" t="s">
        <v>4742</v>
      </c>
      <c r="D165" s="1765" t="s">
        <v>4743</v>
      </c>
      <c r="E165" s="1766" t="s">
        <v>4744</v>
      </c>
    </row>
    <row r="166" spans="1:8" ht="27">
      <c r="A166" s="1726">
        <v>20</v>
      </c>
      <c r="B166" s="1727">
        <v>45252</v>
      </c>
      <c r="C166" s="1727" t="s">
        <v>4802</v>
      </c>
      <c r="D166" s="1726"/>
      <c r="E166" s="1767" t="s">
        <v>4799</v>
      </c>
      <c r="F166" s="1707"/>
    </row>
    <row r="167" spans="1:8">
      <c r="A167" s="1700"/>
      <c r="B167" s="1705" t="s">
        <v>4801</v>
      </c>
      <c r="C167" s="1705"/>
      <c r="D167" s="1700"/>
      <c r="E167" s="1700"/>
    </row>
    <row r="168" spans="1:8" ht="54">
      <c r="A168" s="1704">
        <v>21</v>
      </c>
      <c r="B168" s="1703">
        <v>45259</v>
      </c>
      <c r="C168" s="1703" t="s">
        <v>4803</v>
      </c>
      <c r="D168" s="1704" t="s">
        <v>4804</v>
      </c>
      <c r="E168" s="1701" t="s">
        <v>4787</v>
      </c>
      <c r="F168" s="1706"/>
      <c r="G168" s="1707"/>
      <c r="H168" s="1707"/>
    </row>
    <row r="169" spans="1:8" ht="13.5" customHeight="1">
      <c r="A169" s="1700"/>
      <c r="B169" s="1705" t="s">
        <v>4801</v>
      </c>
      <c r="C169" s="1705"/>
      <c r="D169" s="1700"/>
      <c r="E169" s="1702"/>
    </row>
    <row r="170" spans="1:8" ht="23.45" customHeight="1">
      <c r="A170" s="1704">
        <v>22</v>
      </c>
      <c r="B170" s="1703">
        <v>45252</v>
      </c>
      <c r="C170" s="1703" t="s">
        <v>4805</v>
      </c>
      <c r="D170" s="1697" t="s">
        <v>4806</v>
      </c>
      <c r="E170" s="1697" t="s">
        <v>4788</v>
      </c>
    </row>
    <row r="171" spans="1:8" ht="13.5" customHeight="1">
      <c r="A171" s="1726"/>
      <c r="B171" s="1723" t="s">
        <v>4801</v>
      </c>
      <c r="C171" s="1705"/>
      <c r="D171" s="1700" t="s">
        <v>5378</v>
      </c>
      <c r="E171" s="1700" t="s">
        <v>5379</v>
      </c>
    </row>
    <row r="172" spans="1:8">
      <c r="A172" s="1726"/>
      <c r="B172" s="1723"/>
      <c r="C172" s="1703" t="s">
        <v>5365</v>
      </c>
      <c r="D172" s="1704"/>
      <c r="E172" s="1697" t="s">
        <v>5375</v>
      </c>
    </row>
    <row r="173" spans="1:8">
      <c r="A173" s="1698"/>
      <c r="B173" s="1705"/>
      <c r="C173" s="1705" t="s">
        <v>5376</v>
      </c>
      <c r="D173" s="1698"/>
      <c r="E173" s="1712" t="s">
        <v>5377</v>
      </c>
    </row>
    <row r="174" spans="1:8" ht="67.5">
      <c r="A174" s="1704">
        <v>23</v>
      </c>
      <c r="B174" s="1703">
        <v>45259</v>
      </c>
      <c r="C174" s="1703" t="s">
        <v>4807</v>
      </c>
      <c r="D174" s="1704" t="s">
        <v>4808</v>
      </c>
      <c r="E174" s="1697" t="s">
        <v>5394</v>
      </c>
      <c r="F174" s="1706"/>
    </row>
    <row r="175" spans="1:8" ht="13.5" customHeight="1">
      <c r="A175" s="1700"/>
      <c r="B175" s="1705" t="s">
        <v>4801</v>
      </c>
      <c r="C175" s="1705"/>
      <c r="D175" s="1700"/>
      <c r="E175" s="1700"/>
    </row>
    <row r="176" spans="1:8">
      <c r="A176" s="1704">
        <v>24</v>
      </c>
      <c r="B176" s="1703">
        <v>45252</v>
      </c>
      <c r="C176" s="1703" t="s">
        <v>4809</v>
      </c>
      <c r="D176" s="1704" t="s">
        <v>4810</v>
      </c>
      <c r="E176" s="1697" t="s">
        <v>4789</v>
      </c>
      <c r="F176" s="1706"/>
    </row>
    <row r="177" spans="1:9" ht="13.5" customHeight="1">
      <c r="A177" s="1700"/>
      <c r="B177" s="1705" t="s">
        <v>4801</v>
      </c>
      <c r="C177" s="1705"/>
      <c r="D177" s="1700"/>
      <c r="E177" s="1700"/>
    </row>
    <row r="178" spans="1:9" ht="40.5">
      <c r="A178" s="1704">
        <v>25</v>
      </c>
      <c r="B178" s="1703">
        <v>45259</v>
      </c>
      <c r="C178" s="1703" t="s">
        <v>4811</v>
      </c>
      <c r="D178" s="1704" t="s">
        <v>4812</v>
      </c>
      <c r="E178" s="1697" t="s">
        <v>4790</v>
      </c>
      <c r="F178" s="1706"/>
    </row>
    <row r="179" spans="1:9" ht="13.5" customHeight="1">
      <c r="A179" s="1700"/>
      <c r="B179" s="1705" t="s">
        <v>4801</v>
      </c>
      <c r="C179" s="1705"/>
      <c r="D179" s="1700"/>
      <c r="E179" s="1700"/>
    </row>
    <row r="180" spans="1:9" ht="27">
      <c r="A180" s="1704">
        <v>26</v>
      </c>
      <c r="B180" s="1703">
        <v>45252</v>
      </c>
      <c r="C180" s="1703"/>
      <c r="D180" s="1704"/>
      <c r="E180" s="1697" t="s">
        <v>4791</v>
      </c>
      <c r="F180" s="1706"/>
      <c r="G180" s="1707"/>
      <c r="H180" s="1707"/>
      <c r="I180" s="1707"/>
    </row>
    <row r="181" spans="1:9" ht="13.5" customHeight="1">
      <c r="A181" s="1700"/>
      <c r="B181" s="1705" t="s">
        <v>4801</v>
      </c>
      <c r="C181" s="1705"/>
      <c r="D181" s="1700"/>
      <c r="E181" s="1700"/>
    </row>
    <row r="182" spans="1:9" ht="27">
      <c r="A182" s="1704">
        <v>27</v>
      </c>
      <c r="B182" s="1703">
        <v>45252</v>
      </c>
      <c r="C182" s="1703" t="s">
        <v>4815</v>
      </c>
      <c r="D182" s="1700" t="s">
        <v>4813</v>
      </c>
      <c r="E182" s="1697" t="s">
        <v>4792</v>
      </c>
    </row>
    <row r="183" spans="1:9" ht="13.5" customHeight="1">
      <c r="A183" s="1700"/>
      <c r="B183" s="1705" t="s">
        <v>4801</v>
      </c>
      <c r="C183" s="1705" t="s">
        <v>4816</v>
      </c>
      <c r="D183" s="1700" t="s">
        <v>4814</v>
      </c>
      <c r="E183" s="1700" t="s">
        <v>4817</v>
      </c>
    </row>
    <row r="184" spans="1:9" ht="27">
      <c r="A184" s="1704">
        <v>28</v>
      </c>
      <c r="B184" s="1703">
        <v>45252</v>
      </c>
      <c r="C184" s="1703" t="s">
        <v>4809</v>
      </c>
      <c r="D184" s="1704" t="s">
        <v>4818</v>
      </c>
      <c r="E184" s="1697" t="s">
        <v>4793</v>
      </c>
      <c r="F184" s="1706"/>
    </row>
    <row r="185" spans="1:9" ht="13.5" customHeight="1">
      <c r="A185" s="1700"/>
      <c r="B185" s="1705" t="s">
        <v>4801</v>
      </c>
      <c r="C185" s="1705"/>
      <c r="D185" s="1700"/>
      <c r="E185" s="1700"/>
    </row>
    <row r="186" spans="1:9" ht="40.5">
      <c r="A186" s="1704">
        <v>29</v>
      </c>
      <c r="B186" s="1703">
        <v>45259</v>
      </c>
      <c r="C186" s="1703" t="s">
        <v>4819</v>
      </c>
      <c r="D186" s="1697" t="s">
        <v>4820</v>
      </c>
      <c r="E186" s="1697" t="s">
        <v>4794</v>
      </c>
      <c r="F186" s="1706"/>
    </row>
    <row r="187" spans="1:9" ht="13.5" customHeight="1">
      <c r="A187" s="1700"/>
      <c r="B187" s="1705" t="s">
        <v>4801</v>
      </c>
      <c r="C187" s="1705"/>
      <c r="D187" s="1700"/>
      <c r="E187" s="1700"/>
    </row>
    <row r="188" spans="1:9" ht="27">
      <c r="A188" s="1704">
        <v>30</v>
      </c>
      <c r="B188" s="1703">
        <v>45252</v>
      </c>
      <c r="C188" s="1703" t="s">
        <v>4821</v>
      </c>
      <c r="D188" s="1697" t="s">
        <v>4822</v>
      </c>
      <c r="E188" s="1697" t="s">
        <v>4795</v>
      </c>
    </row>
    <row r="189" spans="1:9" ht="13.5" customHeight="1">
      <c r="A189" s="1700"/>
      <c r="B189" s="1705" t="s">
        <v>4801</v>
      </c>
      <c r="C189" s="1705"/>
      <c r="D189" s="1700"/>
      <c r="E189" s="1700"/>
    </row>
    <row r="190" spans="1:9" ht="108">
      <c r="A190" s="1704">
        <v>31</v>
      </c>
      <c r="B190" s="1703">
        <v>45259</v>
      </c>
      <c r="C190" s="1703" t="s">
        <v>4823</v>
      </c>
      <c r="D190" s="1704" t="s">
        <v>4824</v>
      </c>
      <c r="E190" s="1697" t="s">
        <v>4796</v>
      </c>
      <c r="F190" s="1706"/>
    </row>
    <row r="191" spans="1:9" ht="13.5" customHeight="1">
      <c r="A191" s="1700"/>
      <c r="B191" s="1705" t="s">
        <v>4801</v>
      </c>
      <c r="C191" s="1699"/>
      <c r="D191" s="1698"/>
      <c r="E191" s="1698"/>
    </row>
    <row r="192" spans="1:9" ht="54">
      <c r="A192" s="1704">
        <v>32</v>
      </c>
      <c r="B192" s="1703">
        <v>45252</v>
      </c>
      <c r="C192" s="1703" t="s">
        <v>4809</v>
      </c>
      <c r="D192" s="1704" t="s">
        <v>4825</v>
      </c>
      <c r="E192" s="1697" t="s">
        <v>4797</v>
      </c>
      <c r="F192" s="1706"/>
    </row>
    <row r="193" spans="1:6" ht="13.5" customHeight="1">
      <c r="A193" s="1698"/>
      <c r="B193" s="1705" t="s">
        <v>4801</v>
      </c>
      <c r="C193" s="1699"/>
      <c r="D193" s="1698"/>
      <c r="E193" s="1698"/>
    </row>
    <row r="194" spans="1:6" ht="54">
      <c r="A194" s="1704">
        <v>33</v>
      </c>
      <c r="B194" s="1703">
        <v>45252</v>
      </c>
      <c r="C194" s="1703" t="s">
        <v>4826</v>
      </c>
      <c r="D194" s="1697" t="s">
        <v>4827</v>
      </c>
      <c r="E194" s="1697" t="s">
        <v>4798</v>
      </c>
      <c r="F194" s="1706"/>
    </row>
    <row r="195" spans="1:6" ht="13.5" customHeight="1">
      <c r="A195" s="1700"/>
      <c r="B195" s="1705" t="s">
        <v>4801</v>
      </c>
      <c r="C195" s="1715" t="s">
        <v>4828</v>
      </c>
      <c r="D195" s="1716" t="s">
        <v>4829</v>
      </c>
      <c r="E195" s="1698"/>
    </row>
    <row r="196" spans="1:6" ht="40.5">
      <c r="A196" s="1704">
        <v>34</v>
      </c>
      <c r="B196" s="1703">
        <v>45259</v>
      </c>
      <c r="C196" s="1703" t="s">
        <v>4809</v>
      </c>
      <c r="D196" s="1704" t="s">
        <v>4830</v>
      </c>
      <c r="E196" s="1697" t="s">
        <v>4800</v>
      </c>
      <c r="F196" s="1706"/>
    </row>
    <row r="197" spans="1:6" ht="13.5" customHeight="1">
      <c r="A197" s="1700"/>
      <c r="B197" s="1705" t="s">
        <v>4801</v>
      </c>
      <c r="C197" s="1699"/>
      <c r="D197" s="1698"/>
      <c r="E197" s="1698"/>
      <c r="F197" s="1707"/>
    </row>
    <row r="198" spans="1:6">
      <c r="A198" s="1704">
        <v>35</v>
      </c>
      <c r="B198" s="1703">
        <v>45266</v>
      </c>
      <c r="C198" s="1703" t="s">
        <v>4809</v>
      </c>
      <c r="D198" s="1697" t="s">
        <v>4832</v>
      </c>
      <c r="E198" s="1708" t="s">
        <v>4833</v>
      </c>
    </row>
    <row r="199" spans="1:6" ht="108">
      <c r="A199" s="1700"/>
      <c r="B199" s="1705" t="s">
        <v>4831</v>
      </c>
      <c r="C199" s="1699"/>
      <c r="D199" s="1698"/>
      <c r="E199" s="1712" t="s">
        <v>4834</v>
      </c>
    </row>
    <row r="200" spans="1:6" ht="27">
      <c r="A200" s="1704">
        <v>36</v>
      </c>
      <c r="B200" s="1703">
        <v>45266</v>
      </c>
      <c r="C200" s="1703" t="s">
        <v>4826</v>
      </c>
      <c r="D200" s="1697" t="s">
        <v>4835</v>
      </c>
      <c r="E200" s="1627" t="s">
        <v>4838</v>
      </c>
    </row>
    <row r="201" spans="1:6">
      <c r="A201" s="1700"/>
      <c r="B201" s="1705" t="s">
        <v>4831</v>
      </c>
      <c r="C201" s="1699"/>
      <c r="D201" s="1714" t="s">
        <v>4839</v>
      </c>
      <c r="E201" s="1712" t="s">
        <v>5363</v>
      </c>
    </row>
    <row r="202" spans="1:6">
      <c r="A202" s="1708">
        <v>37</v>
      </c>
      <c r="B202" s="1703">
        <v>45266</v>
      </c>
      <c r="C202" s="1703" t="s">
        <v>4826</v>
      </c>
      <c r="D202" s="1627" t="s">
        <v>4841</v>
      </c>
      <c r="E202" s="1720" t="s">
        <v>5362</v>
      </c>
    </row>
    <row r="203" spans="1:6">
      <c r="A203" s="1710"/>
      <c r="B203" s="1705" t="s">
        <v>4831</v>
      </c>
      <c r="C203" s="1391"/>
      <c r="D203" s="1710"/>
      <c r="E203" s="1710"/>
    </row>
    <row r="204" spans="1:6" ht="76.900000000000006" customHeight="1">
      <c r="A204" s="1708">
        <v>38</v>
      </c>
      <c r="B204" s="1703">
        <v>45266</v>
      </c>
      <c r="C204" s="1711" t="s">
        <v>4843</v>
      </c>
      <c r="D204" s="53" t="s">
        <v>4842</v>
      </c>
      <c r="E204" s="1721" t="s">
        <v>5361</v>
      </c>
    </row>
    <row r="205" spans="1:6" ht="67.150000000000006" customHeight="1">
      <c r="A205" s="1709"/>
      <c r="B205" s="1723" t="s">
        <v>4831</v>
      </c>
      <c r="C205" s="1711" t="s">
        <v>4843</v>
      </c>
      <c r="D205" s="53" t="s">
        <v>5358</v>
      </c>
      <c r="E205" s="1721" t="s">
        <v>5357</v>
      </c>
    </row>
    <row r="206" spans="1:6" ht="65.45" customHeight="1">
      <c r="A206" s="1709"/>
      <c r="B206" s="1628"/>
      <c r="C206" s="1711" t="s">
        <v>4843</v>
      </c>
      <c r="D206" s="53" t="s">
        <v>5359</v>
      </c>
      <c r="E206" s="1722" t="s">
        <v>5360</v>
      </c>
    </row>
    <row r="207" spans="1:6" ht="71.25" customHeight="1">
      <c r="A207" s="1710"/>
      <c r="B207" s="1391"/>
      <c r="C207" s="1711" t="s">
        <v>5368</v>
      </c>
      <c r="D207" s="53" t="s">
        <v>5367</v>
      </c>
      <c r="E207" s="1735" t="s">
        <v>5395</v>
      </c>
    </row>
    <row r="208" spans="1:6" ht="27">
      <c r="A208" s="1704">
        <v>39</v>
      </c>
      <c r="B208" s="1703">
        <v>45266</v>
      </c>
      <c r="C208" s="1703" t="s">
        <v>4809</v>
      </c>
      <c r="D208" s="1704" t="s">
        <v>4825</v>
      </c>
      <c r="E208" s="1697" t="s">
        <v>5369</v>
      </c>
    </row>
    <row r="209" spans="1:5" ht="32.450000000000003" customHeight="1">
      <c r="A209" s="1698"/>
      <c r="B209" s="1705" t="s">
        <v>4831</v>
      </c>
      <c r="C209" s="1699"/>
      <c r="D209" s="1698"/>
      <c r="E209" s="1712" t="s">
        <v>5364</v>
      </c>
    </row>
    <row r="210" spans="1:5">
      <c r="A210" s="1704">
        <v>40</v>
      </c>
      <c r="B210" s="1703">
        <v>45266</v>
      </c>
      <c r="C210" s="1703" t="s">
        <v>5365</v>
      </c>
      <c r="D210" s="1704"/>
      <c r="E210" s="1697" t="s">
        <v>5374</v>
      </c>
    </row>
    <row r="211" spans="1:5">
      <c r="A211" s="1698"/>
      <c r="B211" s="1705" t="s">
        <v>4831</v>
      </c>
      <c r="C211" s="1705" t="s">
        <v>5366</v>
      </c>
      <c r="D211" s="1698"/>
      <c r="E211" s="1712"/>
    </row>
    <row r="212" spans="1:5" ht="27">
      <c r="A212" s="1704">
        <v>41</v>
      </c>
      <c r="B212" s="1703">
        <v>45266</v>
      </c>
      <c r="C212" s="1711" t="s">
        <v>5370</v>
      </c>
      <c r="D212" s="1704" t="s">
        <v>5373</v>
      </c>
      <c r="E212" s="1697" t="s">
        <v>5393</v>
      </c>
    </row>
    <row r="213" spans="1:5">
      <c r="A213" s="1698"/>
      <c r="B213" s="1705" t="s">
        <v>4831</v>
      </c>
      <c r="C213" s="1711" t="s">
        <v>5371</v>
      </c>
      <c r="D213" s="1724" t="s">
        <v>5372</v>
      </c>
      <c r="E213" s="1733"/>
    </row>
    <row r="214" spans="1:5">
      <c r="A214" s="1704">
        <v>42</v>
      </c>
      <c r="B214" s="1703">
        <v>45266</v>
      </c>
      <c r="C214" s="1728" t="s">
        <v>5380</v>
      </c>
      <c r="D214" s="1724"/>
      <c r="E214" s="1725" t="s">
        <v>5381</v>
      </c>
    </row>
    <row r="215" spans="1:5">
      <c r="A215" s="1726"/>
      <c r="B215" s="1727"/>
      <c r="C215" s="1729" t="s">
        <v>5376</v>
      </c>
      <c r="D215" s="1724" t="s">
        <v>5382</v>
      </c>
      <c r="E215" s="1725" t="s">
        <v>5384</v>
      </c>
    </row>
    <row r="216" spans="1:5" ht="27">
      <c r="A216" s="1700"/>
      <c r="B216" s="1705" t="s">
        <v>4831</v>
      </c>
      <c r="C216" s="1729" t="s">
        <v>5376</v>
      </c>
      <c r="D216" s="1724" t="s">
        <v>5383</v>
      </c>
      <c r="E216" s="1730" t="s">
        <v>5388</v>
      </c>
    </row>
    <row r="217" spans="1:5">
      <c r="A217" s="1704">
        <v>43</v>
      </c>
      <c r="B217" s="1703">
        <v>45266</v>
      </c>
      <c r="C217" s="1711" t="s">
        <v>5371</v>
      </c>
      <c r="D217" s="1704" t="s">
        <v>5385</v>
      </c>
      <c r="E217" s="1697" t="s">
        <v>5386</v>
      </c>
    </row>
    <row r="218" spans="1:5" ht="27">
      <c r="A218" s="1698"/>
      <c r="B218" s="1705" t="s">
        <v>4831</v>
      </c>
      <c r="C218" s="1390" t="s">
        <v>5371</v>
      </c>
      <c r="D218" s="1704" t="s">
        <v>5387</v>
      </c>
      <c r="E218" s="1697" t="s">
        <v>5389</v>
      </c>
    </row>
    <row r="219" spans="1:5" ht="135">
      <c r="A219" s="1704">
        <v>44</v>
      </c>
      <c r="B219" s="1742">
        <v>45306</v>
      </c>
      <c r="C219" s="1744" t="s">
        <v>5663</v>
      </c>
      <c r="D219" s="1745" t="s">
        <v>5664</v>
      </c>
      <c r="E219" s="1741" t="s">
        <v>5665</v>
      </c>
    </row>
    <row r="220" spans="1:5">
      <c r="A220" s="1698"/>
      <c r="B220" s="1743" t="s">
        <v>5662</v>
      </c>
      <c r="C220" s="1391"/>
      <c r="D220" s="1746"/>
      <c r="E220" s="1733"/>
    </row>
    <row r="221" spans="1:5">
      <c r="A221" s="1704">
        <v>45</v>
      </c>
      <c r="B221" s="1742">
        <v>45306</v>
      </c>
      <c r="C221" s="1744" t="s">
        <v>5666</v>
      </c>
      <c r="D221" s="1745" t="s">
        <v>5667</v>
      </c>
      <c r="E221" s="1741" t="s">
        <v>5673</v>
      </c>
    </row>
    <row r="222" spans="1:5">
      <c r="A222" s="1698"/>
      <c r="B222" s="1743" t="s">
        <v>5662</v>
      </c>
      <c r="C222" s="1391"/>
      <c r="D222" s="1746"/>
      <c r="E222" s="1733"/>
    </row>
    <row r="223" spans="1:5" ht="27">
      <c r="A223" s="1704">
        <v>46</v>
      </c>
      <c r="B223" s="1742">
        <v>45306</v>
      </c>
      <c r="C223" s="1744" t="s">
        <v>5666</v>
      </c>
      <c r="D223" s="1745" t="s">
        <v>5668</v>
      </c>
      <c r="E223" s="1741" t="s">
        <v>5672</v>
      </c>
    </row>
    <row r="224" spans="1:5">
      <c r="A224" s="1698"/>
      <c r="B224" s="1743" t="s">
        <v>5662</v>
      </c>
      <c r="C224" s="1391"/>
      <c r="D224" s="1746"/>
      <c r="E224" s="1733"/>
    </row>
    <row r="225" spans="1:6">
      <c r="A225" s="1704">
        <v>47</v>
      </c>
      <c r="B225" s="1742">
        <v>45306</v>
      </c>
      <c r="C225" s="1744" t="s">
        <v>5666</v>
      </c>
      <c r="D225" s="1745" t="s">
        <v>5670</v>
      </c>
      <c r="E225" s="1741" t="s">
        <v>5671</v>
      </c>
    </row>
    <row r="226" spans="1:6">
      <c r="A226" s="1698"/>
      <c r="B226" s="1743" t="s">
        <v>5662</v>
      </c>
      <c r="C226" s="1391"/>
      <c r="D226" s="1746"/>
      <c r="E226" s="1733"/>
    </row>
    <row r="227" spans="1:6">
      <c r="A227" s="1704">
        <v>48</v>
      </c>
      <c r="B227" s="1742">
        <v>45306</v>
      </c>
      <c r="C227" s="1744" t="s">
        <v>5669</v>
      </c>
      <c r="D227" s="1745"/>
      <c r="E227" s="1741" t="s">
        <v>5674</v>
      </c>
    </row>
    <row r="228" spans="1:6">
      <c r="A228" s="1698"/>
      <c r="B228" s="1743" t="s">
        <v>5662</v>
      </c>
      <c r="C228" s="1391"/>
      <c r="D228" s="1746"/>
      <c r="E228" s="1733"/>
    </row>
    <row r="229" spans="1:6">
      <c r="A229" s="1704">
        <v>49</v>
      </c>
      <c r="B229" s="1742">
        <v>45306</v>
      </c>
      <c r="C229" s="1744" t="s">
        <v>5368</v>
      </c>
      <c r="D229" s="1745"/>
      <c r="E229" s="1741" t="s">
        <v>5674</v>
      </c>
    </row>
    <row r="230" spans="1:6">
      <c r="A230" s="1698"/>
      <c r="B230" s="1743" t="s">
        <v>5662</v>
      </c>
      <c r="C230" s="1391"/>
      <c r="D230" s="1746"/>
      <c r="E230" s="1733"/>
    </row>
    <row r="231" spans="1:6" ht="40.5">
      <c r="A231" s="1704">
        <v>50</v>
      </c>
      <c r="B231" s="1742">
        <v>45307</v>
      </c>
      <c r="C231" s="1744" t="s">
        <v>5663</v>
      </c>
      <c r="D231" s="1745" t="s">
        <v>5676</v>
      </c>
      <c r="E231" s="1741" t="s">
        <v>5682</v>
      </c>
    </row>
    <row r="232" spans="1:6">
      <c r="A232" s="1698"/>
      <c r="B232" s="1743" t="s">
        <v>5675</v>
      </c>
      <c r="C232" s="1391"/>
      <c r="D232" s="1746"/>
      <c r="E232" s="1733"/>
    </row>
    <row r="233" spans="1:6" ht="40.5">
      <c r="A233" s="1704">
        <v>51</v>
      </c>
      <c r="B233" s="1742">
        <v>45307</v>
      </c>
      <c r="C233" s="1744" t="s">
        <v>5677</v>
      </c>
      <c r="D233" s="1745" t="s">
        <v>5678</v>
      </c>
      <c r="E233" s="1741" t="s">
        <v>5679</v>
      </c>
    </row>
    <row r="234" spans="1:6">
      <c r="A234" s="1698"/>
      <c r="B234" s="1743" t="s">
        <v>5675</v>
      </c>
      <c r="C234" s="1391"/>
      <c r="D234" s="1746"/>
      <c r="E234" s="1733"/>
    </row>
    <row r="235" spans="1:6" ht="54">
      <c r="A235" s="1704">
        <v>52</v>
      </c>
      <c r="B235" s="1742">
        <v>45307</v>
      </c>
      <c r="C235" s="1744" t="s">
        <v>5677</v>
      </c>
      <c r="D235" s="1745" t="s">
        <v>5680</v>
      </c>
      <c r="E235" s="1741" t="s">
        <v>5681</v>
      </c>
    </row>
    <row r="236" spans="1:6">
      <c r="A236" s="1698"/>
      <c r="B236" s="1743" t="s">
        <v>5675</v>
      </c>
      <c r="C236" s="1391"/>
      <c r="D236" s="1746"/>
      <c r="E236" s="1733"/>
    </row>
    <row r="237" spans="1:6" ht="54">
      <c r="A237" s="1704">
        <v>53</v>
      </c>
      <c r="B237" s="1742">
        <v>45307</v>
      </c>
      <c r="C237" s="1744" t="s">
        <v>5683</v>
      </c>
      <c r="D237" s="1745" t="s">
        <v>5684</v>
      </c>
      <c r="E237" s="1741" t="s">
        <v>5685</v>
      </c>
    </row>
    <row r="238" spans="1:6">
      <c r="A238" s="1698"/>
      <c r="B238" s="1743" t="s">
        <v>5675</v>
      </c>
      <c r="C238" s="1391"/>
      <c r="D238" s="1746"/>
      <c r="E238" s="1733"/>
    </row>
    <row r="239" spans="1:6" ht="67.5">
      <c r="A239" s="1704">
        <v>54</v>
      </c>
      <c r="B239" s="1742">
        <v>45308</v>
      </c>
      <c r="C239" s="1744" t="s">
        <v>5686</v>
      </c>
      <c r="D239" s="1745" t="s">
        <v>5687</v>
      </c>
      <c r="E239" s="1741" t="s">
        <v>5692</v>
      </c>
      <c r="F239" s="1707"/>
    </row>
    <row r="240" spans="1:6">
      <c r="A240" s="1698"/>
      <c r="B240" s="1743" t="s">
        <v>5689</v>
      </c>
      <c r="C240" s="1391"/>
      <c r="D240" s="1746"/>
      <c r="E240" s="1733"/>
      <c r="F240" s="1707"/>
    </row>
    <row r="241" spans="1:6">
      <c r="A241" s="1704">
        <v>55</v>
      </c>
      <c r="B241" s="1742">
        <v>45308</v>
      </c>
      <c r="C241" s="1744" t="s">
        <v>5683</v>
      </c>
      <c r="D241" s="1745"/>
      <c r="E241" s="1741" t="s">
        <v>5688</v>
      </c>
      <c r="F241" s="1707"/>
    </row>
    <row r="242" spans="1:6">
      <c r="A242" s="1698"/>
      <c r="B242" s="1743" t="s">
        <v>5689</v>
      </c>
      <c r="C242" s="1391"/>
      <c r="D242" s="1746"/>
      <c r="E242" s="1733"/>
      <c r="F242" s="1707"/>
    </row>
    <row r="243" spans="1:6">
      <c r="A243" s="1704">
        <v>56</v>
      </c>
      <c r="B243" s="1742">
        <v>45308</v>
      </c>
      <c r="C243" s="1744" t="s">
        <v>5368</v>
      </c>
      <c r="D243" s="1745"/>
      <c r="E243" s="1741" t="s">
        <v>5690</v>
      </c>
    </row>
    <row r="244" spans="1:6">
      <c r="A244" s="1698"/>
      <c r="B244" s="1743" t="s">
        <v>5689</v>
      </c>
      <c r="C244" s="1391"/>
      <c r="D244" s="1746"/>
      <c r="E244" s="1733" t="s">
        <v>5691</v>
      </c>
    </row>
    <row r="245" spans="1:6">
      <c r="A245" s="1704">
        <v>57</v>
      </c>
      <c r="B245" s="1742">
        <v>45308</v>
      </c>
      <c r="C245" s="1744" t="s">
        <v>5669</v>
      </c>
      <c r="D245" s="1745"/>
      <c r="E245" s="1701" t="s">
        <v>5697</v>
      </c>
    </row>
    <row r="246" spans="1:6">
      <c r="A246" s="1698"/>
      <c r="B246" s="1743" t="s">
        <v>5689</v>
      </c>
      <c r="C246" s="1391"/>
      <c r="D246" s="1746"/>
      <c r="E246" s="1747" t="s">
        <v>5696</v>
      </c>
    </row>
    <row r="247" spans="1:6">
      <c r="A247" s="1704">
        <v>58</v>
      </c>
      <c r="B247" s="1742">
        <v>45308</v>
      </c>
      <c r="C247" s="1744" t="s">
        <v>4758</v>
      </c>
      <c r="D247" s="1745"/>
      <c r="E247" s="1701" t="s">
        <v>5697</v>
      </c>
    </row>
    <row r="248" spans="1:6">
      <c r="A248" s="1698"/>
      <c r="B248" s="1743" t="s">
        <v>5689</v>
      </c>
      <c r="C248" s="1391"/>
      <c r="D248" s="1746"/>
      <c r="E248" s="1747" t="s">
        <v>5696</v>
      </c>
    </row>
    <row r="249" spans="1:6" ht="12.75" customHeight="1">
      <c r="A249" s="1704">
        <v>59</v>
      </c>
      <c r="B249" s="1742">
        <v>45316</v>
      </c>
      <c r="C249" s="1744" t="s">
        <v>2664</v>
      </c>
      <c r="D249" s="1745"/>
      <c r="E249" s="1701" t="s">
        <v>5783</v>
      </c>
    </row>
    <row r="250" spans="1:6" ht="12.75" customHeight="1">
      <c r="A250" s="1698"/>
      <c r="B250" s="1743" t="s">
        <v>5782</v>
      </c>
      <c r="C250" s="1391"/>
      <c r="D250" s="1746"/>
      <c r="E250" s="1747"/>
    </row>
    <row r="251" spans="1:6" ht="12.75" customHeight="1">
      <c r="A251" s="1704">
        <v>60</v>
      </c>
      <c r="B251" s="1742">
        <v>45316</v>
      </c>
      <c r="C251" s="1744" t="s">
        <v>2665</v>
      </c>
      <c r="D251" s="1745"/>
      <c r="E251" s="1701" t="s">
        <v>5783</v>
      </c>
    </row>
    <row r="252" spans="1:6" ht="12.75" customHeight="1">
      <c r="A252" s="1698"/>
      <c r="B252" s="1743" t="s">
        <v>5782</v>
      </c>
      <c r="C252" s="1391"/>
      <c r="D252" s="1746"/>
      <c r="E252" s="1747"/>
    </row>
    <row r="253" spans="1:6" ht="27">
      <c r="A253" s="1704">
        <v>61</v>
      </c>
      <c r="B253" s="1742">
        <v>45317</v>
      </c>
      <c r="C253" s="1750" t="s">
        <v>5785</v>
      </c>
      <c r="D253" s="1745" t="s">
        <v>5787</v>
      </c>
      <c r="E253" s="1701" t="s">
        <v>5786</v>
      </c>
    </row>
    <row r="254" spans="1:6" ht="40.5">
      <c r="A254" s="1700"/>
      <c r="B254" s="1743" t="s">
        <v>5784</v>
      </c>
      <c r="C254" s="1705"/>
      <c r="D254" s="1746"/>
      <c r="E254" s="1712" t="s">
        <v>5790</v>
      </c>
    </row>
    <row r="255" spans="1:6" ht="27">
      <c r="A255" s="1704">
        <v>62</v>
      </c>
      <c r="B255" s="1742">
        <v>45317</v>
      </c>
      <c r="C255" s="1750" t="s">
        <v>5785</v>
      </c>
      <c r="D255" s="1745" t="s">
        <v>5788</v>
      </c>
      <c r="E255" s="1701" t="s">
        <v>5789</v>
      </c>
    </row>
    <row r="256" spans="1:6" ht="40.5">
      <c r="A256" s="1700"/>
      <c r="B256" s="1743" t="s">
        <v>5784</v>
      </c>
      <c r="C256" s="1705"/>
      <c r="D256" s="1746"/>
      <c r="E256" s="1712" t="s">
        <v>5791</v>
      </c>
    </row>
    <row r="257" spans="1:5" ht="27">
      <c r="A257" s="1751">
        <v>63</v>
      </c>
      <c r="B257" s="1752">
        <v>45317</v>
      </c>
      <c r="C257" s="1753" t="s">
        <v>5792</v>
      </c>
      <c r="D257" s="1754" t="s">
        <v>5793</v>
      </c>
      <c r="E257" s="1701" t="s">
        <v>5786</v>
      </c>
    </row>
    <row r="258" spans="1:5" ht="40.5">
      <c r="A258" s="1702"/>
      <c r="B258" s="1755" t="s">
        <v>5784</v>
      </c>
      <c r="C258" s="1756"/>
      <c r="D258" s="1757"/>
      <c r="E258" s="1758" t="s">
        <v>5796</v>
      </c>
    </row>
    <row r="259" spans="1:5" ht="27">
      <c r="A259" s="1751">
        <v>64</v>
      </c>
      <c r="B259" s="1752">
        <v>45317</v>
      </c>
      <c r="C259" s="1753" t="s">
        <v>5792</v>
      </c>
      <c r="D259" s="1754" t="s">
        <v>5794</v>
      </c>
      <c r="E259" s="1701" t="s">
        <v>5789</v>
      </c>
    </row>
    <row r="260" spans="1:5" ht="40.5">
      <c r="A260" s="1702"/>
      <c r="B260" s="1755" t="s">
        <v>5784</v>
      </c>
      <c r="C260" s="1756"/>
      <c r="D260" s="1757"/>
      <c r="E260" s="1758" t="s">
        <v>5795</v>
      </c>
    </row>
    <row r="261" spans="1:5">
      <c r="A261" s="1704">
        <v>65</v>
      </c>
      <c r="B261" s="1742">
        <v>45317</v>
      </c>
      <c r="C261" s="1750" t="s">
        <v>5785</v>
      </c>
      <c r="D261" s="1704" t="s">
        <v>5797</v>
      </c>
      <c r="E261" s="1704" t="s">
        <v>5799</v>
      </c>
    </row>
    <row r="262" spans="1:5" ht="40.5">
      <c r="A262" s="1700"/>
      <c r="B262" s="1743" t="s">
        <v>5784</v>
      </c>
      <c r="C262" s="1705"/>
      <c r="D262" s="1700"/>
      <c r="E262" s="1712" t="s">
        <v>5800</v>
      </c>
    </row>
    <row r="263" spans="1:5">
      <c r="A263" s="1704">
        <v>66</v>
      </c>
      <c r="B263" s="1742">
        <v>45317</v>
      </c>
      <c r="C263" s="1750" t="s">
        <v>5792</v>
      </c>
      <c r="D263" s="1704" t="s">
        <v>5798</v>
      </c>
      <c r="E263" s="1704" t="s">
        <v>5799</v>
      </c>
    </row>
    <row r="264" spans="1:5" ht="40.5">
      <c r="A264" s="1700"/>
      <c r="B264" s="1743" t="s">
        <v>5784</v>
      </c>
      <c r="C264" s="1705"/>
      <c r="D264" s="1700"/>
      <c r="E264" s="1712" t="s">
        <v>5801</v>
      </c>
    </row>
    <row r="265" spans="1:5">
      <c r="A265" s="1704">
        <v>67</v>
      </c>
      <c r="B265" s="1742">
        <v>45317</v>
      </c>
      <c r="C265" s="1750" t="s">
        <v>4348</v>
      </c>
      <c r="D265" s="1704" t="s">
        <v>5802</v>
      </c>
      <c r="E265" s="1704" t="s">
        <v>5825</v>
      </c>
    </row>
    <row r="266" spans="1:5" ht="40.5">
      <c r="A266" s="1700"/>
      <c r="B266" s="1743" t="s">
        <v>5784</v>
      </c>
      <c r="C266" s="1705"/>
      <c r="D266" s="1700"/>
      <c r="E266" s="1712" t="s">
        <v>5803</v>
      </c>
    </row>
    <row r="267" spans="1:5">
      <c r="A267" s="1704">
        <v>68</v>
      </c>
      <c r="B267" s="1742">
        <v>45317</v>
      </c>
      <c r="C267" s="1750" t="s">
        <v>5785</v>
      </c>
      <c r="D267" s="1704" t="s">
        <v>5804</v>
      </c>
      <c r="E267" s="1704" t="s">
        <v>5805</v>
      </c>
    </row>
    <row r="268" spans="1:5" ht="40.5">
      <c r="A268" s="1700"/>
      <c r="B268" s="1743" t="s">
        <v>5784</v>
      </c>
      <c r="C268" s="1705"/>
      <c r="D268" s="1700"/>
      <c r="E268" s="1712" t="s">
        <v>5806</v>
      </c>
    </row>
    <row r="269" spans="1:5">
      <c r="A269" s="1704">
        <v>69</v>
      </c>
      <c r="B269" s="1742">
        <v>45317</v>
      </c>
      <c r="C269" s="1750" t="s">
        <v>5792</v>
      </c>
      <c r="D269" s="1704" t="s">
        <v>5810</v>
      </c>
      <c r="E269" s="1704" t="s">
        <v>5805</v>
      </c>
    </row>
    <row r="270" spans="1:5" ht="40.5">
      <c r="A270" s="1700"/>
      <c r="B270" s="1743" t="s">
        <v>5784</v>
      </c>
      <c r="C270" s="1705"/>
      <c r="D270" s="1700"/>
      <c r="E270" s="1712" t="s">
        <v>5816</v>
      </c>
    </row>
    <row r="271" spans="1:5">
      <c r="A271" s="1704">
        <v>70</v>
      </c>
      <c r="B271" s="1742">
        <v>45317</v>
      </c>
      <c r="C271" s="1750" t="s">
        <v>5807</v>
      </c>
      <c r="D271" s="1704" t="s">
        <v>5808</v>
      </c>
      <c r="E271" s="1704" t="s">
        <v>5805</v>
      </c>
    </row>
    <row r="272" spans="1:5" ht="40.5">
      <c r="A272" s="1700"/>
      <c r="B272" s="1743" t="s">
        <v>5784</v>
      </c>
      <c r="C272" s="1705"/>
      <c r="D272" s="1700"/>
      <c r="E272" s="1712" t="s">
        <v>5809</v>
      </c>
    </row>
    <row r="273" spans="1:5">
      <c r="A273" s="1704">
        <v>71</v>
      </c>
      <c r="B273" s="1742">
        <v>45317</v>
      </c>
      <c r="C273" s="1750" t="s">
        <v>5785</v>
      </c>
      <c r="D273" s="1704" t="s">
        <v>5811</v>
      </c>
      <c r="E273" s="1704" t="s">
        <v>5812</v>
      </c>
    </row>
    <row r="274" spans="1:5" ht="40.5">
      <c r="A274" s="1700"/>
      <c r="B274" s="1743" t="s">
        <v>5784</v>
      </c>
      <c r="C274" s="1705"/>
      <c r="D274" s="1700"/>
      <c r="E274" s="1712" t="s">
        <v>5813</v>
      </c>
    </row>
    <row r="275" spans="1:5">
      <c r="A275" s="1704">
        <v>72</v>
      </c>
      <c r="B275" s="1742">
        <v>45317</v>
      </c>
      <c r="C275" s="1750" t="s">
        <v>5792</v>
      </c>
      <c r="D275" s="1704" t="s">
        <v>5817</v>
      </c>
      <c r="E275" s="1704" t="s">
        <v>5812</v>
      </c>
    </row>
    <row r="276" spans="1:5" ht="40.5">
      <c r="A276" s="1700"/>
      <c r="B276" s="1743" t="s">
        <v>5784</v>
      </c>
      <c r="C276" s="1705"/>
      <c r="D276" s="1700"/>
      <c r="E276" s="1712" t="s">
        <v>5813</v>
      </c>
    </row>
    <row r="277" spans="1:5">
      <c r="A277" s="1704">
        <v>73</v>
      </c>
      <c r="B277" s="1742">
        <v>45317</v>
      </c>
      <c r="C277" s="1750" t="s">
        <v>5807</v>
      </c>
      <c r="D277" s="1704" t="s">
        <v>5814</v>
      </c>
      <c r="E277" s="1704" t="s">
        <v>5812</v>
      </c>
    </row>
    <row r="278" spans="1:5" ht="40.5">
      <c r="A278" s="1700"/>
      <c r="B278" s="1743" t="s">
        <v>5784</v>
      </c>
      <c r="C278" s="1705"/>
      <c r="D278" s="1700"/>
      <c r="E278" s="1712" t="s">
        <v>5815</v>
      </c>
    </row>
    <row r="279" spans="1:5">
      <c r="A279" s="1704">
        <v>74</v>
      </c>
      <c r="B279" s="1742">
        <v>45317</v>
      </c>
      <c r="C279" s="1750" t="s">
        <v>5663</v>
      </c>
      <c r="D279" s="1704" t="s">
        <v>5814</v>
      </c>
      <c r="E279" s="1704" t="s">
        <v>5812</v>
      </c>
    </row>
    <row r="280" spans="1:5" ht="40.5">
      <c r="A280" s="1700"/>
      <c r="B280" s="1743" t="s">
        <v>5784</v>
      </c>
      <c r="C280" s="1705"/>
      <c r="D280" s="1700"/>
      <c r="E280" s="1712" t="s">
        <v>5815</v>
      </c>
    </row>
    <row r="281" spans="1:5">
      <c r="A281" s="1704">
        <v>75</v>
      </c>
      <c r="B281" s="1742">
        <v>45317</v>
      </c>
      <c r="C281" s="1750" t="s">
        <v>5818</v>
      </c>
      <c r="D281" s="1704" t="s">
        <v>5819</v>
      </c>
      <c r="E281" s="1704" t="s">
        <v>5820</v>
      </c>
    </row>
    <row r="282" spans="1:5" ht="40.5">
      <c r="A282" s="1700"/>
      <c r="B282" s="1743" t="s">
        <v>5784</v>
      </c>
      <c r="C282" s="1705"/>
      <c r="D282" s="1700"/>
      <c r="E282" s="1712" t="s">
        <v>5821</v>
      </c>
    </row>
    <row r="283" spans="1:5">
      <c r="A283" s="1704">
        <v>76</v>
      </c>
      <c r="B283" s="1742">
        <v>45317</v>
      </c>
      <c r="C283" s="1750" t="s">
        <v>5823</v>
      </c>
      <c r="D283" s="1704" t="s">
        <v>5824</v>
      </c>
      <c r="E283" s="1704" t="s">
        <v>5822</v>
      </c>
    </row>
    <row r="284" spans="1:5" ht="40.5">
      <c r="A284" s="1700"/>
      <c r="B284" s="1743" t="s">
        <v>5784</v>
      </c>
      <c r="C284" s="1705"/>
      <c r="D284" s="1700"/>
      <c r="E284" s="1712" t="s">
        <v>5826</v>
      </c>
    </row>
    <row r="285" spans="1:5">
      <c r="A285" s="1704">
        <v>77</v>
      </c>
      <c r="B285" s="1742">
        <v>45317</v>
      </c>
      <c r="C285" s="1750" t="s">
        <v>5827</v>
      </c>
      <c r="D285" s="1704" t="s">
        <v>5828</v>
      </c>
      <c r="E285" s="1704" t="s">
        <v>5822</v>
      </c>
    </row>
    <row r="286" spans="1:5" ht="40.5">
      <c r="A286" s="1700"/>
      <c r="B286" s="1743" t="s">
        <v>5784</v>
      </c>
      <c r="C286" s="1705"/>
      <c r="D286" s="1700"/>
      <c r="E286" s="1712" t="s">
        <v>5829</v>
      </c>
    </row>
    <row r="287" spans="1:5">
      <c r="A287" s="1751">
        <v>78</v>
      </c>
      <c r="B287" s="1752">
        <v>45317</v>
      </c>
      <c r="C287" s="1753" t="s">
        <v>5823</v>
      </c>
      <c r="D287" s="1751" t="s">
        <v>5830</v>
      </c>
      <c r="E287" s="1751" t="s">
        <v>5836</v>
      </c>
    </row>
    <row r="288" spans="1:5" ht="27">
      <c r="A288" s="1702"/>
      <c r="B288" s="1755" t="s">
        <v>5784</v>
      </c>
      <c r="C288" s="1756"/>
      <c r="D288" s="1702"/>
      <c r="E288" s="1758" t="s">
        <v>5833</v>
      </c>
    </row>
    <row r="289" spans="1:5">
      <c r="A289" s="1751">
        <v>79</v>
      </c>
      <c r="B289" s="1752">
        <v>45317</v>
      </c>
      <c r="C289" s="1753" t="s">
        <v>5827</v>
      </c>
      <c r="D289" s="1751" t="s">
        <v>5834</v>
      </c>
      <c r="E289" s="1751" t="s">
        <v>5837</v>
      </c>
    </row>
    <row r="290" spans="1:5" ht="27">
      <c r="A290" s="1702"/>
      <c r="B290" s="1755" t="s">
        <v>5784</v>
      </c>
      <c r="C290" s="1756"/>
      <c r="D290" s="1702"/>
      <c r="E290" s="1758" t="s">
        <v>5835</v>
      </c>
    </row>
    <row r="291" spans="1:5">
      <c r="A291" s="1751">
        <v>80</v>
      </c>
      <c r="B291" s="1752">
        <v>45317</v>
      </c>
      <c r="C291" s="1753" t="s">
        <v>5823</v>
      </c>
      <c r="D291" s="1751" t="s">
        <v>5838</v>
      </c>
      <c r="E291" s="1751" t="s">
        <v>5840</v>
      </c>
    </row>
    <row r="292" spans="1:5" ht="40.5">
      <c r="A292" s="1702"/>
      <c r="B292" s="1755" t="s">
        <v>5784</v>
      </c>
      <c r="C292" s="1756"/>
      <c r="D292" s="1702"/>
      <c r="E292" s="1758" t="s">
        <v>5842</v>
      </c>
    </row>
    <row r="293" spans="1:5">
      <c r="A293" s="1751">
        <v>81</v>
      </c>
      <c r="B293" s="1752">
        <v>45317</v>
      </c>
      <c r="C293" s="1753" t="s">
        <v>5827</v>
      </c>
      <c r="D293" s="1751" t="s">
        <v>5839</v>
      </c>
      <c r="E293" s="1751" t="s">
        <v>5841</v>
      </c>
    </row>
    <row r="294" spans="1:5" ht="40.5">
      <c r="A294" s="1702"/>
      <c r="B294" s="1755" t="s">
        <v>5784</v>
      </c>
      <c r="C294" s="1756"/>
      <c r="D294" s="1702"/>
      <c r="E294" s="1758" t="s">
        <v>5843</v>
      </c>
    </row>
    <row r="295" spans="1:5">
      <c r="A295" s="1751">
        <v>82</v>
      </c>
      <c r="B295" s="1752">
        <v>45317</v>
      </c>
      <c r="C295" s="1753" t="s">
        <v>4258</v>
      </c>
      <c r="D295" s="1751" t="s">
        <v>5846</v>
      </c>
      <c r="E295" s="1751" t="s">
        <v>5847</v>
      </c>
    </row>
    <row r="296" spans="1:5">
      <c r="A296" s="1702"/>
      <c r="B296" s="1755" t="s">
        <v>5784</v>
      </c>
      <c r="C296" s="1756"/>
      <c r="D296" s="1702"/>
      <c r="E296" s="1758" t="s">
        <v>5848</v>
      </c>
    </row>
    <row r="297" spans="1:5">
      <c r="A297" s="1751">
        <v>83</v>
      </c>
      <c r="B297" s="1752">
        <v>45317</v>
      </c>
      <c r="C297" s="1753" t="s">
        <v>4258</v>
      </c>
      <c r="D297" s="1751" t="s">
        <v>5849</v>
      </c>
      <c r="E297" s="1751" t="s">
        <v>5850</v>
      </c>
    </row>
    <row r="298" spans="1:5" ht="40.5">
      <c r="A298" s="1702"/>
      <c r="B298" s="1755" t="s">
        <v>5784</v>
      </c>
      <c r="C298" s="1756"/>
      <c r="D298" s="1702"/>
      <c r="E298" s="1758" t="s">
        <v>5856</v>
      </c>
    </row>
    <row r="299" spans="1:5">
      <c r="A299" s="1751">
        <v>84</v>
      </c>
      <c r="B299" s="1752">
        <v>45317</v>
      </c>
      <c r="C299" s="1753" t="s">
        <v>4258</v>
      </c>
      <c r="D299" s="1751" t="s">
        <v>5851</v>
      </c>
      <c r="E299" s="1751" t="s">
        <v>5850</v>
      </c>
    </row>
    <row r="300" spans="1:5" ht="40.5">
      <c r="A300" s="1702"/>
      <c r="B300" s="1755" t="s">
        <v>5784</v>
      </c>
      <c r="C300" s="1756"/>
      <c r="D300" s="1702"/>
      <c r="E300" s="1758" t="s">
        <v>5857</v>
      </c>
    </row>
    <row r="301" spans="1:5">
      <c r="A301" s="1751">
        <v>85</v>
      </c>
      <c r="B301" s="1752">
        <v>45317</v>
      </c>
      <c r="C301" s="1753" t="s">
        <v>4258</v>
      </c>
      <c r="D301" s="1751" t="s">
        <v>5852</v>
      </c>
      <c r="E301" s="1751" t="s">
        <v>5850</v>
      </c>
    </row>
    <row r="302" spans="1:5" ht="40.5">
      <c r="A302" s="1702"/>
      <c r="B302" s="1755" t="s">
        <v>5784</v>
      </c>
      <c r="C302" s="1756"/>
      <c r="D302" s="1702"/>
      <c r="E302" s="1758" t="s">
        <v>5858</v>
      </c>
    </row>
    <row r="303" spans="1:5">
      <c r="A303" s="1751">
        <v>86</v>
      </c>
      <c r="B303" s="1752">
        <v>45317</v>
      </c>
      <c r="C303" s="1753" t="s">
        <v>4258</v>
      </c>
      <c r="D303" s="1751" t="s">
        <v>5853</v>
      </c>
      <c r="E303" s="1751" t="s">
        <v>5850</v>
      </c>
    </row>
    <row r="304" spans="1:5" ht="40.5">
      <c r="A304" s="1702"/>
      <c r="B304" s="1755" t="s">
        <v>5784</v>
      </c>
      <c r="C304" s="1756"/>
      <c r="D304" s="1702"/>
      <c r="E304" s="1758" t="s">
        <v>5859</v>
      </c>
    </row>
    <row r="305" spans="1:5">
      <c r="A305" s="1751">
        <v>87</v>
      </c>
      <c r="B305" s="1752">
        <v>45317</v>
      </c>
      <c r="C305" s="1753" t="s">
        <v>4258</v>
      </c>
      <c r="D305" s="1751" t="s">
        <v>5854</v>
      </c>
      <c r="E305" s="1751" t="s">
        <v>5850</v>
      </c>
    </row>
    <row r="306" spans="1:5" ht="40.5">
      <c r="A306" s="1702"/>
      <c r="B306" s="1755" t="s">
        <v>5784</v>
      </c>
      <c r="C306" s="1756"/>
      <c r="D306" s="1702"/>
      <c r="E306" s="1758" t="s">
        <v>5860</v>
      </c>
    </row>
    <row r="307" spans="1:5">
      <c r="A307" s="1751">
        <v>88</v>
      </c>
      <c r="B307" s="1752">
        <v>45317</v>
      </c>
      <c r="C307" s="1753" t="s">
        <v>4258</v>
      </c>
      <c r="D307" s="1751" t="s">
        <v>5855</v>
      </c>
      <c r="E307" s="1751" t="s">
        <v>5850</v>
      </c>
    </row>
    <row r="308" spans="1:5" ht="40.5">
      <c r="A308" s="1702"/>
      <c r="B308" s="1755" t="s">
        <v>5784</v>
      </c>
      <c r="C308" s="1756"/>
      <c r="D308" s="1702"/>
      <c r="E308" s="1758" t="s">
        <v>5861</v>
      </c>
    </row>
    <row r="309" spans="1:5">
      <c r="A309" s="1751">
        <v>89</v>
      </c>
      <c r="B309" s="1752">
        <v>45317</v>
      </c>
      <c r="C309" s="1753" t="s">
        <v>2675</v>
      </c>
      <c r="D309" s="1751" t="s">
        <v>4808</v>
      </c>
      <c r="E309" s="1751" t="s">
        <v>5867</v>
      </c>
    </row>
    <row r="310" spans="1:5">
      <c r="A310" s="1702"/>
      <c r="B310" s="1755" t="s">
        <v>5784</v>
      </c>
      <c r="C310" s="1756"/>
      <c r="D310" s="1702"/>
      <c r="E310" s="1758"/>
    </row>
    <row r="311" spans="1:5">
      <c r="A311" s="1751">
        <v>90</v>
      </c>
      <c r="B311" s="1752">
        <v>45319</v>
      </c>
      <c r="C311" s="1753" t="s">
        <v>4348</v>
      </c>
      <c r="D311" s="1751" t="s">
        <v>5869</v>
      </c>
      <c r="E311" s="1751" t="s">
        <v>5870</v>
      </c>
    </row>
    <row r="312" spans="1:5" ht="175.5">
      <c r="A312" s="1702"/>
      <c r="B312" s="1755" t="s">
        <v>5868</v>
      </c>
      <c r="C312" s="1756"/>
      <c r="D312" s="1702"/>
      <c r="E312" s="1758" t="s">
        <v>5871</v>
      </c>
    </row>
    <row r="313" spans="1:5">
      <c r="A313" s="1751">
        <v>91</v>
      </c>
      <c r="B313" s="1752">
        <v>45319</v>
      </c>
      <c r="C313" s="1753" t="s">
        <v>4348</v>
      </c>
      <c r="D313" s="1751" t="s">
        <v>5873</v>
      </c>
      <c r="E313" s="1751" t="s">
        <v>5874</v>
      </c>
    </row>
    <row r="314" spans="1:5">
      <c r="A314" s="1702"/>
      <c r="B314" s="1755" t="s">
        <v>5868</v>
      </c>
      <c r="C314" s="1756"/>
      <c r="D314" s="1702"/>
      <c r="E314" s="1758"/>
    </row>
    <row r="315" spans="1:5">
      <c r="A315" s="1751">
        <v>92</v>
      </c>
      <c r="B315" s="1752">
        <v>45319</v>
      </c>
      <c r="C315" s="1753" t="s">
        <v>5875</v>
      </c>
      <c r="D315" s="1751" t="s">
        <v>5876</v>
      </c>
      <c r="E315" s="1751" t="s">
        <v>5877</v>
      </c>
    </row>
    <row r="316" spans="1:5">
      <c r="A316" s="1702"/>
      <c r="B316" s="1755" t="s">
        <v>5868</v>
      </c>
      <c r="C316" s="1756"/>
      <c r="D316" s="1702"/>
      <c r="E316" s="1758" t="s">
        <v>5879</v>
      </c>
    </row>
    <row r="317" spans="1:5">
      <c r="A317" s="1751">
        <v>93</v>
      </c>
      <c r="B317" s="1752">
        <v>45319</v>
      </c>
      <c r="C317" s="1753" t="s">
        <v>5878</v>
      </c>
      <c r="D317" s="1751" t="s">
        <v>5876</v>
      </c>
      <c r="E317" s="1751" t="s">
        <v>5877</v>
      </c>
    </row>
    <row r="318" spans="1:5">
      <c r="A318" s="1702"/>
      <c r="B318" s="1755" t="s">
        <v>5868</v>
      </c>
      <c r="C318" s="1756"/>
      <c r="D318" s="1702"/>
      <c r="E318" s="1758" t="s">
        <v>5880</v>
      </c>
    </row>
    <row r="319" spans="1:5" ht="54">
      <c r="A319" s="1751">
        <v>94</v>
      </c>
      <c r="B319" s="1752">
        <v>45319</v>
      </c>
      <c r="C319" s="1753" t="s">
        <v>4258</v>
      </c>
      <c r="D319" s="1701" t="s">
        <v>5881</v>
      </c>
      <c r="E319" s="1701" t="s">
        <v>5909</v>
      </c>
    </row>
    <row r="320" spans="1:5">
      <c r="A320" s="1702"/>
      <c r="B320" s="1755" t="s">
        <v>5868</v>
      </c>
      <c r="C320" s="1756"/>
      <c r="D320" s="1702"/>
      <c r="E320" s="1758"/>
    </row>
    <row r="321" spans="1:5">
      <c r="A321" s="1751">
        <v>95</v>
      </c>
      <c r="B321" s="1752">
        <v>45319</v>
      </c>
      <c r="C321" s="1753" t="s">
        <v>4766</v>
      </c>
      <c r="D321" s="1701" t="s">
        <v>5882</v>
      </c>
      <c r="E321" s="1701" t="s">
        <v>5883</v>
      </c>
    </row>
    <row r="322" spans="1:5">
      <c r="A322" s="1702"/>
      <c r="B322" s="1755" t="s">
        <v>5868</v>
      </c>
      <c r="C322" s="1756"/>
      <c r="D322" s="1702"/>
      <c r="E322" s="1758"/>
    </row>
    <row r="323" spans="1:5">
      <c r="A323" s="1751">
        <v>96</v>
      </c>
      <c r="B323" s="1752">
        <v>45319</v>
      </c>
      <c r="C323" s="1753" t="s">
        <v>5368</v>
      </c>
      <c r="D323" s="1701" t="s">
        <v>5884</v>
      </c>
      <c r="E323" s="1701" t="s">
        <v>5883</v>
      </c>
    </row>
    <row r="324" spans="1:5">
      <c r="A324" s="1702"/>
      <c r="B324" s="1755" t="s">
        <v>5868</v>
      </c>
      <c r="C324" s="1756"/>
      <c r="D324" s="1702"/>
      <c r="E324" s="1758"/>
    </row>
    <row r="325" spans="1:5">
      <c r="A325" s="1751">
        <v>97</v>
      </c>
      <c r="B325" s="1752">
        <v>45319</v>
      </c>
      <c r="C325" s="1753" t="s">
        <v>5669</v>
      </c>
      <c r="D325" s="1701" t="s">
        <v>5885</v>
      </c>
      <c r="E325" s="1701" t="s">
        <v>5883</v>
      </c>
    </row>
    <row r="326" spans="1:5">
      <c r="A326" s="1702"/>
      <c r="B326" s="1755" t="s">
        <v>5868</v>
      </c>
      <c r="C326" s="1756"/>
      <c r="D326" s="1702"/>
      <c r="E326" s="1758"/>
    </row>
    <row r="327" spans="1:5">
      <c r="A327" s="1751">
        <v>98</v>
      </c>
      <c r="B327" s="1752">
        <v>45319</v>
      </c>
      <c r="C327" s="1753" t="s">
        <v>4758</v>
      </c>
      <c r="D327" s="1701" t="s">
        <v>5885</v>
      </c>
      <c r="E327" s="1701" t="s">
        <v>5883</v>
      </c>
    </row>
    <row r="328" spans="1:5">
      <c r="A328" s="1702"/>
      <c r="B328" s="1755" t="s">
        <v>5868</v>
      </c>
      <c r="C328" s="1756"/>
      <c r="D328" s="1702"/>
      <c r="E328" s="1758"/>
    </row>
    <row r="329" spans="1:5">
      <c r="A329" s="1751">
        <v>99</v>
      </c>
      <c r="B329" s="1752">
        <v>45319</v>
      </c>
      <c r="C329" s="1753" t="s">
        <v>5875</v>
      </c>
      <c r="D329" s="1701" t="s">
        <v>5886</v>
      </c>
      <c r="E329" s="1701" t="s">
        <v>5887</v>
      </c>
    </row>
    <row r="330" spans="1:5" ht="40.5">
      <c r="A330" s="1702"/>
      <c r="B330" s="1755" t="s">
        <v>5868</v>
      </c>
      <c r="C330" s="1756"/>
      <c r="D330" s="1702"/>
      <c r="E330" s="1758" t="s">
        <v>5888</v>
      </c>
    </row>
    <row r="331" spans="1:5">
      <c r="A331" s="1751">
        <v>100</v>
      </c>
      <c r="B331" s="1752">
        <v>45319</v>
      </c>
      <c r="C331" s="1753" t="s">
        <v>5872</v>
      </c>
      <c r="D331" s="1701" t="s">
        <v>5889</v>
      </c>
      <c r="E331" s="1701" t="s">
        <v>5890</v>
      </c>
    </row>
    <row r="332" spans="1:5">
      <c r="A332" s="1702"/>
      <c r="B332" s="1755" t="s">
        <v>5868</v>
      </c>
      <c r="C332" s="1756"/>
      <c r="D332" s="1702"/>
      <c r="E332" s="1758" t="s">
        <v>5891</v>
      </c>
    </row>
    <row r="333" spans="1:5">
      <c r="A333" s="1751">
        <v>101</v>
      </c>
      <c r="B333" s="1752">
        <v>45319</v>
      </c>
      <c r="C333" s="1753" t="s">
        <v>5892</v>
      </c>
      <c r="D333" s="1701" t="s">
        <v>5893</v>
      </c>
      <c r="E333" s="1741" t="s">
        <v>5674</v>
      </c>
    </row>
    <row r="334" spans="1:5">
      <c r="A334" s="1702"/>
      <c r="B334" s="1755" t="s">
        <v>5868</v>
      </c>
      <c r="C334" s="1756"/>
      <c r="D334" s="1702"/>
      <c r="E334" s="1758"/>
    </row>
    <row r="335" spans="1:5">
      <c r="A335" s="1751">
        <v>102</v>
      </c>
      <c r="B335" s="1752">
        <v>45319</v>
      </c>
      <c r="C335" s="1753" t="s">
        <v>5894</v>
      </c>
      <c r="D335" s="1701" t="s">
        <v>5895</v>
      </c>
      <c r="E335" s="1741" t="s">
        <v>5896</v>
      </c>
    </row>
    <row r="336" spans="1:5" ht="54">
      <c r="A336" s="1702"/>
      <c r="B336" s="1755" t="s">
        <v>5868</v>
      </c>
      <c r="C336" s="1756"/>
      <c r="D336" s="1702"/>
      <c r="E336" s="1758" t="s">
        <v>5898</v>
      </c>
    </row>
    <row r="337" spans="1:5">
      <c r="A337" s="1751">
        <v>103</v>
      </c>
      <c r="B337" s="1752">
        <v>45319</v>
      </c>
      <c r="C337" s="1753" t="s">
        <v>5894</v>
      </c>
      <c r="D337" s="1701" t="s">
        <v>5895</v>
      </c>
      <c r="E337" s="1741" t="s">
        <v>5897</v>
      </c>
    </row>
    <row r="338" spans="1:5" ht="54">
      <c r="A338" s="1702"/>
      <c r="B338" s="1755" t="s">
        <v>5868</v>
      </c>
      <c r="C338" s="1756"/>
      <c r="D338" s="1702"/>
      <c r="E338" s="1758" t="s">
        <v>5899</v>
      </c>
    </row>
    <row r="339" spans="1:5">
      <c r="A339" s="1751">
        <v>104</v>
      </c>
      <c r="B339" s="1752">
        <v>45319</v>
      </c>
      <c r="C339" s="1753" t="s">
        <v>5894</v>
      </c>
      <c r="D339" s="1704" t="s">
        <v>5900</v>
      </c>
      <c r="E339" s="1701" t="s">
        <v>5901</v>
      </c>
    </row>
    <row r="340" spans="1:5" ht="40.5">
      <c r="A340" s="1702"/>
      <c r="B340" s="1755" t="s">
        <v>5868</v>
      </c>
      <c r="C340" s="1756"/>
      <c r="D340" s="1700"/>
      <c r="E340" s="1712" t="s">
        <v>5902</v>
      </c>
    </row>
    <row r="341" spans="1:5">
      <c r="A341" s="1751">
        <v>105</v>
      </c>
      <c r="B341" s="1752">
        <v>45319</v>
      </c>
      <c r="C341" s="1753" t="s">
        <v>5894</v>
      </c>
      <c r="D341" s="1704" t="s">
        <v>5903</v>
      </c>
      <c r="E341" s="1701" t="s">
        <v>5904</v>
      </c>
    </row>
    <row r="342" spans="1:5" ht="40.5">
      <c r="A342" s="1702"/>
      <c r="B342" s="1755" t="s">
        <v>5868</v>
      </c>
      <c r="C342" s="1756"/>
      <c r="D342" s="1700"/>
      <c r="E342" s="1712" t="s">
        <v>5905</v>
      </c>
    </row>
    <row r="343" spans="1:5">
      <c r="A343" s="1751">
        <v>106</v>
      </c>
      <c r="B343" s="1752">
        <v>45319</v>
      </c>
      <c r="C343" s="1753" t="s">
        <v>4258</v>
      </c>
      <c r="D343" s="1704" t="s">
        <v>5906</v>
      </c>
      <c r="E343" s="1701" t="s">
        <v>5907</v>
      </c>
    </row>
    <row r="344" spans="1:5" ht="40.5">
      <c r="A344" s="1702"/>
      <c r="B344" s="1755" t="s">
        <v>5868</v>
      </c>
      <c r="C344" s="1756"/>
      <c r="D344" s="1700"/>
      <c r="E344" s="1712" t="s">
        <v>5908</v>
      </c>
    </row>
    <row r="345" spans="1:5">
      <c r="A345" s="1751">
        <v>107</v>
      </c>
      <c r="B345" s="1752">
        <v>45319</v>
      </c>
      <c r="C345" s="1753" t="s">
        <v>4258</v>
      </c>
      <c r="D345" s="1697" t="s">
        <v>5911</v>
      </c>
      <c r="E345" s="1701" t="s">
        <v>5910</v>
      </c>
    </row>
    <row r="346" spans="1:5" ht="94.5">
      <c r="A346" s="1702"/>
      <c r="B346" s="1755" t="s">
        <v>5868</v>
      </c>
      <c r="C346" s="1756"/>
      <c r="D346" s="1700"/>
      <c r="E346" s="1712" t="s">
        <v>5912</v>
      </c>
    </row>
    <row r="347" spans="1:5">
      <c r="A347" s="1751">
        <v>108</v>
      </c>
      <c r="B347" s="1752">
        <v>45320</v>
      </c>
      <c r="C347" s="1753" t="s">
        <v>4766</v>
      </c>
      <c r="D347" s="1697" t="s">
        <v>5916</v>
      </c>
      <c r="E347" s="1701" t="s">
        <v>5917</v>
      </c>
    </row>
    <row r="348" spans="1:5" ht="27">
      <c r="A348" s="1702"/>
      <c r="B348" s="1755" t="s">
        <v>5915</v>
      </c>
      <c r="C348" s="1756"/>
      <c r="D348" s="1700"/>
      <c r="E348" s="1712" t="s">
        <v>5918</v>
      </c>
    </row>
    <row r="349" spans="1:5">
      <c r="A349" s="1751">
        <v>109</v>
      </c>
      <c r="B349" s="1752">
        <v>45321</v>
      </c>
      <c r="C349" s="1753" t="s">
        <v>4766</v>
      </c>
      <c r="D349" s="1697"/>
      <c r="E349" s="1701" t="s">
        <v>5920</v>
      </c>
    </row>
    <row r="350" spans="1:5" ht="54">
      <c r="A350" s="1702"/>
      <c r="B350" s="1755" t="s">
        <v>5919</v>
      </c>
      <c r="C350" s="1756"/>
      <c r="D350" s="1700"/>
      <c r="E350" s="1712" t="s">
        <v>5921</v>
      </c>
    </row>
    <row r="351" spans="1:5">
      <c r="A351" s="1751">
        <v>110</v>
      </c>
      <c r="B351" s="1752">
        <v>45322</v>
      </c>
      <c r="C351" s="1753" t="s">
        <v>4763</v>
      </c>
      <c r="D351" s="1697" t="s">
        <v>5924</v>
      </c>
      <c r="E351" s="1701" t="s">
        <v>5923</v>
      </c>
    </row>
    <row r="352" spans="1:5" ht="40.5">
      <c r="A352" s="1702"/>
      <c r="B352" s="1755" t="s">
        <v>5922</v>
      </c>
      <c r="C352" s="1756"/>
      <c r="D352" s="1700"/>
      <c r="E352" s="1712" t="s">
        <v>5925</v>
      </c>
    </row>
    <row r="353" spans="1:5" ht="27">
      <c r="A353" s="1751">
        <v>111</v>
      </c>
      <c r="B353" s="1752">
        <v>45322</v>
      </c>
      <c r="C353" s="1753" t="s">
        <v>5368</v>
      </c>
      <c r="D353" s="1697" t="s">
        <v>5928</v>
      </c>
      <c r="E353" s="1701" t="s">
        <v>5926</v>
      </c>
    </row>
    <row r="354" spans="1:5" ht="40.5">
      <c r="A354" s="1702"/>
      <c r="B354" s="1755" t="s">
        <v>5922</v>
      </c>
      <c r="C354" s="1756"/>
      <c r="D354" s="1700"/>
      <c r="E354" s="1712" t="s">
        <v>5929</v>
      </c>
    </row>
    <row r="355" spans="1:5" ht="27">
      <c r="A355" s="1751">
        <v>112</v>
      </c>
      <c r="B355" s="1752">
        <v>45322</v>
      </c>
      <c r="C355" s="1753" t="s">
        <v>5368</v>
      </c>
      <c r="D355" s="1697" t="s">
        <v>5927</v>
      </c>
      <c r="E355" s="1701" t="s">
        <v>5926</v>
      </c>
    </row>
    <row r="356" spans="1:5" ht="67.5">
      <c r="A356" s="1702"/>
      <c r="B356" s="1755" t="s">
        <v>5922</v>
      </c>
      <c r="C356" s="1756"/>
      <c r="D356" s="1700"/>
      <c r="E356" s="1712" t="s">
        <v>5930</v>
      </c>
    </row>
    <row r="357" spans="1:5" ht="27">
      <c r="A357" s="1751">
        <v>113</v>
      </c>
      <c r="B357" s="1752">
        <v>45322</v>
      </c>
      <c r="C357" s="1753" t="s">
        <v>4258</v>
      </c>
      <c r="D357" s="1697" t="s">
        <v>5931</v>
      </c>
      <c r="E357" s="1701" t="s">
        <v>5932</v>
      </c>
    </row>
    <row r="358" spans="1:5" ht="67.5">
      <c r="A358" s="1702"/>
      <c r="B358" s="1755" t="s">
        <v>5922</v>
      </c>
      <c r="C358" s="1756"/>
      <c r="D358" s="1700"/>
      <c r="E358" s="1712" t="s">
        <v>5933</v>
      </c>
    </row>
    <row r="359" spans="1:5">
      <c r="A359" s="1751">
        <v>114</v>
      </c>
      <c r="B359" s="1752">
        <v>45322</v>
      </c>
      <c r="C359" s="1753" t="s">
        <v>5371</v>
      </c>
      <c r="D359" s="1697" t="s">
        <v>5934</v>
      </c>
      <c r="E359" s="1701" t="s">
        <v>5935</v>
      </c>
    </row>
    <row r="360" spans="1:5">
      <c r="A360" s="1702"/>
      <c r="B360" s="1755" t="s">
        <v>5922</v>
      </c>
      <c r="C360" s="1756"/>
      <c r="D360" s="1700"/>
      <c r="E360" s="1712"/>
    </row>
    <row r="361" spans="1:5" ht="20.100000000000001" customHeight="1">
      <c r="A361" s="1734" t="s">
        <v>5938</v>
      </c>
      <c r="B361" s="1759"/>
      <c r="C361" s="1759"/>
      <c r="D361" s="1734"/>
      <c r="E361" s="1734"/>
    </row>
    <row r="362" spans="1:5" ht="84.95" customHeight="1">
      <c r="A362" s="1724">
        <v>115</v>
      </c>
      <c r="B362" s="1768" t="s">
        <v>5939</v>
      </c>
      <c r="C362" s="1769" t="s">
        <v>5940</v>
      </c>
      <c r="D362" s="1724" t="s">
        <v>5941</v>
      </c>
      <c r="E362" s="1725" t="s">
        <v>6016</v>
      </c>
    </row>
    <row r="363" spans="1:5" ht="45" customHeight="1">
      <c r="A363" s="1724">
        <v>116</v>
      </c>
      <c r="B363" s="1772" t="s">
        <v>5942</v>
      </c>
      <c r="C363" s="1770" t="s">
        <v>2675</v>
      </c>
      <c r="D363" s="53" t="s">
        <v>5943</v>
      </c>
      <c r="E363" s="1780" t="s">
        <v>5970</v>
      </c>
    </row>
    <row r="364" spans="1:5" ht="45" customHeight="1">
      <c r="A364" s="1724">
        <v>117</v>
      </c>
      <c r="B364" s="1770" t="s">
        <v>5974</v>
      </c>
      <c r="C364" s="1770" t="s">
        <v>4823</v>
      </c>
      <c r="D364" s="53" t="s">
        <v>5975</v>
      </c>
      <c r="E364" s="1780" t="s">
        <v>5976</v>
      </c>
    </row>
    <row r="365" spans="1:5" ht="81">
      <c r="A365" s="1724">
        <v>118</v>
      </c>
      <c r="B365" s="1770" t="s">
        <v>5974</v>
      </c>
      <c r="C365" s="1770" t="s">
        <v>5977</v>
      </c>
      <c r="D365" s="53" t="s">
        <v>5978</v>
      </c>
      <c r="E365" s="1780" t="s">
        <v>6017</v>
      </c>
    </row>
    <row r="366" spans="1:5" ht="81">
      <c r="A366" s="1724">
        <v>119</v>
      </c>
      <c r="B366" s="1770" t="s">
        <v>5974</v>
      </c>
      <c r="C366" s="1770" t="s">
        <v>5979</v>
      </c>
      <c r="D366" s="53" t="s">
        <v>5978</v>
      </c>
      <c r="E366" s="1780" t="s">
        <v>6018</v>
      </c>
    </row>
    <row r="367" spans="1:5" ht="50.1" customHeight="1">
      <c r="A367" s="1724">
        <v>120</v>
      </c>
      <c r="B367" s="1770" t="s">
        <v>5974</v>
      </c>
      <c r="C367" s="1772" t="s">
        <v>6019</v>
      </c>
      <c r="D367" s="1780" t="s">
        <v>6020</v>
      </c>
      <c r="E367" s="1780" t="s">
        <v>6021</v>
      </c>
    </row>
    <row r="368" spans="1:5" s="1773" customFormat="1" ht="61.5" customHeight="1">
      <c r="A368" s="1724">
        <v>121</v>
      </c>
      <c r="B368" s="1771" t="s">
        <v>5974</v>
      </c>
      <c r="C368" s="1772" t="s">
        <v>6022</v>
      </c>
      <c r="D368" s="1780" t="s">
        <v>6023</v>
      </c>
      <c r="E368" s="1780" t="s">
        <v>6024</v>
      </c>
    </row>
    <row r="369" spans="1:5" s="1773" customFormat="1" ht="45" customHeight="1">
      <c r="A369" s="1724">
        <v>122</v>
      </c>
      <c r="B369" s="1786" t="s">
        <v>5974</v>
      </c>
      <c r="C369" s="1771" t="s">
        <v>2675</v>
      </c>
      <c r="D369" s="53" t="s">
        <v>5985</v>
      </c>
      <c r="E369" s="1780" t="s">
        <v>5986</v>
      </c>
    </row>
    <row r="370" spans="1:5" s="1813" customFormat="1" ht="45" customHeight="1">
      <c r="A370" s="1724">
        <v>123</v>
      </c>
      <c r="B370" s="1814" t="s">
        <v>6028</v>
      </c>
      <c r="C370" s="1772" t="s">
        <v>6025</v>
      </c>
      <c r="D370" s="53" t="s">
        <v>6026</v>
      </c>
      <c r="E370" s="1780" t="s">
        <v>6027</v>
      </c>
    </row>
    <row r="371" spans="1:5" s="1815" customFormat="1" ht="45" customHeight="1">
      <c r="A371" s="1724">
        <v>124</v>
      </c>
      <c r="B371" s="1814" t="s">
        <v>6032</v>
      </c>
      <c r="C371" s="1772"/>
      <c r="D371" s="53"/>
      <c r="E371" s="1780" t="s">
        <v>6033</v>
      </c>
    </row>
    <row r="372" spans="1:5" s="1815" customFormat="1" ht="45" customHeight="1">
      <c r="A372" s="1724">
        <v>125</v>
      </c>
      <c r="B372" s="1814" t="s">
        <v>6032</v>
      </c>
      <c r="C372" s="1772" t="s">
        <v>6034</v>
      </c>
      <c r="D372" s="53" t="s">
        <v>6035</v>
      </c>
      <c r="E372" s="1780" t="s">
        <v>6036</v>
      </c>
    </row>
    <row r="373" spans="1:5" s="1822" customFormat="1" ht="45" customHeight="1">
      <c r="A373" s="1724">
        <v>126</v>
      </c>
      <c r="B373" s="1814" t="s">
        <v>6039</v>
      </c>
      <c r="C373" s="1772" t="s">
        <v>4809</v>
      </c>
      <c r="D373" s="53" t="s">
        <v>6041</v>
      </c>
      <c r="E373" s="1780" t="s">
        <v>6042</v>
      </c>
    </row>
    <row r="374" spans="1:5" s="1815" customFormat="1" ht="45" customHeight="1">
      <c r="A374" s="1724">
        <v>127</v>
      </c>
      <c r="B374" s="1814" t="s">
        <v>6039</v>
      </c>
      <c r="C374" s="1772" t="s">
        <v>6038</v>
      </c>
      <c r="D374" s="53"/>
      <c r="E374" s="1780" t="s">
        <v>6040</v>
      </c>
    </row>
    <row r="375" spans="1:5" s="1815" customFormat="1" ht="45" customHeight="1">
      <c r="A375" s="1724">
        <v>128</v>
      </c>
      <c r="B375" s="1814" t="s">
        <v>6043</v>
      </c>
      <c r="C375" s="1772" t="s">
        <v>6044</v>
      </c>
      <c r="D375" s="53" t="s">
        <v>6045</v>
      </c>
      <c r="E375" s="1780" t="s">
        <v>6046</v>
      </c>
    </row>
    <row r="376" spans="1:5" s="1823" customFormat="1" ht="45" customHeight="1">
      <c r="A376" s="1724">
        <v>129</v>
      </c>
      <c r="B376" s="1814" t="s">
        <v>6043</v>
      </c>
      <c r="C376" s="1772" t="s">
        <v>4816</v>
      </c>
      <c r="D376" s="53" t="s">
        <v>6047</v>
      </c>
      <c r="E376" s="1780" t="s">
        <v>6057</v>
      </c>
    </row>
    <row r="377" spans="1:5" s="1823" customFormat="1" ht="45" customHeight="1">
      <c r="A377" s="1724">
        <v>130</v>
      </c>
      <c r="B377" s="1814" t="s">
        <v>6043</v>
      </c>
      <c r="C377" s="1824" t="s">
        <v>2675</v>
      </c>
      <c r="D377" s="53" t="s">
        <v>6049</v>
      </c>
      <c r="E377" s="1780" t="s">
        <v>6048</v>
      </c>
    </row>
    <row r="378" spans="1:5" s="1825" customFormat="1" ht="45" customHeight="1">
      <c r="A378" s="1724">
        <v>131</v>
      </c>
      <c r="B378" s="1814" t="s">
        <v>6056</v>
      </c>
      <c r="C378" s="1772" t="s">
        <v>4816</v>
      </c>
      <c r="D378" s="1780" t="s">
        <v>6058</v>
      </c>
      <c r="E378" s="1721" t="s">
        <v>6059</v>
      </c>
    </row>
    <row r="379" spans="1:5" s="1825" customFormat="1" ht="45" customHeight="1">
      <c r="A379" s="1724">
        <v>132</v>
      </c>
      <c r="B379" s="1814" t="s">
        <v>6056</v>
      </c>
      <c r="C379" s="1772" t="s">
        <v>4816</v>
      </c>
      <c r="D379" s="1780" t="s">
        <v>6061</v>
      </c>
      <c r="E379" s="1721" t="s">
        <v>6060</v>
      </c>
    </row>
    <row r="380" spans="1:5" s="1823" customFormat="1" ht="45" customHeight="1">
      <c r="A380" s="1724">
        <v>133</v>
      </c>
      <c r="B380" s="1814" t="s">
        <v>6053</v>
      </c>
      <c r="C380" s="1772" t="s">
        <v>4809</v>
      </c>
      <c r="D380" s="53" t="s">
        <v>6054</v>
      </c>
      <c r="E380" s="1780" t="s">
        <v>6055</v>
      </c>
    </row>
    <row r="381" spans="1:5" s="1823" customFormat="1" ht="45" customHeight="1">
      <c r="A381" s="1724">
        <v>134</v>
      </c>
      <c r="B381" s="1814" t="s">
        <v>6063</v>
      </c>
      <c r="C381" s="1826" t="s">
        <v>2675</v>
      </c>
      <c r="D381" s="1780" t="s">
        <v>6064</v>
      </c>
      <c r="E381" s="1780" t="s">
        <v>6065</v>
      </c>
    </row>
    <row r="382" spans="1:5" s="1823" customFormat="1" ht="45" customHeight="1">
      <c r="A382" s="1724"/>
      <c r="B382" s="1814"/>
      <c r="C382" s="1772"/>
      <c r="D382" s="53"/>
      <c r="E382" s="1780"/>
    </row>
    <row r="383" spans="1:5" s="1823" customFormat="1" ht="45" customHeight="1">
      <c r="A383" s="1724"/>
      <c r="B383" s="1814"/>
      <c r="C383" s="1772"/>
      <c r="D383" s="53"/>
      <c r="E383" s="1780"/>
    </row>
    <row r="384" spans="1:5" ht="45" customHeight="1">
      <c r="A384" s="1724"/>
      <c r="B384" s="1770"/>
      <c r="C384" s="1770"/>
      <c r="D384" s="53"/>
      <c r="E384" s="53"/>
    </row>
    <row r="385" spans="1:5">
      <c r="A385" s="1734"/>
      <c r="B385" s="1759"/>
      <c r="C385" s="1759"/>
      <c r="D385" s="1734"/>
      <c r="E385" s="1734"/>
    </row>
    <row r="386" spans="1:5">
      <c r="A386" s="1734"/>
      <c r="B386" s="1759"/>
      <c r="C386" s="1759"/>
      <c r="D386" s="1734"/>
      <c r="E386" s="1734"/>
    </row>
    <row r="387" spans="1:5">
      <c r="A387" s="1734"/>
      <c r="B387" s="1759"/>
      <c r="C387" s="1759"/>
      <c r="D387" s="1734"/>
      <c r="E387" s="1734"/>
    </row>
    <row r="388" spans="1:5">
      <c r="A388" s="1734"/>
      <c r="B388" s="1759"/>
      <c r="C388" s="1759"/>
      <c r="D388" s="1734"/>
      <c r="E388" s="1734"/>
    </row>
    <row r="389" spans="1:5">
      <c r="A389" s="1734"/>
      <c r="B389" s="1759"/>
      <c r="C389" s="1759"/>
      <c r="D389" s="1734"/>
      <c r="E389" s="1734"/>
    </row>
    <row r="390" spans="1:5">
      <c r="A390" s="1734"/>
      <c r="B390" s="1759"/>
      <c r="C390" s="1759"/>
      <c r="D390" s="1734"/>
      <c r="E390" s="1734"/>
    </row>
    <row r="391" spans="1:5">
      <c r="A391" s="1734"/>
      <c r="B391" s="1759"/>
      <c r="C391" s="1759"/>
      <c r="D391" s="1734"/>
      <c r="E391" s="1734"/>
    </row>
    <row r="392" spans="1:5">
      <c r="A392" s="1734"/>
      <c r="B392" s="1759"/>
      <c r="C392" s="1759"/>
      <c r="D392" s="1734"/>
      <c r="E392" s="1734"/>
    </row>
    <row r="393" spans="1:5">
      <c r="A393" s="1734"/>
      <c r="B393" s="1759"/>
      <c r="C393" s="1759"/>
      <c r="D393" s="1734"/>
      <c r="E393" s="1734"/>
    </row>
    <row r="394" spans="1:5">
      <c r="A394" s="1734"/>
      <c r="B394" s="1759"/>
      <c r="C394" s="1759"/>
      <c r="D394" s="1734"/>
      <c r="E394" s="1734"/>
    </row>
    <row r="395" spans="1:5">
      <c r="A395" s="1734"/>
      <c r="B395" s="1759"/>
      <c r="C395" s="1759"/>
      <c r="D395" s="1734"/>
      <c r="E395" s="1734"/>
    </row>
    <row r="396" spans="1:5">
      <c r="A396" s="1734"/>
      <c r="B396" s="1759"/>
      <c r="C396" s="1759"/>
      <c r="D396" s="1734"/>
      <c r="E396" s="1734"/>
    </row>
    <row r="397" spans="1:5">
      <c r="A397" s="1734"/>
      <c r="B397" s="1759"/>
      <c r="C397" s="1759"/>
      <c r="D397" s="1734"/>
      <c r="E397" s="1734"/>
    </row>
    <row r="398" spans="1:5">
      <c r="A398" s="1734"/>
      <c r="B398" s="1759"/>
      <c r="C398" s="1759"/>
      <c r="D398" s="1734"/>
      <c r="E398" s="1734"/>
    </row>
  </sheetData>
  <mergeCells count="1">
    <mergeCell ref="A153:E154"/>
  </mergeCells>
  <phoneticPr fontId="15"/>
  <pageMargins left="0.35433070866141736" right="0.19685039370078741" top="0.47244094488188981" bottom="0.31496062992125984" header="0.31496062992125984" footer="0.19685039370078741"/>
  <pageSetup paperSize="9" scale="80" fitToHeight="0" orientation="portrait"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pageSetUpPr fitToPage="1"/>
  </sheetPr>
  <dimension ref="A1:U1292"/>
  <sheetViews>
    <sheetView showGridLines="0" topLeftCell="H1" zoomScaleNormal="100" workbookViewId="0">
      <pane ySplit="3" topLeftCell="A4" activePane="bottomLeft" state="frozen"/>
      <selection activeCell="B6" sqref="B6"/>
      <selection pane="bottomLeft" activeCell="B6" sqref="B6"/>
    </sheetView>
  </sheetViews>
  <sheetFormatPr defaultColWidth="9" defaultRowHeight="13.5"/>
  <cols>
    <col min="1" max="1" width="10.75" style="652" hidden="1" customWidth="1"/>
    <col min="2" max="2" width="13.375" style="652" hidden="1" customWidth="1"/>
    <col min="3" max="3" width="12" style="711" hidden="1" customWidth="1"/>
    <col min="4" max="4" width="16.125" style="712" hidden="1" customWidth="1"/>
    <col min="5" max="5" width="7.375" style="712" hidden="1" customWidth="1"/>
    <col min="6" max="6" width="7.375" style="652" hidden="1" customWidth="1"/>
    <col min="7" max="7" width="15.625" style="652" hidden="1" customWidth="1"/>
    <col min="8" max="8" width="1.125" style="652" customWidth="1"/>
    <col min="9" max="9" width="22.875" style="713" customWidth="1"/>
    <col min="10" max="10" width="30.25" style="714" customWidth="1"/>
    <col min="11" max="12" width="16.375" style="714" customWidth="1"/>
    <col min="13" max="13" width="2.625" style="714" customWidth="1"/>
    <col min="14" max="14" width="2.125" style="652" customWidth="1"/>
    <col min="15" max="15" width="16.625" style="652" customWidth="1"/>
    <col min="16" max="19" width="9" style="652"/>
    <col min="20" max="20" width="22.625" style="652" customWidth="1"/>
    <col min="21" max="21" width="7.75" style="652" customWidth="1"/>
    <col min="22" max="16384" width="9" style="652"/>
  </cols>
  <sheetData>
    <row r="1" spans="1:21" ht="26.25" customHeight="1">
      <c r="A1" s="2239" t="s">
        <v>2749</v>
      </c>
      <c r="B1" s="2240"/>
      <c r="C1" s="649"/>
      <c r="D1" s="650"/>
      <c r="E1" s="651"/>
      <c r="H1" s="653"/>
      <c r="I1" s="654" t="s">
        <v>2750</v>
      </c>
      <c r="J1" s="655"/>
      <c r="K1" s="655"/>
      <c r="L1" s="1172" t="str">
        <f>はじめに!P1</f>
        <v>2024年度提出用（2023年度実績値）</v>
      </c>
      <c r="M1" s="655"/>
      <c r="N1" s="653"/>
      <c r="O1" s="653"/>
      <c r="P1" s="653"/>
      <c r="Q1" s="653"/>
      <c r="R1" s="653"/>
      <c r="S1" s="653"/>
      <c r="T1" s="653"/>
      <c r="U1" s="653"/>
    </row>
    <row r="2" spans="1:21" ht="18" customHeight="1">
      <c r="A2" s="717"/>
      <c r="B2" s="718"/>
      <c r="C2" s="667"/>
      <c r="D2" s="651"/>
      <c r="E2" s="651"/>
      <c r="H2" s="653"/>
      <c r="I2" s="654" t="s">
        <v>5396</v>
      </c>
      <c r="J2" s="655"/>
      <c r="K2" s="655"/>
      <c r="L2" s="655"/>
      <c r="M2" s="655"/>
      <c r="N2" s="653"/>
      <c r="O2" s="653"/>
      <c r="P2" s="653"/>
      <c r="Q2" s="653"/>
      <c r="R2" s="653"/>
      <c r="S2" s="653"/>
      <c r="T2" s="653"/>
      <c r="U2" s="653"/>
    </row>
    <row r="3" spans="1:21" ht="40.5">
      <c r="A3" s="656" t="s">
        <v>2751</v>
      </c>
      <c r="B3" s="657" t="s">
        <v>2752</v>
      </c>
      <c r="C3" s="658" t="s">
        <v>2753</v>
      </c>
      <c r="D3" s="658" t="s">
        <v>2754</v>
      </c>
      <c r="E3" s="659" t="s">
        <v>2755</v>
      </c>
      <c r="H3" s="653"/>
      <c r="I3" s="1236" t="s">
        <v>2756</v>
      </c>
      <c r="J3" s="1236" t="s">
        <v>2752</v>
      </c>
      <c r="K3" s="1237" t="s">
        <v>4751</v>
      </c>
      <c r="L3" s="1237" t="s">
        <v>4752</v>
      </c>
      <c r="M3" s="655"/>
      <c r="N3" s="653"/>
      <c r="O3" s="653"/>
      <c r="P3" s="653"/>
      <c r="Q3" s="653"/>
      <c r="R3" s="653"/>
      <c r="S3" s="653"/>
      <c r="T3" s="653"/>
      <c r="U3" s="653"/>
    </row>
    <row r="4" spans="1:21" ht="22.5" customHeight="1">
      <c r="A4" s="660"/>
      <c r="B4" s="661"/>
      <c r="C4" s="662" t="s">
        <v>2757</v>
      </c>
      <c r="D4" s="662"/>
      <c r="E4" s="663" t="s">
        <v>2757</v>
      </c>
      <c r="H4" s="653"/>
      <c r="I4" s="1749" t="s">
        <v>2763</v>
      </c>
      <c r="J4" s="715" t="s">
        <v>2764</v>
      </c>
      <c r="K4" s="716">
        <v>4.8299999999999998E-4</v>
      </c>
      <c r="L4" s="716">
        <v>4.4099999999999999E-4</v>
      </c>
      <c r="M4" s="655"/>
      <c r="N4" s="653"/>
      <c r="O4" s="1166"/>
      <c r="P4" s="1167" t="s">
        <v>2758</v>
      </c>
      <c r="Q4" s="1166"/>
      <c r="R4" s="1166"/>
      <c r="S4" s="1166"/>
      <c r="T4" s="1166"/>
      <c r="U4" s="653"/>
    </row>
    <row r="5" spans="1:21" ht="14.85" customHeight="1">
      <c r="A5" s="664"/>
      <c r="B5" s="665"/>
      <c r="C5" s="666"/>
      <c r="D5" s="662"/>
      <c r="E5" s="667"/>
      <c r="H5" s="653"/>
      <c r="I5" s="1749" t="s">
        <v>2765</v>
      </c>
      <c r="J5" s="715" t="s">
        <v>2766</v>
      </c>
      <c r="K5" s="716">
        <v>4.6299999999999998E-4</v>
      </c>
      <c r="L5" s="716">
        <v>0</v>
      </c>
      <c r="M5" s="655"/>
      <c r="N5" s="653"/>
      <c r="O5" s="1166" t="s">
        <v>2759</v>
      </c>
      <c r="P5" s="1166"/>
      <c r="Q5" s="1166"/>
      <c r="R5" s="1166"/>
      <c r="S5" s="1166"/>
      <c r="T5" s="1166"/>
      <c r="U5" s="653"/>
    </row>
    <row r="6" spans="1:21" ht="15.75" customHeight="1">
      <c r="A6" s="668"/>
      <c r="B6" s="669"/>
      <c r="C6" s="670"/>
      <c r="D6" s="671"/>
      <c r="E6" s="672"/>
      <c r="H6" s="653"/>
      <c r="I6" s="1749" t="s">
        <v>2767</v>
      </c>
      <c r="J6" s="715" t="s">
        <v>2768</v>
      </c>
      <c r="K6" s="716">
        <v>4.9200000000000003E-4</v>
      </c>
      <c r="L6" s="716">
        <v>0</v>
      </c>
      <c r="M6" s="655"/>
      <c r="N6" s="653"/>
      <c r="O6" s="1166" t="s">
        <v>2760</v>
      </c>
      <c r="P6" s="1166"/>
      <c r="Q6" s="1166"/>
      <c r="R6" s="1166"/>
      <c r="S6" s="1166"/>
      <c r="T6" s="1166"/>
      <c r="U6" s="653"/>
    </row>
    <row r="7" spans="1:21" ht="15.75" customHeight="1">
      <c r="A7" s="673"/>
      <c r="B7" s="674"/>
      <c r="C7" s="675"/>
      <c r="D7" s="671"/>
      <c r="E7" s="676"/>
      <c r="H7" s="653"/>
      <c r="I7" s="1749" t="s">
        <v>3710</v>
      </c>
      <c r="J7" s="715" t="s">
        <v>2768</v>
      </c>
      <c r="K7" s="716">
        <v>4.9200000000000003E-4</v>
      </c>
      <c r="L7" s="716">
        <v>4.37E-4</v>
      </c>
      <c r="M7" s="655"/>
      <c r="N7" s="653"/>
      <c r="O7" s="1166"/>
      <c r="P7" s="1166"/>
      <c r="Q7" s="1166"/>
      <c r="R7" s="1166"/>
      <c r="S7" s="1166"/>
      <c r="T7" s="1166"/>
      <c r="U7" s="653"/>
    </row>
    <row r="8" spans="1:21" ht="15.75" customHeight="1">
      <c r="A8" s="673"/>
      <c r="B8" s="674"/>
      <c r="C8" s="675"/>
      <c r="D8" s="671"/>
      <c r="E8" s="676"/>
      <c r="H8" s="653"/>
      <c r="I8" s="1749" t="s">
        <v>2769</v>
      </c>
      <c r="J8" s="715" t="s">
        <v>2770</v>
      </c>
      <c r="K8" s="716">
        <v>3.5399999999999999E-4</v>
      </c>
      <c r="L8" s="716">
        <v>0</v>
      </c>
      <c r="M8" s="655"/>
      <c r="N8" s="653" t="s">
        <v>2761</v>
      </c>
      <c r="O8" s="1166"/>
      <c r="P8" s="1166"/>
      <c r="Q8" s="1166"/>
      <c r="R8" s="1166"/>
      <c r="S8" s="1166" t="s">
        <v>2762</v>
      </c>
      <c r="T8" s="1166"/>
      <c r="U8" s="653"/>
    </row>
    <row r="9" spans="1:21" ht="15.75" customHeight="1">
      <c r="A9" s="673"/>
      <c r="B9" s="674"/>
      <c r="C9" s="675"/>
      <c r="D9" s="671"/>
      <c r="E9" s="676"/>
      <c r="H9" s="653"/>
      <c r="I9" s="1749" t="s">
        <v>5397</v>
      </c>
      <c r="J9" s="715" t="s">
        <v>2770</v>
      </c>
      <c r="K9" s="716">
        <v>3.5399999999999999E-4</v>
      </c>
      <c r="L9" s="716">
        <v>4.4099999999999999E-4</v>
      </c>
      <c r="M9" s="655"/>
      <c r="N9" s="653"/>
      <c r="O9" s="1166"/>
      <c r="P9" s="1166"/>
      <c r="Q9" s="1166"/>
      <c r="R9" s="1166"/>
      <c r="S9" s="1166"/>
      <c r="T9" s="1166"/>
      <c r="U9" s="653"/>
    </row>
    <row r="10" spans="1:21" ht="17.25" customHeight="1">
      <c r="A10" s="677"/>
      <c r="B10" s="678"/>
      <c r="C10" s="679"/>
      <c r="D10" s="680"/>
      <c r="E10" s="676"/>
      <c r="H10" s="653"/>
      <c r="I10" s="1749" t="s">
        <v>2771</v>
      </c>
      <c r="J10" s="715" t="s">
        <v>2772</v>
      </c>
      <c r="K10" s="716">
        <v>2.5700000000000001E-4</v>
      </c>
      <c r="L10" s="716">
        <v>3.7199999999999999E-4</v>
      </c>
      <c r="M10" s="655"/>
      <c r="N10" s="653"/>
      <c r="O10" s="1166"/>
      <c r="P10" s="1166"/>
      <c r="Q10" s="1166"/>
      <c r="R10" s="1166"/>
      <c r="S10" s="1166"/>
      <c r="T10" s="1166"/>
      <c r="U10" s="653"/>
    </row>
    <row r="11" spans="1:21">
      <c r="A11" s="677"/>
      <c r="B11" s="678"/>
      <c r="C11" s="681"/>
      <c r="D11" s="682"/>
      <c r="E11" s="676"/>
      <c r="H11" s="653"/>
      <c r="I11" s="1749" t="s">
        <v>2773</v>
      </c>
      <c r="J11" s="715" t="s">
        <v>2774</v>
      </c>
      <c r="K11" s="716">
        <v>4.8099999999999998E-4</v>
      </c>
      <c r="L11" s="716">
        <v>4.26E-4</v>
      </c>
      <c r="M11" s="655"/>
      <c r="N11" s="653"/>
      <c r="O11" s="1166"/>
      <c r="P11" s="1166"/>
      <c r="Q11" s="1166"/>
      <c r="R11" s="1166"/>
      <c r="S11" s="1166"/>
      <c r="T11" s="1166"/>
      <c r="U11" s="653"/>
    </row>
    <row r="12" spans="1:21" ht="15.75" customHeight="1">
      <c r="A12" s="668"/>
      <c r="B12" s="683"/>
      <c r="C12" s="670"/>
      <c r="D12" s="671"/>
      <c r="E12" s="676"/>
      <c r="H12" s="653"/>
      <c r="I12" s="1749" t="s">
        <v>2775</v>
      </c>
      <c r="J12" s="715" t="s">
        <v>2776</v>
      </c>
      <c r="K12" s="716">
        <v>4.0499999999999998E-4</v>
      </c>
      <c r="L12" s="716">
        <v>0</v>
      </c>
      <c r="M12" s="655"/>
      <c r="N12" s="653"/>
      <c r="O12" s="1166"/>
      <c r="P12" s="1166"/>
      <c r="Q12" s="1166"/>
      <c r="R12" s="1166"/>
      <c r="S12" s="1166"/>
      <c r="T12" s="1166"/>
      <c r="U12" s="653"/>
    </row>
    <row r="13" spans="1:21" ht="15.75" customHeight="1">
      <c r="A13" s="673"/>
      <c r="B13" s="674"/>
      <c r="C13" s="675"/>
      <c r="D13" s="671"/>
      <c r="E13" s="676"/>
      <c r="H13" s="653"/>
      <c r="I13" s="1749" t="s">
        <v>2777</v>
      </c>
      <c r="J13" s="715" t="s">
        <v>2776</v>
      </c>
      <c r="K13" s="716">
        <v>4.0499999999999998E-4</v>
      </c>
      <c r="L13" s="716">
        <v>0</v>
      </c>
      <c r="M13" s="655"/>
      <c r="N13" s="653"/>
      <c r="O13" s="1166"/>
      <c r="P13" s="1166"/>
      <c r="Q13" s="1166"/>
      <c r="R13" s="1166"/>
      <c r="S13" s="1166"/>
      <c r="T13" s="1166"/>
      <c r="U13" s="653"/>
    </row>
    <row r="14" spans="1:21" ht="15.75" customHeight="1">
      <c r="A14" s="684"/>
      <c r="B14" s="685"/>
      <c r="C14" s="686"/>
      <c r="D14" s="671"/>
      <c r="E14" s="676"/>
      <c r="H14" s="653"/>
      <c r="I14" s="1749" t="s">
        <v>2778</v>
      </c>
      <c r="J14" s="715" t="s">
        <v>2776</v>
      </c>
      <c r="K14" s="716">
        <v>4.0499999999999998E-4</v>
      </c>
      <c r="L14" s="716">
        <v>2.0000000000000001E-4</v>
      </c>
      <c r="M14" s="655"/>
      <c r="N14" s="653"/>
      <c r="O14" s="1166"/>
      <c r="P14" s="1166"/>
      <c r="Q14" s="1166"/>
      <c r="R14" s="1166"/>
      <c r="S14" s="1166"/>
      <c r="T14" s="1166"/>
      <c r="U14" s="653"/>
    </row>
    <row r="15" spans="1:21" ht="15.75" customHeight="1">
      <c r="A15" s="687"/>
      <c r="B15" s="688"/>
      <c r="C15" s="689"/>
      <c r="D15" s="671"/>
      <c r="E15" s="676"/>
      <c r="H15" s="653"/>
      <c r="I15" s="1749" t="s">
        <v>2779</v>
      </c>
      <c r="J15" s="715" t="s">
        <v>2776</v>
      </c>
      <c r="K15" s="716">
        <v>4.0499999999999998E-4</v>
      </c>
      <c r="L15" s="716">
        <v>2.2000000000000001E-4</v>
      </c>
      <c r="M15" s="655"/>
      <c r="N15" s="653"/>
      <c r="O15" s="1166"/>
      <c r="P15" s="1166"/>
      <c r="Q15" s="1166"/>
      <c r="R15" s="1166"/>
      <c r="S15" s="1166"/>
      <c r="T15" s="1166"/>
      <c r="U15" s="653"/>
    </row>
    <row r="16" spans="1:21" ht="15.75" customHeight="1">
      <c r="A16" s="687"/>
      <c r="B16" s="688"/>
      <c r="C16" s="689"/>
      <c r="D16" s="671"/>
      <c r="E16" s="676"/>
      <c r="H16" s="653"/>
      <c r="I16" s="1749" t="s">
        <v>2780</v>
      </c>
      <c r="J16" s="715" t="s">
        <v>2776</v>
      </c>
      <c r="K16" s="716">
        <v>4.0499999999999998E-4</v>
      </c>
      <c r="L16" s="716">
        <v>2.9999999999999997E-4</v>
      </c>
      <c r="M16" s="655"/>
      <c r="N16" s="653"/>
      <c r="O16" s="1166"/>
      <c r="P16" s="1166"/>
      <c r="Q16" s="1166"/>
      <c r="R16" s="1166"/>
      <c r="S16" s="1166"/>
      <c r="T16" s="1166"/>
      <c r="U16" s="653"/>
    </row>
    <row r="17" spans="1:21" ht="17.25" customHeight="1">
      <c r="A17" s="677"/>
      <c r="B17" s="678"/>
      <c r="C17" s="681"/>
      <c r="D17" s="680"/>
      <c r="E17" s="676"/>
      <c r="H17" s="653"/>
      <c r="I17" s="1749" t="s">
        <v>2781</v>
      </c>
      <c r="J17" s="715" t="s">
        <v>2776</v>
      </c>
      <c r="K17" s="716">
        <v>4.0499999999999998E-4</v>
      </c>
      <c r="L17" s="716">
        <v>3.4900000000000003E-4</v>
      </c>
      <c r="M17" s="655"/>
      <c r="N17" s="653"/>
      <c r="O17" s="1166"/>
      <c r="P17" s="1166"/>
      <c r="Q17" s="1166"/>
      <c r="R17" s="1166"/>
      <c r="S17" s="1166"/>
      <c r="T17" s="1166"/>
      <c r="U17" s="653"/>
    </row>
    <row r="18" spans="1:21">
      <c r="A18" s="677"/>
      <c r="B18" s="678"/>
      <c r="C18" s="681"/>
      <c r="D18" s="682"/>
      <c r="E18" s="676"/>
      <c r="H18" s="653"/>
      <c r="I18" s="1749" t="s">
        <v>2782</v>
      </c>
      <c r="J18" s="715" t="s">
        <v>2776</v>
      </c>
      <c r="K18" s="716">
        <v>4.0499999999999998E-4</v>
      </c>
      <c r="L18" s="716">
        <v>3.6999999999999999E-4</v>
      </c>
      <c r="M18" s="655"/>
      <c r="N18" s="653"/>
      <c r="O18" s="1166"/>
      <c r="P18" s="1166"/>
      <c r="Q18" s="1166"/>
      <c r="R18" s="1166"/>
      <c r="S18" s="1166"/>
      <c r="T18" s="1166"/>
      <c r="U18" s="653"/>
    </row>
    <row r="19" spans="1:21" ht="15.75" customHeight="1">
      <c r="A19" s="690"/>
      <c r="B19" s="683"/>
      <c r="C19" s="670"/>
      <c r="D19" s="671"/>
      <c r="E19" s="676"/>
      <c r="H19" s="653"/>
      <c r="I19" s="1749" t="s">
        <v>5398</v>
      </c>
      <c r="J19" s="715" t="s">
        <v>2776</v>
      </c>
      <c r="K19" s="716">
        <v>4.0499999999999998E-4</v>
      </c>
      <c r="L19" s="716">
        <v>4.0000000000000002E-4</v>
      </c>
      <c r="M19" s="655"/>
      <c r="N19" s="653"/>
      <c r="O19" s="1166"/>
      <c r="P19" s="1166"/>
      <c r="Q19" s="1166"/>
      <c r="R19" s="1166"/>
      <c r="S19" s="1166"/>
      <c r="T19" s="1166"/>
      <c r="U19" s="653"/>
    </row>
    <row r="20" spans="1:21" ht="15.75" customHeight="1">
      <c r="A20" s="673"/>
      <c r="B20" s="674"/>
      <c r="C20" s="675"/>
      <c r="D20" s="671"/>
      <c r="E20" s="676"/>
      <c r="H20" s="653"/>
      <c r="I20" s="1749" t="s">
        <v>5399</v>
      </c>
      <c r="J20" s="715" t="s">
        <v>2776</v>
      </c>
      <c r="K20" s="716">
        <v>4.0499999999999998E-4</v>
      </c>
      <c r="L20" s="716">
        <v>3.6699999999999998E-4</v>
      </c>
      <c r="M20" s="655"/>
      <c r="N20" s="653"/>
      <c r="O20" s="1166"/>
      <c r="P20" s="1166"/>
      <c r="Q20" s="1166"/>
      <c r="R20" s="1166"/>
      <c r="S20" s="1166"/>
      <c r="T20" s="1166"/>
      <c r="U20" s="653"/>
    </row>
    <row r="21" spans="1:21" ht="15.75" customHeight="1">
      <c r="A21" s="673"/>
      <c r="B21" s="674"/>
      <c r="C21" s="675"/>
      <c r="D21" s="671"/>
      <c r="E21" s="676"/>
      <c r="H21" s="653"/>
      <c r="I21" s="1749" t="s">
        <v>3711</v>
      </c>
      <c r="J21" s="715" t="s">
        <v>2783</v>
      </c>
      <c r="K21" s="716">
        <v>4.08E-4</v>
      </c>
      <c r="L21" s="716">
        <v>0</v>
      </c>
      <c r="M21" s="655"/>
      <c r="N21" s="653"/>
      <c r="O21" s="1166"/>
      <c r="P21" s="1166"/>
      <c r="Q21" s="1166"/>
      <c r="R21" s="1166"/>
      <c r="S21" s="1166"/>
      <c r="T21" s="1166"/>
      <c r="U21" s="653"/>
    </row>
    <row r="22" spans="1:21" ht="15.75" customHeight="1">
      <c r="A22" s="673"/>
      <c r="B22" s="674"/>
      <c r="C22" s="675"/>
      <c r="D22" s="671"/>
      <c r="E22" s="676"/>
      <c r="H22" s="653"/>
      <c r="I22" s="1749" t="s">
        <v>3712</v>
      </c>
      <c r="J22" s="715" t="s">
        <v>2783</v>
      </c>
      <c r="K22" s="716">
        <v>4.08E-4</v>
      </c>
      <c r="L22" s="716">
        <v>4.1800000000000002E-4</v>
      </c>
      <c r="M22" s="655"/>
      <c r="N22" s="653"/>
      <c r="O22" s="1166"/>
      <c r="P22" s="1166"/>
      <c r="Q22" s="1166"/>
      <c r="R22" s="1166"/>
      <c r="S22" s="1166"/>
      <c r="T22" s="1166"/>
      <c r="U22" s="653"/>
    </row>
    <row r="23" spans="1:21" ht="15.75" customHeight="1">
      <c r="A23" s="673"/>
      <c r="B23" s="674"/>
      <c r="C23" s="675"/>
      <c r="D23" s="671"/>
      <c r="E23" s="676"/>
      <c r="H23" s="653"/>
      <c r="I23" s="1749" t="s">
        <v>2784</v>
      </c>
      <c r="J23" s="715" t="s">
        <v>2785</v>
      </c>
      <c r="K23" s="716">
        <v>3.0200000000000002E-4</v>
      </c>
      <c r="L23" s="716">
        <v>0</v>
      </c>
      <c r="M23" s="655"/>
      <c r="N23" s="653"/>
      <c r="O23" s="1166"/>
      <c r="P23" s="1166"/>
      <c r="Q23" s="1166"/>
      <c r="R23" s="1166"/>
      <c r="S23" s="1166"/>
      <c r="T23" s="1166"/>
      <c r="U23" s="653"/>
    </row>
    <row r="24" spans="1:21" ht="15.75" customHeight="1">
      <c r="A24" s="673"/>
      <c r="B24" s="674"/>
      <c r="C24" s="675"/>
      <c r="D24" s="671"/>
      <c r="E24" s="676"/>
      <c r="H24" s="653"/>
      <c r="I24" s="1749" t="s">
        <v>2786</v>
      </c>
      <c r="J24" s="715" t="s">
        <v>2785</v>
      </c>
      <c r="K24" s="716">
        <v>3.0200000000000002E-4</v>
      </c>
      <c r="L24" s="716">
        <v>2.0000000000000001E-4</v>
      </c>
      <c r="M24" s="655"/>
      <c r="N24" s="653"/>
      <c r="O24" s="1166"/>
      <c r="P24" s="1166"/>
      <c r="Q24" s="1166"/>
      <c r="R24" s="1166"/>
      <c r="S24" s="1166"/>
      <c r="T24" s="1166"/>
      <c r="U24" s="653"/>
    </row>
    <row r="25" spans="1:21" ht="15.75" customHeight="1">
      <c r="A25" s="673"/>
      <c r="B25" s="674"/>
      <c r="C25" s="675"/>
      <c r="D25" s="671"/>
      <c r="E25" s="676"/>
      <c r="H25" s="653"/>
      <c r="I25" s="1749" t="s">
        <v>3713</v>
      </c>
      <c r="J25" s="715" t="s">
        <v>2785</v>
      </c>
      <c r="K25" s="716">
        <v>3.0200000000000002E-4</v>
      </c>
      <c r="L25" s="716">
        <v>4.7600000000000002E-4</v>
      </c>
      <c r="M25" s="655"/>
      <c r="N25" s="653"/>
      <c r="O25" s="1166"/>
      <c r="P25" s="1166"/>
      <c r="Q25" s="1166"/>
      <c r="R25" s="1166"/>
      <c r="S25" s="1166"/>
      <c r="T25" s="1166"/>
      <c r="U25" s="653"/>
    </row>
    <row r="26" spans="1:21" ht="15.75" customHeight="1">
      <c r="A26" s="673"/>
      <c r="B26" s="674"/>
      <c r="C26" s="675"/>
      <c r="D26" s="671"/>
      <c r="E26" s="676"/>
      <c r="H26" s="653"/>
      <c r="I26" s="1749" t="s">
        <v>5400</v>
      </c>
      <c r="J26" s="715" t="s">
        <v>2787</v>
      </c>
      <c r="K26" s="716">
        <v>5.0000000000000001E-4</v>
      </c>
      <c r="L26" s="716">
        <v>0</v>
      </c>
      <c r="M26" s="655"/>
      <c r="N26" s="653"/>
      <c r="O26" s="1166"/>
      <c r="P26" s="1166"/>
      <c r="Q26" s="1166"/>
      <c r="R26" s="1166"/>
      <c r="S26" s="1166"/>
      <c r="T26" s="1166"/>
      <c r="U26" s="653"/>
    </row>
    <row r="27" spans="1:21" ht="17.25" customHeight="1">
      <c r="A27" s="677"/>
      <c r="B27" s="678"/>
      <c r="C27" s="681"/>
      <c r="D27" s="680"/>
      <c r="E27" s="676"/>
      <c r="H27" s="653"/>
      <c r="I27" s="1749" t="s">
        <v>5401</v>
      </c>
      <c r="J27" s="715" t="s">
        <v>2787</v>
      </c>
      <c r="K27" s="716">
        <v>5.0000000000000001E-4</v>
      </c>
      <c r="L27" s="716">
        <v>4.3100000000000001E-4</v>
      </c>
      <c r="M27" s="655"/>
      <c r="N27" s="653"/>
      <c r="O27" s="1166"/>
      <c r="P27" s="1166"/>
      <c r="Q27" s="1166"/>
      <c r="R27" s="1166"/>
      <c r="S27" s="1166"/>
      <c r="T27" s="1166"/>
      <c r="U27" s="653"/>
    </row>
    <row r="28" spans="1:21" ht="15.75" customHeight="1">
      <c r="A28" s="691"/>
      <c r="B28" s="685"/>
      <c r="C28" s="686"/>
      <c r="D28" s="671"/>
      <c r="E28" s="676"/>
      <c r="H28" s="653"/>
      <c r="I28" s="1749" t="s">
        <v>2789</v>
      </c>
      <c r="J28" s="715" t="s">
        <v>2790</v>
      </c>
      <c r="K28" s="716">
        <v>2.5799999999999998E-4</v>
      </c>
      <c r="L28" s="716">
        <v>0</v>
      </c>
      <c r="M28" s="655"/>
      <c r="N28" s="653"/>
      <c r="O28" s="1166"/>
      <c r="P28" s="1166"/>
      <c r="Q28" s="1166"/>
      <c r="R28" s="1166"/>
      <c r="S28" s="1166"/>
      <c r="T28" s="1166"/>
      <c r="U28" s="653"/>
    </row>
    <row r="29" spans="1:21" ht="15.75" customHeight="1">
      <c r="A29" s="687"/>
      <c r="B29" s="688"/>
      <c r="C29" s="689"/>
      <c r="D29" s="671"/>
      <c r="E29" s="676"/>
      <c r="H29" s="653"/>
      <c r="I29" s="1749" t="s">
        <v>3714</v>
      </c>
      <c r="J29" s="715" t="s">
        <v>2790</v>
      </c>
      <c r="K29" s="716">
        <v>2.5799999999999998E-4</v>
      </c>
      <c r="L29" s="716">
        <v>5.0299999999999997E-4</v>
      </c>
      <c r="M29" s="655"/>
      <c r="N29" s="653"/>
      <c r="O29" s="1166"/>
      <c r="P29" s="1166"/>
      <c r="Q29" s="1166"/>
      <c r="R29" s="1166"/>
      <c r="S29" s="1166"/>
      <c r="T29" s="1166"/>
      <c r="U29" s="653"/>
    </row>
    <row r="30" spans="1:21" ht="15.75" customHeight="1">
      <c r="A30" s="687"/>
      <c r="B30" s="688"/>
      <c r="C30" s="689"/>
      <c r="D30" s="671"/>
      <c r="E30" s="676"/>
      <c r="H30" s="653"/>
      <c r="I30" s="1749" t="s">
        <v>2791</v>
      </c>
      <c r="J30" s="715" t="s">
        <v>5402</v>
      </c>
      <c r="K30" s="716">
        <v>3.6000000000000002E-4</v>
      </c>
      <c r="L30" s="716">
        <v>0</v>
      </c>
      <c r="M30" s="655"/>
      <c r="N30" s="653"/>
      <c r="O30" s="1166"/>
      <c r="P30" s="1166"/>
      <c r="Q30" s="1166"/>
      <c r="R30" s="1166"/>
      <c r="S30" s="1166"/>
      <c r="T30" s="1166"/>
      <c r="U30" s="653"/>
    </row>
    <row r="31" spans="1:21" ht="17.25" customHeight="1">
      <c r="A31" s="677"/>
      <c r="B31" s="678"/>
      <c r="C31" s="681"/>
      <c r="D31" s="680"/>
      <c r="E31" s="676"/>
      <c r="H31" s="653"/>
      <c r="I31" s="1749" t="s">
        <v>3715</v>
      </c>
      <c r="J31" s="715" t="s">
        <v>5402</v>
      </c>
      <c r="K31" s="716">
        <v>3.6000000000000002E-4</v>
      </c>
      <c r="L31" s="716">
        <v>4.1399999999999998E-4</v>
      </c>
      <c r="M31" s="655"/>
      <c r="N31" s="653" t="s">
        <v>2788</v>
      </c>
      <c r="O31" s="1166"/>
      <c r="P31" s="1166"/>
      <c r="Q31" s="1166"/>
      <c r="R31" s="1166"/>
      <c r="S31" s="1166"/>
      <c r="T31" s="1166"/>
      <c r="U31" s="653"/>
    </row>
    <row r="32" spans="1:21" ht="15.75" customHeight="1">
      <c r="A32" s="690"/>
      <c r="B32" s="683"/>
      <c r="C32" s="670"/>
      <c r="D32" s="671"/>
      <c r="E32" s="676"/>
      <c r="H32" s="653"/>
      <c r="I32" s="1749" t="s">
        <v>2792</v>
      </c>
      <c r="J32" s="715" t="s">
        <v>2793</v>
      </c>
      <c r="K32" s="716">
        <v>3.5199999999999999E-4</v>
      </c>
      <c r="L32" s="716">
        <v>0</v>
      </c>
      <c r="M32" s="655"/>
      <c r="N32" s="653" t="s">
        <v>4300</v>
      </c>
      <c r="O32" s="1166"/>
      <c r="P32" s="1166"/>
      <c r="Q32" s="1166"/>
      <c r="R32" s="1166"/>
      <c r="S32" s="1166"/>
      <c r="T32" s="1166"/>
      <c r="U32" s="653"/>
    </row>
    <row r="33" spans="1:21" ht="15.75" customHeight="1">
      <c r="A33" s="673"/>
      <c r="B33" s="674"/>
      <c r="C33" s="675"/>
      <c r="D33" s="671"/>
      <c r="E33" s="676"/>
      <c r="H33" s="653"/>
      <c r="I33" s="1749" t="s">
        <v>2794</v>
      </c>
      <c r="J33" s="715" t="s">
        <v>2793</v>
      </c>
      <c r="K33" s="716">
        <v>3.5199999999999999E-4</v>
      </c>
      <c r="L33" s="716">
        <v>2.0000000000000001E-4</v>
      </c>
      <c r="M33" s="655"/>
      <c r="N33" s="653"/>
      <c r="O33" s="1166"/>
      <c r="P33" s="1166"/>
      <c r="Q33" s="1166"/>
      <c r="R33" s="1166"/>
      <c r="S33" s="1166"/>
      <c r="T33" s="1166"/>
      <c r="U33" s="653"/>
    </row>
    <row r="34" spans="1:21" ht="15.75" customHeight="1">
      <c r="A34" s="690"/>
      <c r="B34" s="683"/>
      <c r="C34" s="670"/>
      <c r="D34" s="671"/>
      <c r="E34" s="676"/>
      <c r="H34" s="653"/>
      <c r="I34" s="1749" t="s">
        <v>2795</v>
      </c>
      <c r="J34" s="715" t="s">
        <v>2793</v>
      </c>
      <c r="K34" s="716">
        <v>3.5199999999999999E-4</v>
      </c>
      <c r="L34" s="716">
        <v>0</v>
      </c>
      <c r="M34" s="655"/>
      <c r="N34" s="653"/>
      <c r="O34" s="1166"/>
      <c r="P34" s="1166"/>
      <c r="Q34" s="1166"/>
      <c r="R34" s="1166"/>
      <c r="S34" s="1166"/>
      <c r="T34" s="1166"/>
      <c r="U34" s="653"/>
    </row>
    <row r="35" spans="1:21" ht="15.75" customHeight="1">
      <c r="A35" s="673"/>
      <c r="B35" s="674"/>
      <c r="C35" s="675"/>
      <c r="D35" s="671"/>
      <c r="E35" s="676"/>
      <c r="H35" s="653"/>
      <c r="I35" s="1749" t="s">
        <v>2796</v>
      </c>
      <c r="J35" s="715" t="s">
        <v>2793</v>
      </c>
      <c r="K35" s="716">
        <v>3.5199999999999999E-4</v>
      </c>
      <c r="L35" s="716">
        <v>0</v>
      </c>
      <c r="M35" s="655"/>
      <c r="N35" s="653"/>
      <c r="O35" s="1166"/>
      <c r="P35" s="1166"/>
      <c r="Q35" s="1166"/>
      <c r="R35" s="1166"/>
      <c r="S35" s="1166"/>
      <c r="T35" s="1166"/>
      <c r="U35" s="653"/>
    </row>
    <row r="36" spans="1:21" ht="15.75" customHeight="1">
      <c r="A36" s="690"/>
      <c r="B36" s="683"/>
      <c r="C36" s="670"/>
      <c r="D36" s="671"/>
      <c r="E36" s="676"/>
      <c r="H36" s="653"/>
      <c r="I36" s="1749" t="s">
        <v>2797</v>
      </c>
      <c r="J36" s="715" t="s">
        <v>2793</v>
      </c>
      <c r="K36" s="716">
        <v>3.5199999999999999E-4</v>
      </c>
      <c r="L36" s="716">
        <v>2.4800000000000001E-4</v>
      </c>
      <c r="M36" s="655"/>
      <c r="N36" s="653"/>
      <c r="O36" s="1166"/>
      <c r="P36" s="1166"/>
      <c r="Q36" s="1166"/>
      <c r="R36" s="1166"/>
      <c r="S36" s="1166"/>
      <c r="T36" s="1166"/>
      <c r="U36" s="653"/>
    </row>
    <row r="37" spans="1:21" ht="15.75" customHeight="1">
      <c r="A37" s="673"/>
      <c r="B37" s="674"/>
      <c r="C37" s="675"/>
      <c r="D37" s="671"/>
      <c r="E37" s="676"/>
      <c r="H37" s="653"/>
      <c r="I37" s="1749" t="s">
        <v>2798</v>
      </c>
      <c r="J37" s="715" t="s">
        <v>2793</v>
      </c>
      <c r="K37" s="716">
        <v>3.5199999999999999E-4</v>
      </c>
      <c r="L37" s="716">
        <v>0</v>
      </c>
      <c r="M37" s="655"/>
      <c r="N37" s="653"/>
      <c r="O37" s="1166"/>
      <c r="P37" s="1166"/>
      <c r="Q37" s="1166"/>
      <c r="R37" s="1166"/>
      <c r="S37" s="1166"/>
      <c r="T37" s="1166"/>
      <c r="U37" s="653"/>
    </row>
    <row r="38" spans="1:21" ht="15.75" customHeight="1">
      <c r="A38" s="673"/>
      <c r="B38" s="674"/>
      <c r="C38" s="675"/>
      <c r="D38" s="671"/>
      <c r="E38" s="676"/>
      <c r="H38" s="653"/>
      <c r="I38" s="1749" t="s">
        <v>2799</v>
      </c>
      <c r="J38" s="715" t="s">
        <v>2793</v>
      </c>
      <c r="K38" s="716">
        <v>3.5199999999999999E-4</v>
      </c>
      <c r="L38" s="716">
        <v>0</v>
      </c>
      <c r="M38" s="655"/>
      <c r="N38" s="653"/>
      <c r="O38" s="1166"/>
      <c r="P38" s="1166"/>
      <c r="Q38" s="1166"/>
      <c r="R38" s="1166"/>
      <c r="S38" s="1166"/>
      <c r="T38" s="1166"/>
      <c r="U38" s="653"/>
    </row>
    <row r="39" spans="1:21" ht="15.75" customHeight="1">
      <c r="A39" s="673"/>
      <c r="B39" s="674"/>
      <c r="C39" s="675"/>
      <c r="D39" s="671"/>
      <c r="E39" s="676"/>
      <c r="H39" s="653"/>
      <c r="I39" s="1749" t="s">
        <v>3716</v>
      </c>
      <c r="J39" s="715" t="s">
        <v>2793</v>
      </c>
      <c r="K39" s="716">
        <v>3.5199999999999999E-4</v>
      </c>
      <c r="L39" s="716">
        <v>0</v>
      </c>
      <c r="M39" s="655"/>
      <c r="N39" s="653"/>
      <c r="O39" s="1166"/>
      <c r="P39" s="1166"/>
      <c r="Q39" s="1166"/>
      <c r="R39" s="1166"/>
      <c r="S39" s="1166"/>
      <c r="T39" s="1166"/>
      <c r="U39" s="653"/>
    </row>
    <row r="40" spans="1:21" ht="15.75" customHeight="1">
      <c r="A40" s="673"/>
      <c r="B40" s="674"/>
      <c r="C40" s="675"/>
      <c r="D40" s="671"/>
      <c r="E40" s="676"/>
      <c r="H40" s="653"/>
      <c r="I40" s="1749" t="s">
        <v>3717</v>
      </c>
      <c r="J40" s="715" t="s">
        <v>2793</v>
      </c>
      <c r="K40" s="716">
        <v>3.5199999999999999E-4</v>
      </c>
      <c r="L40" s="716">
        <v>2.4800000000000001E-4</v>
      </c>
      <c r="M40" s="655"/>
      <c r="N40" s="653"/>
      <c r="O40" s="1166"/>
      <c r="P40" s="1166"/>
      <c r="Q40" s="1166"/>
      <c r="R40" s="1166"/>
      <c r="S40" s="1166"/>
      <c r="T40" s="1166"/>
      <c r="U40" s="653"/>
    </row>
    <row r="41" spans="1:21" ht="15.75" customHeight="1">
      <c r="A41" s="673"/>
      <c r="B41" s="674"/>
      <c r="C41" s="675"/>
      <c r="D41" s="671"/>
      <c r="E41" s="676"/>
      <c r="H41" s="653"/>
      <c r="I41" s="1749" t="s">
        <v>5403</v>
      </c>
      <c r="J41" s="715" t="s">
        <v>2793</v>
      </c>
      <c r="K41" s="716">
        <v>3.5199999999999999E-4</v>
      </c>
      <c r="L41" s="716">
        <v>1.6100000000000001E-4</v>
      </c>
      <c r="M41" s="655"/>
      <c r="N41" s="653"/>
      <c r="O41" s="1166"/>
      <c r="P41" s="1166"/>
      <c r="Q41" s="1166"/>
      <c r="R41" s="1166"/>
      <c r="S41" s="1166"/>
      <c r="T41" s="1166"/>
      <c r="U41" s="653"/>
    </row>
    <row r="42" spans="1:21" ht="15.75" customHeight="1">
      <c r="A42" s="673"/>
      <c r="B42" s="674"/>
      <c r="C42" s="675"/>
      <c r="D42" s="671"/>
      <c r="E42" s="676"/>
      <c r="H42" s="653"/>
      <c r="I42" s="1749" t="s">
        <v>5404</v>
      </c>
      <c r="J42" s="715" t="s">
        <v>2793</v>
      </c>
      <c r="K42" s="716">
        <v>3.5199999999999999E-4</v>
      </c>
      <c r="L42" s="716">
        <v>3.8900000000000002E-4</v>
      </c>
      <c r="M42" s="655"/>
      <c r="N42" s="653"/>
      <c r="O42" s="1166"/>
      <c r="P42" s="1166"/>
      <c r="Q42" s="1166"/>
      <c r="R42" s="1166"/>
      <c r="S42" s="1166"/>
      <c r="T42" s="1166"/>
      <c r="U42" s="653"/>
    </row>
    <row r="43" spans="1:21" ht="15.75" customHeight="1">
      <c r="A43" s="673"/>
      <c r="B43" s="674"/>
      <c r="C43" s="675"/>
      <c r="D43" s="671"/>
      <c r="E43" s="676"/>
      <c r="H43" s="653"/>
      <c r="I43" s="1749" t="s">
        <v>2800</v>
      </c>
      <c r="J43" s="715" t="s">
        <v>5405</v>
      </c>
      <c r="K43" s="716">
        <v>4.64E-4</v>
      </c>
      <c r="L43" s="716">
        <v>5.0000000000000001E-4</v>
      </c>
      <c r="M43" s="655"/>
      <c r="N43" s="653"/>
      <c r="O43" s="1166"/>
      <c r="P43" s="1166"/>
      <c r="Q43" s="1166"/>
      <c r="R43" s="1166"/>
      <c r="S43" s="1166"/>
      <c r="T43" s="1166"/>
      <c r="U43" s="653"/>
    </row>
    <row r="44" spans="1:21" ht="17.25" customHeight="1">
      <c r="A44" s="677"/>
      <c r="B44" s="678"/>
      <c r="C44" s="681"/>
      <c r="D44" s="680"/>
      <c r="E44" s="676"/>
      <c r="H44" s="653"/>
      <c r="I44" s="1749" t="s">
        <v>3718</v>
      </c>
      <c r="J44" s="715" t="s">
        <v>2801</v>
      </c>
      <c r="K44" s="716">
        <v>3.6200000000000002E-4</v>
      </c>
      <c r="L44" s="716">
        <v>0</v>
      </c>
      <c r="M44" s="655"/>
      <c r="N44" s="653"/>
      <c r="O44" s="1166"/>
      <c r="P44" s="1166"/>
      <c r="Q44" s="1166"/>
      <c r="R44" s="1166"/>
      <c r="S44" s="1166"/>
      <c r="T44" s="1166"/>
      <c r="U44" s="653"/>
    </row>
    <row r="45" spans="1:21" ht="17.25" customHeight="1">
      <c r="A45" s="677"/>
      <c r="B45" s="678"/>
      <c r="C45" s="681"/>
      <c r="D45" s="680"/>
      <c r="E45" s="676"/>
      <c r="H45" s="653"/>
      <c r="I45" s="1749" t="s">
        <v>3719</v>
      </c>
      <c r="J45" s="715" t="s">
        <v>2801</v>
      </c>
      <c r="K45" s="716">
        <v>3.6200000000000002E-4</v>
      </c>
      <c r="L45" s="716">
        <v>4.2299999999999998E-4</v>
      </c>
      <c r="M45" s="655"/>
      <c r="N45" s="653"/>
      <c r="O45" s="1166"/>
      <c r="P45" s="1166"/>
      <c r="Q45" s="1166"/>
      <c r="R45" s="1166"/>
      <c r="S45" s="1166"/>
      <c r="T45" s="1166"/>
      <c r="U45" s="653"/>
    </row>
    <row r="46" spans="1:21" ht="17.25" customHeight="1">
      <c r="A46" s="677"/>
      <c r="B46" s="678"/>
      <c r="C46" s="681"/>
      <c r="D46" s="680"/>
      <c r="E46" s="676"/>
      <c r="H46" s="653"/>
      <c r="I46" s="1749" t="s">
        <v>3720</v>
      </c>
      <c r="J46" s="715" t="s">
        <v>2802</v>
      </c>
      <c r="K46" s="716">
        <v>4.1599999999999997E-4</v>
      </c>
      <c r="L46" s="716">
        <v>0</v>
      </c>
      <c r="M46" s="655"/>
      <c r="N46" s="653"/>
      <c r="O46" s="1166"/>
      <c r="P46" s="1166"/>
      <c r="Q46" s="1166"/>
      <c r="R46" s="1166"/>
      <c r="S46" s="1166"/>
      <c r="T46" s="1166"/>
      <c r="U46" s="653"/>
    </row>
    <row r="47" spans="1:21" ht="18.600000000000001" customHeight="1">
      <c r="A47" s="677"/>
      <c r="B47" s="678"/>
      <c r="C47" s="681"/>
      <c r="D47" s="682"/>
      <c r="E47" s="676"/>
      <c r="H47" s="653"/>
      <c r="I47" s="1749" t="s">
        <v>3721</v>
      </c>
      <c r="J47" s="715" t="s">
        <v>2802</v>
      </c>
      <c r="K47" s="716">
        <v>4.1599999999999997E-4</v>
      </c>
      <c r="L47" s="716">
        <v>4.6500000000000003E-4</v>
      </c>
      <c r="M47" s="655"/>
      <c r="N47" s="653"/>
      <c r="O47" s="1166"/>
      <c r="P47" s="1166"/>
      <c r="Q47" s="1166"/>
      <c r="R47" s="1166"/>
      <c r="S47" s="1166"/>
      <c r="T47" s="1166"/>
      <c r="U47" s="653"/>
    </row>
    <row r="48" spans="1:21" ht="15.75" customHeight="1">
      <c r="A48" s="690"/>
      <c r="B48" s="683"/>
      <c r="C48" s="670"/>
      <c r="D48" s="671"/>
      <c r="E48" s="676"/>
      <c r="H48" s="653"/>
      <c r="I48" s="1749" t="s">
        <v>3722</v>
      </c>
      <c r="J48" s="715" t="s">
        <v>2803</v>
      </c>
      <c r="K48" s="716">
        <v>5.3600000000000002E-4</v>
      </c>
      <c r="L48" s="716">
        <v>0</v>
      </c>
      <c r="M48" s="655"/>
      <c r="N48" s="653"/>
      <c r="O48" s="1166"/>
      <c r="P48" s="1166"/>
      <c r="Q48" s="1166"/>
      <c r="R48" s="1166"/>
      <c r="S48" s="1166"/>
      <c r="T48" s="1166"/>
      <c r="U48" s="653"/>
    </row>
    <row r="49" spans="1:21" ht="15.75" customHeight="1">
      <c r="A49" s="673"/>
      <c r="B49" s="674"/>
      <c r="C49" s="675"/>
      <c r="D49" s="671"/>
      <c r="E49" s="676"/>
      <c r="H49" s="653"/>
      <c r="I49" s="1749" t="s">
        <v>3723</v>
      </c>
      <c r="J49" s="715" t="s">
        <v>2803</v>
      </c>
      <c r="K49" s="716">
        <v>5.3600000000000002E-4</v>
      </c>
      <c r="L49" s="716">
        <v>4.9799999999999996E-4</v>
      </c>
      <c r="M49" s="655"/>
      <c r="N49" s="653"/>
      <c r="O49" s="1166"/>
      <c r="P49" s="1166"/>
      <c r="Q49" s="1166"/>
      <c r="R49" s="1166"/>
      <c r="S49" s="1166"/>
      <c r="T49" s="1166"/>
      <c r="U49" s="653"/>
    </row>
    <row r="50" spans="1:21" ht="15.75" customHeight="1">
      <c r="A50" s="673"/>
      <c r="B50" s="674"/>
      <c r="C50" s="675"/>
      <c r="D50" s="671"/>
      <c r="E50" s="676"/>
      <c r="H50" s="653"/>
      <c r="I50" s="1749" t="s">
        <v>2804</v>
      </c>
      <c r="J50" s="715" t="s">
        <v>2805</v>
      </c>
      <c r="K50" s="716">
        <v>1.64E-4</v>
      </c>
      <c r="L50" s="716">
        <v>0</v>
      </c>
      <c r="M50" s="655"/>
      <c r="N50" s="653"/>
      <c r="O50" s="1166"/>
      <c r="P50" s="1166"/>
      <c r="Q50" s="1166"/>
      <c r="R50" s="1166"/>
      <c r="S50" s="1166"/>
      <c r="T50" s="1166"/>
      <c r="U50" s="653"/>
    </row>
    <row r="51" spans="1:21" ht="15.75" customHeight="1">
      <c r="A51" s="673"/>
      <c r="B51" s="674"/>
      <c r="C51" s="675"/>
      <c r="D51" s="671"/>
      <c r="E51" s="676"/>
      <c r="H51" s="653"/>
      <c r="I51" s="1749" t="s">
        <v>2806</v>
      </c>
      <c r="J51" s="715" t="s">
        <v>2805</v>
      </c>
      <c r="K51" s="716">
        <v>1.64E-4</v>
      </c>
      <c r="L51" s="716">
        <v>2.1699999999999999E-4</v>
      </c>
      <c r="M51" s="655"/>
      <c r="N51" s="653"/>
      <c r="O51" s="1166"/>
      <c r="P51" s="1166"/>
      <c r="Q51" s="1166"/>
      <c r="R51" s="1166"/>
      <c r="S51" s="1166"/>
      <c r="T51" s="1166"/>
      <c r="U51" s="653"/>
    </row>
    <row r="52" spans="1:21" ht="15.75" customHeight="1">
      <c r="A52" s="673"/>
      <c r="B52" s="674"/>
      <c r="C52" s="675"/>
      <c r="D52" s="671"/>
      <c r="E52" s="676"/>
      <c r="H52" s="653"/>
      <c r="I52" s="1749" t="s">
        <v>2807</v>
      </c>
      <c r="J52" s="715" t="s">
        <v>2805</v>
      </c>
      <c r="K52" s="716">
        <v>1.64E-4</v>
      </c>
      <c r="L52" s="716">
        <v>2.8200000000000002E-4</v>
      </c>
      <c r="M52" s="655"/>
      <c r="N52" s="653"/>
      <c r="O52" s="1166"/>
      <c r="P52" s="1166"/>
      <c r="Q52" s="1166"/>
      <c r="R52" s="1166"/>
      <c r="S52" s="1166"/>
      <c r="T52" s="1166"/>
      <c r="U52" s="653"/>
    </row>
    <row r="53" spans="1:21" ht="15.75" customHeight="1">
      <c r="A53" s="690"/>
      <c r="B53" s="683"/>
      <c r="C53" s="670"/>
      <c r="D53" s="671"/>
      <c r="E53" s="676"/>
      <c r="H53" s="653"/>
      <c r="I53" s="1749" t="s">
        <v>2808</v>
      </c>
      <c r="J53" s="715" t="s">
        <v>2805</v>
      </c>
      <c r="K53" s="716">
        <v>1.64E-4</v>
      </c>
      <c r="L53" s="716">
        <v>3.0400000000000002E-4</v>
      </c>
      <c r="M53" s="655"/>
      <c r="N53" s="692"/>
      <c r="O53" s="1166"/>
      <c r="P53" s="1166"/>
      <c r="Q53" s="1166"/>
      <c r="R53" s="1166"/>
      <c r="S53" s="1166"/>
      <c r="T53" s="1166"/>
      <c r="U53" s="653"/>
    </row>
    <row r="54" spans="1:21" ht="15.75" customHeight="1">
      <c r="A54" s="673"/>
      <c r="B54" s="674"/>
      <c r="C54" s="675"/>
      <c r="D54" s="671"/>
      <c r="E54" s="676"/>
      <c r="H54" s="653"/>
      <c r="I54" s="1749" t="s">
        <v>5406</v>
      </c>
      <c r="J54" s="715" t="s">
        <v>2805</v>
      </c>
      <c r="K54" s="716">
        <v>1.64E-4</v>
      </c>
      <c r="L54" s="716">
        <v>5.62E-4</v>
      </c>
      <c r="M54" s="655"/>
      <c r="N54" s="653"/>
      <c r="O54" s="1166"/>
      <c r="P54" s="1166"/>
      <c r="Q54" s="1166"/>
      <c r="R54" s="1166"/>
      <c r="S54" s="1166"/>
      <c r="T54" s="1166"/>
      <c r="U54" s="653"/>
    </row>
    <row r="55" spans="1:21" ht="15.75" customHeight="1">
      <c r="A55" s="691"/>
      <c r="B55" s="685"/>
      <c r="C55" s="686"/>
      <c r="D55" s="671"/>
      <c r="E55" s="676"/>
      <c r="H55" s="653"/>
      <c r="I55" s="1749" t="s">
        <v>2809</v>
      </c>
      <c r="J55" s="715" t="s">
        <v>2810</v>
      </c>
      <c r="K55" s="716">
        <v>2.1100000000000001E-4</v>
      </c>
      <c r="L55" s="716">
        <v>4.3999999999999999E-5</v>
      </c>
      <c r="M55" s="655"/>
      <c r="N55" s="653"/>
      <c r="O55" s="1166"/>
      <c r="P55" s="1166"/>
      <c r="Q55" s="1166"/>
      <c r="R55" s="1166"/>
      <c r="S55" s="1166"/>
      <c r="T55" s="1166"/>
      <c r="U55" s="653"/>
    </row>
    <row r="56" spans="1:21" ht="15.75" customHeight="1">
      <c r="A56" s="687"/>
      <c r="B56" s="688"/>
      <c r="C56" s="689"/>
      <c r="D56" s="671"/>
      <c r="E56" s="676"/>
      <c r="H56" s="653"/>
      <c r="I56" s="1749" t="s">
        <v>3724</v>
      </c>
      <c r="J56" s="715" t="s">
        <v>2810</v>
      </c>
      <c r="K56" s="716">
        <v>2.1100000000000001E-4</v>
      </c>
      <c r="L56" s="716">
        <v>2.1000000000000001E-4</v>
      </c>
      <c r="M56" s="655"/>
      <c r="N56" s="653"/>
      <c r="O56" s="1166"/>
      <c r="P56" s="1166"/>
      <c r="Q56" s="1166"/>
      <c r="R56" s="1166"/>
      <c r="S56" s="1166"/>
      <c r="T56" s="1166"/>
      <c r="U56" s="653"/>
    </row>
    <row r="57" spans="1:21" ht="15.75" customHeight="1">
      <c r="A57" s="687"/>
      <c r="B57" s="688"/>
      <c r="C57" s="689"/>
      <c r="D57" s="671"/>
      <c r="E57" s="676"/>
      <c r="H57" s="653"/>
      <c r="I57" s="1749" t="s">
        <v>2812</v>
      </c>
      <c r="J57" s="715" t="s">
        <v>2813</v>
      </c>
      <c r="K57" s="716">
        <v>4.4900000000000002E-4</v>
      </c>
      <c r="L57" s="716">
        <v>2.3900000000000001E-4</v>
      </c>
      <c r="M57" s="655"/>
      <c r="N57" s="653"/>
      <c r="O57" s="1166"/>
      <c r="P57" s="1166"/>
      <c r="Q57" s="1166"/>
      <c r="R57" s="1166"/>
      <c r="S57" s="1166"/>
      <c r="T57" s="1166"/>
      <c r="U57" s="653"/>
    </row>
    <row r="58" spans="1:21" ht="15.75" customHeight="1">
      <c r="A58" s="690"/>
      <c r="B58" s="683"/>
      <c r="C58" s="670"/>
      <c r="D58" s="671"/>
      <c r="E58" s="676"/>
      <c r="H58" s="653"/>
      <c r="I58" s="1749" t="s">
        <v>2814</v>
      </c>
      <c r="J58" s="715" t="s">
        <v>2813</v>
      </c>
      <c r="K58" s="716">
        <v>4.4900000000000002E-4</v>
      </c>
      <c r="L58" s="716">
        <v>0</v>
      </c>
      <c r="M58" s="655"/>
      <c r="N58" s="653"/>
      <c r="O58" s="1166"/>
      <c r="P58" s="1166"/>
      <c r="Q58" s="1166"/>
      <c r="R58" s="1166"/>
      <c r="S58" s="1166"/>
      <c r="T58" s="1166"/>
      <c r="U58" s="653"/>
    </row>
    <row r="59" spans="1:21" ht="15.75" customHeight="1">
      <c r="A59" s="673"/>
      <c r="B59" s="674"/>
      <c r="C59" s="675"/>
      <c r="D59" s="671"/>
      <c r="E59" s="676"/>
      <c r="H59" s="653"/>
      <c r="I59" s="1749" t="s">
        <v>5407</v>
      </c>
      <c r="J59" s="715" t="s">
        <v>2813</v>
      </c>
      <c r="K59" s="716">
        <v>4.4900000000000002E-4</v>
      </c>
      <c r="L59" s="716">
        <v>3.9100000000000002E-4</v>
      </c>
      <c r="M59" s="655"/>
      <c r="N59" s="653"/>
      <c r="O59" s="1166"/>
      <c r="P59" s="1166"/>
      <c r="Q59" s="1166"/>
      <c r="R59" s="1166"/>
      <c r="S59" s="1166"/>
      <c r="T59" s="1166"/>
      <c r="U59" s="653"/>
    </row>
    <row r="60" spans="1:21" ht="15.75" customHeight="1">
      <c r="A60" s="673"/>
      <c r="B60" s="674"/>
      <c r="C60" s="675"/>
      <c r="D60" s="671"/>
      <c r="E60" s="676"/>
      <c r="H60" s="653"/>
      <c r="I60" s="1749" t="s">
        <v>5408</v>
      </c>
      <c r="J60" s="715" t="s">
        <v>2813</v>
      </c>
      <c r="K60" s="716">
        <v>4.4900000000000002E-4</v>
      </c>
      <c r="L60" s="716">
        <v>4.84E-4</v>
      </c>
      <c r="M60" s="655"/>
      <c r="N60" s="692" t="s">
        <v>2811</v>
      </c>
      <c r="O60" s="1166"/>
      <c r="P60" s="1166"/>
      <c r="Q60" s="1166"/>
      <c r="R60" s="1166"/>
      <c r="S60" s="1166"/>
      <c r="T60" s="1166"/>
      <c r="U60" s="653"/>
    </row>
    <row r="61" spans="1:21" ht="15.75" customHeight="1">
      <c r="A61" s="673"/>
      <c r="B61" s="674"/>
      <c r="C61" s="675"/>
      <c r="D61" s="671"/>
      <c r="E61" s="676"/>
      <c r="H61" s="653"/>
      <c r="I61" s="1749" t="s">
        <v>2816</v>
      </c>
      <c r="J61" s="715" t="s">
        <v>2817</v>
      </c>
      <c r="K61" s="716">
        <v>1.8000000000000001E-4</v>
      </c>
      <c r="L61" s="716">
        <v>0</v>
      </c>
      <c r="M61" s="655"/>
      <c r="N61" s="653"/>
      <c r="O61" s="1166"/>
      <c r="P61" s="1166"/>
      <c r="Q61" s="1166"/>
      <c r="R61" s="1166"/>
      <c r="S61" s="1166"/>
      <c r="T61" s="1166"/>
      <c r="U61" s="653"/>
    </row>
    <row r="62" spans="1:21" ht="15.75" customHeight="1">
      <c r="A62" s="673"/>
      <c r="B62" s="674"/>
      <c r="C62" s="675"/>
      <c r="D62" s="671"/>
      <c r="E62" s="676"/>
      <c r="H62" s="653"/>
      <c r="I62" s="1749" t="s">
        <v>2818</v>
      </c>
      <c r="J62" s="715" t="s">
        <v>2817</v>
      </c>
      <c r="K62" s="716">
        <v>1.8000000000000001E-4</v>
      </c>
      <c r="L62" s="716">
        <v>0</v>
      </c>
      <c r="M62" s="655"/>
      <c r="N62" s="653" t="s">
        <v>4285</v>
      </c>
      <c r="O62" s="1166"/>
      <c r="P62" s="1166"/>
      <c r="Q62" s="1166"/>
      <c r="R62" s="1166"/>
      <c r="S62" s="1166"/>
      <c r="T62" s="1166"/>
      <c r="U62" s="653"/>
    </row>
    <row r="63" spans="1:21" ht="15.75" customHeight="1">
      <c r="A63" s="673"/>
      <c r="B63" s="674"/>
      <c r="C63" s="675"/>
      <c r="D63" s="671"/>
      <c r="E63" s="676"/>
      <c r="H63" s="653"/>
      <c r="I63" s="1749" t="s">
        <v>2819</v>
      </c>
      <c r="J63" s="715" t="s">
        <v>2817</v>
      </c>
      <c r="K63" s="716">
        <v>1.8000000000000001E-4</v>
      </c>
      <c r="L63" s="716">
        <v>2.5900000000000001E-4</v>
      </c>
      <c r="M63" s="655"/>
      <c r="N63" s="653"/>
      <c r="O63" s="1166" t="s">
        <v>2815</v>
      </c>
      <c r="P63" s="1166"/>
      <c r="Q63" s="1166"/>
      <c r="R63" s="1166"/>
      <c r="S63" s="1166"/>
      <c r="T63" s="1166"/>
      <c r="U63" s="653"/>
    </row>
    <row r="64" spans="1:21" ht="15.75" customHeight="1">
      <c r="A64" s="673"/>
      <c r="B64" s="674"/>
      <c r="C64" s="675"/>
      <c r="D64" s="671"/>
      <c r="E64" s="676"/>
      <c r="H64" s="653"/>
      <c r="I64" s="1749" t="s">
        <v>2820</v>
      </c>
      <c r="J64" s="715" t="s">
        <v>2817</v>
      </c>
      <c r="K64" s="716">
        <v>1.8000000000000001E-4</v>
      </c>
      <c r="L64" s="716">
        <v>2.5999999999999998E-4</v>
      </c>
      <c r="M64" s="655"/>
      <c r="N64" s="653"/>
      <c r="O64" s="1166"/>
      <c r="P64" s="1166"/>
      <c r="Q64" s="1166"/>
      <c r="R64" s="1166"/>
      <c r="S64" s="1166"/>
      <c r="T64" s="1166"/>
      <c r="U64" s="653"/>
    </row>
    <row r="65" spans="1:21" ht="15.75" customHeight="1">
      <c r="A65" s="673"/>
      <c r="B65" s="674"/>
      <c r="C65" s="675"/>
      <c r="D65" s="671"/>
      <c r="E65" s="676"/>
      <c r="H65" s="653"/>
      <c r="I65" s="1749" t="s">
        <v>2821</v>
      </c>
      <c r="J65" s="715" t="s">
        <v>2817</v>
      </c>
      <c r="K65" s="716">
        <v>1.8000000000000001E-4</v>
      </c>
      <c r="L65" s="716">
        <v>2.2599999999999999E-4</v>
      </c>
      <c r="M65" s="655"/>
      <c r="N65" s="653" t="s">
        <v>4286</v>
      </c>
      <c r="O65" s="1166"/>
      <c r="P65" s="1166"/>
      <c r="Q65" s="1166"/>
      <c r="R65" s="1166"/>
      <c r="S65" s="1166"/>
      <c r="T65" s="1166"/>
      <c r="U65" s="653"/>
    </row>
    <row r="66" spans="1:21" ht="15.75" customHeight="1">
      <c r="A66" s="673"/>
      <c r="B66" s="674"/>
      <c r="C66" s="675"/>
      <c r="D66" s="671"/>
      <c r="E66" s="676"/>
      <c r="H66" s="653"/>
      <c r="I66" s="1749" t="s">
        <v>2822</v>
      </c>
      <c r="J66" s="715" t="s">
        <v>2817</v>
      </c>
      <c r="K66" s="716">
        <v>1.8000000000000001E-4</v>
      </c>
      <c r="L66" s="716">
        <v>2.1800000000000001E-4</v>
      </c>
      <c r="M66" s="655"/>
      <c r="N66" s="653"/>
      <c r="O66" s="1166" t="s">
        <v>4287</v>
      </c>
      <c r="P66" s="1166"/>
      <c r="Q66" s="1166"/>
      <c r="R66" s="1166"/>
      <c r="S66" s="1166"/>
      <c r="T66" s="1166"/>
      <c r="U66" s="653"/>
    </row>
    <row r="67" spans="1:21" ht="15.75" customHeight="1">
      <c r="A67" s="673"/>
      <c r="B67" s="674"/>
      <c r="C67" s="675"/>
      <c r="D67" s="671"/>
      <c r="E67" s="676"/>
      <c r="H67" s="653"/>
      <c r="I67" s="1749" t="s">
        <v>2823</v>
      </c>
      <c r="J67" s="715" t="s">
        <v>2817</v>
      </c>
      <c r="K67" s="716">
        <v>1.8000000000000001E-4</v>
      </c>
      <c r="L67" s="716">
        <v>3.2000000000000003E-4</v>
      </c>
      <c r="M67" s="655"/>
      <c r="N67" s="653"/>
      <c r="O67" s="1166"/>
      <c r="P67" s="1166"/>
      <c r="Q67" s="1166"/>
      <c r="R67" s="1166"/>
      <c r="S67" s="1166"/>
      <c r="T67" s="1166"/>
      <c r="U67" s="653"/>
    </row>
    <row r="68" spans="1:21" ht="15.75" customHeight="1">
      <c r="A68" s="673"/>
      <c r="B68" s="674"/>
      <c r="C68" s="675"/>
      <c r="D68" s="671"/>
      <c r="E68" s="676"/>
      <c r="H68" s="653"/>
      <c r="I68" s="1749" t="s">
        <v>2824</v>
      </c>
      <c r="J68" s="715" t="s">
        <v>2817</v>
      </c>
      <c r="K68" s="716">
        <v>1.8000000000000001E-4</v>
      </c>
      <c r="L68" s="716">
        <v>3.7800000000000003E-4</v>
      </c>
      <c r="M68" s="655"/>
      <c r="N68" s="653"/>
      <c r="O68" s="653"/>
      <c r="P68" s="653"/>
      <c r="Q68" s="653"/>
      <c r="R68" s="653"/>
      <c r="S68" s="653"/>
      <c r="T68" s="653"/>
      <c r="U68" s="653"/>
    </row>
    <row r="69" spans="1:21" ht="15.75" customHeight="1">
      <c r="A69" s="673"/>
      <c r="B69" s="674"/>
      <c r="C69" s="675"/>
      <c r="D69" s="671"/>
      <c r="E69" s="676"/>
      <c r="H69" s="653"/>
      <c r="I69" s="1749" t="s">
        <v>2825</v>
      </c>
      <c r="J69" s="715" t="s">
        <v>2817</v>
      </c>
      <c r="K69" s="716">
        <v>1.8000000000000001E-4</v>
      </c>
      <c r="L69" s="716">
        <v>2.5000000000000001E-4</v>
      </c>
      <c r="M69" s="655"/>
      <c r="N69" s="653"/>
      <c r="O69" s="653"/>
      <c r="P69" s="653"/>
      <c r="Q69" s="653"/>
      <c r="R69" s="653"/>
      <c r="S69" s="653"/>
      <c r="T69" s="653"/>
      <c r="U69" s="653"/>
    </row>
    <row r="70" spans="1:21" ht="15.75" customHeight="1">
      <c r="A70" s="673"/>
      <c r="B70" s="674"/>
      <c r="C70" s="675"/>
      <c r="D70" s="671"/>
      <c r="E70" s="676"/>
      <c r="H70" s="653"/>
      <c r="I70" s="1749" t="s">
        <v>2826</v>
      </c>
      <c r="J70" s="715" t="s">
        <v>2817</v>
      </c>
      <c r="K70" s="716">
        <v>1.8000000000000001E-4</v>
      </c>
      <c r="L70" s="716">
        <v>3.5E-4</v>
      </c>
      <c r="M70" s="655"/>
      <c r="N70" s="653"/>
      <c r="O70" s="653"/>
      <c r="P70" s="653"/>
      <c r="Q70" s="653"/>
      <c r="R70" s="653"/>
      <c r="S70" s="653"/>
      <c r="T70" s="653"/>
      <c r="U70" s="653"/>
    </row>
    <row r="71" spans="1:21" ht="17.25" customHeight="1">
      <c r="A71" s="677"/>
      <c r="B71" s="678"/>
      <c r="C71" s="681"/>
      <c r="D71" s="680"/>
      <c r="E71" s="676"/>
      <c r="H71" s="653"/>
      <c r="I71" s="1749" t="s">
        <v>2827</v>
      </c>
      <c r="J71" s="715" t="s">
        <v>2817</v>
      </c>
      <c r="K71" s="716">
        <v>1.8000000000000001E-4</v>
      </c>
      <c r="L71" s="716">
        <v>1.8100000000000001E-4</v>
      </c>
      <c r="M71" s="655"/>
      <c r="N71" s="653"/>
      <c r="O71" s="653"/>
      <c r="P71" s="653"/>
      <c r="Q71" s="653"/>
      <c r="R71" s="653"/>
      <c r="S71" s="653"/>
      <c r="T71" s="653"/>
      <c r="U71" s="653"/>
    </row>
    <row r="72" spans="1:21" ht="15.75" customHeight="1">
      <c r="A72" s="691"/>
      <c r="B72" s="685"/>
      <c r="C72" s="686"/>
      <c r="D72" s="671"/>
      <c r="E72" s="676"/>
      <c r="H72" s="653"/>
      <c r="I72" s="1749" t="s">
        <v>2828</v>
      </c>
      <c r="J72" s="715" t="s">
        <v>2817</v>
      </c>
      <c r="K72" s="716">
        <v>1.8000000000000001E-4</v>
      </c>
      <c r="L72" s="716">
        <v>2.34E-4</v>
      </c>
      <c r="M72" s="655"/>
      <c r="N72" s="653"/>
      <c r="O72" s="653"/>
      <c r="P72" s="653"/>
      <c r="Q72" s="653"/>
      <c r="R72" s="653"/>
      <c r="S72" s="653"/>
      <c r="T72" s="653"/>
      <c r="U72" s="653"/>
    </row>
    <row r="73" spans="1:21" ht="15.75" customHeight="1">
      <c r="A73" s="687"/>
      <c r="B73" s="688"/>
      <c r="C73" s="689"/>
      <c r="D73" s="671"/>
      <c r="E73" s="676"/>
      <c r="H73" s="653"/>
      <c r="I73" s="1749" t="s">
        <v>3725</v>
      </c>
      <c r="J73" s="715" t="s">
        <v>2817</v>
      </c>
      <c r="K73" s="716">
        <v>1.8000000000000001E-4</v>
      </c>
      <c r="L73" s="716">
        <v>3.8699999999999997E-4</v>
      </c>
      <c r="M73" s="655"/>
      <c r="N73" s="653"/>
      <c r="O73" s="653"/>
      <c r="P73" s="653"/>
      <c r="Q73" s="653"/>
      <c r="R73" s="653"/>
      <c r="S73" s="653"/>
      <c r="T73" s="653"/>
      <c r="U73" s="653"/>
    </row>
    <row r="74" spans="1:21" ht="15.75" customHeight="1">
      <c r="A74" s="687"/>
      <c r="B74" s="688"/>
      <c r="C74" s="689"/>
      <c r="D74" s="671"/>
      <c r="E74" s="676"/>
      <c r="H74" s="653"/>
      <c r="I74" s="1749" t="s">
        <v>5409</v>
      </c>
      <c r="J74" s="715" t="s">
        <v>2817</v>
      </c>
      <c r="K74" s="716">
        <v>1.8000000000000001E-4</v>
      </c>
      <c r="L74" s="716">
        <v>6.7999999999999999E-5</v>
      </c>
      <c r="M74" s="655"/>
      <c r="N74" s="653"/>
      <c r="O74" s="653"/>
      <c r="P74" s="653"/>
      <c r="Q74" s="653"/>
      <c r="R74" s="653"/>
      <c r="S74" s="653"/>
      <c r="T74" s="653"/>
      <c r="U74" s="653"/>
    </row>
    <row r="75" spans="1:21" ht="15.75" customHeight="1">
      <c r="A75" s="690"/>
      <c r="B75" s="683"/>
      <c r="C75" s="670"/>
      <c r="D75" s="671"/>
      <c r="E75" s="676"/>
      <c r="H75" s="653"/>
      <c r="I75" s="1749" t="s">
        <v>5410</v>
      </c>
      <c r="J75" s="715" t="s">
        <v>2817</v>
      </c>
      <c r="K75" s="716">
        <v>1.8000000000000001E-4</v>
      </c>
      <c r="L75" s="716">
        <v>2.12E-4</v>
      </c>
      <c r="M75" s="655"/>
      <c r="N75" s="653"/>
      <c r="O75" s="653"/>
      <c r="P75" s="653"/>
      <c r="Q75" s="653"/>
      <c r="R75" s="653"/>
      <c r="S75" s="653"/>
      <c r="T75" s="653"/>
      <c r="U75" s="653"/>
    </row>
    <row r="76" spans="1:21" ht="15.75" customHeight="1">
      <c r="A76" s="673"/>
      <c r="B76" s="674"/>
      <c r="C76" s="675"/>
      <c r="D76" s="671"/>
      <c r="E76" s="676"/>
      <c r="H76" s="653"/>
      <c r="I76" s="1749" t="s">
        <v>5411</v>
      </c>
      <c r="J76" s="715" t="s">
        <v>2817</v>
      </c>
      <c r="K76" s="716">
        <v>1.8000000000000001E-4</v>
      </c>
      <c r="L76" s="716">
        <v>1.85E-4</v>
      </c>
      <c r="M76" s="655"/>
      <c r="N76" s="653"/>
      <c r="O76" s="653"/>
      <c r="P76" s="653"/>
      <c r="Q76" s="653"/>
      <c r="R76" s="653"/>
      <c r="S76" s="653"/>
      <c r="T76" s="653"/>
      <c r="U76" s="653"/>
    </row>
    <row r="77" spans="1:21" ht="15.75" customHeight="1">
      <c r="A77" s="673"/>
      <c r="B77" s="674"/>
      <c r="C77" s="675"/>
      <c r="D77" s="671"/>
      <c r="E77" s="676"/>
      <c r="H77" s="653"/>
      <c r="I77" s="1749" t="s">
        <v>3726</v>
      </c>
      <c r="J77" s="715" t="s">
        <v>2829</v>
      </c>
      <c r="K77" s="716">
        <v>6.9999999999999994E-5</v>
      </c>
      <c r="L77" s="716">
        <v>0</v>
      </c>
      <c r="M77" s="655"/>
      <c r="N77" s="653"/>
      <c r="O77" s="653"/>
      <c r="P77" s="653"/>
      <c r="Q77" s="653"/>
      <c r="R77" s="653"/>
      <c r="S77" s="653"/>
      <c r="T77" s="653"/>
      <c r="U77" s="653"/>
    </row>
    <row r="78" spans="1:21" ht="15.75" customHeight="1">
      <c r="A78" s="673"/>
      <c r="B78" s="674"/>
      <c r="C78" s="675"/>
      <c r="D78" s="671"/>
      <c r="E78" s="676"/>
      <c r="H78" s="653"/>
      <c r="I78" s="1749" t="s">
        <v>5412</v>
      </c>
      <c r="J78" s="715" t="s">
        <v>2829</v>
      </c>
      <c r="K78" s="716">
        <v>6.9999999999999994E-5</v>
      </c>
      <c r="L78" s="716">
        <v>0</v>
      </c>
      <c r="M78" s="655"/>
      <c r="N78" s="653"/>
      <c r="O78" s="653"/>
      <c r="P78" s="653"/>
      <c r="Q78" s="653"/>
      <c r="R78" s="653"/>
      <c r="S78" s="653"/>
      <c r="T78" s="653"/>
      <c r="U78" s="653"/>
    </row>
    <row r="79" spans="1:21">
      <c r="A79" s="677"/>
      <c r="B79" s="678"/>
      <c r="C79" s="681"/>
      <c r="D79" s="682"/>
      <c r="E79" s="676"/>
      <c r="H79" s="653"/>
      <c r="I79" s="1749" t="s">
        <v>5413</v>
      </c>
      <c r="J79" s="715" t="s">
        <v>2829</v>
      </c>
      <c r="K79" s="716">
        <v>6.9999999999999994E-5</v>
      </c>
      <c r="L79" s="716">
        <v>8.0000000000000007E-5</v>
      </c>
      <c r="M79" s="655"/>
      <c r="N79" s="653"/>
      <c r="O79" s="653"/>
      <c r="P79" s="653"/>
      <c r="Q79" s="653"/>
      <c r="R79" s="653"/>
      <c r="S79" s="653"/>
      <c r="T79" s="653"/>
      <c r="U79" s="653"/>
    </row>
    <row r="80" spans="1:21" ht="17.25" customHeight="1">
      <c r="A80" s="677"/>
      <c r="B80" s="678"/>
      <c r="C80" s="681"/>
      <c r="D80" s="680"/>
      <c r="E80" s="676"/>
      <c r="H80" s="653"/>
      <c r="I80" s="1749" t="s">
        <v>2830</v>
      </c>
      <c r="J80" s="715" t="s">
        <v>2831</v>
      </c>
      <c r="K80" s="716">
        <v>4.4099999999999999E-4</v>
      </c>
      <c r="L80" s="716">
        <v>0</v>
      </c>
      <c r="M80" s="655"/>
      <c r="N80" s="653"/>
      <c r="O80" s="653"/>
      <c r="P80" s="653"/>
      <c r="Q80" s="653"/>
      <c r="R80" s="653"/>
      <c r="S80" s="653"/>
      <c r="T80" s="653"/>
      <c r="U80" s="653"/>
    </row>
    <row r="81" spans="1:21" ht="17.25" customHeight="1">
      <c r="A81" s="677"/>
      <c r="B81" s="693"/>
      <c r="C81" s="681"/>
      <c r="D81" s="680"/>
      <c r="E81" s="676"/>
      <c r="H81" s="653"/>
      <c r="I81" s="1749" t="s">
        <v>2832</v>
      </c>
      <c r="J81" s="715" t="s">
        <v>2831</v>
      </c>
      <c r="K81" s="716">
        <v>4.4099999999999999E-4</v>
      </c>
      <c r="L81" s="716">
        <v>3.6200000000000002E-4</v>
      </c>
      <c r="M81" s="655"/>
      <c r="N81" s="653"/>
      <c r="O81" s="653"/>
      <c r="P81" s="653"/>
      <c r="Q81" s="653"/>
      <c r="R81" s="653"/>
      <c r="S81" s="653"/>
      <c r="T81" s="653"/>
      <c r="U81" s="653"/>
    </row>
    <row r="82" spans="1:21" ht="15.75" customHeight="1">
      <c r="A82" s="690"/>
      <c r="B82" s="683"/>
      <c r="C82" s="670"/>
      <c r="D82" s="671"/>
      <c r="E82" s="676"/>
      <c r="H82" s="653"/>
      <c r="I82" s="1749" t="s">
        <v>5414</v>
      </c>
      <c r="J82" s="715" t="s">
        <v>2831</v>
      </c>
      <c r="K82" s="716">
        <v>4.4099999999999999E-4</v>
      </c>
      <c r="L82" s="716">
        <v>1.76E-4</v>
      </c>
      <c r="M82" s="655"/>
      <c r="N82" s="653"/>
      <c r="O82" s="653"/>
      <c r="P82" s="653"/>
      <c r="Q82" s="653"/>
      <c r="R82" s="653"/>
      <c r="S82" s="653"/>
      <c r="T82" s="653"/>
      <c r="U82" s="653"/>
    </row>
    <row r="83" spans="1:21" ht="15.75" customHeight="1">
      <c r="A83" s="673"/>
      <c r="B83" s="674"/>
      <c r="C83" s="675"/>
      <c r="D83" s="671"/>
      <c r="E83" s="676"/>
      <c r="H83" s="653"/>
      <c r="I83" s="1749" t="s">
        <v>5415</v>
      </c>
      <c r="J83" s="715" t="s">
        <v>2831</v>
      </c>
      <c r="K83" s="716">
        <v>4.4099999999999999E-4</v>
      </c>
      <c r="L83" s="716">
        <v>0</v>
      </c>
      <c r="M83" s="655"/>
      <c r="N83" s="653"/>
      <c r="O83" s="653"/>
      <c r="P83" s="653"/>
      <c r="Q83" s="653"/>
      <c r="R83" s="653"/>
      <c r="S83" s="653"/>
      <c r="T83" s="653"/>
      <c r="U83" s="653"/>
    </row>
    <row r="84" spans="1:21" ht="17.25" customHeight="1">
      <c r="A84" s="677"/>
      <c r="B84" s="678"/>
      <c r="C84" s="681"/>
      <c r="D84" s="680"/>
      <c r="E84" s="676"/>
      <c r="H84" s="653"/>
      <c r="I84" s="1749" t="s">
        <v>5416</v>
      </c>
      <c r="J84" s="715" t="s">
        <v>2831</v>
      </c>
      <c r="K84" s="716">
        <v>4.4099999999999999E-4</v>
      </c>
      <c r="L84" s="716">
        <v>4.1300000000000001E-4</v>
      </c>
      <c r="M84" s="655"/>
      <c r="N84" s="653"/>
      <c r="O84" s="653"/>
      <c r="P84" s="653"/>
      <c r="Q84" s="653"/>
      <c r="R84" s="653"/>
      <c r="S84" s="653"/>
      <c r="T84" s="653"/>
      <c r="U84" s="653"/>
    </row>
    <row r="85" spans="1:21" ht="15.75" customHeight="1">
      <c r="A85" s="690"/>
      <c r="B85" s="683"/>
      <c r="C85" s="670"/>
      <c r="D85" s="671"/>
      <c r="E85" s="676"/>
      <c r="H85" s="653"/>
      <c r="I85" s="1749" t="s">
        <v>2833</v>
      </c>
      <c r="J85" s="715" t="s">
        <v>2834</v>
      </c>
      <c r="K85" s="716">
        <v>2.5999999999999998E-4</v>
      </c>
      <c r="L85" s="716">
        <v>0</v>
      </c>
      <c r="M85" s="655"/>
      <c r="N85" s="653"/>
      <c r="O85" s="653"/>
      <c r="P85" s="653"/>
      <c r="Q85" s="653"/>
      <c r="R85" s="653"/>
      <c r="S85" s="653"/>
      <c r="T85" s="653"/>
      <c r="U85" s="653"/>
    </row>
    <row r="86" spans="1:21" ht="15.75" customHeight="1">
      <c r="A86" s="673"/>
      <c r="B86" s="674"/>
      <c r="C86" s="675"/>
      <c r="D86" s="671"/>
      <c r="E86" s="676"/>
      <c r="H86" s="653"/>
      <c r="I86" s="1749" t="s">
        <v>2835</v>
      </c>
      <c r="J86" s="715" t="s">
        <v>2834</v>
      </c>
      <c r="K86" s="716">
        <v>2.5999999999999998E-4</v>
      </c>
      <c r="L86" s="716">
        <v>0</v>
      </c>
      <c r="M86" s="655"/>
      <c r="N86" s="653"/>
      <c r="O86" s="653"/>
      <c r="P86" s="653"/>
      <c r="Q86" s="653"/>
      <c r="R86" s="653"/>
      <c r="S86" s="653"/>
      <c r="T86" s="653"/>
      <c r="U86" s="653"/>
    </row>
    <row r="87" spans="1:21" ht="17.25" customHeight="1">
      <c r="A87" s="677"/>
      <c r="B87" s="678"/>
      <c r="C87" s="681"/>
      <c r="D87" s="680"/>
      <c r="E87" s="676"/>
      <c r="H87" s="653"/>
      <c r="I87" s="1749" t="s">
        <v>2836</v>
      </c>
      <c r="J87" s="715" t="s">
        <v>2834</v>
      </c>
      <c r="K87" s="716">
        <v>2.5999999999999998E-4</v>
      </c>
      <c r="L87" s="716">
        <v>2.0000000000000001E-4</v>
      </c>
      <c r="M87" s="655"/>
      <c r="N87" s="653"/>
      <c r="O87" s="653"/>
      <c r="P87" s="653"/>
      <c r="Q87" s="653"/>
      <c r="R87" s="653"/>
      <c r="S87" s="653"/>
      <c r="T87" s="653"/>
      <c r="U87" s="653"/>
    </row>
    <row r="88" spans="1:21" ht="17.25" customHeight="1">
      <c r="A88" s="677"/>
      <c r="B88" s="678"/>
      <c r="C88" s="681"/>
      <c r="D88" s="680"/>
      <c r="E88" s="676"/>
      <c r="H88" s="653"/>
      <c r="I88" s="1749" t="s">
        <v>3727</v>
      </c>
      <c r="J88" s="715" t="s">
        <v>2834</v>
      </c>
      <c r="K88" s="716">
        <v>2.5999999999999998E-4</v>
      </c>
      <c r="L88" s="716">
        <v>4.95E-4</v>
      </c>
      <c r="M88" s="655"/>
      <c r="N88" s="653"/>
      <c r="O88" s="653"/>
      <c r="P88" s="653"/>
      <c r="Q88" s="653"/>
      <c r="R88" s="653"/>
      <c r="S88" s="653"/>
      <c r="T88" s="653"/>
      <c r="U88" s="653"/>
    </row>
    <row r="89" spans="1:21" ht="15.75" customHeight="1">
      <c r="A89" s="690"/>
      <c r="B89" s="683"/>
      <c r="C89" s="694"/>
      <c r="D89" s="671"/>
      <c r="E89" s="676"/>
      <c r="H89" s="653"/>
      <c r="I89" s="1749" t="s">
        <v>3728</v>
      </c>
      <c r="J89" s="715" t="s">
        <v>2837</v>
      </c>
      <c r="K89" s="716">
        <v>4.0299999999999998E-4</v>
      </c>
      <c r="L89" s="716">
        <v>0</v>
      </c>
      <c r="M89" s="655"/>
      <c r="N89" s="653"/>
      <c r="O89" s="653"/>
      <c r="P89" s="653"/>
      <c r="Q89" s="653"/>
      <c r="R89" s="653"/>
      <c r="S89" s="653"/>
      <c r="T89" s="653"/>
      <c r="U89" s="653"/>
    </row>
    <row r="90" spans="1:21" ht="17.25" customHeight="1">
      <c r="A90" s="673"/>
      <c r="B90" s="674"/>
      <c r="C90" s="695"/>
      <c r="D90" s="671"/>
      <c r="E90" s="696"/>
      <c r="H90" s="653"/>
      <c r="I90" s="1749" t="s">
        <v>3729</v>
      </c>
      <c r="J90" s="715" t="s">
        <v>2837</v>
      </c>
      <c r="K90" s="716">
        <v>4.0299999999999998E-4</v>
      </c>
      <c r="L90" s="716">
        <v>0</v>
      </c>
      <c r="M90" s="655"/>
      <c r="N90" s="653"/>
      <c r="O90" s="653"/>
      <c r="P90" s="653"/>
      <c r="Q90" s="653"/>
      <c r="R90" s="653"/>
      <c r="S90" s="653"/>
      <c r="T90" s="653"/>
      <c r="U90" s="653"/>
    </row>
    <row r="91" spans="1:21" ht="15.75" customHeight="1">
      <c r="A91" s="690"/>
      <c r="B91" s="683"/>
      <c r="C91" s="670"/>
      <c r="D91" s="671"/>
      <c r="E91" s="676"/>
      <c r="H91" s="653"/>
      <c r="I91" s="1749" t="s">
        <v>3730</v>
      </c>
      <c r="J91" s="715" t="s">
        <v>2837</v>
      </c>
      <c r="K91" s="716">
        <v>4.0299999999999998E-4</v>
      </c>
      <c r="L91" s="716">
        <v>2.6400000000000002E-4</v>
      </c>
      <c r="M91" s="655"/>
      <c r="N91" s="653"/>
      <c r="O91" s="653"/>
      <c r="P91" s="653"/>
      <c r="Q91" s="653"/>
      <c r="R91" s="653"/>
      <c r="S91" s="653"/>
      <c r="T91" s="653"/>
      <c r="U91" s="653"/>
    </row>
    <row r="92" spans="1:21" ht="15.75" customHeight="1">
      <c r="A92" s="673"/>
      <c r="B92" s="674"/>
      <c r="C92" s="675"/>
      <c r="D92" s="671"/>
      <c r="E92" s="676"/>
      <c r="H92" s="653"/>
      <c r="I92" s="1749" t="s">
        <v>3731</v>
      </c>
      <c r="J92" s="715" t="s">
        <v>2837</v>
      </c>
      <c r="K92" s="716">
        <v>4.0299999999999998E-4</v>
      </c>
      <c r="L92" s="716">
        <v>1.75E-4</v>
      </c>
      <c r="M92" s="655"/>
      <c r="N92" s="653"/>
      <c r="O92" s="653"/>
      <c r="P92" s="653"/>
      <c r="Q92" s="653"/>
      <c r="R92" s="653"/>
      <c r="S92" s="653"/>
      <c r="T92" s="653"/>
      <c r="U92" s="653"/>
    </row>
    <row r="93" spans="1:21" ht="15.75" customHeight="1">
      <c r="A93" s="690"/>
      <c r="B93" s="683"/>
      <c r="C93" s="670"/>
      <c r="D93" s="671"/>
      <c r="E93" s="676"/>
      <c r="H93" s="653"/>
      <c r="I93" s="1749" t="s">
        <v>3732</v>
      </c>
      <c r="J93" s="715" t="s">
        <v>2837</v>
      </c>
      <c r="K93" s="716">
        <v>4.0299999999999998E-4</v>
      </c>
      <c r="L93" s="716">
        <v>0</v>
      </c>
      <c r="M93" s="655"/>
      <c r="N93" s="653"/>
      <c r="O93" s="653"/>
      <c r="P93" s="653"/>
      <c r="Q93" s="653"/>
      <c r="R93" s="653"/>
      <c r="S93" s="653"/>
      <c r="T93" s="653"/>
      <c r="U93" s="653"/>
    </row>
    <row r="94" spans="1:21" ht="15.75" customHeight="1">
      <c r="A94" s="673"/>
      <c r="B94" s="674"/>
      <c r="C94" s="675"/>
      <c r="D94" s="671"/>
      <c r="E94" s="676"/>
      <c r="H94" s="653"/>
      <c r="I94" s="1749" t="s">
        <v>3733</v>
      </c>
      <c r="J94" s="715" t="s">
        <v>2837</v>
      </c>
      <c r="K94" s="716">
        <v>4.0299999999999998E-4</v>
      </c>
      <c r="L94" s="716">
        <v>6.4999999999999994E-5</v>
      </c>
      <c r="M94" s="655"/>
      <c r="N94" s="653"/>
      <c r="O94" s="653"/>
      <c r="P94" s="653"/>
      <c r="Q94" s="653"/>
      <c r="R94" s="653"/>
      <c r="S94" s="653"/>
      <c r="T94" s="653"/>
      <c r="U94" s="653"/>
    </row>
    <row r="95" spans="1:21" ht="15.75" customHeight="1">
      <c r="A95" s="690"/>
      <c r="B95" s="683"/>
      <c r="C95" s="670"/>
      <c r="D95" s="671"/>
      <c r="E95" s="676"/>
      <c r="H95" s="653"/>
      <c r="I95" s="1749" t="s">
        <v>3734</v>
      </c>
      <c r="J95" s="715" t="s">
        <v>2837</v>
      </c>
      <c r="K95" s="716">
        <v>4.0299999999999998E-4</v>
      </c>
      <c r="L95" s="716">
        <v>0</v>
      </c>
      <c r="M95" s="655"/>
      <c r="N95" s="653"/>
      <c r="O95" s="653"/>
      <c r="P95" s="653"/>
      <c r="Q95" s="653"/>
      <c r="R95" s="653"/>
      <c r="S95" s="653"/>
      <c r="T95" s="653"/>
      <c r="U95" s="653"/>
    </row>
    <row r="96" spans="1:21" ht="15.75" customHeight="1">
      <c r="A96" s="673"/>
      <c r="B96" s="674"/>
      <c r="C96" s="675"/>
      <c r="D96" s="671"/>
      <c r="E96" s="676"/>
      <c r="H96" s="653"/>
      <c r="I96" s="1749" t="s">
        <v>3735</v>
      </c>
      <c r="J96" s="715" t="s">
        <v>2837</v>
      </c>
      <c r="K96" s="716">
        <v>4.0299999999999998E-4</v>
      </c>
      <c r="L96" s="716">
        <v>0</v>
      </c>
      <c r="M96" s="655"/>
      <c r="N96" s="653"/>
      <c r="O96" s="653"/>
      <c r="P96" s="653"/>
      <c r="Q96" s="653"/>
      <c r="R96" s="653"/>
      <c r="S96" s="653"/>
      <c r="T96" s="653"/>
      <c r="U96" s="653"/>
    </row>
    <row r="97" spans="1:21" ht="15.75" customHeight="1">
      <c r="A97" s="691"/>
      <c r="B97" s="685"/>
      <c r="C97" s="686"/>
      <c r="D97" s="671"/>
      <c r="E97" s="676"/>
      <c r="H97" s="653"/>
      <c r="I97" s="1749" t="s">
        <v>5417</v>
      </c>
      <c r="J97" s="715" t="s">
        <v>2837</v>
      </c>
      <c r="K97" s="716">
        <v>4.0299999999999998E-4</v>
      </c>
      <c r="L97" s="716">
        <v>0</v>
      </c>
      <c r="M97" s="655"/>
      <c r="N97" s="653"/>
      <c r="O97" s="653"/>
      <c r="P97" s="653"/>
      <c r="Q97" s="653"/>
      <c r="R97" s="653"/>
      <c r="S97" s="653"/>
      <c r="T97" s="653"/>
      <c r="U97" s="653"/>
    </row>
    <row r="98" spans="1:21" ht="15.75" customHeight="1">
      <c r="A98" s="687"/>
      <c r="B98" s="688"/>
      <c r="C98" s="689"/>
      <c r="D98" s="671"/>
      <c r="E98" s="676"/>
      <c r="H98" s="653"/>
      <c r="I98" s="1749" t="s">
        <v>5418</v>
      </c>
      <c r="J98" s="715" t="s">
        <v>2837</v>
      </c>
      <c r="K98" s="716">
        <v>4.0299999999999998E-4</v>
      </c>
      <c r="L98" s="716">
        <v>0</v>
      </c>
      <c r="M98" s="655"/>
      <c r="N98" s="653"/>
      <c r="O98" s="653"/>
      <c r="P98" s="653"/>
      <c r="Q98" s="653"/>
      <c r="R98" s="653"/>
      <c r="S98" s="653"/>
      <c r="T98" s="653"/>
      <c r="U98" s="653"/>
    </row>
    <row r="99" spans="1:21" ht="15.75" customHeight="1">
      <c r="A99" s="687"/>
      <c r="B99" s="688"/>
      <c r="C99" s="689"/>
      <c r="D99" s="671"/>
      <c r="E99" s="676"/>
      <c r="H99" s="653"/>
      <c r="I99" s="1749" t="s">
        <v>5419</v>
      </c>
      <c r="J99" s="715" t="s">
        <v>2837</v>
      </c>
      <c r="K99" s="716">
        <v>4.0299999999999998E-4</v>
      </c>
      <c r="L99" s="716">
        <v>4.28E-4</v>
      </c>
      <c r="M99" s="655"/>
      <c r="N99" s="653"/>
      <c r="O99" s="653"/>
      <c r="P99" s="653"/>
      <c r="Q99" s="653"/>
      <c r="R99" s="653"/>
      <c r="S99" s="653"/>
      <c r="T99" s="653"/>
      <c r="U99" s="653"/>
    </row>
    <row r="100" spans="1:21" ht="15.75" customHeight="1">
      <c r="A100" s="691"/>
      <c r="B100" s="685"/>
      <c r="C100" s="686"/>
      <c r="D100" s="671"/>
      <c r="E100" s="676"/>
      <c r="H100" s="653"/>
      <c r="I100" s="1749" t="s">
        <v>2838</v>
      </c>
      <c r="J100" s="715" t="s">
        <v>2839</v>
      </c>
      <c r="K100" s="716">
        <v>4.7899999999999999E-4</v>
      </c>
      <c r="L100" s="716">
        <v>4.3399999999999998E-4</v>
      </c>
      <c r="M100" s="655"/>
      <c r="N100" s="653"/>
      <c r="O100" s="653"/>
      <c r="P100" s="653"/>
      <c r="Q100" s="653"/>
      <c r="R100" s="653"/>
      <c r="S100" s="653"/>
      <c r="T100" s="653"/>
      <c r="U100" s="653"/>
    </row>
    <row r="101" spans="1:21" ht="15.75" customHeight="1">
      <c r="A101" s="687"/>
      <c r="B101" s="688"/>
      <c r="C101" s="689"/>
      <c r="D101" s="671"/>
      <c r="E101" s="676"/>
      <c r="H101" s="653"/>
      <c r="I101" s="1749" t="s">
        <v>2840</v>
      </c>
      <c r="J101" s="715" t="s">
        <v>3736</v>
      </c>
      <c r="K101" s="716">
        <v>3.4000000000000002E-4</v>
      </c>
      <c r="L101" s="716">
        <v>3.9500000000000001E-4</v>
      </c>
      <c r="M101" s="655"/>
      <c r="N101" s="653"/>
      <c r="O101" s="653"/>
      <c r="P101" s="653"/>
      <c r="Q101" s="653"/>
      <c r="R101" s="653"/>
      <c r="S101" s="653"/>
      <c r="T101" s="653"/>
      <c r="U101" s="653"/>
    </row>
    <row r="102" spans="1:21" ht="15.75" customHeight="1">
      <c r="A102" s="687"/>
      <c r="B102" s="688"/>
      <c r="C102" s="689"/>
      <c r="D102" s="671"/>
      <c r="E102" s="676"/>
      <c r="H102" s="653"/>
      <c r="I102" s="1749" t="s">
        <v>2841</v>
      </c>
      <c r="J102" s="715" t="s">
        <v>3737</v>
      </c>
      <c r="K102" s="716">
        <v>7.8799999999999996E-4</v>
      </c>
      <c r="L102" s="716">
        <v>0</v>
      </c>
      <c r="M102" s="655"/>
      <c r="N102" s="653"/>
      <c r="O102" s="653"/>
      <c r="P102" s="653"/>
      <c r="Q102" s="653"/>
      <c r="R102" s="653"/>
      <c r="S102" s="653"/>
      <c r="T102" s="653"/>
      <c r="U102" s="653"/>
    </row>
    <row r="103" spans="1:21" ht="17.25" customHeight="1">
      <c r="A103" s="677"/>
      <c r="B103" s="678"/>
      <c r="C103" s="681"/>
      <c r="D103" s="680"/>
      <c r="E103" s="676"/>
      <c r="H103" s="653"/>
      <c r="I103" s="1749" t="s">
        <v>5420</v>
      </c>
      <c r="J103" s="715" t="s">
        <v>3737</v>
      </c>
      <c r="K103" s="716">
        <v>7.8799999999999996E-4</v>
      </c>
      <c r="L103" s="716">
        <v>1.8900000000000001E-4</v>
      </c>
      <c r="M103" s="655"/>
      <c r="N103" s="653"/>
      <c r="O103" s="653"/>
      <c r="P103" s="653"/>
      <c r="Q103" s="653"/>
      <c r="R103" s="653"/>
      <c r="S103" s="653"/>
      <c r="T103" s="653"/>
      <c r="U103" s="653"/>
    </row>
    <row r="104" spans="1:21" ht="15.75" customHeight="1">
      <c r="A104" s="691"/>
      <c r="B104" s="685"/>
      <c r="C104" s="697"/>
      <c r="D104" s="671"/>
      <c r="E104" s="676"/>
      <c r="H104" s="653"/>
      <c r="I104" s="1749" t="s">
        <v>5421</v>
      </c>
      <c r="J104" s="715" t="s">
        <v>3737</v>
      </c>
      <c r="K104" s="716">
        <v>7.8799999999999996E-4</v>
      </c>
      <c r="L104" s="716">
        <v>1.2179999999999999E-3</v>
      </c>
      <c r="M104" s="655"/>
      <c r="N104" s="653"/>
      <c r="O104" s="653"/>
      <c r="P104" s="653"/>
      <c r="Q104" s="653"/>
      <c r="R104" s="653"/>
      <c r="S104" s="653"/>
      <c r="T104" s="653"/>
      <c r="U104" s="653"/>
    </row>
    <row r="105" spans="1:21" ht="15.75" customHeight="1">
      <c r="A105" s="687"/>
      <c r="B105" s="688"/>
      <c r="C105" s="698"/>
      <c r="D105" s="671"/>
      <c r="E105" s="676"/>
      <c r="H105" s="653"/>
      <c r="I105" s="1749" t="s">
        <v>2842</v>
      </c>
      <c r="J105" s="715" t="s">
        <v>2843</v>
      </c>
      <c r="K105" s="716">
        <v>3.0000000000000001E-5</v>
      </c>
      <c r="L105" s="716">
        <v>4.4700000000000002E-4</v>
      </c>
      <c r="M105" s="655"/>
      <c r="N105" s="653"/>
      <c r="O105" s="653"/>
      <c r="P105" s="653"/>
      <c r="Q105" s="653"/>
      <c r="R105" s="653"/>
      <c r="S105" s="653"/>
      <c r="T105" s="653"/>
      <c r="U105" s="653"/>
    </row>
    <row r="106" spans="1:21" ht="15.75" customHeight="1">
      <c r="A106" s="687"/>
      <c r="B106" s="688"/>
      <c r="C106" s="698"/>
      <c r="D106" s="671"/>
      <c r="E106" s="676"/>
      <c r="H106" s="653"/>
      <c r="I106" s="1749" t="s">
        <v>2844</v>
      </c>
      <c r="J106" s="715" t="s">
        <v>2845</v>
      </c>
      <c r="K106" s="716">
        <v>3.5199999999999999E-4</v>
      </c>
      <c r="L106" s="716">
        <v>3.8900000000000002E-4</v>
      </c>
      <c r="M106" s="655"/>
      <c r="N106" s="653"/>
      <c r="O106" s="653"/>
      <c r="P106" s="653"/>
      <c r="Q106" s="653"/>
      <c r="R106" s="653"/>
      <c r="S106" s="653"/>
      <c r="T106" s="653"/>
      <c r="U106" s="653"/>
    </row>
    <row r="107" spans="1:21" ht="15.75" customHeight="1">
      <c r="A107" s="690"/>
      <c r="B107" s="683"/>
      <c r="C107" s="670"/>
      <c r="D107" s="671"/>
      <c r="E107" s="676"/>
      <c r="H107" s="653"/>
      <c r="I107" s="1749" t="s">
        <v>3738</v>
      </c>
      <c r="J107" s="715" t="s">
        <v>2845</v>
      </c>
      <c r="K107" s="716">
        <v>3.5199999999999999E-4</v>
      </c>
      <c r="L107" s="716">
        <v>3.6200000000000002E-4</v>
      </c>
      <c r="M107" s="655"/>
      <c r="N107" s="653"/>
      <c r="O107" s="653"/>
      <c r="P107" s="653"/>
      <c r="Q107" s="653"/>
      <c r="R107" s="653"/>
      <c r="S107" s="653"/>
      <c r="T107" s="653"/>
      <c r="U107" s="653"/>
    </row>
    <row r="108" spans="1:21" ht="15.75" customHeight="1">
      <c r="A108" s="673"/>
      <c r="B108" s="674"/>
      <c r="C108" s="675"/>
      <c r="D108" s="671"/>
      <c r="E108" s="676"/>
      <c r="H108" s="653"/>
      <c r="I108" s="1749" t="s">
        <v>3739</v>
      </c>
      <c r="J108" s="715" t="s">
        <v>2846</v>
      </c>
      <c r="K108" s="716">
        <v>4.57E-4</v>
      </c>
      <c r="L108" s="716">
        <v>0</v>
      </c>
      <c r="M108" s="655"/>
      <c r="N108" s="653"/>
      <c r="O108" s="653"/>
      <c r="P108" s="653"/>
      <c r="Q108" s="653"/>
      <c r="R108" s="653"/>
      <c r="S108" s="653"/>
      <c r="T108" s="653"/>
      <c r="U108" s="653"/>
    </row>
    <row r="109" spans="1:21" ht="15.75" customHeight="1">
      <c r="A109" s="673"/>
      <c r="B109" s="674"/>
      <c r="C109" s="675"/>
      <c r="D109" s="671"/>
      <c r="E109" s="676"/>
      <c r="H109" s="653"/>
      <c r="I109" s="1749" t="s">
        <v>3740</v>
      </c>
      <c r="J109" s="715" t="s">
        <v>2846</v>
      </c>
      <c r="K109" s="716">
        <v>4.57E-4</v>
      </c>
      <c r="L109" s="716">
        <v>4.7399999999999997E-4</v>
      </c>
      <c r="M109" s="655"/>
      <c r="N109" s="653"/>
      <c r="O109" s="653"/>
      <c r="P109" s="653"/>
      <c r="Q109" s="653"/>
      <c r="R109" s="653"/>
      <c r="S109" s="653"/>
      <c r="T109" s="653"/>
      <c r="U109" s="653"/>
    </row>
    <row r="110" spans="1:21" ht="15.75" customHeight="1">
      <c r="A110" s="673"/>
      <c r="B110" s="674"/>
      <c r="C110" s="675"/>
      <c r="D110" s="671"/>
      <c r="E110" s="676"/>
      <c r="H110" s="653"/>
      <c r="I110" s="1749" t="s">
        <v>5422</v>
      </c>
      <c r="J110" s="715" t="s">
        <v>5423</v>
      </c>
      <c r="K110" s="716">
        <v>5.22E-4</v>
      </c>
      <c r="L110" s="716">
        <v>4.66E-4</v>
      </c>
      <c r="M110" s="655"/>
      <c r="N110" s="653"/>
      <c r="O110" s="653"/>
      <c r="P110" s="653"/>
      <c r="Q110" s="653"/>
      <c r="R110" s="653"/>
      <c r="S110" s="653"/>
      <c r="T110" s="653"/>
      <c r="U110" s="653"/>
    </row>
    <row r="111" spans="1:21" ht="15.75" customHeight="1">
      <c r="A111" s="673"/>
      <c r="B111" s="674"/>
      <c r="C111" s="675"/>
      <c r="D111" s="671"/>
      <c r="E111" s="676"/>
      <c r="H111" s="653"/>
      <c r="I111" s="1749" t="s">
        <v>5424</v>
      </c>
      <c r="J111" s="715" t="s">
        <v>2847</v>
      </c>
      <c r="K111" s="716">
        <v>4.7100000000000001E-4</v>
      </c>
      <c r="L111" s="716">
        <v>4.73E-4</v>
      </c>
      <c r="M111" s="655"/>
      <c r="N111" s="653"/>
      <c r="O111" s="653"/>
      <c r="P111" s="653"/>
      <c r="Q111" s="653"/>
      <c r="R111" s="653"/>
      <c r="S111" s="653"/>
      <c r="T111" s="653"/>
      <c r="U111" s="653"/>
    </row>
    <row r="112" spans="1:21" ht="15.75" customHeight="1">
      <c r="A112" s="673"/>
      <c r="B112" s="674"/>
      <c r="C112" s="675"/>
      <c r="D112" s="671"/>
      <c r="E112" s="676"/>
      <c r="H112" s="653"/>
      <c r="I112" s="1749" t="s">
        <v>5425</v>
      </c>
      <c r="J112" s="715" t="s">
        <v>2847</v>
      </c>
      <c r="K112" s="716">
        <v>4.7100000000000001E-4</v>
      </c>
      <c r="L112" s="716">
        <v>0</v>
      </c>
      <c r="M112" s="655"/>
      <c r="N112" s="653"/>
      <c r="O112" s="653"/>
      <c r="P112" s="653"/>
      <c r="Q112" s="653"/>
      <c r="R112" s="653"/>
      <c r="S112" s="653"/>
      <c r="T112" s="653"/>
      <c r="U112" s="653"/>
    </row>
    <row r="113" spans="1:21" ht="15.75" customHeight="1">
      <c r="A113" s="673"/>
      <c r="B113" s="674"/>
      <c r="C113" s="675"/>
      <c r="D113" s="671"/>
      <c r="E113" s="676"/>
      <c r="H113" s="653"/>
      <c r="I113" s="1749" t="s">
        <v>2848</v>
      </c>
      <c r="J113" s="715" t="s">
        <v>2849</v>
      </c>
      <c r="K113" s="716">
        <v>4.4099999999999999E-4</v>
      </c>
      <c r="L113" s="716">
        <v>4.0000000000000002E-4</v>
      </c>
      <c r="M113" s="655"/>
      <c r="N113" s="653"/>
      <c r="O113" s="653"/>
      <c r="P113" s="653"/>
      <c r="Q113" s="653"/>
      <c r="R113" s="653"/>
      <c r="S113" s="653"/>
      <c r="T113" s="653"/>
      <c r="U113" s="653"/>
    </row>
    <row r="114" spans="1:21" ht="17.25" customHeight="1">
      <c r="A114" s="677"/>
      <c r="B114" s="678"/>
      <c r="C114" s="681"/>
      <c r="D114" s="680"/>
      <c r="E114" s="676"/>
      <c r="H114" s="653"/>
      <c r="I114" s="1749" t="s">
        <v>3741</v>
      </c>
      <c r="J114" s="715" t="s">
        <v>2849</v>
      </c>
      <c r="K114" s="716">
        <v>4.4099999999999999E-4</v>
      </c>
      <c r="L114" s="716">
        <v>2.9599999999999998E-4</v>
      </c>
      <c r="M114" s="655"/>
      <c r="N114" s="653"/>
      <c r="O114" s="653"/>
      <c r="P114" s="653"/>
      <c r="Q114" s="653"/>
      <c r="R114" s="653"/>
      <c r="S114" s="653"/>
      <c r="T114" s="653"/>
      <c r="U114" s="653"/>
    </row>
    <row r="115" spans="1:21" ht="15.75" customHeight="1">
      <c r="A115" s="691"/>
      <c r="B115" s="685"/>
      <c r="C115" s="686"/>
      <c r="D115" s="671"/>
      <c r="E115" s="676"/>
      <c r="H115" s="653"/>
      <c r="I115" s="1749" t="s">
        <v>3742</v>
      </c>
      <c r="J115" s="715" t="s">
        <v>2849</v>
      </c>
      <c r="K115" s="716">
        <v>4.4099999999999999E-4</v>
      </c>
      <c r="L115" s="716">
        <v>4.4999999999999999E-4</v>
      </c>
      <c r="M115" s="655"/>
      <c r="N115" s="653"/>
      <c r="O115" s="653"/>
      <c r="P115" s="653"/>
      <c r="Q115" s="653"/>
      <c r="R115" s="653"/>
      <c r="S115" s="653"/>
      <c r="T115" s="653"/>
      <c r="U115" s="653"/>
    </row>
    <row r="116" spans="1:21" ht="15.75" customHeight="1">
      <c r="A116" s="687"/>
      <c r="B116" s="688"/>
      <c r="C116" s="689"/>
      <c r="D116" s="671"/>
      <c r="E116" s="676"/>
      <c r="H116" s="653"/>
      <c r="I116" s="1749" t="s">
        <v>2850</v>
      </c>
      <c r="J116" s="715" t="s">
        <v>2851</v>
      </c>
      <c r="K116" s="716">
        <v>3.7100000000000002E-4</v>
      </c>
      <c r="L116" s="716">
        <v>0</v>
      </c>
      <c r="M116" s="655"/>
      <c r="N116" s="653"/>
      <c r="O116" s="653"/>
      <c r="P116" s="653"/>
      <c r="Q116" s="653"/>
      <c r="R116" s="653"/>
      <c r="S116" s="653"/>
      <c r="T116" s="653"/>
      <c r="U116" s="653"/>
    </row>
    <row r="117" spans="1:21" ht="15.75" customHeight="1">
      <c r="A117" s="687"/>
      <c r="B117" s="688"/>
      <c r="C117" s="689"/>
      <c r="D117" s="671"/>
      <c r="E117" s="676"/>
      <c r="H117" s="653"/>
      <c r="I117" s="1749" t="s">
        <v>3743</v>
      </c>
      <c r="J117" s="715" t="s">
        <v>2851</v>
      </c>
      <c r="K117" s="716">
        <v>3.7100000000000002E-4</v>
      </c>
      <c r="L117" s="716">
        <v>0</v>
      </c>
      <c r="M117" s="655"/>
      <c r="N117" s="653"/>
      <c r="O117" s="653"/>
      <c r="P117" s="653"/>
      <c r="Q117" s="653"/>
      <c r="R117" s="653"/>
      <c r="S117" s="653"/>
      <c r="T117" s="653"/>
      <c r="U117" s="653"/>
    </row>
    <row r="118" spans="1:21" ht="17.25" customHeight="1">
      <c r="A118" s="677"/>
      <c r="B118" s="678"/>
      <c r="C118" s="681"/>
      <c r="D118" s="680"/>
      <c r="E118" s="676"/>
      <c r="H118" s="653"/>
      <c r="I118" s="1749" t="s">
        <v>3744</v>
      </c>
      <c r="J118" s="715" t="s">
        <v>2851</v>
      </c>
      <c r="K118" s="716">
        <v>3.7100000000000002E-4</v>
      </c>
      <c r="L118" s="716">
        <v>4.6999999999999999E-4</v>
      </c>
      <c r="M118" s="655"/>
      <c r="N118" s="653"/>
      <c r="O118" s="653"/>
      <c r="P118" s="653"/>
      <c r="Q118" s="653"/>
      <c r="R118" s="653"/>
      <c r="S118" s="653"/>
      <c r="T118" s="653"/>
      <c r="U118" s="653"/>
    </row>
    <row r="119" spans="1:21" ht="17.25" customHeight="1">
      <c r="A119" s="677"/>
      <c r="B119" s="678"/>
      <c r="C119" s="681"/>
      <c r="D119" s="680"/>
      <c r="E119" s="676"/>
      <c r="H119" s="653"/>
      <c r="I119" s="1749" t="s">
        <v>2852</v>
      </c>
      <c r="J119" s="715" t="s">
        <v>2853</v>
      </c>
      <c r="K119" s="716">
        <v>4.64E-4</v>
      </c>
      <c r="L119" s="716">
        <v>0</v>
      </c>
      <c r="M119" s="655"/>
      <c r="N119" s="653"/>
      <c r="O119" s="653"/>
      <c r="P119" s="653"/>
      <c r="Q119" s="653"/>
      <c r="R119" s="653"/>
      <c r="S119" s="653"/>
      <c r="T119" s="653"/>
      <c r="U119" s="653"/>
    </row>
    <row r="120" spans="1:21">
      <c r="A120" s="677"/>
      <c r="B120" s="678"/>
      <c r="C120" s="681"/>
      <c r="D120" s="682"/>
      <c r="E120" s="676"/>
      <c r="H120" s="653"/>
      <c r="I120" s="1749" t="s">
        <v>3745</v>
      </c>
      <c r="J120" s="715" t="s">
        <v>2853</v>
      </c>
      <c r="K120" s="716">
        <v>4.64E-4</v>
      </c>
      <c r="L120" s="716">
        <v>3.7800000000000003E-4</v>
      </c>
      <c r="M120" s="655"/>
      <c r="N120" s="653"/>
      <c r="O120" s="653"/>
      <c r="P120" s="653"/>
      <c r="Q120" s="653"/>
      <c r="R120" s="653"/>
      <c r="S120" s="653"/>
      <c r="T120" s="653"/>
      <c r="U120" s="653"/>
    </row>
    <row r="121" spans="1:21" ht="15.75" customHeight="1">
      <c r="A121" s="690"/>
      <c r="B121" s="683"/>
      <c r="C121" s="670"/>
      <c r="D121" s="671"/>
      <c r="E121" s="676"/>
      <c r="H121" s="653"/>
      <c r="I121" s="1749" t="s">
        <v>2854</v>
      </c>
      <c r="J121" s="715" t="s">
        <v>2855</v>
      </c>
      <c r="K121" s="716">
        <v>3.9399999999999998E-4</v>
      </c>
      <c r="L121" s="716">
        <v>0</v>
      </c>
      <c r="M121" s="655"/>
      <c r="N121" s="653"/>
      <c r="O121" s="653"/>
      <c r="P121" s="653"/>
      <c r="Q121" s="653"/>
      <c r="R121" s="653"/>
      <c r="S121" s="653"/>
      <c r="T121" s="653"/>
      <c r="U121" s="653"/>
    </row>
    <row r="122" spans="1:21" ht="15.75" customHeight="1">
      <c r="A122" s="673"/>
      <c r="B122" s="674"/>
      <c r="C122" s="675"/>
      <c r="D122" s="671"/>
      <c r="E122" s="676"/>
      <c r="H122" s="653"/>
      <c r="I122" s="1749" t="s">
        <v>3746</v>
      </c>
      <c r="J122" s="715" t="s">
        <v>2855</v>
      </c>
      <c r="K122" s="716">
        <v>3.9399999999999998E-4</v>
      </c>
      <c r="L122" s="716">
        <v>0</v>
      </c>
      <c r="M122" s="655"/>
      <c r="N122" s="653"/>
      <c r="O122" s="653"/>
      <c r="P122" s="653"/>
      <c r="Q122" s="653"/>
      <c r="R122" s="653"/>
      <c r="S122" s="653"/>
      <c r="T122" s="653"/>
      <c r="U122" s="653"/>
    </row>
    <row r="123" spans="1:21" ht="15.75" customHeight="1">
      <c r="A123" s="690"/>
      <c r="B123" s="683"/>
      <c r="C123" s="670"/>
      <c r="D123" s="671"/>
      <c r="E123" s="676"/>
      <c r="H123" s="653"/>
      <c r="I123" s="1749" t="s">
        <v>3747</v>
      </c>
      <c r="J123" s="715" t="s">
        <v>2855</v>
      </c>
      <c r="K123" s="716">
        <v>3.9399999999999998E-4</v>
      </c>
      <c r="L123" s="716">
        <v>3.59E-4</v>
      </c>
      <c r="M123" s="655"/>
      <c r="N123" s="653"/>
      <c r="O123" s="653"/>
      <c r="P123" s="653"/>
      <c r="Q123" s="653"/>
      <c r="R123" s="653"/>
      <c r="S123" s="653"/>
      <c r="T123" s="653"/>
      <c r="U123" s="653"/>
    </row>
    <row r="124" spans="1:21" ht="15.75" customHeight="1">
      <c r="A124" s="673"/>
      <c r="B124" s="674"/>
      <c r="C124" s="675"/>
      <c r="D124" s="671"/>
      <c r="E124" s="676"/>
      <c r="H124" s="653"/>
      <c r="I124" s="1749" t="s">
        <v>3748</v>
      </c>
      <c r="J124" s="715" t="s">
        <v>2855</v>
      </c>
      <c r="K124" s="716">
        <v>3.9399999999999998E-4</v>
      </c>
      <c r="L124" s="716">
        <v>4.5600000000000003E-4</v>
      </c>
      <c r="M124" s="655"/>
      <c r="N124" s="653"/>
      <c r="O124" s="653"/>
      <c r="P124" s="653"/>
      <c r="Q124" s="653"/>
      <c r="R124" s="653"/>
      <c r="S124" s="653"/>
      <c r="T124" s="653"/>
      <c r="U124" s="653"/>
    </row>
    <row r="125" spans="1:21" ht="15.75" customHeight="1">
      <c r="A125" s="690"/>
      <c r="B125" s="683"/>
      <c r="C125" s="670"/>
      <c r="D125" s="671"/>
      <c r="E125" s="676"/>
      <c r="H125" s="653"/>
      <c r="I125" s="1749" t="s">
        <v>2856</v>
      </c>
      <c r="J125" s="715" t="s">
        <v>3749</v>
      </c>
      <c r="K125" s="716">
        <v>3.4600000000000001E-4</v>
      </c>
      <c r="L125" s="716">
        <v>2.2699999999999999E-4</v>
      </c>
      <c r="M125" s="655"/>
      <c r="N125" s="653"/>
      <c r="O125" s="653"/>
      <c r="P125" s="653"/>
      <c r="Q125" s="653"/>
      <c r="R125" s="653"/>
      <c r="S125" s="653"/>
      <c r="T125" s="653"/>
      <c r="U125" s="653"/>
    </row>
    <row r="126" spans="1:21" ht="15.75" customHeight="1">
      <c r="A126" s="673"/>
      <c r="B126" s="674"/>
      <c r="C126" s="675"/>
      <c r="D126" s="671"/>
      <c r="E126" s="676"/>
      <c r="H126" s="653"/>
      <c r="I126" s="1749" t="s">
        <v>2857</v>
      </c>
      <c r="J126" s="715" t="s">
        <v>3749</v>
      </c>
      <c r="K126" s="716">
        <v>3.4600000000000001E-4</v>
      </c>
      <c r="L126" s="716">
        <v>0</v>
      </c>
      <c r="M126" s="655"/>
      <c r="N126" s="653"/>
      <c r="O126" s="653"/>
      <c r="P126" s="653"/>
      <c r="Q126" s="653"/>
      <c r="R126" s="653"/>
      <c r="S126" s="653"/>
      <c r="T126" s="653"/>
      <c r="U126" s="653"/>
    </row>
    <row r="127" spans="1:21" ht="15.75" customHeight="1">
      <c r="A127" s="673"/>
      <c r="B127" s="674"/>
      <c r="C127" s="675"/>
      <c r="D127" s="671"/>
      <c r="E127" s="676"/>
      <c r="H127" s="653"/>
      <c r="I127" s="1749" t="s">
        <v>3750</v>
      </c>
      <c r="J127" s="715" t="s">
        <v>3749</v>
      </c>
      <c r="K127" s="716">
        <v>3.4600000000000001E-4</v>
      </c>
      <c r="L127" s="716">
        <v>4.4999999999999999E-4</v>
      </c>
      <c r="M127" s="655"/>
      <c r="N127" s="653"/>
      <c r="O127" s="653"/>
      <c r="P127" s="653"/>
      <c r="Q127" s="653"/>
      <c r="R127" s="653"/>
      <c r="S127" s="653"/>
      <c r="T127" s="653"/>
      <c r="U127" s="653"/>
    </row>
    <row r="128" spans="1:21" ht="15.75" customHeight="1">
      <c r="A128" s="673"/>
      <c r="B128" s="674"/>
      <c r="C128" s="675"/>
      <c r="D128" s="671"/>
      <c r="E128" s="676"/>
      <c r="H128" s="653"/>
      <c r="I128" s="1749" t="s">
        <v>2858</v>
      </c>
      <c r="J128" s="715" t="s">
        <v>3751</v>
      </c>
      <c r="K128" s="716">
        <v>4.0000000000000002E-4</v>
      </c>
      <c r="L128" s="716">
        <v>0</v>
      </c>
      <c r="M128" s="655"/>
      <c r="N128" s="653"/>
      <c r="O128" s="653"/>
      <c r="P128" s="653"/>
      <c r="Q128" s="653"/>
      <c r="R128" s="653"/>
      <c r="S128" s="653"/>
      <c r="T128" s="653"/>
      <c r="U128" s="653"/>
    </row>
    <row r="129" spans="1:21" ht="15.75" customHeight="1">
      <c r="A129" s="673"/>
      <c r="B129" s="674"/>
      <c r="C129" s="675"/>
      <c r="D129" s="671"/>
      <c r="E129" s="676"/>
      <c r="H129" s="653"/>
      <c r="I129" s="1749" t="s">
        <v>2859</v>
      </c>
      <c r="J129" s="715" t="s">
        <v>3751</v>
      </c>
      <c r="K129" s="716">
        <v>4.0000000000000002E-4</v>
      </c>
      <c r="L129" s="716">
        <v>0</v>
      </c>
      <c r="M129" s="655"/>
      <c r="N129" s="653"/>
      <c r="O129" s="653"/>
      <c r="P129" s="653"/>
      <c r="Q129" s="653"/>
      <c r="R129" s="653"/>
      <c r="S129" s="653"/>
      <c r="T129" s="653"/>
      <c r="U129" s="653"/>
    </row>
    <row r="130" spans="1:21" ht="15.75" customHeight="1">
      <c r="A130" s="673"/>
      <c r="B130" s="674"/>
      <c r="C130" s="675"/>
      <c r="D130" s="671"/>
      <c r="E130" s="676"/>
      <c r="H130" s="653"/>
      <c r="I130" s="1749" t="s">
        <v>3752</v>
      </c>
      <c r="J130" s="715" t="s">
        <v>3751</v>
      </c>
      <c r="K130" s="716">
        <v>4.0000000000000002E-4</v>
      </c>
      <c r="L130" s="716">
        <v>0</v>
      </c>
      <c r="M130" s="655"/>
      <c r="N130" s="653"/>
      <c r="O130" s="653"/>
      <c r="P130" s="653"/>
      <c r="Q130" s="653"/>
      <c r="R130" s="653"/>
      <c r="S130" s="653"/>
      <c r="T130" s="653"/>
      <c r="U130" s="653"/>
    </row>
    <row r="131" spans="1:21" ht="17.25" customHeight="1">
      <c r="A131" s="677"/>
      <c r="B131" s="678"/>
      <c r="C131" s="681"/>
      <c r="D131" s="680"/>
      <c r="E131" s="676"/>
      <c r="H131" s="653"/>
      <c r="I131" s="1749" t="s">
        <v>5426</v>
      </c>
      <c r="J131" s="715" t="s">
        <v>3751</v>
      </c>
      <c r="K131" s="716">
        <v>4.0000000000000002E-4</v>
      </c>
      <c r="L131" s="716">
        <v>0</v>
      </c>
      <c r="M131" s="655"/>
      <c r="N131" s="653"/>
      <c r="O131" s="653"/>
      <c r="P131" s="653"/>
      <c r="Q131" s="653"/>
      <c r="R131" s="653"/>
      <c r="S131" s="653"/>
      <c r="T131" s="653"/>
      <c r="U131" s="653"/>
    </row>
    <row r="132" spans="1:21" ht="15.75" customHeight="1">
      <c r="A132" s="691"/>
      <c r="B132" s="685"/>
      <c r="C132" s="686"/>
      <c r="D132" s="671"/>
      <c r="E132" s="676"/>
      <c r="H132" s="653"/>
      <c r="I132" s="1749" t="s">
        <v>5427</v>
      </c>
      <c r="J132" s="715" t="s">
        <v>3751</v>
      </c>
      <c r="K132" s="716">
        <v>4.0000000000000002E-4</v>
      </c>
      <c r="L132" s="716">
        <v>4.5899999999999999E-4</v>
      </c>
      <c r="M132" s="655"/>
      <c r="N132" s="653"/>
      <c r="O132" s="653"/>
      <c r="P132" s="653"/>
      <c r="Q132" s="653"/>
      <c r="R132" s="653"/>
      <c r="S132" s="653"/>
      <c r="T132" s="653"/>
      <c r="U132" s="653"/>
    </row>
    <row r="133" spans="1:21" ht="15.75" customHeight="1">
      <c r="A133" s="687"/>
      <c r="B133" s="688"/>
      <c r="C133" s="689"/>
      <c r="D133" s="671"/>
      <c r="E133" s="676"/>
      <c r="H133" s="653"/>
      <c r="I133" s="1749" t="s">
        <v>2860</v>
      </c>
      <c r="J133" s="715" t="s">
        <v>2861</v>
      </c>
      <c r="K133" s="716">
        <v>4.3999999999999999E-5</v>
      </c>
      <c r="L133" s="716">
        <v>7.2599999999999997E-4</v>
      </c>
      <c r="M133" s="655"/>
      <c r="N133" s="653"/>
      <c r="O133" s="653"/>
      <c r="P133" s="653"/>
      <c r="Q133" s="653"/>
      <c r="R133" s="653"/>
      <c r="S133" s="653"/>
      <c r="T133" s="653"/>
      <c r="U133" s="653"/>
    </row>
    <row r="134" spans="1:21" ht="15.75" customHeight="1">
      <c r="A134" s="687"/>
      <c r="B134" s="688"/>
      <c r="C134" s="689"/>
      <c r="D134" s="671"/>
      <c r="E134" s="676"/>
      <c r="H134" s="653"/>
      <c r="I134" s="1749" t="s">
        <v>2862</v>
      </c>
      <c r="J134" s="715" t="s">
        <v>2863</v>
      </c>
      <c r="K134" s="716">
        <v>4.4099999999999999E-4</v>
      </c>
      <c r="L134" s="716">
        <v>0</v>
      </c>
      <c r="M134" s="655"/>
      <c r="N134" s="653"/>
      <c r="O134" s="653"/>
      <c r="P134" s="653"/>
      <c r="Q134" s="653"/>
      <c r="R134" s="653"/>
      <c r="S134" s="653"/>
      <c r="T134" s="653"/>
      <c r="U134" s="653"/>
    </row>
    <row r="135" spans="1:21" ht="15.75" customHeight="1">
      <c r="A135" s="690"/>
      <c r="B135" s="683"/>
      <c r="C135" s="670"/>
      <c r="D135" s="671"/>
      <c r="E135" s="676"/>
      <c r="H135" s="653"/>
      <c r="I135" s="1749" t="s">
        <v>2864</v>
      </c>
      <c r="J135" s="715" t="s">
        <v>2863</v>
      </c>
      <c r="K135" s="716">
        <v>4.4099999999999999E-4</v>
      </c>
      <c r="L135" s="716">
        <v>1.2799999999999999E-4</v>
      </c>
      <c r="M135" s="655"/>
      <c r="N135" s="653"/>
      <c r="O135" s="653"/>
      <c r="P135" s="653"/>
      <c r="Q135" s="653"/>
      <c r="R135" s="653"/>
      <c r="S135" s="653"/>
      <c r="T135" s="653"/>
      <c r="U135" s="653"/>
    </row>
    <row r="136" spans="1:21" ht="15.75" customHeight="1">
      <c r="A136" s="673"/>
      <c r="B136" s="674"/>
      <c r="C136" s="675"/>
      <c r="D136" s="671"/>
      <c r="E136" s="676"/>
      <c r="H136" s="653"/>
      <c r="I136" s="1749" t="s">
        <v>3753</v>
      </c>
      <c r="J136" s="715" t="s">
        <v>2863</v>
      </c>
      <c r="K136" s="716">
        <v>4.4099999999999999E-4</v>
      </c>
      <c r="L136" s="716">
        <v>8.5599999999999999E-4</v>
      </c>
      <c r="M136" s="655"/>
      <c r="N136" s="653"/>
      <c r="O136" s="653"/>
      <c r="P136" s="653"/>
      <c r="Q136" s="653"/>
      <c r="R136" s="653"/>
      <c r="S136" s="653"/>
      <c r="T136" s="653"/>
      <c r="U136" s="653"/>
    </row>
    <row r="137" spans="1:21" ht="17.25" customHeight="1">
      <c r="A137" s="677"/>
      <c r="B137" s="678"/>
      <c r="C137" s="681"/>
      <c r="D137" s="680"/>
      <c r="E137" s="676"/>
      <c r="H137" s="653"/>
      <c r="I137" s="1749" t="s">
        <v>2865</v>
      </c>
      <c r="J137" s="715" t="s">
        <v>2866</v>
      </c>
      <c r="K137" s="716">
        <v>4.1199999999999999E-4</v>
      </c>
      <c r="L137" s="716">
        <v>3.9899999999999999E-4</v>
      </c>
      <c r="M137" s="655"/>
      <c r="N137" s="653"/>
      <c r="O137" s="653"/>
      <c r="P137" s="653"/>
      <c r="Q137" s="653"/>
      <c r="R137" s="653"/>
      <c r="S137" s="653"/>
      <c r="T137" s="653"/>
      <c r="U137" s="653"/>
    </row>
    <row r="138" spans="1:21" ht="15.75" customHeight="1">
      <c r="A138" s="691"/>
      <c r="B138" s="685"/>
      <c r="C138" s="686"/>
      <c r="D138" s="671"/>
      <c r="E138" s="676"/>
      <c r="H138" s="653"/>
      <c r="I138" s="1749" t="s">
        <v>2867</v>
      </c>
      <c r="J138" s="715" t="s">
        <v>2866</v>
      </c>
      <c r="K138" s="716">
        <v>4.1199999999999999E-4</v>
      </c>
      <c r="L138" s="716">
        <v>2.99E-4</v>
      </c>
      <c r="M138" s="655"/>
      <c r="N138" s="653"/>
      <c r="O138" s="653"/>
      <c r="P138" s="653"/>
      <c r="Q138" s="653"/>
      <c r="R138" s="653"/>
      <c r="S138" s="653"/>
      <c r="T138" s="653"/>
      <c r="U138" s="653"/>
    </row>
    <row r="139" spans="1:21" ht="15.75" customHeight="1">
      <c r="A139" s="687"/>
      <c r="B139" s="688"/>
      <c r="C139" s="689"/>
      <c r="D139" s="671"/>
      <c r="E139" s="676"/>
      <c r="H139" s="653"/>
      <c r="I139" s="1749" t="s">
        <v>2868</v>
      </c>
      <c r="J139" s="715" t="s">
        <v>2866</v>
      </c>
      <c r="K139" s="716">
        <v>4.1199999999999999E-4</v>
      </c>
      <c r="L139" s="716">
        <v>1.9900000000000001E-4</v>
      </c>
      <c r="M139" s="655"/>
      <c r="N139" s="653"/>
      <c r="O139" s="653"/>
      <c r="P139" s="653"/>
      <c r="Q139" s="653"/>
      <c r="R139" s="653"/>
      <c r="S139" s="653"/>
      <c r="T139" s="653"/>
      <c r="U139" s="653"/>
    </row>
    <row r="140" spans="1:21" ht="15.75" customHeight="1">
      <c r="A140" s="687"/>
      <c r="B140" s="688"/>
      <c r="C140" s="689"/>
      <c r="D140" s="671"/>
      <c r="E140" s="676"/>
      <c r="H140" s="653"/>
      <c r="I140" s="1749" t="s">
        <v>2869</v>
      </c>
      <c r="J140" s="715" t="s">
        <v>2866</v>
      </c>
      <c r="K140" s="716">
        <v>4.1199999999999999E-4</v>
      </c>
      <c r="L140" s="716">
        <v>0</v>
      </c>
      <c r="M140" s="655"/>
      <c r="N140" s="653"/>
      <c r="O140" s="653"/>
      <c r="P140" s="653"/>
      <c r="Q140" s="653"/>
      <c r="R140" s="653"/>
      <c r="S140" s="653"/>
      <c r="T140" s="653"/>
      <c r="U140" s="653"/>
    </row>
    <row r="141" spans="1:21" ht="17.25" customHeight="1">
      <c r="A141" s="677"/>
      <c r="B141" s="678"/>
      <c r="C141" s="681"/>
      <c r="D141" s="680"/>
      <c r="E141" s="676"/>
      <c r="H141" s="653"/>
      <c r="I141" s="1749" t="s">
        <v>2870</v>
      </c>
      <c r="J141" s="715" t="s">
        <v>2866</v>
      </c>
      <c r="K141" s="716">
        <v>4.1199999999999999E-4</v>
      </c>
      <c r="L141" s="716">
        <v>4.4999999999999999E-4</v>
      </c>
      <c r="M141" s="655"/>
      <c r="N141" s="653"/>
      <c r="O141" s="653"/>
      <c r="P141" s="653"/>
      <c r="Q141" s="653"/>
      <c r="R141" s="653"/>
      <c r="S141" s="653"/>
      <c r="T141" s="653"/>
      <c r="U141" s="653"/>
    </row>
    <row r="142" spans="1:21" ht="15.75" customHeight="1">
      <c r="A142" s="690"/>
      <c r="B142" s="683"/>
      <c r="C142" s="670"/>
      <c r="D142" s="671"/>
      <c r="E142" s="676"/>
      <c r="H142" s="653"/>
      <c r="I142" s="1749" t="s">
        <v>2871</v>
      </c>
      <c r="J142" s="715" t="s">
        <v>2866</v>
      </c>
      <c r="K142" s="716">
        <v>4.1199999999999999E-4</v>
      </c>
      <c r="L142" s="716">
        <v>3.1500000000000001E-4</v>
      </c>
      <c r="M142" s="655"/>
      <c r="N142" s="653"/>
      <c r="O142" s="653"/>
      <c r="P142" s="653"/>
      <c r="Q142" s="653"/>
      <c r="R142" s="653"/>
      <c r="S142" s="653"/>
      <c r="T142" s="653"/>
      <c r="U142" s="653"/>
    </row>
    <row r="143" spans="1:21" ht="15.75" customHeight="1">
      <c r="A143" s="673"/>
      <c r="B143" s="674"/>
      <c r="C143" s="675"/>
      <c r="D143" s="671"/>
      <c r="E143" s="676"/>
      <c r="H143" s="653"/>
      <c r="I143" s="1749" t="s">
        <v>3754</v>
      </c>
      <c r="J143" s="715" t="s">
        <v>2866</v>
      </c>
      <c r="K143" s="716">
        <v>4.1199999999999999E-4</v>
      </c>
      <c r="L143" s="716">
        <v>2.3499999999999999E-4</v>
      </c>
      <c r="M143" s="655"/>
      <c r="N143" s="653"/>
      <c r="O143" s="653"/>
      <c r="P143" s="653"/>
      <c r="Q143" s="653"/>
      <c r="R143" s="653"/>
      <c r="S143" s="653"/>
      <c r="T143" s="653"/>
      <c r="U143" s="653"/>
    </row>
    <row r="144" spans="1:21" ht="15.75" customHeight="1">
      <c r="A144" s="690"/>
      <c r="B144" s="683"/>
      <c r="C144" s="670"/>
      <c r="D144" s="671"/>
      <c r="E144" s="676"/>
      <c r="H144" s="653"/>
      <c r="I144" s="1749" t="s">
        <v>3755</v>
      </c>
      <c r="J144" s="715" t="s">
        <v>2866</v>
      </c>
      <c r="K144" s="716">
        <v>4.1199999999999999E-4</v>
      </c>
      <c r="L144" s="716">
        <v>5.8500000000000002E-4</v>
      </c>
      <c r="M144" s="655"/>
      <c r="N144" s="653"/>
      <c r="O144" s="653"/>
      <c r="P144" s="653"/>
      <c r="Q144" s="653"/>
      <c r="R144" s="653"/>
      <c r="S144" s="653"/>
      <c r="T144" s="653"/>
      <c r="U144" s="653"/>
    </row>
    <row r="145" spans="1:21" ht="15.75" customHeight="1">
      <c r="A145" s="673"/>
      <c r="B145" s="674"/>
      <c r="C145" s="675"/>
      <c r="D145" s="671"/>
      <c r="E145" s="676"/>
      <c r="H145" s="653"/>
      <c r="I145" s="1749" t="s">
        <v>2872</v>
      </c>
      <c r="J145" s="715" t="s">
        <v>2873</v>
      </c>
      <c r="K145" s="716">
        <v>4.84E-4</v>
      </c>
      <c r="L145" s="716">
        <v>4.2900000000000002E-4</v>
      </c>
      <c r="M145" s="655"/>
      <c r="N145" s="653"/>
      <c r="O145" s="653"/>
      <c r="P145" s="653"/>
      <c r="Q145" s="653"/>
      <c r="R145" s="653"/>
      <c r="S145" s="653"/>
      <c r="T145" s="653"/>
      <c r="U145" s="653"/>
    </row>
    <row r="146" spans="1:21" ht="15.75" customHeight="1">
      <c r="A146" s="690"/>
      <c r="B146" s="683"/>
      <c r="C146" s="694"/>
      <c r="D146" s="671"/>
      <c r="E146" s="676"/>
      <c r="H146" s="653"/>
      <c r="I146" s="1749" t="s">
        <v>2874</v>
      </c>
      <c r="J146" s="715" t="s">
        <v>3756</v>
      </c>
      <c r="K146" s="716">
        <v>1.5100000000000001E-4</v>
      </c>
      <c r="L146" s="716">
        <v>0</v>
      </c>
      <c r="M146" s="655"/>
      <c r="N146" s="653"/>
      <c r="O146" s="653"/>
      <c r="P146" s="653"/>
      <c r="Q146" s="653"/>
      <c r="R146" s="653"/>
      <c r="S146" s="653"/>
      <c r="T146" s="653"/>
      <c r="U146" s="653"/>
    </row>
    <row r="147" spans="1:21" ht="17.25" customHeight="1">
      <c r="A147" s="673"/>
      <c r="B147" s="674"/>
      <c r="C147" s="695"/>
      <c r="D147" s="671"/>
      <c r="E147" s="696"/>
      <c r="H147" s="653"/>
      <c r="I147" s="1749" t="s">
        <v>5428</v>
      </c>
      <c r="J147" s="715" t="s">
        <v>3756</v>
      </c>
      <c r="K147" s="716">
        <v>1.5100000000000001E-4</v>
      </c>
      <c r="L147" s="716">
        <v>3.5300000000000002E-4</v>
      </c>
      <c r="M147" s="655"/>
      <c r="N147" s="653"/>
      <c r="O147" s="653"/>
      <c r="P147" s="653"/>
      <c r="Q147" s="653"/>
      <c r="R147" s="653"/>
      <c r="S147" s="653"/>
      <c r="T147" s="653"/>
      <c r="U147" s="653"/>
    </row>
    <row r="148" spans="1:21" ht="15.75" customHeight="1">
      <c r="A148" s="691"/>
      <c r="B148" s="685"/>
      <c r="C148" s="686"/>
      <c r="D148" s="671"/>
      <c r="E148" s="676"/>
      <c r="H148" s="653"/>
      <c r="I148" s="1749" t="s">
        <v>3757</v>
      </c>
      <c r="J148" s="715" t="s">
        <v>2875</v>
      </c>
      <c r="K148" s="716">
        <v>4.8099999999999998E-4</v>
      </c>
      <c r="L148" s="716">
        <v>0</v>
      </c>
      <c r="M148" s="655"/>
      <c r="N148" s="653"/>
      <c r="O148" s="653"/>
      <c r="P148" s="653"/>
      <c r="Q148" s="653"/>
      <c r="R148" s="653"/>
      <c r="S148" s="653"/>
      <c r="T148" s="653"/>
      <c r="U148" s="653"/>
    </row>
    <row r="149" spans="1:21" ht="15.75" customHeight="1">
      <c r="A149" s="687"/>
      <c r="B149" s="688"/>
      <c r="C149" s="689"/>
      <c r="D149" s="671"/>
      <c r="E149" s="676"/>
      <c r="H149" s="653"/>
      <c r="I149" s="1749" t="s">
        <v>5429</v>
      </c>
      <c r="J149" s="715" t="s">
        <v>2875</v>
      </c>
      <c r="K149" s="716">
        <v>4.8099999999999998E-4</v>
      </c>
      <c r="L149" s="716">
        <v>4.7899999999999999E-4</v>
      </c>
      <c r="M149" s="655"/>
      <c r="N149" s="653"/>
      <c r="O149" s="653"/>
      <c r="P149" s="653"/>
      <c r="Q149" s="653"/>
      <c r="R149" s="653"/>
      <c r="S149" s="653"/>
      <c r="T149" s="653"/>
      <c r="U149" s="653"/>
    </row>
    <row r="150" spans="1:21" ht="15.75" customHeight="1">
      <c r="A150" s="687"/>
      <c r="B150" s="688"/>
      <c r="C150" s="689"/>
      <c r="D150" s="671"/>
      <c r="E150" s="676"/>
      <c r="H150" s="653"/>
      <c r="I150" s="1749" t="s">
        <v>3758</v>
      </c>
      <c r="J150" s="715" t="s">
        <v>2876</v>
      </c>
      <c r="K150" s="716">
        <v>4.2700000000000002E-4</v>
      </c>
      <c r="L150" s="716">
        <v>0</v>
      </c>
      <c r="M150" s="655"/>
      <c r="N150" s="653"/>
      <c r="O150" s="653"/>
      <c r="P150" s="653"/>
      <c r="Q150" s="653"/>
      <c r="R150" s="653"/>
      <c r="S150" s="653"/>
      <c r="T150" s="653"/>
      <c r="U150" s="653"/>
    </row>
    <row r="151" spans="1:21" ht="17.25" customHeight="1">
      <c r="A151" s="677"/>
      <c r="B151" s="678"/>
      <c r="C151" s="681"/>
      <c r="D151" s="680"/>
      <c r="E151" s="676"/>
      <c r="H151" s="653"/>
      <c r="I151" s="1749" t="s">
        <v>3759</v>
      </c>
      <c r="J151" s="715" t="s">
        <v>2876</v>
      </c>
      <c r="K151" s="716">
        <v>4.2700000000000002E-4</v>
      </c>
      <c r="L151" s="716">
        <v>0</v>
      </c>
      <c r="M151" s="655"/>
      <c r="N151" s="653"/>
      <c r="O151" s="653"/>
      <c r="P151" s="653"/>
      <c r="Q151" s="653"/>
      <c r="R151" s="653"/>
      <c r="S151" s="653"/>
      <c r="T151" s="653"/>
      <c r="U151" s="653"/>
    </row>
    <row r="152" spans="1:21" ht="17.25" customHeight="1">
      <c r="A152" s="677"/>
      <c r="B152" s="678"/>
      <c r="C152" s="681"/>
      <c r="D152" s="680"/>
      <c r="E152" s="676"/>
      <c r="H152" s="653"/>
      <c r="I152" s="1749" t="s">
        <v>3760</v>
      </c>
      <c r="J152" s="715" t="s">
        <v>2876</v>
      </c>
      <c r="K152" s="716">
        <v>4.2700000000000002E-4</v>
      </c>
      <c r="L152" s="716">
        <v>2.9799999999999998E-4</v>
      </c>
      <c r="M152" s="655"/>
      <c r="N152" s="653"/>
      <c r="O152" s="653"/>
      <c r="P152" s="653"/>
      <c r="Q152" s="653"/>
      <c r="R152" s="653"/>
      <c r="S152" s="653"/>
      <c r="T152" s="653"/>
      <c r="U152" s="653"/>
    </row>
    <row r="153" spans="1:21" ht="17.25" customHeight="1">
      <c r="A153" s="677"/>
      <c r="B153" s="678"/>
      <c r="C153" s="681"/>
      <c r="D153" s="680"/>
      <c r="E153" s="676"/>
      <c r="H153" s="653"/>
      <c r="I153" s="1749" t="s">
        <v>3761</v>
      </c>
      <c r="J153" s="715" t="s">
        <v>2876</v>
      </c>
      <c r="K153" s="716">
        <v>4.2700000000000002E-4</v>
      </c>
      <c r="L153" s="716">
        <v>4.3199999999999998E-4</v>
      </c>
      <c r="M153" s="655"/>
      <c r="N153" s="653"/>
      <c r="O153" s="653"/>
      <c r="P153" s="653"/>
      <c r="Q153" s="653"/>
      <c r="R153" s="653"/>
      <c r="S153" s="653"/>
      <c r="T153" s="653"/>
      <c r="U153" s="653"/>
    </row>
    <row r="154" spans="1:21" ht="15.75" customHeight="1">
      <c r="A154" s="691"/>
      <c r="B154" s="685"/>
      <c r="C154" s="686"/>
      <c r="D154" s="671"/>
      <c r="E154" s="676"/>
      <c r="H154" s="653"/>
      <c r="I154" s="1749" t="s">
        <v>3762</v>
      </c>
      <c r="J154" s="715" t="s">
        <v>2877</v>
      </c>
      <c r="K154" s="716">
        <v>2.03E-4</v>
      </c>
      <c r="L154" s="716">
        <v>0</v>
      </c>
      <c r="M154" s="655"/>
      <c r="N154" s="653"/>
      <c r="O154" s="653"/>
      <c r="P154" s="653"/>
      <c r="Q154" s="653"/>
      <c r="R154" s="653"/>
      <c r="S154" s="653"/>
      <c r="T154" s="653"/>
      <c r="U154" s="653"/>
    </row>
    <row r="155" spans="1:21" ht="15.75" customHeight="1">
      <c r="A155" s="687"/>
      <c r="B155" s="688"/>
      <c r="C155" s="689"/>
      <c r="D155" s="671"/>
      <c r="E155" s="676"/>
      <c r="H155" s="653"/>
      <c r="I155" s="1749" t="s">
        <v>3763</v>
      </c>
      <c r="J155" s="715" t="s">
        <v>2877</v>
      </c>
      <c r="K155" s="716">
        <v>2.03E-4</v>
      </c>
      <c r="L155" s="716">
        <v>4.57E-4</v>
      </c>
      <c r="M155" s="655"/>
      <c r="N155" s="653"/>
      <c r="O155" s="653"/>
      <c r="P155" s="653"/>
      <c r="Q155" s="653"/>
      <c r="R155" s="653"/>
      <c r="S155" s="653"/>
      <c r="T155" s="653"/>
      <c r="U155" s="653"/>
    </row>
    <row r="156" spans="1:21" ht="15.75" customHeight="1">
      <c r="A156" s="687"/>
      <c r="B156" s="688"/>
      <c r="C156" s="689"/>
      <c r="D156" s="671"/>
      <c r="E156" s="676"/>
      <c r="H156" s="653"/>
      <c r="I156" s="1749" t="s">
        <v>2878</v>
      </c>
      <c r="J156" s="715" t="s">
        <v>2879</v>
      </c>
      <c r="K156" s="716">
        <v>4.9100000000000001E-4</v>
      </c>
      <c r="L156" s="716">
        <v>0</v>
      </c>
      <c r="M156" s="655"/>
      <c r="N156" s="653"/>
      <c r="O156" s="653"/>
      <c r="P156" s="653"/>
      <c r="Q156" s="653"/>
      <c r="R156" s="653"/>
      <c r="S156" s="653"/>
      <c r="T156" s="653"/>
      <c r="U156" s="653"/>
    </row>
    <row r="157" spans="1:21" ht="17.25" customHeight="1">
      <c r="A157" s="677"/>
      <c r="B157" s="678"/>
      <c r="C157" s="681"/>
      <c r="D157" s="680"/>
      <c r="E157" s="676"/>
      <c r="H157" s="653"/>
      <c r="I157" s="1749" t="s">
        <v>3764</v>
      </c>
      <c r="J157" s="715" t="s">
        <v>2879</v>
      </c>
      <c r="K157" s="716">
        <v>4.9100000000000001E-4</v>
      </c>
      <c r="L157" s="716">
        <v>4.5600000000000003E-4</v>
      </c>
      <c r="M157" s="655"/>
      <c r="N157" s="653"/>
      <c r="O157" s="653"/>
      <c r="P157" s="653"/>
      <c r="Q157" s="653"/>
      <c r="R157" s="653"/>
      <c r="S157" s="653"/>
      <c r="T157" s="653"/>
      <c r="U157" s="653"/>
    </row>
    <row r="158" spans="1:21" ht="17.25" customHeight="1">
      <c r="A158" s="677"/>
      <c r="B158" s="678"/>
      <c r="C158" s="681"/>
      <c r="D158" s="680"/>
      <c r="E158" s="676"/>
      <c r="H158" s="653"/>
      <c r="I158" s="1749" t="s">
        <v>2880</v>
      </c>
      <c r="J158" s="715" t="s">
        <v>2881</v>
      </c>
      <c r="K158" s="716">
        <v>4.1800000000000002E-4</v>
      </c>
      <c r="L158" s="716">
        <v>0</v>
      </c>
      <c r="M158" s="655"/>
      <c r="N158" s="653"/>
      <c r="O158" s="653"/>
      <c r="P158" s="653"/>
      <c r="Q158" s="653"/>
      <c r="R158" s="653"/>
      <c r="S158" s="653"/>
      <c r="T158" s="653"/>
      <c r="U158" s="653"/>
    </row>
    <row r="159" spans="1:21" ht="17.25" customHeight="1">
      <c r="A159" s="677"/>
      <c r="B159" s="678"/>
      <c r="C159" s="681"/>
      <c r="D159" s="680"/>
      <c r="E159" s="676"/>
      <c r="H159" s="653"/>
      <c r="I159" s="1749" t="s">
        <v>3765</v>
      </c>
      <c r="J159" s="715" t="s">
        <v>2881</v>
      </c>
      <c r="K159" s="716">
        <v>4.1800000000000002E-4</v>
      </c>
      <c r="L159" s="716">
        <v>4.4499999999999997E-4</v>
      </c>
      <c r="M159" s="655"/>
      <c r="N159" s="653"/>
      <c r="O159" s="653"/>
      <c r="P159" s="653"/>
      <c r="Q159" s="653"/>
      <c r="R159" s="653"/>
      <c r="S159" s="653"/>
      <c r="T159" s="653"/>
      <c r="U159" s="653"/>
    </row>
    <row r="160" spans="1:21" ht="15.75" customHeight="1">
      <c r="A160" s="691"/>
      <c r="B160" s="685"/>
      <c r="C160" s="686"/>
      <c r="D160" s="671"/>
      <c r="E160" s="676"/>
      <c r="H160" s="653"/>
      <c r="I160" s="1749" t="s">
        <v>2882</v>
      </c>
      <c r="J160" s="715" t="s">
        <v>2883</v>
      </c>
      <c r="K160" s="716">
        <v>4.6799999999999999E-4</v>
      </c>
      <c r="L160" s="716">
        <v>0</v>
      </c>
      <c r="M160" s="655"/>
      <c r="N160" s="653"/>
      <c r="O160" s="653"/>
      <c r="P160" s="653"/>
      <c r="Q160" s="653"/>
      <c r="R160" s="653"/>
      <c r="S160" s="653"/>
      <c r="T160" s="653"/>
      <c r="U160" s="653"/>
    </row>
    <row r="161" spans="1:21" ht="15.75" customHeight="1">
      <c r="A161" s="687"/>
      <c r="B161" s="688"/>
      <c r="C161" s="689"/>
      <c r="D161" s="671"/>
      <c r="E161" s="676"/>
      <c r="H161" s="653"/>
      <c r="I161" s="1749" t="s">
        <v>2884</v>
      </c>
      <c r="J161" s="715" t="s">
        <v>2883</v>
      </c>
      <c r="K161" s="716">
        <v>4.6799999999999999E-4</v>
      </c>
      <c r="L161" s="716">
        <v>0</v>
      </c>
      <c r="M161" s="655"/>
      <c r="N161" s="653"/>
      <c r="O161" s="653"/>
      <c r="P161" s="653"/>
      <c r="Q161" s="653"/>
      <c r="R161" s="653"/>
      <c r="S161" s="653"/>
      <c r="T161" s="653"/>
      <c r="U161" s="653"/>
    </row>
    <row r="162" spans="1:21" ht="15.75" customHeight="1">
      <c r="A162" s="687"/>
      <c r="B162" s="688"/>
      <c r="C162" s="689"/>
      <c r="D162" s="671"/>
      <c r="E162" s="676"/>
      <c r="H162" s="653"/>
      <c r="I162" s="1749" t="s">
        <v>2885</v>
      </c>
      <c r="J162" s="715" t="s">
        <v>2883</v>
      </c>
      <c r="K162" s="716">
        <v>4.6799999999999999E-4</v>
      </c>
      <c r="L162" s="716">
        <v>2.7099999999999997E-4</v>
      </c>
      <c r="M162" s="655"/>
      <c r="N162" s="653"/>
      <c r="O162" s="653"/>
      <c r="P162" s="653"/>
      <c r="Q162" s="653"/>
      <c r="R162" s="653"/>
      <c r="S162" s="653"/>
      <c r="T162" s="653"/>
      <c r="U162" s="653"/>
    </row>
    <row r="163" spans="1:21" ht="15.75" customHeight="1">
      <c r="A163" s="690"/>
      <c r="B163" s="683"/>
      <c r="C163" s="670"/>
      <c r="D163" s="671"/>
      <c r="E163" s="676"/>
      <c r="H163" s="653"/>
      <c r="I163" s="1749" t="s">
        <v>2886</v>
      </c>
      <c r="J163" s="715" t="s">
        <v>2883</v>
      </c>
      <c r="K163" s="716">
        <v>4.6799999999999999E-4</v>
      </c>
      <c r="L163" s="716">
        <v>0</v>
      </c>
      <c r="M163" s="655"/>
      <c r="N163" s="653"/>
      <c r="O163" s="653"/>
      <c r="P163" s="653"/>
      <c r="Q163" s="653"/>
      <c r="R163" s="653"/>
      <c r="S163" s="653"/>
      <c r="T163" s="653"/>
      <c r="U163" s="653"/>
    </row>
    <row r="164" spans="1:21" ht="15.75" customHeight="1">
      <c r="A164" s="673"/>
      <c r="B164" s="674"/>
      <c r="C164" s="675"/>
      <c r="D164" s="671"/>
      <c r="E164" s="676"/>
      <c r="H164" s="653"/>
      <c r="I164" s="1749" t="s">
        <v>2887</v>
      </c>
      <c r="J164" s="715" t="s">
        <v>2883</v>
      </c>
      <c r="K164" s="716">
        <v>4.6799999999999999E-4</v>
      </c>
      <c r="L164" s="716">
        <v>3.6999999999999999E-4</v>
      </c>
      <c r="M164" s="655"/>
      <c r="N164" s="653"/>
      <c r="O164" s="653"/>
      <c r="P164" s="653"/>
      <c r="Q164" s="653"/>
      <c r="R164" s="653"/>
      <c r="S164" s="653"/>
      <c r="T164" s="653"/>
      <c r="U164" s="653"/>
    </row>
    <row r="165" spans="1:21" ht="17.25" customHeight="1">
      <c r="A165" s="677"/>
      <c r="B165" s="678"/>
      <c r="C165" s="681"/>
      <c r="D165" s="680"/>
      <c r="E165" s="676"/>
      <c r="H165" s="653"/>
      <c r="I165" s="1749" t="s">
        <v>3766</v>
      </c>
      <c r="J165" s="715" t="s">
        <v>2883</v>
      </c>
      <c r="K165" s="716">
        <v>4.6799999999999999E-4</v>
      </c>
      <c r="L165" s="716">
        <v>4.44E-4</v>
      </c>
      <c r="M165" s="655"/>
      <c r="N165" s="653"/>
      <c r="O165" s="653"/>
      <c r="P165" s="653"/>
      <c r="Q165" s="653"/>
      <c r="R165" s="653"/>
      <c r="S165" s="653"/>
      <c r="T165" s="653"/>
      <c r="U165" s="653"/>
    </row>
    <row r="166" spans="1:21" ht="17.25" customHeight="1">
      <c r="A166" s="677"/>
      <c r="B166" s="678"/>
      <c r="C166" s="681"/>
      <c r="D166" s="680"/>
      <c r="E166" s="676"/>
      <c r="H166" s="653"/>
      <c r="I166" s="1749" t="s">
        <v>3767</v>
      </c>
      <c r="J166" s="715" t="s">
        <v>2888</v>
      </c>
      <c r="K166" s="716">
        <v>4.4099999999999999E-4</v>
      </c>
      <c r="L166" s="716">
        <v>0</v>
      </c>
      <c r="M166" s="655"/>
      <c r="N166" s="653"/>
      <c r="O166" s="653"/>
      <c r="P166" s="653"/>
      <c r="Q166" s="653"/>
      <c r="R166" s="653"/>
      <c r="S166" s="653"/>
      <c r="T166" s="653"/>
      <c r="U166" s="653"/>
    </row>
    <row r="167" spans="1:21" ht="15.75" customHeight="1">
      <c r="A167" s="691"/>
      <c r="B167" s="685"/>
      <c r="C167" s="686"/>
      <c r="D167" s="671"/>
      <c r="E167" s="676"/>
      <c r="H167" s="653"/>
      <c r="I167" s="1749" t="s">
        <v>3768</v>
      </c>
      <c r="J167" s="715" t="s">
        <v>2888</v>
      </c>
      <c r="K167" s="716">
        <v>4.4099999999999999E-4</v>
      </c>
      <c r="L167" s="716">
        <v>4.4799999999999999E-4</v>
      </c>
      <c r="M167" s="655"/>
      <c r="N167" s="653"/>
      <c r="O167" s="653"/>
      <c r="P167" s="653"/>
      <c r="Q167" s="653"/>
      <c r="R167" s="653"/>
      <c r="S167" s="653"/>
      <c r="T167" s="653"/>
      <c r="U167" s="653"/>
    </row>
    <row r="168" spans="1:21" ht="15.75" customHeight="1">
      <c r="A168" s="687"/>
      <c r="B168" s="688"/>
      <c r="C168" s="689"/>
      <c r="D168" s="671"/>
      <c r="E168" s="676"/>
      <c r="H168" s="653"/>
      <c r="I168" s="1749" t="s">
        <v>2889</v>
      </c>
      <c r="J168" s="715" t="s">
        <v>2890</v>
      </c>
      <c r="K168" s="716">
        <v>3.8699999999999997E-4</v>
      </c>
      <c r="L168" s="716">
        <v>0</v>
      </c>
      <c r="M168" s="655"/>
      <c r="N168" s="653"/>
      <c r="O168" s="653"/>
      <c r="P168" s="653"/>
      <c r="Q168" s="653"/>
      <c r="R168" s="653"/>
      <c r="S168" s="653"/>
      <c r="T168" s="653"/>
      <c r="U168" s="653"/>
    </row>
    <row r="169" spans="1:21" ht="15.75" customHeight="1">
      <c r="A169" s="687"/>
      <c r="B169" s="688"/>
      <c r="C169" s="689"/>
      <c r="D169" s="671"/>
      <c r="E169" s="676"/>
      <c r="H169" s="653"/>
      <c r="I169" s="1749" t="s">
        <v>2891</v>
      </c>
      <c r="J169" s="715" t="s">
        <v>2890</v>
      </c>
      <c r="K169" s="716">
        <v>3.8699999999999997E-4</v>
      </c>
      <c r="L169" s="716">
        <v>0</v>
      </c>
      <c r="M169" s="655"/>
      <c r="N169" s="653"/>
      <c r="O169" s="653"/>
      <c r="P169" s="653"/>
      <c r="Q169" s="653"/>
      <c r="R169" s="653"/>
      <c r="S169" s="653"/>
      <c r="T169" s="653"/>
      <c r="U169" s="653"/>
    </row>
    <row r="170" spans="1:21" ht="15.75" customHeight="1">
      <c r="A170" s="690"/>
      <c r="B170" s="683"/>
      <c r="C170" s="670"/>
      <c r="D170" s="671"/>
      <c r="E170" s="676"/>
      <c r="H170" s="653"/>
      <c r="I170" s="1749" t="s">
        <v>3769</v>
      </c>
      <c r="J170" s="715" t="s">
        <v>2890</v>
      </c>
      <c r="K170" s="716">
        <v>3.8699999999999997E-4</v>
      </c>
      <c r="L170" s="716">
        <v>3.9800000000000002E-4</v>
      </c>
      <c r="M170" s="655"/>
      <c r="N170" s="653"/>
      <c r="O170" s="653"/>
      <c r="P170" s="653"/>
      <c r="Q170" s="653"/>
      <c r="R170" s="653"/>
      <c r="S170" s="653"/>
      <c r="T170" s="653"/>
      <c r="U170" s="653"/>
    </row>
    <row r="171" spans="1:21" ht="15.75" customHeight="1">
      <c r="A171" s="673"/>
      <c r="B171" s="674"/>
      <c r="C171" s="675"/>
      <c r="D171" s="671"/>
      <c r="E171" s="676"/>
      <c r="H171" s="653"/>
      <c r="I171" s="1749" t="s">
        <v>5430</v>
      </c>
      <c r="J171" s="715" t="s">
        <v>2890</v>
      </c>
      <c r="K171" s="716">
        <v>3.8699999999999997E-4</v>
      </c>
      <c r="L171" s="716">
        <v>3.7300000000000001E-4</v>
      </c>
      <c r="M171" s="655"/>
      <c r="N171" s="653"/>
      <c r="O171" s="653"/>
      <c r="P171" s="653"/>
      <c r="Q171" s="653"/>
      <c r="R171" s="653"/>
      <c r="S171" s="653"/>
      <c r="T171" s="653"/>
      <c r="U171" s="653"/>
    </row>
    <row r="172" spans="1:21" ht="15.75" customHeight="1">
      <c r="A172" s="673"/>
      <c r="B172" s="674"/>
      <c r="C172" s="675"/>
      <c r="D172" s="671"/>
      <c r="E172" s="676"/>
      <c r="H172" s="653"/>
      <c r="I172" s="1749" t="s">
        <v>2892</v>
      </c>
      <c r="J172" s="715" t="s">
        <v>2893</v>
      </c>
      <c r="K172" s="716">
        <v>5.1599999999999997E-4</v>
      </c>
      <c r="L172" s="716">
        <v>3.7800000000000003E-4</v>
      </c>
      <c r="M172" s="655"/>
      <c r="N172" s="653"/>
      <c r="O172" s="653"/>
      <c r="P172" s="653"/>
      <c r="Q172" s="653"/>
      <c r="R172" s="653"/>
      <c r="S172" s="653"/>
      <c r="T172" s="653"/>
      <c r="U172" s="653"/>
    </row>
    <row r="173" spans="1:21" ht="15.75" customHeight="1">
      <c r="A173" s="673"/>
      <c r="B173" s="674"/>
      <c r="C173" s="675"/>
      <c r="D173" s="671"/>
      <c r="E173" s="676"/>
      <c r="H173" s="653"/>
      <c r="I173" s="1749" t="s">
        <v>3770</v>
      </c>
      <c r="J173" s="715" t="s">
        <v>2893</v>
      </c>
      <c r="K173" s="716">
        <v>5.1599999999999997E-4</v>
      </c>
      <c r="L173" s="716">
        <v>5.5199999999999997E-4</v>
      </c>
      <c r="M173" s="655"/>
      <c r="N173" s="653"/>
      <c r="O173" s="653"/>
      <c r="P173" s="653"/>
      <c r="Q173" s="653"/>
      <c r="R173" s="653"/>
      <c r="S173" s="653"/>
      <c r="T173" s="653"/>
      <c r="U173" s="653"/>
    </row>
    <row r="174" spans="1:21" ht="15.75" customHeight="1">
      <c r="A174" s="673"/>
      <c r="B174" s="674"/>
      <c r="C174" s="675"/>
      <c r="D174" s="671"/>
      <c r="E174" s="676"/>
      <c r="H174" s="653"/>
      <c r="I174" s="1749" t="s">
        <v>5431</v>
      </c>
      <c r="J174" s="715" t="s">
        <v>2894</v>
      </c>
      <c r="K174" s="716">
        <v>4.5300000000000001E-4</v>
      </c>
      <c r="L174" s="716">
        <v>0</v>
      </c>
      <c r="M174" s="655"/>
      <c r="N174" s="653"/>
      <c r="O174" s="653"/>
      <c r="P174" s="653"/>
      <c r="Q174" s="653"/>
      <c r="R174" s="653"/>
      <c r="S174" s="653"/>
      <c r="T174" s="653"/>
      <c r="U174" s="653"/>
    </row>
    <row r="175" spans="1:21" ht="15.75" customHeight="1">
      <c r="A175" s="673"/>
      <c r="B175" s="674"/>
      <c r="C175" s="675"/>
      <c r="D175" s="671"/>
      <c r="E175" s="676"/>
      <c r="H175" s="653"/>
      <c r="I175" s="1749" t="s">
        <v>5432</v>
      </c>
      <c r="J175" s="715" t="s">
        <v>2894</v>
      </c>
      <c r="K175" s="716">
        <v>4.5300000000000001E-4</v>
      </c>
      <c r="L175" s="716">
        <v>4.5600000000000003E-4</v>
      </c>
      <c r="M175" s="655"/>
      <c r="N175" s="653"/>
      <c r="O175" s="653"/>
      <c r="P175" s="653"/>
      <c r="Q175" s="653"/>
      <c r="R175" s="653"/>
      <c r="S175" s="653"/>
      <c r="T175" s="653"/>
      <c r="U175" s="653"/>
    </row>
    <row r="176" spans="1:21" ht="15.75" customHeight="1">
      <c r="A176" s="690"/>
      <c r="B176" s="683"/>
      <c r="C176" s="670"/>
      <c r="D176" s="671"/>
      <c r="E176" s="676"/>
      <c r="H176" s="653"/>
      <c r="I176" s="1749" t="s">
        <v>2895</v>
      </c>
      <c r="J176" s="715" t="s">
        <v>2896</v>
      </c>
      <c r="K176" s="716">
        <v>4.64E-4</v>
      </c>
      <c r="L176" s="716">
        <v>0</v>
      </c>
      <c r="M176" s="655"/>
      <c r="N176" s="653"/>
      <c r="O176" s="653"/>
      <c r="P176" s="653"/>
      <c r="Q176" s="653"/>
      <c r="R176" s="653"/>
      <c r="S176" s="653"/>
      <c r="T176" s="653"/>
      <c r="U176" s="653"/>
    </row>
    <row r="177" spans="1:21" ht="15.75" customHeight="1">
      <c r="A177" s="673"/>
      <c r="B177" s="674"/>
      <c r="C177" s="675"/>
      <c r="D177" s="671"/>
      <c r="E177" s="676"/>
      <c r="H177" s="653"/>
      <c r="I177" s="1749" t="s">
        <v>2897</v>
      </c>
      <c r="J177" s="715" t="s">
        <v>2896</v>
      </c>
      <c r="K177" s="716">
        <v>4.64E-4</v>
      </c>
      <c r="L177" s="716">
        <v>0</v>
      </c>
      <c r="M177" s="655"/>
      <c r="N177" s="653"/>
      <c r="O177" s="653"/>
      <c r="P177" s="653"/>
      <c r="Q177" s="653"/>
      <c r="R177" s="653"/>
      <c r="S177" s="653"/>
      <c r="T177" s="653"/>
      <c r="U177" s="653"/>
    </row>
    <row r="178" spans="1:21" ht="15.75" customHeight="1">
      <c r="A178" s="673"/>
      <c r="B178" s="674"/>
      <c r="C178" s="675"/>
      <c r="D178" s="671"/>
      <c r="E178" s="676"/>
      <c r="H178" s="653"/>
      <c r="I178" s="1749" t="s">
        <v>3771</v>
      </c>
      <c r="J178" s="715" t="s">
        <v>2896</v>
      </c>
      <c r="K178" s="716">
        <v>4.64E-4</v>
      </c>
      <c r="L178" s="716">
        <v>0</v>
      </c>
      <c r="M178" s="655"/>
      <c r="N178" s="653"/>
      <c r="O178" s="653"/>
      <c r="P178" s="653"/>
      <c r="Q178" s="653"/>
      <c r="R178" s="653"/>
      <c r="S178" s="653"/>
      <c r="T178" s="653"/>
      <c r="U178" s="653"/>
    </row>
    <row r="179" spans="1:21" ht="15.75" customHeight="1">
      <c r="A179" s="673"/>
      <c r="B179" s="674"/>
      <c r="C179" s="675"/>
      <c r="D179" s="671"/>
      <c r="E179" s="676"/>
      <c r="H179" s="653"/>
      <c r="I179" s="1749" t="s">
        <v>5433</v>
      </c>
      <c r="J179" s="715" t="s">
        <v>2896</v>
      </c>
      <c r="K179" s="716">
        <v>4.64E-4</v>
      </c>
      <c r="L179" s="716">
        <v>4.08E-4</v>
      </c>
      <c r="M179" s="655"/>
      <c r="N179" s="653"/>
      <c r="O179" s="653"/>
      <c r="P179" s="653"/>
      <c r="Q179" s="653"/>
      <c r="R179" s="653"/>
      <c r="S179" s="653"/>
      <c r="T179" s="653"/>
      <c r="U179" s="653"/>
    </row>
    <row r="180" spans="1:21" ht="15.75" customHeight="1">
      <c r="A180" s="691"/>
      <c r="B180" s="685"/>
      <c r="C180" s="686"/>
      <c r="D180" s="671"/>
      <c r="E180" s="676"/>
      <c r="H180" s="653"/>
      <c r="I180" s="1749" t="s">
        <v>2898</v>
      </c>
      <c r="J180" s="715" t="s">
        <v>2899</v>
      </c>
      <c r="K180" s="716">
        <v>4.5800000000000002E-4</v>
      </c>
      <c r="L180" s="716">
        <v>0</v>
      </c>
      <c r="M180" s="655"/>
      <c r="N180" s="653"/>
      <c r="O180" s="653"/>
      <c r="P180" s="653"/>
      <c r="Q180" s="653"/>
      <c r="R180" s="653"/>
      <c r="S180" s="653"/>
      <c r="T180" s="653"/>
      <c r="U180" s="653"/>
    </row>
    <row r="181" spans="1:21" ht="15.75" customHeight="1">
      <c r="A181" s="687"/>
      <c r="B181" s="688"/>
      <c r="C181" s="689"/>
      <c r="D181" s="671"/>
      <c r="E181" s="676"/>
      <c r="H181" s="653"/>
      <c r="I181" s="1749" t="s">
        <v>2900</v>
      </c>
      <c r="J181" s="715" t="s">
        <v>2901</v>
      </c>
      <c r="K181" s="716">
        <v>4.7800000000000002E-4</v>
      </c>
      <c r="L181" s="716">
        <v>0</v>
      </c>
      <c r="M181" s="655"/>
      <c r="N181" s="653"/>
      <c r="O181" s="653"/>
      <c r="P181" s="653"/>
      <c r="Q181" s="653"/>
      <c r="R181" s="653"/>
      <c r="S181" s="653"/>
      <c r="T181" s="653"/>
      <c r="U181" s="653"/>
    </row>
    <row r="182" spans="1:21" ht="15.75" customHeight="1">
      <c r="A182" s="687"/>
      <c r="B182" s="688"/>
      <c r="C182" s="689"/>
      <c r="D182" s="671"/>
      <c r="E182" s="676"/>
      <c r="H182" s="653"/>
      <c r="I182" s="1749" t="s">
        <v>3772</v>
      </c>
      <c r="J182" s="715" t="s">
        <v>2901</v>
      </c>
      <c r="K182" s="716">
        <v>4.7800000000000002E-4</v>
      </c>
      <c r="L182" s="716">
        <v>0</v>
      </c>
      <c r="M182" s="655"/>
      <c r="N182" s="653"/>
      <c r="O182" s="653"/>
      <c r="P182" s="653"/>
      <c r="Q182" s="653"/>
      <c r="R182" s="653"/>
      <c r="S182" s="653"/>
      <c r="T182" s="653"/>
      <c r="U182" s="653"/>
    </row>
    <row r="183" spans="1:21" ht="30.2" customHeight="1">
      <c r="A183" s="677"/>
      <c r="B183" s="678"/>
      <c r="C183" s="681"/>
      <c r="D183" s="682"/>
      <c r="E183" s="676"/>
      <c r="H183" s="653"/>
      <c r="I183" s="1749" t="s">
        <v>3773</v>
      </c>
      <c r="J183" s="715" t="s">
        <v>2901</v>
      </c>
      <c r="K183" s="716">
        <v>4.7800000000000002E-4</v>
      </c>
      <c r="L183" s="716">
        <v>0</v>
      </c>
      <c r="M183" s="655"/>
      <c r="N183" s="653"/>
      <c r="O183" s="653"/>
      <c r="P183" s="653"/>
      <c r="Q183" s="653"/>
      <c r="R183" s="653"/>
      <c r="S183" s="653"/>
      <c r="T183" s="653"/>
      <c r="U183" s="653"/>
    </row>
    <row r="184" spans="1:21" ht="15.75" customHeight="1">
      <c r="A184" s="690"/>
      <c r="B184" s="683"/>
      <c r="C184" s="670"/>
      <c r="D184" s="671"/>
      <c r="E184" s="676"/>
      <c r="H184" s="653"/>
      <c r="I184" s="1749" t="s">
        <v>3774</v>
      </c>
      <c r="J184" s="715" t="s">
        <v>2901</v>
      </c>
      <c r="K184" s="716">
        <v>4.7800000000000002E-4</v>
      </c>
      <c r="L184" s="716">
        <v>0</v>
      </c>
      <c r="M184" s="655"/>
      <c r="N184" s="653"/>
      <c r="O184" s="653"/>
      <c r="P184" s="653"/>
      <c r="Q184" s="653"/>
      <c r="R184" s="653"/>
      <c r="S184" s="653"/>
      <c r="T184" s="653"/>
      <c r="U184" s="653"/>
    </row>
    <row r="185" spans="1:21" ht="15.75" customHeight="1">
      <c r="A185" s="673"/>
      <c r="B185" s="674"/>
      <c r="C185" s="675"/>
      <c r="D185" s="671"/>
      <c r="E185" s="676"/>
      <c r="H185" s="653"/>
      <c r="I185" s="1749" t="s">
        <v>3775</v>
      </c>
      <c r="J185" s="715" t="s">
        <v>2901</v>
      </c>
      <c r="K185" s="716">
        <v>4.7800000000000002E-4</v>
      </c>
      <c r="L185" s="716">
        <v>0</v>
      </c>
      <c r="M185" s="655"/>
      <c r="N185" s="653"/>
      <c r="O185" s="653"/>
      <c r="P185" s="653"/>
      <c r="Q185" s="653"/>
      <c r="R185" s="653"/>
      <c r="S185" s="653"/>
      <c r="T185" s="653"/>
      <c r="U185" s="653"/>
    </row>
    <row r="186" spans="1:21" ht="15.75" customHeight="1">
      <c r="A186" s="690"/>
      <c r="B186" s="699"/>
      <c r="C186" s="670"/>
      <c r="D186" s="671"/>
      <c r="E186" s="676"/>
      <c r="H186" s="653"/>
      <c r="I186" s="1749" t="s">
        <v>3776</v>
      </c>
      <c r="J186" s="715" t="s">
        <v>2901</v>
      </c>
      <c r="K186" s="716">
        <v>4.7800000000000002E-4</v>
      </c>
      <c r="L186" s="716">
        <v>0</v>
      </c>
      <c r="M186" s="655"/>
      <c r="N186" s="653"/>
      <c r="O186" s="653"/>
      <c r="P186" s="653"/>
      <c r="Q186" s="653"/>
      <c r="R186" s="653"/>
      <c r="S186" s="653"/>
      <c r="T186" s="653"/>
      <c r="U186" s="653"/>
    </row>
    <row r="187" spans="1:21" ht="15.75" customHeight="1">
      <c r="A187" s="673"/>
      <c r="B187" s="700"/>
      <c r="C187" s="675"/>
      <c r="D187" s="671"/>
      <c r="E187" s="676"/>
      <c r="H187" s="653"/>
      <c r="I187" s="1749" t="s">
        <v>5434</v>
      </c>
      <c r="J187" s="715" t="s">
        <v>2901</v>
      </c>
      <c r="K187" s="716">
        <v>4.7800000000000002E-4</v>
      </c>
      <c r="L187" s="716">
        <v>0</v>
      </c>
      <c r="M187" s="655"/>
      <c r="N187" s="653"/>
      <c r="O187" s="653"/>
      <c r="P187" s="653"/>
      <c r="Q187" s="653"/>
      <c r="R187" s="653"/>
      <c r="S187" s="653"/>
      <c r="T187" s="653"/>
      <c r="U187" s="653"/>
    </row>
    <row r="188" spans="1:21">
      <c r="A188" s="677"/>
      <c r="B188" s="678"/>
      <c r="C188" s="681"/>
      <c r="D188" s="682"/>
      <c r="E188" s="676"/>
      <c r="H188" s="653"/>
      <c r="I188" s="1749" t="s">
        <v>5435</v>
      </c>
      <c r="J188" s="715" t="s">
        <v>2901</v>
      </c>
      <c r="K188" s="716">
        <v>4.7800000000000002E-4</v>
      </c>
      <c r="L188" s="716">
        <v>0</v>
      </c>
      <c r="M188" s="655"/>
      <c r="N188" s="653"/>
      <c r="O188" s="653"/>
      <c r="P188" s="653"/>
      <c r="Q188" s="653"/>
      <c r="R188" s="653"/>
      <c r="S188" s="653"/>
      <c r="T188" s="653"/>
      <c r="U188" s="653"/>
    </row>
    <row r="189" spans="1:21">
      <c r="A189" s="677"/>
      <c r="B189" s="678"/>
      <c r="C189" s="681"/>
      <c r="D189" s="682"/>
      <c r="E189" s="676"/>
      <c r="H189" s="653"/>
      <c r="I189" s="1749" t="s">
        <v>5436</v>
      </c>
      <c r="J189" s="715" t="s">
        <v>2901</v>
      </c>
      <c r="K189" s="716">
        <v>4.7800000000000002E-4</v>
      </c>
      <c r="L189" s="716">
        <v>4.1599999999999997E-4</v>
      </c>
      <c r="M189" s="655"/>
      <c r="N189" s="653"/>
      <c r="O189" s="653"/>
      <c r="P189" s="653"/>
      <c r="Q189" s="653"/>
      <c r="R189" s="653"/>
      <c r="S189" s="653"/>
      <c r="T189" s="653"/>
      <c r="U189" s="653"/>
    </row>
    <row r="190" spans="1:21">
      <c r="A190" s="701"/>
      <c r="B190" s="702"/>
      <c r="C190" s="703"/>
      <c r="D190" s="671"/>
      <c r="E190" s="704"/>
      <c r="H190" s="653"/>
      <c r="I190" s="1749" t="s">
        <v>2902</v>
      </c>
      <c r="J190" s="715" t="s">
        <v>2903</v>
      </c>
      <c r="K190" s="716">
        <v>4.4099999999999999E-4</v>
      </c>
      <c r="L190" s="716">
        <v>0</v>
      </c>
      <c r="M190" s="655"/>
      <c r="N190" s="653"/>
      <c r="O190" s="653"/>
      <c r="P190" s="653"/>
      <c r="Q190" s="653"/>
      <c r="R190" s="653"/>
      <c r="S190" s="653"/>
      <c r="T190" s="653"/>
      <c r="U190" s="653"/>
    </row>
    <row r="191" spans="1:21" ht="17.25" customHeight="1">
      <c r="A191" s="677"/>
      <c r="B191" s="678"/>
      <c r="C191" s="681"/>
      <c r="D191" s="680"/>
      <c r="E191" s="676"/>
      <c r="H191" s="653"/>
      <c r="I191" s="1749" t="s">
        <v>3777</v>
      </c>
      <c r="J191" s="715" t="s">
        <v>2903</v>
      </c>
      <c r="K191" s="716">
        <v>4.4099999999999999E-4</v>
      </c>
      <c r="L191" s="716">
        <v>1.5899999999999999E-4</v>
      </c>
      <c r="M191" s="655"/>
      <c r="N191" s="653"/>
      <c r="O191" s="653"/>
      <c r="P191" s="653"/>
      <c r="Q191" s="653"/>
      <c r="R191" s="653"/>
      <c r="S191" s="653"/>
      <c r="T191" s="653"/>
      <c r="U191" s="653"/>
    </row>
    <row r="192" spans="1:21" ht="17.25" customHeight="1">
      <c r="A192" s="677"/>
      <c r="B192" s="678"/>
      <c r="C192" s="681"/>
      <c r="D192" s="680"/>
      <c r="E192" s="676"/>
      <c r="H192" s="653"/>
      <c r="I192" s="1749" t="s">
        <v>3778</v>
      </c>
      <c r="J192" s="715" t="s">
        <v>2903</v>
      </c>
      <c r="K192" s="716">
        <v>4.4099999999999999E-4</v>
      </c>
      <c r="L192" s="716">
        <v>2.4699999999999999E-4</v>
      </c>
      <c r="M192" s="655"/>
      <c r="N192" s="653"/>
      <c r="O192" s="653"/>
      <c r="P192" s="653"/>
      <c r="Q192" s="653"/>
      <c r="R192" s="653"/>
      <c r="S192" s="653"/>
      <c r="T192" s="653"/>
      <c r="U192" s="653"/>
    </row>
    <row r="193" spans="1:21" ht="17.25" customHeight="1">
      <c r="A193" s="677"/>
      <c r="B193" s="678"/>
      <c r="C193" s="681"/>
      <c r="D193" s="680"/>
      <c r="E193" s="676"/>
      <c r="H193" s="653"/>
      <c r="I193" s="1749" t="s">
        <v>3779</v>
      </c>
      <c r="J193" s="715" t="s">
        <v>2903</v>
      </c>
      <c r="K193" s="716">
        <v>4.4099999999999999E-4</v>
      </c>
      <c r="L193" s="716">
        <v>3.1599999999999998E-4</v>
      </c>
      <c r="M193" s="655"/>
      <c r="N193" s="653"/>
      <c r="O193" s="653"/>
      <c r="P193" s="653"/>
      <c r="Q193" s="653"/>
      <c r="R193" s="653"/>
      <c r="S193" s="653"/>
      <c r="T193" s="653"/>
      <c r="U193" s="653"/>
    </row>
    <row r="194" spans="1:21" ht="17.25" customHeight="1">
      <c r="A194" s="677"/>
      <c r="B194" s="678"/>
      <c r="C194" s="681"/>
      <c r="D194" s="680"/>
      <c r="E194" s="676"/>
      <c r="H194" s="653"/>
      <c r="I194" s="1749" t="s">
        <v>2904</v>
      </c>
      <c r="J194" s="715" t="s">
        <v>2905</v>
      </c>
      <c r="K194" s="716">
        <v>4.4099999999999999E-4</v>
      </c>
      <c r="L194" s="716">
        <v>0</v>
      </c>
      <c r="M194" s="655"/>
      <c r="N194" s="653"/>
      <c r="O194" s="653"/>
      <c r="P194" s="653"/>
      <c r="Q194" s="653"/>
      <c r="R194" s="653"/>
      <c r="S194" s="653"/>
      <c r="T194" s="653"/>
      <c r="U194" s="653"/>
    </row>
    <row r="195" spans="1:21" ht="17.25" customHeight="1">
      <c r="A195" s="677"/>
      <c r="B195" s="678"/>
      <c r="C195" s="681"/>
      <c r="D195" s="680"/>
      <c r="E195" s="676"/>
      <c r="H195" s="653"/>
      <c r="I195" s="1749" t="s">
        <v>3780</v>
      </c>
      <c r="J195" s="715" t="s">
        <v>2905</v>
      </c>
      <c r="K195" s="716">
        <v>4.4099999999999999E-4</v>
      </c>
      <c r="L195" s="716">
        <v>4.4099999999999999E-4</v>
      </c>
      <c r="M195" s="655"/>
      <c r="N195" s="653"/>
      <c r="O195" s="653"/>
      <c r="P195" s="653"/>
      <c r="Q195" s="653"/>
      <c r="R195" s="653"/>
      <c r="S195" s="653"/>
      <c r="T195" s="653"/>
      <c r="U195" s="653"/>
    </row>
    <row r="196" spans="1:21" ht="17.25" customHeight="1">
      <c r="A196" s="677"/>
      <c r="B196" s="678"/>
      <c r="C196" s="681"/>
      <c r="D196" s="680"/>
      <c r="E196" s="676"/>
      <c r="H196" s="653"/>
      <c r="I196" s="1749" t="s">
        <v>2906</v>
      </c>
      <c r="J196" s="715" t="s">
        <v>2907</v>
      </c>
      <c r="K196" s="716">
        <v>3.5E-4</v>
      </c>
      <c r="L196" s="716">
        <v>0</v>
      </c>
      <c r="M196" s="655"/>
      <c r="N196" s="653"/>
      <c r="O196" s="653"/>
      <c r="P196" s="653"/>
      <c r="Q196" s="653"/>
      <c r="R196" s="653"/>
      <c r="S196" s="653"/>
      <c r="T196" s="653"/>
      <c r="U196" s="653"/>
    </row>
    <row r="197" spans="1:21" ht="17.25" customHeight="1">
      <c r="A197" s="677"/>
      <c r="B197" s="678"/>
      <c r="C197" s="681"/>
      <c r="D197" s="680"/>
      <c r="E197" s="676"/>
      <c r="H197" s="653"/>
      <c r="I197" s="1749" t="s">
        <v>2908</v>
      </c>
      <c r="J197" s="715" t="s">
        <v>2907</v>
      </c>
      <c r="K197" s="716">
        <v>3.5E-4</v>
      </c>
      <c r="L197" s="716">
        <v>0</v>
      </c>
      <c r="M197" s="655"/>
      <c r="N197" s="653"/>
      <c r="O197" s="653"/>
      <c r="P197" s="653"/>
      <c r="Q197" s="653"/>
      <c r="R197" s="653"/>
      <c r="S197" s="653"/>
      <c r="T197" s="653"/>
      <c r="U197" s="653"/>
    </row>
    <row r="198" spans="1:21" ht="17.25" customHeight="1">
      <c r="A198" s="677"/>
      <c r="B198" s="678"/>
      <c r="C198" s="681"/>
      <c r="D198" s="680"/>
      <c r="E198" s="676"/>
      <c r="H198" s="653"/>
      <c r="I198" s="1749" t="s">
        <v>3781</v>
      </c>
      <c r="J198" s="715" t="s">
        <v>2907</v>
      </c>
      <c r="K198" s="716">
        <v>3.5E-4</v>
      </c>
      <c r="L198" s="716">
        <v>5.62E-4</v>
      </c>
      <c r="M198" s="655"/>
      <c r="N198" s="653"/>
      <c r="O198" s="653"/>
      <c r="P198" s="653"/>
      <c r="Q198" s="653"/>
      <c r="R198" s="653"/>
      <c r="S198" s="653"/>
      <c r="T198" s="653"/>
      <c r="U198" s="653"/>
    </row>
    <row r="199" spans="1:21">
      <c r="A199" s="677"/>
      <c r="B199" s="678"/>
      <c r="C199" s="681"/>
      <c r="D199" s="682"/>
      <c r="E199" s="676"/>
      <c r="H199" s="653"/>
      <c r="I199" s="1749" t="s">
        <v>2909</v>
      </c>
      <c r="J199" s="715" t="s">
        <v>2910</v>
      </c>
      <c r="K199" s="716">
        <v>4.5399999999999998E-4</v>
      </c>
      <c r="L199" s="716">
        <v>4.57E-4</v>
      </c>
      <c r="M199" s="655"/>
      <c r="N199" s="653"/>
      <c r="O199" s="653"/>
      <c r="P199" s="653"/>
      <c r="Q199" s="653"/>
      <c r="R199" s="653"/>
      <c r="S199" s="653"/>
      <c r="T199" s="653"/>
      <c r="U199" s="653"/>
    </row>
    <row r="200" spans="1:21" ht="15.75" customHeight="1">
      <c r="A200" s="690"/>
      <c r="B200" s="683"/>
      <c r="C200" s="670"/>
      <c r="D200" s="671"/>
      <c r="E200" s="676"/>
      <c r="H200" s="653"/>
      <c r="I200" s="1749" t="s">
        <v>5437</v>
      </c>
      <c r="J200" s="715" t="s">
        <v>2911</v>
      </c>
      <c r="K200" s="716">
        <v>4.4499999999999997E-4</v>
      </c>
      <c r="L200" s="716">
        <v>0</v>
      </c>
      <c r="M200" s="655"/>
      <c r="N200" s="653"/>
      <c r="O200" s="653"/>
      <c r="P200" s="653"/>
      <c r="Q200" s="653"/>
      <c r="R200" s="653"/>
      <c r="S200" s="653"/>
      <c r="T200" s="653"/>
      <c r="U200" s="653"/>
    </row>
    <row r="201" spans="1:21" ht="15.75" customHeight="1">
      <c r="A201" s="673"/>
      <c r="B201" s="674"/>
      <c r="C201" s="675"/>
      <c r="D201" s="671"/>
      <c r="E201" s="676"/>
      <c r="H201" s="653"/>
      <c r="I201" s="1749" t="s">
        <v>5438</v>
      </c>
      <c r="J201" s="715" t="s">
        <v>2911</v>
      </c>
      <c r="K201" s="716">
        <v>4.4499999999999997E-4</v>
      </c>
      <c r="L201" s="716">
        <v>4.2000000000000002E-4</v>
      </c>
      <c r="M201" s="655"/>
      <c r="N201" s="653"/>
      <c r="O201" s="653"/>
      <c r="P201" s="653"/>
      <c r="Q201" s="653"/>
      <c r="R201" s="653"/>
      <c r="S201" s="653"/>
      <c r="T201" s="653"/>
      <c r="U201" s="653"/>
    </row>
    <row r="202" spans="1:21" ht="15.75" customHeight="1">
      <c r="A202" s="673"/>
      <c r="B202" s="674"/>
      <c r="C202" s="675"/>
      <c r="D202" s="671"/>
      <c r="E202" s="676"/>
      <c r="H202" s="653"/>
      <c r="I202" s="1749" t="s">
        <v>2912</v>
      </c>
      <c r="J202" s="715" t="s">
        <v>2913</v>
      </c>
      <c r="K202" s="716">
        <v>4.6999999999999999E-4</v>
      </c>
      <c r="L202" s="716">
        <v>5.4900000000000001E-4</v>
      </c>
      <c r="M202" s="655"/>
      <c r="N202" s="653"/>
      <c r="O202" s="653"/>
      <c r="P202" s="653"/>
      <c r="Q202" s="653"/>
      <c r="R202" s="653"/>
      <c r="S202" s="653"/>
      <c r="T202" s="653"/>
      <c r="U202" s="653"/>
    </row>
    <row r="203" spans="1:21" ht="15.75" customHeight="1">
      <c r="A203" s="673"/>
      <c r="B203" s="674"/>
      <c r="C203" s="675"/>
      <c r="D203" s="671"/>
      <c r="E203" s="676"/>
      <c r="H203" s="653"/>
      <c r="I203" s="1749" t="s">
        <v>2914</v>
      </c>
      <c r="J203" s="715" t="s">
        <v>2915</v>
      </c>
      <c r="K203" s="716">
        <v>4.64E-4</v>
      </c>
      <c r="L203" s="716">
        <v>0</v>
      </c>
      <c r="M203" s="655"/>
      <c r="N203" s="653"/>
      <c r="O203" s="653"/>
      <c r="P203" s="653"/>
      <c r="Q203" s="653"/>
      <c r="R203" s="653"/>
      <c r="S203" s="653"/>
      <c r="T203" s="653"/>
      <c r="U203" s="653"/>
    </row>
    <row r="204" spans="1:21" ht="15.75" customHeight="1">
      <c r="A204" s="673"/>
      <c r="B204" s="674"/>
      <c r="C204" s="675"/>
      <c r="D204" s="671"/>
      <c r="E204" s="676"/>
      <c r="H204" s="653"/>
      <c r="I204" s="1749" t="s">
        <v>2916</v>
      </c>
      <c r="J204" s="715" t="s">
        <v>2915</v>
      </c>
      <c r="K204" s="716">
        <v>4.64E-4</v>
      </c>
      <c r="L204" s="716">
        <v>0</v>
      </c>
      <c r="M204" s="655"/>
      <c r="N204" s="653"/>
      <c r="O204" s="653"/>
      <c r="P204" s="653"/>
      <c r="Q204" s="653"/>
      <c r="R204" s="653"/>
      <c r="S204" s="653"/>
      <c r="T204" s="653"/>
      <c r="U204" s="653"/>
    </row>
    <row r="205" spans="1:21" ht="15.75" customHeight="1">
      <c r="A205" s="673"/>
      <c r="B205" s="674"/>
      <c r="C205" s="675"/>
      <c r="D205" s="671"/>
      <c r="E205" s="676"/>
      <c r="H205" s="653"/>
      <c r="I205" s="1749" t="s">
        <v>3782</v>
      </c>
      <c r="J205" s="715" t="s">
        <v>2915</v>
      </c>
      <c r="K205" s="716">
        <v>4.64E-4</v>
      </c>
      <c r="L205" s="716">
        <v>1E-4</v>
      </c>
      <c r="M205" s="655"/>
      <c r="N205" s="653"/>
      <c r="O205" s="653"/>
      <c r="P205" s="653"/>
      <c r="Q205" s="653"/>
      <c r="R205" s="653"/>
      <c r="S205" s="653"/>
      <c r="T205" s="653"/>
      <c r="U205" s="653"/>
    </row>
    <row r="206" spans="1:21" ht="15.75" customHeight="1">
      <c r="A206" s="673"/>
      <c r="B206" s="674"/>
      <c r="C206" s="675"/>
      <c r="D206" s="671"/>
      <c r="E206" s="676"/>
      <c r="H206" s="653"/>
      <c r="I206" s="1749" t="s">
        <v>3783</v>
      </c>
      <c r="J206" s="715" t="s">
        <v>2915</v>
      </c>
      <c r="K206" s="716">
        <v>4.64E-4</v>
      </c>
      <c r="L206" s="716">
        <v>2.5000000000000001E-4</v>
      </c>
      <c r="M206" s="655"/>
      <c r="N206" s="653"/>
      <c r="O206" s="653"/>
      <c r="P206" s="653"/>
      <c r="Q206" s="653"/>
      <c r="R206" s="653"/>
      <c r="S206" s="653"/>
      <c r="T206" s="653"/>
      <c r="U206" s="653"/>
    </row>
    <row r="207" spans="1:21" ht="15.75" customHeight="1">
      <c r="A207" s="673"/>
      <c r="B207" s="674"/>
      <c r="C207" s="675"/>
      <c r="D207" s="671"/>
      <c r="E207" s="676"/>
      <c r="H207" s="653"/>
      <c r="I207" s="1749" t="s">
        <v>5439</v>
      </c>
      <c r="J207" s="715" t="s">
        <v>2915</v>
      </c>
      <c r="K207" s="716">
        <v>4.64E-4</v>
      </c>
      <c r="L207" s="716">
        <v>0</v>
      </c>
      <c r="M207" s="655"/>
      <c r="N207" s="653"/>
      <c r="O207" s="653"/>
      <c r="P207" s="653"/>
      <c r="Q207" s="653"/>
      <c r="R207" s="653"/>
      <c r="S207" s="653"/>
      <c r="T207" s="653"/>
      <c r="U207" s="653"/>
    </row>
    <row r="208" spans="1:21" ht="17.25" customHeight="1">
      <c r="A208" s="677"/>
      <c r="B208" s="678"/>
      <c r="C208" s="679"/>
      <c r="D208" s="680"/>
      <c r="E208" s="676"/>
      <c r="H208" s="653"/>
      <c r="I208" s="1749" t="s">
        <v>5440</v>
      </c>
      <c r="J208" s="715" t="s">
        <v>2915</v>
      </c>
      <c r="K208" s="716">
        <v>4.64E-4</v>
      </c>
      <c r="L208" s="716">
        <v>6.2E-4</v>
      </c>
      <c r="M208" s="655"/>
      <c r="N208" s="653"/>
      <c r="O208" s="653"/>
      <c r="P208" s="653"/>
      <c r="Q208" s="653"/>
      <c r="R208" s="653"/>
      <c r="S208" s="653"/>
      <c r="T208" s="653"/>
      <c r="U208" s="653"/>
    </row>
    <row r="209" spans="1:21" ht="17.25" customHeight="1">
      <c r="A209" s="677"/>
      <c r="B209" s="693"/>
      <c r="C209" s="681"/>
      <c r="D209" s="680"/>
      <c r="E209" s="676"/>
      <c r="H209" s="653"/>
      <c r="I209" s="1749" t="s">
        <v>3784</v>
      </c>
      <c r="J209" s="715" t="s">
        <v>3785</v>
      </c>
      <c r="K209" s="716">
        <v>4.2700000000000002E-4</v>
      </c>
      <c r="L209" s="716">
        <v>0</v>
      </c>
      <c r="M209" s="655"/>
      <c r="N209" s="653"/>
      <c r="O209" s="653"/>
      <c r="P209" s="653"/>
      <c r="Q209" s="653"/>
      <c r="R209" s="653"/>
      <c r="S209" s="653"/>
      <c r="T209" s="653"/>
      <c r="U209" s="653"/>
    </row>
    <row r="210" spans="1:21" ht="17.25" customHeight="1">
      <c r="A210" s="677"/>
      <c r="B210" s="678"/>
      <c r="C210" s="681"/>
      <c r="D210" s="680"/>
      <c r="E210" s="676"/>
      <c r="H210" s="653"/>
      <c r="I210" s="1749" t="s">
        <v>3786</v>
      </c>
      <c r="J210" s="715" t="s">
        <v>3785</v>
      </c>
      <c r="K210" s="716">
        <v>4.2700000000000002E-4</v>
      </c>
      <c r="L210" s="716">
        <v>4.0400000000000001E-4</v>
      </c>
      <c r="M210" s="655"/>
      <c r="N210" s="653"/>
      <c r="O210" s="653"/>
      <c r="P210" s="653"/>
      <c r="Q210" s="653"/>
      <c r="R210" s="653"/>
      <c r="S210" s="653"/>
      <c r="T210" s="653"/>
      <c r="U210" s="653"/>
    </row>
    <row r="211" spans="1:21" ht="15.75" customHeight="1">
      <c r="A211" s="690"/>
      <c r="B211" s="683"/>
      <c r="C211" s="670"/>
      <c r="D211" s="671"/>
      <c r="E211" s="676"/>
      <c r="H211" s="653"/>
      <c r="I211" s="1749" t="s">
        <v>2917</v>
      </c>
      <c r="J211" s="715" t="s">
        <v>2918</v>
      </c>
      <c r="K211" s="716">
        <v>8.2299999999999995E-4</v>
      </c>
      <c r="L211" s="716">
        <v>7.7700000000000002E-4</v>
      </c>
      <c r="M211" s="655"/>
      <c r="N211" s="653"/>
      <c r="O211" s="653"/>
      <c r="P211" s="653"/>
      <c r="Q211" s="653"/>
      <c r="R211" s="653"/>
      <c r="S211" s="653"/>
      <c r="T211" s="653"/>
      <c r="U211" s="653"/>
    </row>
    <row r="212" spans="1:21" ht="15.75" customHeight="1">
      <c r="A212" s="673"/>
      <c r="B212" s="674"/>
      <c r="C212" s="675"/>
      <c r="D212" s="671"/>
      <c r="E212" s="676"/>
      <c r="H212" s="653"/>
      <c r="I212" s="1749" t="s">
        <v>2919</v>
      </c>
      <c r="J212" s="715" t="s">
        <v>2920</v>
      </c>
      <c r="K212" s="716">
        <v>7.8299999999999995E-4</v>
      </c>
      <c r="L212" s="716">
        <v>7.4600000000000003E-4</v>
      </c>
      <c r="M212" s="655"/>
      <c r="N212" s="653"/>
      <c r="O212" s="653"/>
      <c r="P212" s="653"/>
      <c r="Q212" s="653"/>
      <c r="R212" s="653"/>
      <c r="S212" s="653"/>
      <c r="T212" s="653"/>
      <c r="U212" s="653"/>
    </row>
    <row r="213" spans="1:21" ht="15.75" customHeight="1">
      <c r="A213" s="690"/>
      <c r="B213" s="683"/>
      <c r="C213" s="670"/>
      <c r="D213" s="671"/>
      <c r="E213" s="676"/>
      <c r="H213" s="653"/>
      <c r="I213" s="1749" t="s">
        <v>2921</v>
      </c>
      <c r="J213" s="715" t="s">
        <v>2922</v>
      </c>
      <c r="K213" s="716">
        <v>4.4200000000000001E-4</v>
      </c>
      <c r="L213" s="716">
        <v>0</v>
      </c>
      <c r="M213" s="655"/>
      <c r="N213" s="653"/>
      <c r="O213" s="653"/>
      <c r="P213" s="653"/>
      <c r="Q213" s="653"/>
      <c r="R213" s="653"/>
      <c r="S213" s="653"/>
      <c r="T213" s="653"/>
      <c r="U213" s="653"/>
    </row>
    <row r="214" spans="1:21" ht="15.75" customHeight="1">
      <c r="A214" s="673"/>
      <c r="B214" s="674"/>
      <c r="C214" s="675"/>
      <c r="D214" s="671"/>
      <c r="E214" s="676"/>
      <c r="H214" s="653"/>
      <c r="I214" s="1749" t="s">
        <v>2923</v>
      </c>
      <c r="J214" s="715" t="s">
        <v>2922</v>
      </c>
      <c r="K214" s="716">
        <v>4.4200000000000001E-4</v>
      </c>
      <c r="L214" s="716">
        <v>3.7800000000000003E-4</v>
      </c>
      <c r="M214" s="655"/>
      <c r="N214" s="653"/>
      <c r="O214" s="653"/>
      <c r="P214" s="653"/>
      <c r="Q214" s="653"/>
      <c r="R214" s="653"/>
      <c r="S214" s="653"/>
      <c r="T214" s="653"/>
      <c r="U214" s="653"/>
    </row>
    <row r="215" spans="1:21" ht="17.25" customHeight="1">
      <c r="A215" s="677"/>
      <c r="B215" s="678"/>
      <c r="C215" s="681"/>
      <c r="D215" s="680"/>
      <c r="E215" s="676"/>
      <c r="H215" s="653"/>
      <c r="I215" s="1749" t="s">
        <v>3787</v>
      </c>
      <c r="J215" s="715" t="s">
        <v>2922</v>
      </c>
      <c r="K215" s="716">
        <v>4.4200000000000001E-4</v>
      </c>
      <c r="L215" s="716">
        <v>4.55E-4</v>
      </c>
      <c r="M215" s="655"/>
      <c r="N215" s="653"/>
      <c r="O215" s="653"/>
      <c r="P215" s="653"/>
      <c r="Q215" s="653"/>
      <c r="R215" s="653"/>
      <c r="S215" s="653"/>
      <c r="T215" s="653"/>
      <c r="U215" s="653"/>
    </row>
    <row r="216" spans="1:21" ht="15.75" customHeight="1">
      <c r="A216" s="690"/>
      <c r="B216" s="683"/>
      <c r="C216" s="670"/>
      <c r="D216" s="671"/>
      <c r="E216" s="676"/>
      <c r="H216" s="653"/>
      <c r="I216" s="1749" t="s">
        <v>2924</v>
      </c>
      <c r="J216" s="715" t="s">
        <v>2925</v>
      </c>
      <c r="K216" s="716">
        <v>1.85E-4</v>
      </c>
      <c r="L216" s="716">
        <v>0</v>
      </c>
      <c r="M216" s="655"/>
      <c r="N216" s="653"/>
      <c r="O216" s="653"/>
      <c r="P216" s="653"/>
      <c r="Q216" s="653"/>
      <c r="R216" s="653"/>
      <c r="S216" s="653"/>
      <c r="T216" s="653"/>
      <c r="U216" s="653"/>
    </row>
    <row r="217" spans="1:21" ht="15.75" customHeight="1">
      <c r="A217" s="673"/>
      <c r="B217" s="674"/>
      <c r="C217" s="675"/>
      <c r="D217" s="671"/>
      <c r="E217" s="676"/>
      <c r="H217" s="653"/>
      <c r="I217" s="1749" t="s">
        <v>3788</v>
      </c>
      <c r="J217" s="715" t="s">
        <v>2925</v>
      </c>
      <c r="K217" s="716">
        <v>1.85E-4</v>
      </c>
      <c r="L217" s="716">
        <v>5.7200000000000003E-4</v>
      </c>
      <c r="M217" s="655"/>
      <c r="N217" s="653"/>
      <c r="O217" s="653"/>
      <c r="P217" s="653"/>
      <c r="Q217" s="653"/>
      <c r="R217" s="653"/>
      <c r="S217" s="653"/>
      <c r="T217" s="653"/>
      <c r="U217" s="653"/>
    </row>
    <row r="218" spans="1:21" ht="15.75" customHeight="1">
      <c r="A218" s="673"/>
      <c r="B218" s="674"/>
      <c r="C218" s="675"/>
      <c r="D218" s="671"/>
      <c r="E218" s="676"/>
      <c r="H218" s="653"/>
      <c r="I218" s="1749" t="s">
        <v>2926</v>
      </c>
      <c r="J218" s="715" t="s">
        <v>2927</v>
      </c>
      <c r="K218" s="716">
        <v>4.6200000000000001E-4</v>
      </c>
      <c r="L218" s="716">
        <v>4.0499999999999998E-4</v>
      </c>
      <c r="M218" s="655"/>
      <c r="N218" s="653"/>
      <c r="O218" s="653"/>
      <c r="P218" s="653"/>
      <c r="Q218" s="653"/>
      <c r="R218" s="653"/>
      <c r="S218" s="653"/>
      <c r="T218" s="653"/>
      <c r="U218" s="653"/>
    </row>
    <row r="219" spans="1:21" ht="15.75" customHeight="1">
      <c r="A219" s="673"/>
      <c r="B219" s="674"/>
      <c r="C219" s="675"/>
      <c r="D219" s="671"/>
      <c r="E219" s="676"/>
      <c r="H219" s="653"/>
      <c r="I219" s="1749" t="s">
        <v>2928</v>
      </c>
      <c r="J219" s="715" t="s">
        <v>2929</v>
      </c>
      <c r="K219" s="716">
        <v>4.3600000000000003E-4</v>
      </c>
      <c r="L219" s="716">
        <v>4.4799999999999999E-4</v>
      </c>
      <c r="M219" s="655"/>
      <c r="N219" s="653"/>
      <c r="O219" s="653"/>
      <c r="P219" s="653"/>
      <c r="Q219" s="653"/>
      <c r="R219" s="653"/>
      <c r="S219" s="653"/>
      <c r="T219" s="653"/>
      <c r="U219" s="653"/>
    </row>
    <row r="220" spans="1:21" ht="15.75" customHeight="1">
      <c r="A220" s="673"/>
      <c r="B220" s="674"/>
      <c r="C220" s="675"/>
      <c r="D220" s="671"/>
      <c r="E220" s="676"/>
      <c r="H220" s="653"/>
      <c r="I220" s="1749" t="s">
        <v>2930</v>
      </c>
      <c r="J220" s="715" t="s">
        <v>2931</v>
      </c>
      <c r="K220" s="716">
        <v>4.5300000000000001E-4</v>
      </c>
      <c r="L220" s="716">
        <v>3.2000000000000003E-4</v>
      </c>
      <c r="M220" s="655"/>
      <c r="N220" s="653"/>
      <c r="O220" s="653"/>
      <c r="P220" s="653"/>
      <c r="Q220" s="653"/>
      <c r="R220" s="653"/>
      <c r="S220" s="653"/>
      <c r="T220" s="653"/>
      <c r="U220" s="653"/>
    </row>
    <row r="221" spans="1:21" ht="15.75" customHeight="1">
      <c r="A221" s="673"/>
      <c r="B221" s="674"/>
      <c r="C221" s="675"/>
      <c r="D221" s="671"/>
      <c r="E221" s="676"/>
      <c r="H221" s="653"/>
      <c r="I221" s="1749" t="s">
        <v>2932</v>
      </c>
      <c r="J221" s="715" t="s">
        <v>2931</v>
      </c>
      <c r="K221" s="716">
        <v>4.5300000000000001E-4</v>
      </c>
      <c r="L221" s="716">
        <v>0</v>
      </c>
      <c r="M221" s="655"/>
      <c r="N221" s="653"/>
      <c r="O221" s="653"/>
      <c r="P221" s="653"/>
      <c r="Q221" s="653"/>
      <c r="R221" s="653"/>
      <c r="S221" s="653"/>
      <c r="T221" s="653"/>
      <c r="U221" s="653"/>
    </row>
    <row r="222" spans="1:21">
      <c r="A222" s="677"/>
      <c r="B222" s="678"/>
      <c r="C222" s="681"/>
      <c r="D222" s="682"/>
      <c r="E222" s="676"/>
      <c r="H222" s="653"/>
      <c r="I222" s="1749" t="s">
        <v>3789</v>
      </c>
      <c r="J222" s="715" t="s">
        <v>2931</v>
      </c>
      <c r="K222" s="716">
        <v>4.5300000000000001E-4</v>
      </c>
      <c r="L222" s="716">
        <v>4.5899999999999999E-4</v>
      </c>
      <c r="M222" s="655"/>
      <c r="N222" s="653"/>
      <c r="O222" s="653"/>
      <c r="P222" s="653"/>
      <c r="Q222" s="653"/>
      <c r="R222" s="653"/>
      <c r="S222" s="653"/>
      <c r="T222" s="653"/>
      <c r="U222" s="653"/>
    </row>
    <row r="223" spans="1:21" ht="15.75" customHeight="1">
      <c r="A223" s="690"/>
      <c r="B223" s="683"/>
      <c r="C223" s="670"/>
      <c r="D223" s="671"/>
      <c r="E223" s="676"/>
      <c r="H223" s="653"/>
      <c r="I223" s="1749" t="s">
        <v>2933</v>
      </c>
      <c r="J223" s="715" t="s">
        <v>2934</v>
      </c>
      <c r="K223" s="716">
        <v>2.2800000000000001E-4</v>
      </c>
      <c r="L223" s="716">
        <v>0</v>
      </c>
      <c r="M223" s="655"/>
      <c r="N223" s="653"/>
      <c r="O223" s="653"/>
      <c r="P223" s="653"/>
      <c r="Q223" s="653"/>
      <c r="R223" s="653"/>
      <c r="S223" s="653"/>
      <c r="T223" s="653"/>
      <c r="U223" s="653"/>
    </row>
    <row r="224" spans="1:21" ht="15.75" customHeight="1">
      <c r="A224" s="673"/>
      <c r="B224" s="674"/>
      <c r="C224" s="675"/>
      <c r="D224" s="671"/>
      <c r="E224" s="676"/>
      <c r="H224" s="653"/>
      <c r="I224" s="1749" t="s">
        <v>2935</v>
      </c>
      <c r="J224" s="715" t="s">
        <v>2934</v>
      </c>
      <c r="K224" s="716">
        <v>2.2800000000000001E-4</v>
      </c>
      <c r="L224" s="716">
        <v>2.63E-4</v>
      </c>
      <c r="M224" s="655"/>
      <c r="N224" s="653"/>
      <c r="O224" s="653"/>
      <c r="P224" s="653"/>
      <c r="Q224" s="653"/>
      <c r="R224" s="653"/>
      <c r="S224" s="653"/>
      <c r="T224" s="653"/>
      <c r="U224" s="653"/>
    </row>
    <row r="225" spans="1:21" ht="15.75" customHeight="1">
      <c r="A225" s="673"/>
      <c r="B225" s="674"/>
      <c r="C225" s="675"/>
      <c r="D225" s="671"/>
      <c r="E225" s="676"/>
      <c r="H225" s="653"/>
      <c r="I225" s="1749" t="s">
        <v>2936</v>
      </c>
      <c r="J225" s="715" t="s">
        <v>2934</v>
      </c>
      <c r="K225" s="716">
        <v>2.2800000000000001E-4</v>
      </c>
      <c r="L225" s="716">
        <v>3.77E-4</v>
      </c>
      <c r="M225" s="655"/>
      <c r="N225" s="653"/>
      <c r="O225" s="653"/>
      <c r="P225" s="653"/>
      <c r="Q225" s="653"/>
      <c r="R225" s="653"/>
      <c r="S225" s="653"/>
      <c r="T225" s="653"/>
      <c r="U225" s="653"/>
    </row>
    <row r="226" spans="1:21" ht="15.75" customHeight="1">
      <c r="A226" s="673"/>
      <c r="B226" s="674"/>
      <c r="C226" s="675"/>
      <c r="D226" s="671"/>
      <c r="E226" s="676"/>
      <c r="H226" s="653"/>
      <c r="I226" s="1749" t="s">
        <v>2937</v>
      </c>
      <c r="J226" s="715" t="s">
        <v>2934</v>
      </c>
      <c r="K226" s="716">
        <v>2.2800000000000001E-4</v>
      </c>
      <c r="L226" s="716">
        <v>4.8700000000000002E-4</v>
      </c>
      <c r="M226" s="655"/>
      <c r="N226" s="653"/>
      <c r="O226" s="653"/>
      <c r="P226" s="653"/>
      <c r="Q226" s="653"/>
      <c r="R226" s="653"/>
      <c r="S226" s="653"/>
      <c r="T226" s="653"/>
      <c r="U226" s="653"/>
    </row>
    <row r="227" spans="1:21" ht="15.75" customHeight="1">
      <c r="A227" s="690"/>
      <c r="B227" s="683"/>
      <c r="C227" s="670"/>
      <c r="D227" s="671"/>
      <c r="E227" s="676"/>
      <c r="H227" s="653"/>
      <c r="I227" s="1749" t="s">
        <v>2938</v>
      </c>
      <c r="J227" s="715" t="s">
        <v>2934</v>
      </c>
      <c r="K227" s="716">
        <v>2.2800000000000001E-4</v>
      </c>
      <c r="L227" s="716">
        <v>2.9E-4</v>
      </c>
      <c r="M227" s="655"/>
      <c r="N227" s="653"/>
      <c r="O227" s="653"/>
      <c r="P227" s="653"/>
      <c r="Q227" s="653"/>
      <c r="R227" s="653"/>
      <c r="S227" s="653"/>
      <c r="T227" s="653"/>
      <c r="U227" s="653"/>
    </row>
    <row r="228" spans="1:21" ht="15.75" customHeight="1">
      <c r="A228" s="673"/>
      <c r="B228" s="674"/>
      <c r="C228" s="675"/>
      <c r="D228" s="671"/>
      <c r="E228" s="676"/>
      <c r="H228" s="653"/>
      <c r="I228" s="1749" t="s">
        <v>3790</v>
      </c>
      <c r="J228" s="715" t="s">
        <v>2934</v>
      </c>
      <c r="K228" s="716">
        <v>2.2800000000000001E-4</v>
      </c>
      <c r="L228" s="716">
        <v>3.8999999999999999E-4</v>
      </c>
      <c r="M228" s="655"/>
      <c r="N228" s="653"/>
      <c r="O228" s="653"/>
      <c r="P228" s="653"/>
      <c r="Q228" s="653"/>
      <c r="R228" s="653"/>
      <c r="S228" s="653"/>
      <c r="T228" s="653"/>
      <c r="U228" s="653"/>
    </row>
    <row r="229" spans="1:21" ht="15.75" customHeight="1">
      <c r="A229" s="690"/>
      <c r="B229" s="683"/>
      <c r="C229" s="670"/>
      <c r="D229" s="671"/>
      <c r="E229" s="676"/>
      <c r="H229" s="653"/>
      <c r="I229" s="1749" t="s">
        <v>5441</v>
      </c>
      <c r="J229" s="715" t="s">
        <v>2934</v>
      </c>
      <c r="K229" s="716">
        <v>2.2800000000000001E-4</v>
      </c>
      <c r="L229" s="716">
        <v>4.8999999999999998E-4</v>
      </c>
      <c r="M229" s="655"/>
      <c r="N229" s="653"/>
      <c r="O229" s="653"/>
      <c r="P229" s="653"/>
      <c r="Q229" s="653"/>
      <c r="R229" s="653"/>
      <c r="S229" s="653"/>
      <c r="T229" s="653"/>
      <c r="U229" s="653"/>
    </row>
    <row r="230" spans="1:21" ht="15.75" customHeight="1">
      <c r="A230" s="673"/>
      <c r="B230" s="674"/>
      <c r="C230" s="675"/>
      <c r="D230" s="671"/>
      <c r="E230" s="676"/>
      <c r="H230" s="653"/>
      <c r="I230" s="1749" t="s">
        <v>5442</v>
      </c>
      <c r="J230" s="715" t="s">
        <v>2934</v>
      </c>
      <c r="K230" s="716">
        <v>2.2800000000000001E-4</v>
      </c>
      <c r="L230" s="716">
        <v>2.6600000000000001E-4</v>
      </c>
      <c r="M230" s="655"/>
      <c r="N230" s="653"/>
      <c r="O230" s="653"/>
      <c r="P230" s="653"/>
      <c r="Q230" s="653"/>
      <c r="R230" s="653"/>
      <c r="S230" s="653"/>
      <c r="T230" s="653"/>
      <c r="U230" s="653"/>
    </row>
    <row r="231" spans="1:21" ht="17.25" customHeight="1">
      <c r="A231" s="677"/>
      <c r="B231" s="678"/>
      <c r="C231" s="681"/>
      <c r="D231" s="680"/>
      <c r="E231" s="676"/>
      <c r="H231" s="653"/>
      <c r="I231" s="1749" t="s">
        <v>2939</v>
      </c>
      <c r="J231" s="715" t="s">
        <v>2940</v>
      </c>
      <c r="K231" s="716">
        <v>4.57E-4</v>
      </c>
      <c r="L231" s="716">
        <v>0</v>
      </c>
      <c r="M231" s="655"/>
      <c r="N231" s="653"/>
      <c r="O231" s="653"/>
      <c r="P231" s="653"/>
      <c r="Q231" s="653"/>
      <c r="R231" s="653"/>
      <c r="S231" s="653"/>
      <c r="T231" s="653"/>
      <c r="U231" s="653"/>
    </row>
    <row r="232" spans="1:21" ht="15.75" customHeight="1">
      <c r="A232" s="690"/>
      <c r="B232" s="683"/>
      <c r="C232" s="670"/>
      <c r="D232" s="671"/>
      <c r="E232" s="676"/>
      <c r="H232" s="653"/>
      <c r="I232" s="1749" t="s">
        <v>2941</v>
      </c>
      <c r="J232" s="715" t="s">
        <v>2940</v>
      </c>
      <c r="K232" s="716">
        <v>4.57E-4</v>
      </c>
      <c r="L232" s="716">
        <v>3.7599999999999998E-4</v>
      </c>
      <c r="M232" s="655"/>
      <c r="N232" s="653"/>
      <c r="O232" s="653"/>
      <c r="P232" s="653"/>
      <c r="Q232" s="653"/>
      <c r="R232" s="653"/>
      <c r="S232" s="653"/>
      <c r="T232" s="653"/>
      <c r="U232" s="653"/>
    </row>
    <row r="233" spans="1:21" ht="15.75" customHeight="1">
      <c r="A233" s="673"/>
      <c r="B233" s="674"/>
      <c r="C233" s="675"/>
      <c r="D233" s="671"/>
      <c r="E233" s="676"/>
      <c r="H233" s="653"/>
      <c r="I233" s="1749" t="s">
        <v>2942</v>
      </c>
      <c r="J233" s="715" t="s">
        <v>2940</v>
      </c>
      <c r="K233" s="716">
        <v>4.57E-4</v>
      </c>
      <c r="L233" s="716">
        <v>3.7500000000000001E-4</v>
      </c>
      <c r="M233" s="655"/>
      <c r="N233" s="653"/>
      <c r="O233" s="653"/>
      <c r="P233" s="653"/>
      <c r="Q233" s="653"/>
      <c r="R233" s="653"/>
      <c r="S233" s="653"/>
      <c r="T233" s="653"/>
      <c r="U233" s="653"/>
    </row>
    <row r="234" spans="1:21" ht="15.75" customHeight="1">
      <c r="A234" s="690"/>
      <c r="B234" s="683"/>
      <c r="C234" s="670"/>
      <c r="D234" s="671"/>
      <c r="E234" s="676"/>
      <c r="H234" s="653"/>
      <c r="I234" s="1749" t="s">
        <v>3791</v>
      </c>
      <c r="J234" s="715" t="s">
        <v>2940</v>
      </c>
      <c r="K234" s="716">
        <v>4.57E-4</v>
      </c>
      <c r="L234" s="716">
        <v>3.7800000000000003E-4</v>
      </c>
      <c r="M234" s="655"/>
      <c r="N234" s="653"/>
      <c r="O234" s="653"/>
      <c r="P234" s="653"/>
      <c r="Q234" s="653"/>
      <c r="R234" s="653"/>
      <c r="S234" s="653"/>
      <c r="T234" s="653"/>
      <c r="U234" s="653"/>
    </row>
    <row r="235" spans="1:21" ht="15.75" customHeight="1">
      <c r="A235" s="673"/>
      <c r="B235" s="674"/>
      <c r="C235" s="675"/>
      <c r="D235" s="671"/>
      <c r="E235" s="676"/>
      <c r="H235" s="653"/>
      <c r="I235" s="1749" t="s">
        <v>3792</v>
      </c>
      <c r="J235" s="715" t="s">
        <v>2940</v>
      </c>
      <c r="K235" s="716">
        <v>4.57E-4</v>
      </c>
      <c r="L235" s="716">
        <v>3.79E-4</v>
      </c>
      <c r="M235" s="655"/>
      <c r="N235" s="653"/>
      <c r="O235" s="653"/>
      <c r="P235" s="653"/>
      <c r="Q235" s="653"/>
      <c r="R235" s="653"/>
      <c r="S235" s="653"/>
      <c r="T235" s="653"/>
      <c r="U235" s="653"/>
    </row>
    <row r="236" spans="1:21" ht="15.75" customHeight="1">
      <c r="A236" s="673"/>
      <c r="B236" s="674"/>
      <c r="C236" s="675"/>
      <c r="D236" s="671"/>
      <c r="E236" s="676"/>
      <c r="H236" s="653"/>
      <c r="I236" s="1749" t="s">
        <v>3793</v>
      </c>
      <c r="J236" s="715" t="s">
        <v>2940</v>
      </c>
      <c r="K236" s="716">
        <v>4.57E-4</v>
      </c>
      <c r="L236" s="716">
        <v>3.8000000000000002E-4</v>
      </c>
      <c r="M236" s="655"/>
      <c r="N236" s="653"/>
      <c r="O236" s="653"/>
      <c r="P236" s="653"/>
      <c r="Q236" s="653"/>
      <c r="R236" s="653"/>
      <c r="S236" s="653"/>
      <c r="T236" s="653"/>
      <c r="U236" s="653"/>
    </row>
    <row r="237" spans="1:21" ht="15.75" customHeight="1">
      <c r="A237" s="673"/>
      <c r="B237" s="674"/>
      <c r="C237" s="675"/>
      <c r="D237" s="671"/>
      <c r="E237" s="676"/>
      <c r="H237" s="653"/>
      <c r="I237" s="1749" t="s">
        <v>3794</v>
      </c>
      <c r="J237" s="715" t="s">
        <v>2940</v>
      </c>
      <c r="K237" s="716">
        <v>4.57E-4</v>
      </c>
      <c r="L237" s="716">
        <v>1.6200000000000001E-4</v>
      </c>
      <c r="M237" s="655"/>
      <c r="N237" s="653"/>
      <c r="O237" s="653"/>
      <c r="P237" s="653"/>
      <c r="Q237" s="653"/>
      <c r="R237" s="653"/>
      <c r="S237" s="653"/>
      <c r="T237" s="653"/>
      <c r="U237" s="653"/>
    </row>
    <row r="238" spans="1:21" ht="17.25" customHeight="1">
      <c r="A238" s="677"/>
      <c r="B238" s="678"/>
      <c r="C238" s="681"/>
      <c r="D238" s="680"/>
      <c r="E238" s="676"/>
      <c r="H238" s="653"/>
      <c r="I238" s="1749" t="s">
        <v>3795</v>
      </c>
      <c r="J238" s="715" t="s">
        <v>2940</v>
      </c>
      <c r="K238" s="716">
        <v>4.57E-4</v>
      </c>
      <c r="L238" s="716">
        <v>3.6999999999999999E-4</v>
      </c>
      <c r="M238" s="655"/>
      <c r="N238" s="653"/>
      <c r="O238" s="653"/>
      <c r="P238" s="653"/>
      <c r="Q238" s="653"/>
      <c r="R238" s="653"/>
      <c r="S238" s="653"/>
      <c r="T238" s="653"/>
      <c r="U238" s="653"/>
    </row>
    <row r="239" spans="1:21" ht="15.75" customHeight="1">
      <c r="A239" s="690"/>
      <c r="B239" s="683"/>
      <c r="C239" s="670"/>
      <c r="D239" s="671"/>
      <c r="E239" s="676"/>
      <c r="H239" s="653"/>
      <c r="I239" s="1749" t="s">
        <v>5443</v>
      </c>
      <c r="J239" s="715" t="s">
        <v>2940</v>
      </c>
      <c r="K239" s="716">
        <v>4.57E-4</v>
      </c>
      <c r="L239" s="716">
        <v>3.8000000000000002E-4</v>
      </c>
      <c r="M239" s="655"/>
      <c r="N239" s="653"/>
      <c r="O239" s="653"/>
      <c r="P239" s="653"/>
      <c r="Q239" s="653"/>
      <c r="R239" s="653"/>
      <c r="S239" s="653"/>
      <c r="T239" s="653"/>
      <c r="U239" s="653"/>
    </row>
    <row r="240" spans="1:21" ht="15.75" customHeight="1">
      <c r="A240" s="673"/>
      <c r="B240" s="674"/>
      <c r="C240" s="675"/>
      <c r="D240" s="671"/>
      <c r="E240" s="676"/>
      <c r="H240" s="653"/>
      <c r="I240" s="1749" t="s">
        <v>5444</v>
      </c>
      <c r="J240" s="715" t="s">
        <v>2940</v>
      </c>
      <c r="K240" s="716">
        <v>4.57E-4</v>
      </c>
      <c r="L240" s="716">
        <v>3.8000000000000002E-4</v>
      </c>
      <c r="M240" s="655"/>
      <c r="N240" s="653"/>
      <c r="O240" s="653"/>
      <c r="P240" s="653"/>
      <c r="Q240" s="653"/>
      <c r="R240" s="653"/>
      <c r="S240" s="653"/>
      <c r="T240" s="653"/>
      <c r="U240" s="653"/>
    </row>
    <row r="241" spans="1:21" ht="15.75" customHeight="1">
      <c r="A241" s="690"/>
      <c r="B241" s="683"/>
      <c r="C241" s="670"/>
      <c r="D241" s="671"/>
      <c r="E241" s="676"/>
      <c r="H241" s="653"/>
      <c r="I241" s="1749" t="s">
        <v>5445</v>
      </c>
      <c r="J241" s="715" t="s">
        <v>2940</v>
      </c>
      <c r="K241" s="716">
        <v>4.57E-4</v>
      </c>
      <c r="L241" s="716">
        <v>3.8099999999999999E-4</v>
      </c>
      <c r="M241" s="655"/>
      <c r="N241" s="653"/>
      <c r="O241" s="653"/>
      <c r="P241" s="653"/>
      <c r="Q241" s="653"/>
      <c r="R241" s="653"/>
      <c r="S241" s="653"/>
      <c r="T241" s="653"/>
      <c r="U241" s="653"/>
    </row>
    <row r="242" spans="1:21" ht="15.75" customHeight="1">
      <c r="A242" s="673"/>
      <c r="B242" s="674"/>
      <c r="C242" s="675"/>
      <c r="D242" s="671"/>
      <c r="E242" s="676"/>
      <c r="H242" s="653"/>
      <c r="I242" s="1749" t="s">
        <v>5446</v>
      </c>
      <c r="J242" s="715" t="s">
        <v>2940</v>
      </c>
      <c r="K242" s="716">
        <v>4.57E-4</v>
      </c>
      <c r="L242" s="716">
        <v>3.8000000000000002E-4</v>
      </c>
      <c r="M242" s="655"/>
      <c r="N242" s="653"/>
      <c r="O242" s="653"/>
      <c r="P242" s="653"/>
      <c r="Q242" s="653"/>
      <c r="R242" s="653"/>
      <c r="S242" s="653"/>
      <c r="T242" s="653"/>
      <c r="U242" s="653"/>
    </row>
    <row r="243" spans="1:21" ht="17.25" customHeight="1">
      <c r="A243" s="677"/>
      <c r="B243" s="678"/>
      <c r="C243" s="681"/>
      <c r="D243" s="680"/>
      <c r="E243" s="676"/>
      <c r="H243" s="653"/>
      <c r="I243" s="1749" t="s">
        <v>5447</v>
      </c>
      <c r="J243" s="715" t="s">
        <v>2940</v>
      </c>
      <c r="K243" s="716">
        <v>4.57E-4</v>
      </c>
      <c r="L243" s="716">
        <v>4.0900000000000002E-4</v>
      </c>
      <c r="M243" s="655"/>
      <c r="N243" s="653"/>
      <c r="O243" s="653"/>
      <c r="P243" s="653"/>
      <c r="Q243" s="653"/>
      <c r="R243" s="653"/>
      <c r="S243" s="653"/>
      <c r="T243" s="653"/>
      <c r="U243" s="653"/>
    </row>
    <row r="244" spans="1:21" ht="15.75" customHeight="1">
      <c r="A244" s="690"/>
      <c r="B244" s="683"/>
      <c r="C244" s="670"/>
      <c r="D244" s="671"/>
      <c r="E244" s="676"/>
      <c r="H244" s="653"/>
      <c r="I244" s="1749" t="s">
        <v>2943</v>
      </c>
      <c r="J244" s="715" t="s">
        <v>3796</v>
      </c>
      <c r="K244" s="716">
        <v>4.73E-4</v>
      </c>
      <c r="L244" s="716">
        <v>0</v>
      </c>
      <c r="M244" s="655"/>
      <c r="N244" s="653"/>
      <c r="O244" s="653"/>
      <c r="P244" s="653"/>
      <c r="Q244" s="653"/>
      <c r="R244" s="653"/>
      <c r="S244" s="653"/>
      <c r="T244" s="653"/>
      <c r="U244" s="653"/>
    </row>
    <row r="245" spans="1:21" ht="15.75" customHeight="1">
      <c r="A245" s="673"/>
      <c r="B245" s="674"/>
      <c r="C245" s="675"/>
      <c r="D245" s="671"/>
      <c r="E245" s="676"/>
      <c r="H245" s="653"/>
      <c r="I245" s="1749" t="s">
        <v>2944</v>
      </c>
      <c r="J245" s="715" t="s">
        <v>3796</v>
      </c>
      <c r="K245" s="716">
        <v>4.73E-4</v>
      </c>
      <c r="L245" s="716">
        <v>2.9999999999999997E-4</v>
      </c>
      <c r="M245" s="655"/>
      <c r="N245" s="653"/>
      <c r="O245" s="653"/>
      <c r="P245" s="653"/>
      <c r="Q245" s="653"/>
      <c r="R245" s="653"/>
      <c r="S245" s="653"/>
      <c r="T245" s="653"/>
      <c r="U245" s="653"/>
    </row>
    <row r="246" spans="1:21" ht="17.25" customHeight="1">
      <c r="A246" s="677"/>
      <c r="B246" s="678"/>
      <c r="C246" s="681"/>
      <c r="D246" s="680"/>
      <c r="E246" s="676"/>
      <c r="H246" s="653"/>
      <c r="I246" s="1749" t="s">
        <v>3797</v>
      </c>
      <c r="J246" s="715" t="s">
        <v>3796</v>
      </c>
      <c r="K246" s="716">
        <v>4.73E-4</v>
      </c>
      <c r="L246" s="716">
        <v>4.5600000000000003E-4</v>
      </c>
      <c r="M246" s="655"/>
      <c r="N246" s="653"/>
      <c r="O246" s="653"/>
      <c r="P246" s="653"/>
      <c r="Q246" s="653"/>
      <c r="R246" s="653"/>
      <c r="S246" s="653"/>
      <c r="T246" s="653"/>
      <c r="U246" s="653"/>
    </row>
    <row r="247" spans="1:21" ht="17.25" customHeight="1">
      <c r="A247" s="677"/>
      <c r="B247" s="678"/>
      <c r="C247" s="681"/>
      <c r="D247" s="680"/>
      <c r="E247" s="676"/>
      <c r="H247" s="653"/>
      <c r="I247" s="1749" t="s">
        <v>3798</v>
      </c>
      <c r="J247" s="715" t="s">
        <v>3796</v>
      </c>
      <c r="K247" s="716">
        <v>4.73E-4</v>
      </c>
      <c r="L247" s="716">
        <v>5.2400000000000005E-4</v>
      </c>
      <c r="M247" s="655"/>
      <c r="N247" s="653"/>
      <c r="O247" s="653"/>
      <c r="P247" s="653"/>
      <c r="Q247" s="653"/>
      <c r="R247" s="653"/>
      <c r="S247" s="653"/>
      <c r="T247" s="653"/>
      <c r="U247" s="653"/>
    </row>
    <row r="248" spans="1:21" ht="15.75" customHeight="1">
      <c r="A248" s="690"/>
      <c r="B248" s="683"/>
      <c r="C248" s="670"/>
      <c r="D248" s="671"/>
      <c r="E248" s="676"/>
      <c r="H248" s="653"/>
      <c r="I248" s="1749" t="s">
        <v>2945</v>
      </c>
      <c r="J248" s="715" t="s">
        <v>2946</v>
      </c>
      <c r="K248" s="716">
        <v>4.84E-4</v>
      </c>
      <c r="L248" s="716">
        <v>5.5599999999999996E-4</v>
      </c>
      <c r="M248" s="655"/>
      <c r="N248" s="653"/>
      <c r="O248" s="653"/>
      <c r="P248" s="653"/>
      <c r="Q248" s="653"/>
      <c r="R248" s="653"/>
      <c r="S248" s="653"/>
      <c r="T248" s="653"/>
      <c r="U248" s="653"/>
    </row>
    <row r="249" spans="1:21" ht="15.75" customHeight="1">
      <c r="A249" s="673"/>
      <c r="B249" s="674"/>
      <c r="C249" s="675"/>
      <c r="D249" s="671"/>
      <c r="E249" s="676"/>
      <c r="H249" s="653"/>
      <c r="I249" s="1749" t="s">
        <v>2947</v>
      </c>
      <c r="J249" s="715" t="s">
        <v>2948</v>
      </c>
      <c r="K249" s="716">
        <v>4.6900000000000002E-4</v>
      </c>
      <c r="L249" s="716">
        <v>0</v>
      </c>
      <c r="M249" s="655"/>
      <c r="N249" s="653"/>
      <c r="O249" s="653"/>
      <c r="P249" s="653"/>
      <c r="Q249" s="653"/>
      <c r="R249" s="653"/>
      <c r="S249" s="653"/>
      <c r="T249" s="653"/>
      <c r="U249" s="653"/>
    </row>
    <row r="250" spans="1:21" ht="15.75" customHeight="1">
      <c r="A250" s="690"/>
      <c r="B250" s="683"/>
      <c r="C250" s="670"/>
      <c r="D250" s="671"/>
      <c r="E250" s="676"/>
      <c r="H250" s="653"/>
      <c r="I250" s="1749" t="s">
        <v>5448</v>
      </c>
      <c r="J250" s="715" t="s">
        <v>2948</v>
      </c>
      <c r="K250" s="716">
        <v>4.6900000000000002E-4</v>
      </c>
      <c r="L250" s="716">
        <v>0</v>
      </c>
      <c r="M250" s="655"/>
      <c r="N250" s="653"/>
      <c r="O250" s="653"/>
      <c r="P250" s="653"/>
      <c r="Q250" s="653"/>
      <c r="R250" s="653"/>
      <c r="S250" s="653"/>
      <c r="T250" s="653"/>
      <c r="U250" s="653"/>
    </row>
    <row r="251" spans="1:21" ht="15.75" customHeight="1">
      <c r="A251" s="673"/>
      <c r="B251" s="674"/>
      <c r="C251" s="675"/>
      <c r="D251" s="671"/>
      <c r="E251" s="676"/>
      <c r="H251" s="653"/>
      <c r="I251" s="1749" t="s">
        <v>5449</v>
      </c>
      <c r="J251" s="715" t="s">
        <v>2948</v>
      </c>
      <c r="K251" s="716">
        <v>4.6900000000000002E-4</v>
      </c>
      <c r="L251" s="716">
        <v>2.9700000000000001E-4</v>
      </c>
      <c r="M251" s="655"/>
      <c r="N251" s="653"/>
      <c r="O251" s="653"/>
      <c r="P251" s="653"/>
      <c r="Q251" s="653"/>
      <c r="R251" s="653"/>
      <c r="S251" s="653"/>
      <c r="T251" s="653"/>
      <c r="U251" s="653"/>
    </row>
    <row r="252" spans="1:21">
      <c r="A252" s="677"/>
      <c r="B252" s="678"/>
      <c r="C252" s="681"/>
      <c r="D252" s="682"/>
      <c r="E252" s="676"/>
      <c r="H252" s="653"/>
      <c r="I252" s="1749" t="s">
        <v>5450</v>
      </c>
      <c r="J252" s="715" t="s">
        <v>2948</v>
      </c>
      <c r="K252" s="716">
        <v>4.6900000000000002E-4</v>
      </c>
      <c r="L252" s="716">
        <v>5.04E-4</v>
      </c>
      <c r="M252" s="655"/>
      <c r="N252" s="653"/>
      <c r="O252" s="653"/>
      <c r="P252" s="653"/>
      <c r="Q252" s="653"/>
      <c r="R252" s="653"/>
      <c r="S252" s="653"/>
      <c r="T252" s="653"/>
      <c r="U252" s="653"/>
    </row>
    <row r="253" spans="1:21" ht="15.75" customHeight="1">
      <c r="A253" s="690"/>
      <c r="B253" s="683"/>
      <c r="C253" s="670"/>
      <c r="D253" s="671"/>
      <c r="E253" s="676"/>
      <c r="H253" s="653"/>
      <c r="I253" s="1749" t="s">
        <v>2950</v>
      </c>
      <c r="J253" s="715" t="s">
        <v>2949</v>
      </c>
      <c r="K253" s="716">
        <v>4.5899999999999999E-4</v>
      </c>
      <c r="L253" s="716">
        <v>0</v>
      </c>
      <c r="M253" s="655"/>
      <c r="N253" s="653"/>
      <c r="O253" s="653"/>
      <c r="P253" s="653"/>
      <c r="Q253" s="653"/>
      <c r="R253" s="653"/>
      <c r="S253" s="653"/>
      <c r="T253" s="653"/>
      <c r="U253" s="653"/>
    </row>
    <row r="254" spans="1:21" ht="15.75" customHeight="1">
      <c r="A254" s="673"/>
      <c r="B254" s="674"/>
      <c r="C254" s="675"/>
      <c r="D254" s="671"/>
      <c r="E254" s="676"/>
      <c r="H254" s="653"/>
      <c r="I254" s="1749" t="s">
        <v>3799</v>
      </c>
      <c r="J254" s="715" t="s">
        <v>2949</v>
      </c>
      <c r="K254" s="716">
        <v>4.5899999999999999E-4</v>
      </c>
      <c r="L254" s="716">
        <v>4.0299999999999998E-4</v>
      </c>
      <c r="M254" s="655"/>
      <c r="N254" s="653"/>
      <c r="O254" s="653"/>
      <c r="P254" s="653"/>
      <c r="Q254" s="653"/>
      <c r="R254" s="653"/>
      <c r="S254" s="653"/>
      <c r="T254" s="653"/>
      <c r="U254" s="653"/>
    </row>
    <row r="255" spans="1:21" ht="15.75" customHeight="1">
      <c r="A255" s="673"/>
      <c r="B255" s="674"/>
      <c r="C255" s="675"/>
      <c r="D255" s="671"/>
      <c r="E255" s="676"/>
      <c r="H255" s="653"/>
      <c r="I255" s="1749" t="s">
        <v>2951</v>
      </c>
      <c r="J255" s="715" t="s">
        <v>2952</v>
      </c>
      <c r="K255" s="716">
        <v>4.9899999999999999E-4</v>
      </c>
      <c r="L255" s="716">
        <v>5.9400000000000002E-4</v>
      </c>
      <c r="M255" s="655"/>
      <c r="N255" s="653"/>
      <c r="O255" s="653"/>
      <c r="P255" s="653"/>
      <c r="Q255" s="653"/>
      <c r="R255" s="653"/>
      <c r="S255" s="653"/>
      <c r="T255" s="653"/>
      <c r="U255" s="653"/>
    </row>
    <row r="256" spans="1:21" ht="15.75" customHeight="1">
      <c r="A256" s="673"/>
      <c r="B256" s="674"/>
      <c r="C256" s="675"/>
      <c r="D256" s="671"/>
      <c r="E256" s="676"/>
      <c r="H256" s="653"/>
      <c r="I256" s="1749" t="s">
        <v>2953</v>
      </c>
      <c r="J256" s="715" t="s">
        <v>2954</v>
      </c>
      <c r="K256" s="716">
        <v>1.1E-4</v>
      </c>
      <c r="L256" s="716">
        <v>6.0800000000000003E-4</v>
      </c>
      <c r="M256" s="655"/>
      <c r="N256" s="653"/>
      <c r="O256" s="653"/>
      <c r="P256" s="653"/>
      <c r="Q256" s="653"/>
      <c r="R256" s="653"/>
      <c r="S256" s="653"/>
      <c r="T256" s="653"/>
      <c r="U256" s="653"/>
    </row>
    <row r="257" spans="1:21" ht="15.75" customHeight="1">
      <c r="A257" s="673"/>
      <c r="B257" s="674"/>
      <c r="C257" s="675"/>
      <c r="D257" s="671"/>
      <c r="E257" s="676"/>
      <c r="H257" s="653"/>
      <c r="I257" s="1749" t="s">
        <v>5451</v>
      </c>
      <c r="J257" s="715" t="s">
        <v>2955</v>
      </c>
      <c r="K257" s="716">
        <v>4.2099999999999999E-4</v>
      </c>
      <c r="L257" s="716">
        <v>0</v>
      </c>
      <c r="M257" s="655"/>
      <c r="N257" s="653"/>
      <c r="O257" s="653"/>
      <c r="P257" s="653"/>
      <c r="Q257" s="653"/>
      <c r="R257" s="653"/>
      <c r="S257" s="653"/>
      <c r="T257" s="653"/>
      <c r="U257" s="653"/>
    </row>
    <row r="258" spans="1:21" ht="15.75" customHeight="1">
      <c r="A258" s="673"/>
      <c r="B258" s="674"/>
      <c r="C258" s="675"/>
      <c r="D258" s="671"/>
      <c r="E258" s="676"/>
      <c r="H258" s="653"/>
      <c r="I258" s="1749" t="s">
        <v>5452</v>
      </c>
      <c r="J258" s="715" t="s">
        <v>2955</v>
      </c>
      <c r="K258" s="716">
        <v>4.2099999999999999E-4</v>
      </c>
      <c r="L258" s="716">
        <v>4.3800000000000002E-4</v>
      </c>
      <c r="M258" s="655"/>
      <c r="N258" s="653"/>
      <c r="O258" s="653"/>
      <c r="P258" s="653"/>
      <c r="Q258" s="653"/>
      <c r="R258" s="653"/>
      <c r="S258" s="653"/>
      <c r="T258" s="653"/>
      <c r="U258" s="653"/>
    </row>
    <row r="259" spans="1:21" ht="15.75" customHeight="1">
      <c r="A259" s="673"/>
      <c r="B259" s="674"/>
      <c r="C259" s="675"/>
      <c r="D259" s="671"/>
      <c r="E259" s="676"/>
      <c r="H259" s="653"/>
      <c r="I259" s="1749" t="s">
        <v>5453</v>
      </c>
      <c r="J259" s="715" t="s">
        <v>2956</v>
      </c>
      <c r="K259" s="716">
        <v>4.17E-4</v>
      </c>
      <c r="L259" s="716">
        <v>0</v>
      </c>
      <c r="M259" s="655"/>
      <c r="N259" s="653"/>
      <c r="O259" s="653"/>
      <c r="P259" s="653"/>
      <c r="Q259" s="653"/>
      <c r="R259" s="653"/>
      <c r="S259" s="653"/>
      <c r="T259" s="653"/>
      <c r="U259" s="653"/>
    </row>
    <row r="260" spans="1:21" ht="15.75" customHeight="1">
      <c r="A260" s="673"/>
      <c r="B260" s="674"/>
      <c r="C260" s="675"/>
      <c r="D260" s="671"/>
      <c r="E260" s="676"/>
      <c r="H260" s="653"/>
      <c r="I260" s="1749" t="s">
        <v>5454</v>
      </c>
      <c r="J260" s="715" t="s">
        <v>2956</v>
      </c>
      <c r="K260" s="716">
        <v>4.17E-4</v>
      </c>
      <c r="L260" s="716">
        <v>4.2099999999999999E-4</v>
      </c>
      <c r="M260" s="655"/>
      <c r="N260" s="653"/>
      <c r="O260" s="653"/>
      <c r="P260" s="653"/>
      <c r="Q260" s="653"/>
      <c r="R260" s="653"/>
      <c r="S260" s="653"/>
      <c r="T260" s="653"/>
      <c r="U260" s="653"/>
    </row>
    <row r="261" spans="1:21" ht="15.75" customHeight="1">
      <c r="A261" s="673"/>
      <c r="B261" s="674"/>
      <c r="C261" s="675"/>
      <c r="D261" s="671"/>
      <c r="E261" s="676"/>
      <c r="H261" s="653"/>
      <c r="I261" s="1749" t="s">
        <v>5455</v>
      </c>
      <c r="J261" s="715" t="s">
        <v>2957</v>
      </c>
      <c r="K261" s="716">
        <v>4.2000000000000002E-4</v>
      </c>
      <c r="L261" s="716">
        <v>0</v>
      </c>
      <c r="M261" s="655"/>
      <c r="N261" s="653"/>
      <c r="O261" s="653"/>
      <c r="P261" s="653"/>
      <c r="Q261" s="653"/>
      <c r="R261" s="653"/>
      <c r="S261" s="653"/>
      <c r="T261" s="653"/>
      <c r="U261" s="653"/>
    </row>
    <row r="262" spans="1:21">
      <c r="A262" s="677"/>
      <c r="B262" s="678"/>
      <c r="C262" s="681"/>
      <c r="D262" s="682"/>
      <c r="E262" s="676"/>
      <c r="H262" s="653"/>
      <c r="I262" s="1749" t="s">
        <v>5456</v>
      </c>
      <c r="J262" s="715" t="s">
        <v>2957</v>
      </c>
      <c r="K262" s="716">
        <v>4.2000000000000002E-4</v>
      </c>
      <c r="L262" s="716">
        <v>4.66E-4</v>
      </c>
      <c r="M262" s="655"/>
      <c r="N262" s="653"/>
      <c r="O262" s="653"/>
      <c r="P262" s="653"/>
      <c r="Q262" s="653"/>
      <c r="R262" s="653"/>
      <c r="S262" s="653"/>
      <c r="T262" s="653"/>
      <c r="U262" s="653"/>
    </row>
    <row r="263" spans="1:21" ht="17.25" customHeight="1">
      <c r="A263" s="677"/>
      <c r="B263" s="678"/>
      <c r="C263" s="681"/>
      <c r="D263" s="680"/>
      <c r="E263" s="676"/>
      <c r="H263" s="653"/>
      <c r="I263" s="1749" t="s">
        <v>5457</v>
      </c>
      <c r="J263" s="715" t="s">
        <v>2958</v>
      </c>
      <c r="K263" s="716">
        <v>4.17E-4</v>
      </c>
      <c r="L263" s="716">
        <v>0</v>
      </c>
      <c r="M263" s="655"/>
      <c r="N263" s="653"/>
      <c r="O263" s="653"/>
      <c r="P263" s="653"/>
      <c r="Q263" s="653"/>
      <c r="R263" s="653"/>
      <c r="S263" s="653"/>
      <c r="T263" s="653"/>
      <c r="U263" s="653"/>
    </row>
    <row r="264" spans="1:21" ht="15.75" customHeight="1">
      <c r="A264" s="690"/>
      <c r="B264" s="683"/>
      <c r="C264" s="670"/>
      <c r="D264" s="671"/>
      <c r="E264" s="676"/>
      <c r="H264" s="653"/>
      <c r="I264" s="1749" t="s">
        <v>5458</v>
      </c>
      <c r="J264" s="715" t="s">
        <v>2958</v>
      </c>
      <c r="K264" s="716">
        <v>4.17E-4</v>
      </c>
      <c r="L264" s="716">
        <v>4.2000000000000002E-4</v>
      </c>
      <c r="M264" s="655"/>
      <c r="N264" s="653"/>
      <c r="O264" s="653"/>
      <c r="P264" s="653"/>
      <c r="Q264" s="653"/>
      <c r="R264" s="653"/>
      <c r="S264" s="653"/>
      <c r="T264" s="653"/>
      <c r="U264" s="653"/>
    </row>
    <row r="265" spans="1:21" ht="15.75" customHeight="1">
      <c r="A265" s="673"/>
      <c r="B265" s="674"/>
      <c r="C265" s="675"/>
      <c r="D265" s="671"/>
      <c r="E265" s="676"/>
      <c r="H265" s="653"/>
      <c r="I265" s="1749" t="s">
        <v>5459</v>
      </c>
      <c r="J265" s="715" t="s">
        <v>2959</v>
      </c>
      <c r="K265" s="716">
        <v>4.17E-4</v>
      </c>
      <c r="L265" s="716">
        <v>0</v>
      </c>
      <c r="M265" s="655"/>
      <c r="N265" s="653"/>
      <c r="O265" s="653"/>
      <c r="P265" s="653"/>
      <c r="Q265" s="653"/>
      <c r="R265" s="653"/>
      <c r="S265" s="653"/>
      <c r="T265" s="653"/>
      <c r="U265" s="653"/>
    </row>
    <row r="266" spans="1:21" ht="17.25" customHeight="1">
      <c r="A266" s="677"/>
      <c r="B266" s="693"/>
      <c r="C266" s="681"/>
      <c r="D266" s="680"/>
      <c r="E266" s="676"/>
      <c r="H266" s="653"/>
      <c r="I266" s="1749" t="s">
        <v>5460</v>
      </c>
      <c r="J266" s="715" t="s">
        <v>2959</v>
      </c>
      <c r="K266" s="716">
        <v>4.17E-4</v>
      </c>
      <c r="L266" s="716">
        <v>4.6200000000000001E-4</v>
      </c>
      <c r="M266" s="655"/>
      <c r="N266" s="653"/>
      <c r="O266" s="653"/>
      <c r="P266" s="653"/>
      <c r="Q266" s="653"/>
      <c r="R266" s="653"/>
      <c r="S266" s="653"/>
      <c r="T266" s="653"/>
      <c r="U266" s="653"/>
    </row>
    <row r="267" spans="1:21" ht="17.25" customHeight="1">
      <c r="A267" s="677"/>
      <c r="B267" s="678"/>
      <c r="C267" s="681"/>
      <c r="D267" s="680"/>
      <c r="E267" s="676"/>
      <c r="H267" s="653"/>
      <c r="I267" s="1749" t="s">
        <v>5461</v>
      </c>
      <c r="J267" s="715" t="s">
        <v>2960</v>
      </c>
      <c r="K267" s="716">
        <v>4.17E-4</v>
      </c>
      <c r="L267" s="716">
        <v>0</v>
      </c>
      <c r="M267" s="655"/>
      <c r="N267" s="653"/>
      <c r="O267" s="653"/>
      <c r="P267" s="653"/>
      <c r="Q267" s="653"/>
      <c r="R267" s="653"/>
      <c r="S267" s="653"/>
      <c r="T267" s="653"/>
      <c r="U267" s="653"/>
    </row>
    <row r="268" spans="1:21" ht="17.25" customHeight="1">
      <c r="A268" s="677"/>
      <c r="B268" s="678"/>
      <c r="C268" s="681"/>
      <c r="D268" s="680"/>
      <c r="E268" s="676"/>
      <c r="H268" s="653"/>
      <c r="I268" s="1749" t="s">
        <v>5462</v>
      </c>
      <c r="J268" s="715" t="s">
        <v>2960</v>
      </c>
      <c r="K268" s="716">
        <v>4.17E-4</v>
      </c>
      <c r="L268" s="716">
        <v>4.2999999999999999E-4</v>
      </c>
      <c r="M268" s="655"/>
      <c r="N268" s="653"/>
      <c r="O268" s="653"/>
      <c r="P268" s="653"/>
      <c r="Q268" s="653"/>
      <c r="R268" s="653"/>
      <c r="S268" s="653"/>
      <c r="T268" s="653"/>
      <c r="U268" s="653"/>
    </row>
    <row r="269" spans="1:21">
      <c r="A269" s="677"/>
      <c r="B269" s="678"/>
      <c r="C269" s="681"/>
      <c r="D269" s="682"/>
      <c r="E269" s="676"/>
      <c r="H269" s="653"/>
      <c r="I269" s="1749" t="s">
        <v>5463</v>
      </c>
      <c r="J269" s="715" t="s">
        <v>2961</v>
      </c>
      <c r="K269" s="716">
        <v>4.17E-4</v>
      </c>
      <c r="L269" s="716">
        <v>0</v>
      </c>
      <c r="M269" s="655"/>
      <c r="N269" s="653"/>
      <c r="O269" s="653"/>
      <c r="P269" s="653"/>
      <c r="Q269" s="653"/>
      <c r="R269" s="653"/>
      <c r="S269" s="653"/>
      <c r="T269" s="653"/>
      <c r="U269" s="653"/>
    </row>
    <row r="270" spans="1:21">
      <c r="A270" s="677"/>
      <c r="B270" s="678"/>
      <c r="C270" s="681"/>
      <c r="D270" s="682"/>
      <c r="E270" s="676"/>
      <c r="H270" s="653"/>
      <c r="I270" s="1749" t="s">
        <v>5464</v>
      </c>
      <c r="J270" s="715" t="s">
        <v>2961</v>
      </c>
      <c r="K270" s="716">
        <v>4.17E-4</v>
      </c>
      <c r="L270" s="716">
        <v>4.6200000000000001E-4</v>
      </c>
      <c r="M270" s="655"/>
      <c r="N270" s="653"/>
      <c r="O270" s="653"/>
      <c r="P270" s="653"/>
      <c r="Q270" s="653"/>
      <c r="R270" s="653"/>
      <c r="S270" s="653"/>
      <c r="T270" s="653"/>
      <c r="U270" s="653"/>
    </row>
    <row r="271" spans="1:21" ht="17.25" customHeight="1">
      <c r="A271" s="677"/>
      <c r="B271" s="678"/>
      <c r="C271" s="681"/>
      <c r="D271" s="680"/>
      <c r="E271" s="676"/>
      <c r="H271" s="653"/>
      <c r="I271" s="1749" t="s">
        <v>2962</v>
      </c>
      <c r="J271" s="715" t="s">
        <v>2963</v>
      </c>
      <c r="K271" s="716">
        <v>3.01E-4</v>
      </c>
      <c r="L271" s="716">
        <v>2.6800000000000001E-4</v>
      </c>
      <c r="M271" s="655"/>
      <c r="N271" s="653"/>
      <c r="O271" s="653"/>
      <c r="P271" s="653"/>
      <c r="Q271" s="653"/>
      <c r="R271" s="653"/>
      <c r="S271" s="653"/>
      <c r="T271" s="653"/>
      <c r="U271" s="653"/>
    </row>
    <row r="272" spans="1:21" ht="17.25" customHeight="1">
      <c r="A272" s="677"/>
      <c r="B272" s="678"/>
      <c r="C272" s="681"/>
      <c r="D272" s="680"/>
      <c r="E272" s="676"/>
      <c r="H272" s="653"/>
      <c r="I272" s="1749" t="s">
        <v>2964</v>
      </c>
      <c r="J272" s="715" t="s">
        <v>2965</v>
      </c>
      <c r="K272" s="716">
        <v>3.5199999999999999E-4</v>
      </c>
      <c r="L272" s="716">
        <v>4.0900000000000002E-4</v>
      </c>
      <c r="M272" s="655"/>
      <c r="N272" s="653"/>
      <c r="O272" s="653"/>
      <c r="P272" s="653"/>
      <c r="Q272" s="653"/>
      <c r="R272" s="653"/>
      <c r="S272" s="653"/>
      <c r="T272" s="653"/>
      <c r="U272" s="653"/>
    </row>
    <row r="273" spans="1:21" ht="17.25" customHeight="1">
      <c r="A273" s="677"/>
      <c r="B273" s="678"/>
      <c r="C273" s="681"/>
      <c r="D273" s="680"/>
      <c r="E273" s="676"/>
      <c r="H273" s="653"/>
      <c r="I273" s="1749" t="s">
        <v>2966</v>
      </c>
      <c r="J273" s="715" t="s">
        <v>2967</v>
      </c>
      <c r="K273" s="716">
        <v>1.1400000000000001E-4</v>
      </c>
      <c r="L273" s="716">
        <v>0</v>
      </c>
      <c r="M273" s="655"/>
      <c r="N273" s="653"/>
      <c r="O273" s="653"/>
      <c r="P273" s="653"/>
      <c r="Q273" s="653"/>
      <c r="R273" s="653"/>
      <c r="S273" s="653"/>
      <c r="T273" s="653"/>
      <c r="U273" s="653"/>
    </row>
    <row r="274" spans="1:21" ht="17.25" customHeight="1">
      <c r="A274" s="677"/>
      <c r="B274" s="678"/>
      <c r="C274" s="681"/>
      <c r="D274" s="680"/>
      <c r="E274" s="676"/>
      <c r="H274" s="653"/>
      <c r="I274" s="1749" t="s">
        <v>2968</v>
      </c>
      <c r="J274" s="715" t="s">
        <v>2967</v>
      </c>
      <c r="K274" s="716">
        <v>1.1400000000000001E-4</v>
      </c>
      <c r="L274" s="716">
        <v>2.92E-4</v>
      </c>
      <c r="M274" s="655"/>
      <c r="N274" s="653"/>
      <c r="O274" s="653"/>
      <c r="P274" s="653"/>
      <c r="Q274" s="653"/>
      <c r="R274" s="653"/>
      <c r="S274" s="653"/>
      <c r="T274" s="653"/>
      <c r="U274" s="653"/>
    </row>
    <row r="275" spans="1:21" ht="17.25" customHeight="1">
      <c r="A275" s="677"/>
      <c r="B275" s="678"/>
      <c r="C275" s="681"/>
      <c r="D275" s="680"/>
      <c r="E275" s="676"/>
      <c r="H275" s="653"/>
      <c r="I275" s="1749" t="s">
        <v>2969</v>
      </c>
      <c r="J275" s="715" t="s">
        <v>2967</v>
      </c>
      <c r="K275" s="716">
        <v>1.1400000000000001E-4</v>
      </c>
      <c r="L275" s="716">
        <v>3.48E-4</v>
      </c>
      <c r="M275" s="655"/>
      <c r="N275" s="653"/>
      <c r="O275" s="653"/>
      <c r="P275" s="653"/>
      <c r="Q275" s="653"/>
      <c r="R275" s="653"/>
      <c r="S275" s="653"/>
      <c r="T275" s="653"/>
      <c r="U275" s="653"/>
    </row>
    <row r="276" spans="1:21" ht="17.25" customHeight="1">
      <c r="A276" s="677"/>
      <c r="B276" s="678"/>
      <c r="C276" s="681"/>
      <c r="D276" s="680"/>
      <c r="E276" s="676"/>
      <c r="H276" s="653"/>
      <c r="I276" s="1749" t="s">
        <v>2970</v>
      </c>
      <c r="J276" s="715" t="s">
        <v>2967</v>
      </c>
      <c r="K276" s="716">
        <v>1.1400000000000001E-4</v>
      </c>
      <c r="L276" s="716">
        <v>2.5000000000000001E-4</v>
      </c>
      <c r="M276" s="655"/>
      <c r="N276" s="653"/>
      <c r="O276" s="653"/>
      <c r="P276" s="653"/>
      <c r="Q276" s="653"/>
      <c r="R276" s="653"/>
      <c r="S276" s="653"/>
      <c r="T276" s="653"/>
      <c r="U276" s="653"/>
    </row>
    <row r="277" spans="1:21" ht="15.75" customHeight="1">
      <c r="A277" s="690"/>
      <c r="B277" s="683"/>
      <c r="C277" s="670"/>
      <c r="D277" s="671"/>
      <c r="E277" s="676"/>
      <c r="H277" s="653"/>
      <c r="I277" s="1749" t="s">
        <v>2971</v>
      </c>
      <c r="J277" s="715" t="s">
        <v>2967</v>
      </c>
      <c r="K277" s="716">
        <v>1.1400000000000001E-4</v>
      </c>
      <c r="L277" s="716">
        <v>3.7800000000000003E-4</v>
      </c>
      <c r="M277" s="655"/>
      <c r="N277" s="653"/>
      <c r="O277" s="653"/>
      <c r="P277" s="653"/>
      <c r="Q277" s="653"/>
      <c r="R277" s="653"/>
      <c r="S277" s="653"/>
      <c r="T277" s="653"/>
      <c r="U277" s="653"/>
    </row>
    <row r="278" spans="1:21" ht="15.75" customHeight="1">
      <c r="A278" s="673"/>
      <c r="B278" s="674"/>
      <c r="C278" s="675"/>
      <c r="D278" s="671"/>
      <c r="E278" s="676"/>
      <c r="H278" s="653"/>
      <c r="I278" s="1749" t="s">
        <v>2972</v>
      </c>
      <c r="J278" s="715" t="s">
        <v>2967</v>
      </c>
      <c r="K278" s="716">
        <v>1.1400000000000001E-4</v>
      </c>
      <c r="L278" s="716">
        <v>0</v>
      </c>
      <c r="M278" s="655"/>
      <c r="N278" s="653"/>
      <c r="O278" s="653"/>
      <c r="P278" s="653"/>
      <c r="Q278" s="653"/>
      <c r="R278" s="653"/>
      <c r="S278" s="653"/>
      <c r="T278" s="653"/>
      <c r="U278" s="653"/>
    </row>
    <row r="279" spans="1:21" ht="15.75" customHeight="1">
      <c r="A279" s="690"/>
      <c r="B279" s="683"/>
      <c r="C279" s="670"/>
      <c r="D279" s="671"/>
      <c r="E279" s="676"/>
      <c r="H279" s="653"/>
      <c r="I279" s="1749" t="s">
        <v>2973</v>
      </c>
      <c r="J279" s="715" t="s">
        <v>2967</v>
      </c>
      <c r="K279" s="716">
        <v>1.1400000000000001E-4</v>
      </c>
      <c r="L279" s="716">
        <v>0</v>
      </c>
      <c r="M279" s="655"/>
      <c r="N279" s="653"/>
      <c r="O279" s="653"/>
      <c r="P279" s="653"/>
      <c r="Q279" s="653"/>
      <c r="R279" s="653"/>
      <c r="S279" s="653"/>
      <c r="T279" s="653"/>
      <c r="U279" s="653"/>
    </row>
    <row r="280" spans="1:21" ht="15.75" customHeight="1">
      <c r="A280" s="673"/>
      <c r="B280" s="674"/>
      <c r="C280" s="675"/>
      <c r="D280" s="671"/>
      <c r="E280" s="676"/>
      <c r="H280" s="653"/>
      <c r="I280" s="1749" t="s">
        <v>3800</v>
      </c>
      <c r="J280" s="715" t="s">
        <v>2967</v>
      </c>
      <c r="K280" s="716">
        <v>1.1400000000000001E-4</v>
      </c>
      <c r="L280" s="716">
        <v>0</v>
      </c>
      <c r="M280" s="655"/>
      <c r="N280" s="653"/>
      <c r="O280" s="653"/>
      <c r="P280" s="653"/>
      <c r="Q280" s="653"/>
      <c r="R280" s="653"/>
      <c r="S280" s="653"/>
      <c r="T280" s="653"/>
      <c r="U280" s="653"/>
    </row>
    <row r="281" spans="1:21" ht="15.75" customHeight="1">
      <c r="A281" s="673"/>
      <c r="B281" s="674"/>
      <c r="C281" s="675"/>
      <c r="D281" s="671"/>
      <c r="E281" s="676"/>
      <c r="H281" s="653"/>
      <c r="I281" s="1749" t="s">
        <v>5465</v>
      </c>
      <c r="J281" s="715" t="s">
        <v>2967</v>
      </c>
      <c r="K281" s="716">
        <v>1.1400000000000001E-4</v>
      </c>
      <c r="L281" s="716">
        <v>0</v>
      </c>
      <c r="M281" s="655"/>
      <c r="N281" s="653"/>
      <c r="O281" s="653"/>
      <c r="P281" s="653"/>
      <c r="Q281" s="653"/>
      <c r="R281" s="653"/>
      <c r="S281" s="653"/>
      <c r="T281" s="653"/>
      <c r="U281" s="653"/>
    </row>
    <row r="282" spans="1:21" ht="15.75" customHeight="1">
      <c r="A282" s="673"/>
      <c r="B282" s="674"/>
      <c r="C282" s="675"/>
      <c r="D282" s="671"/>
      <c r="E282" s="676"/>
      <c r="H282" s="653"/>
      <c r="I282" s="1749" t="s">
        <v>5466</v>
      </c>
      <c r="J282" s="715" t="s">
        <v>2967</v>
      </c>
      <c r="K282" s="716">
        <v>1.1400000000000001E-4</v>
      </c>
      <c r="L282" s="716">
        <v>3.6600000000000001E-4</v>
      </c>
      <c r="M282" s="655"/>
      <c r="N282" s="653"/>
      <c r="O282" s="653"/>
      <c r="P282" s="653"/>
      <c r="Q282" s="653"/>
      <c r="R282" s="653"/>
      <c r="S282" s="653"/>
      <c r="T282" s="653"/>
      <c r="U282" s="653"/>
    </row>
    <row r="283" spans="1:21" ht="15.75" customHeight="1">
      <c r="A283" s="673"/>
      <c r="B283" s="674"/>
      <c r="C283" s="675"/>
      <c r="D283" s="671"/>
      <c r="E283" s="676"/>
      <c r="H283" s="653"/>
      <c r="I283" s="1749" t="s">
        <v>5467</v>
      </c>
      <c r="J283" s="715" t="s">
        <v>2967</v>
      </c>
      <c r="K283" s="716">
        <v>1.1400000000000001E-4</v>
      </c>
      <c r="L283" s="716">
        <v>0</v>
      </c>
      <c r="M283" s="655"/>
      <c r="N283" s="653"/>
      <c r="O283" s="653"/>
      <c r="P283" s="653"/>
      <c r="Q283" s="653"/>
      <c r="R283" s="653"/>
      <c r="S283" s="653"/>
      <c r="T283" s="653"/>
      <c r="U283" s="653"/>
    </row>
    <row r="284" spans="1:21" ht="15.75" customHeight="1">
      <c r="A284" s="673"/>
      <c r="B284" s="674"/>
      <c r="C284" s="675"/>
      <c r="D284" s="671"/>
      <c r="E284" s="676"/>
      <c r="H284" s="653"/>
      <c r="I284" s="1749" t="s">
        <v>5468</v>
      </c>
      <c r="J284" s="715" t="s">
        <v>2967</v>
      </c>
      <c r="K284" s="716">
        <v>1.1400000000000001E-4</v>
      </c>
      <c r="L284" s="716">
        <v>0</v>
      </c>
      <c r="M284" s="655"/>
      <c r="N284" s="653"/>
      <c r="O284" s="653"/>
      <c r="P284" s="653"/>
      <c r="Q284" s="653"/>
      <c r="R284" s="653"/>
      <c r="S284" s="653"/>
      <c r="T284" s="653"/>
      <c r="U284" s="653"/>
    </row>
    <row r="285" spans="1:21" ht="15.75" customHeight="1">
      <c r="A285" s="673"/>
      <c r="B285" s="674"/>
      <c r="C285" s="675"/>
      <c r="D285" s="671"/>
      <c r="E285" s="676"/>
      <c r="H285" s="653"/>
      <c r="I285" s="1749" t="s">
        <v>5469</v>
      </c>
      <c r="J285" s="715" t="s">
        <v>2967</v>
      </c>
      <c r="K285" s="716">
        <v>1.1400000000000001E-4</v>
      </c>
      <c r="L285" s="716">
        <v>4.9799999999999996E-4</v>
      </c>
      <c r="M285" s="655"/>
      <c r="N285" s="653"/>
      <c r="O285" s="653"/>
      <c r="P285" s="653"/>
      <c r="Q285" s="653"/>
      <c r="R285" s="653"/>
      <c r="S285" s="653"/>
      <c r="T285" s="653"/>
      <c r="U285" s="653"/>
    </row>
    <row r="286" spans="1:21" ht="15.75" customHeight="1">
      <c r="A286" s="673"/>
      <c r="B286" s="674"/>
      <c r="C286" s="675"/>
      <c r="D286" s="671"/>
      <c r="E286" s="676"/>
      <c r="H286" s="653"/>
      <c r="I286" s="1749" t="s">
        <v>2974</v>
      </c>
      <c r="J286" s="715" t="s">
        <v>2975</v>
      </c>
      <c r="K286" s="716">
        <v>4.4099999999999999E-4</v>
      </c>
      <c r="L286" s="716">
        <v>3.88E-4</v>
      </c>
      <c r="M286" s="655"/>
      <c r="N286" s="653"/>
      <c r="O286" s="653"/>
      <c r="P286" s="653"/>
      <c r="Q286" s="653"/>
      <c r="R286" s="653"/>
      <c r="S286" s="653"/>
      <c r="T286" s="653"/>
      <c r="U286" s="653"/>
    </row>
    <row r="287" spans="1:21" ht="15.75" customHeight="1">
      <c r="A287" s="673"/>
      <c r="B287" s="674"/>
      <c r="C287" s="675"/>
      <c r="D287" s="671"/>
      <c r="E287" s="676"/>
      <c r="H287" s="653"/>
      <c r="I287" s="1749" t="s">
        <v>2976</v>
      </c>
      <c r="J287" s="715" t="s">
        <v>2977</v>
      </c>
      <c r="K287" s="716">
        <v>2.8299999999999999E-4</v>
      </c>
      <c r="L287" s="716">
        <v>4.5100000000000001E-4</v>
      </c>
      <c r="M287" s="655"/>
      <c r="N287" s="653"/>
      <c r="O287" s="653"/>
      <c r="P287" s="653"/>
      <c r="Q287" s="653"/>
      <c r="R287" s="653"/>
      <c r="S287" s="653"/>
      <c r="T287" s="653"/>
      <c r="U287" s="653"/>
    </row>
    <row r="288" spans="1:21">
      <c r="A288" s="677"/>
      <c r="B288" s="678"/>
      <c r="C288" s="681"/>
      <c r="D288" s="682"/>
      <c r="E288" s="676"/>
      <c r="H288" s="653"/>
      <c r="I288" s="1749" t="s">
        <v>2978</v>
      </c>
      <c r="J288" s="715" t="s">
        <v>2979</v>
      </c>
      <c r="K288" s="716">
        <v>4.3899999999999999E-4</v>
      </c>
      <c r="L288" s="716">
        <v>3.8299999999999999E-4</v>
      </c>
      <c r="M288" s="655"/>
      <c r="N288" s="653"/>
      <c r="O288" s="653"/>
      <c r="P288" s="653"/>
      <c r="Q288" s="653"/>
      <c r="R288" s="653"/>
      <c r="S288" s="653"/>
      <c r="T288" s="653"/>
      <c r="U288" s="653"/>
    </row>
    <row r="289" spans="1:21" ht="17.25" customHeight="1">
      <c r="A289" s="677"/>
      <c r="B289" s="678"/>
      <c r="C289" s="681"/>
      <c r="D289" s="680"/>
      <c r="E289" s="676"/>
      <c r="H289" s="653"/>
      <c r="I289" s="1749" t="s">
        <v>2980</v>
      </c>
      <c r="J289" s="715" t="s">
        <v>2981</v>
      </c>
      <c r="K289" s="716">
        <v>1.2400000000000001E-4</v>
      </c>
      <c r="L289" s="716">
        <v>0</v>
      </c>
      <c r="M289" s="655"/>
      <c r="N289" s="653"/>
      <c r="O289" s="653"/>
      <c r="P289" s="653"/>
      <c r="Q289" s="653"/>
      <c r="R289" s="653"/>
      <c r="S289" s="653"/>
      <c r="T289" s="653"/>
      <c r="U289" s="653"/>
    </row>
    <row r="290" spans="1:21" ht="17.25" customHeight="1">
      <c r="A290" s="677"/>
      <c r="B290" s="678"/>
      <c r="C290" s="681"/>
      <c r="D290" s="680"/>
      <c r="E290" s="676"/>
      <c r="H290" s="653"/>
      <c r="I290" s="1749" t="s">
        <v>5470</v>
      </c>
      <c r="J290" s="715" t="s">
        <v>2981</v>
      </c>
      <c r="K290" s="716">
        <v>1.2400000000000001E-4</v>
      </c>
      <c r="L290" s="716">
        <v>0</v>
      </c>
      <c r="M290" s="655"/>
      <c r="N290" s="653"/>
      <c r="O290" s="653"/>
      <c r="P290" s="653"/>
      <c r="Q290" s="653"/>
      <c r="R290" s="653"/>
      <c r="S290" s="653"/>
      <c r="T290" s="653"/>
      <c r="U290" s="653"/>
    </row>
    <row r="291" spans="1:21" ht="17.25" customHeight="1">
      <c r="A291" s="677"/>
      <c r="B291" s="678"/>
      <c r="C291" s="681"/>
      <c r="D291" s="680"/>
      <c r="E291" s="676"/>
      <c r="H291" s="653"/>
      <c r="I291" s="1749" t="s">
        <v>5471</v>
      </c>
      <c r="J291" s="715" t="s">
        <v>2981</v>
      </c>
      <c r="K291" s="716">
        <v>1.2400000000000001E-4</v>
      </c>
      <c r="L291" s="716">
        <v>0</v>
      </c>
      <c r="M291" s="655"/>
      <c r="N291" s="653"/>
      <c r="O291" s="653"/>
      <c r="P291" s="653"/>
      <c r="Q291" s="653"/>
      <c r="R291" s="653"/>
      <c r="S291" s="653"/>
      <c r="T291" s="653"/>
      <c r="U291" s="653"/>
    </row>
    <row r="292" spans="1:21" ht="15.75" customHeight="1">
      <c r="A292" s="690"/>
      <c r="B292" s="683"/>
      <c r="C292" s="670"/>
      <c r="D292" s="671"/>
      <c r="E292" s="676"/>
      <c r="H292" s="653"/>
      <c r="I292" s="1749" t="s">
        <v>5472</v>
      </c>
      <c r="J292" s="715" t="s">
        <v>2981</v>
      </c>
      <c r="K292" s="716">
        <v>1.2400000000000001E-4</v>
      </c>
      <c r="L292" s="716">
        <v>1.3300000000000001E-4</v>
      </c>
      <c r="M292" s="655"/>
      <c r="N292" s="653"/>
      <c r="O292" s="653"/>
      <c r="P292" s="653"/>
      <c r="Q292" s="653"/>
      <c r="R292" s="653"/>
      <c r="S292" s="653"/>
      <c r="T292" s="653"/>
      <c r="U292" s="653"/>
    </row>
    <row r="293" spans="1:21" ht="15.75" customHeight="1">
      <c r="A293" s="673"/>
      <c r="B293" s="674"/>
      <c r="C293" s="675"/>
      <c r="D293" s="671"/>
      <c r="E293" s="676"/>
      <c r="H293" s="653"/>
      <c r="I293" s="1749" t="s">
        <v>5473</v>
      </c>
      <c r="J293" s="715" t="s">
        <v>2981</v>
      </c>
      <c r="K293" s="716">
        <v>1.2400000000000001E-4</v>
      </c>
      <c r="L293" s="716">
        <v>0</v>
      </c>
      <c r="M293" s="655"/>
      <c r="N293" s="653"/>
      <c r="O293" s="653"/>
      <c r="P293" s="653"/>
      <c r="Q293" s="653"/>
      <c r="R293" s="653"/>
      <c r="S293" s="653"/>
      <c r="T293" s="653"/>
      <c r="U293" s="653"/>
    </row>
    <row r="294" spans="1:21" ht="17.25" customHeight="1">
      <c r="A294" s="677"/>
      <c r="B294" s="678"/>
      <c r="C294" s="681"/>
      <c r="D294" s="680"/>
      <c r="E294" s="676"/>
      <c r="H294" s="653"/>
      <c r="I294" s="1749" t="s">
        <v>5474</v>
      </c>
      <c r="J294" s="715" t="s">
        <v>2981</v>
      </c>
      <c r="K294" s="716">
        <v>1.2400000000000001E-4</v>
      </c>
      <c r="L294" s="716">
        <v>2.2900000000000001E-4</v>
      </c>
      <c r="M294" s="655"/>
      <c r="N294" s="653"/>
      <c r="O294" s="653"/>
      <c r="P294" s="653"/>
      <c r="Q294" s="653"/>
      <c r="R294" s="653"/>
      <c r="S294" s="653"/>
      <c r="T294" s="653"/>
      <c r="U294" s="653"/>
    </row>
    <row r="295" spans="1:21" ht="15.75" customHeight="1">
      <c r="A295" s="691"/>
      <c r="B295" s="685"/>
      <c r="C295" s="686"/>
      <c r="D295" s="671"/>
      <c r="E295" s="676"/>
      <c r="H295" s="653"/>
      <c r="I295" s="1749" t="s">
        <v>2982</v>
      </c>
      <c r="J295" s="715" t="s">
        <v>2983</v>
      </c>
      <c r="K295" s="716">
        <v>4.4099999999999999E-4</v>
      </c>
      <c r="L295" s="716">
        <v>0</v>
      </c>
      <c r="M295" s="655"/>
      <c r="N295" s="653"/>
      <c r="O295" s="653"/>
      <c r="P295" s="653"/>
      <c r="Q295" s="653"/>
      <c r="R295" s="653"/>
      <c r="S295" s="653"/>
      <c r="T295" s="653"/>
      <c r="U295" s="653"/>
    </row>
    <row r="296" spans="1:21" ht="15.75" customHeight="1">
      <c r="A296" s="687"/>
      <c r="B296" s="688"/>
      <c r="C296" s="689"/>
      <c r="D296" s="671"/>
      <c r="E296" s="676"/>
      <c r="H296" s="653"/>
      <c r="I296" s="1749" t="s">
        <v>3801</v>
      </c>
      <c r="J296" s="715" t="s">
        <v>2983</v>
      </c>
      <c r="K296" s="716">
        <v>4.4099999999999999E-4</v>
      </c>
      <c r="L296" s="716">
        <v>5.4000000000000001E-4</v>
      </c>
      <c r="M296" s="655"/>
      <c r="N296" s="653"/>
      <c r="O296" s="653"/>
      <c r="P296" s="653"/>
      <c r="Q296" s="653"/>
      <c r="R296" s="653"/>
      <c r="S296" s="653"/>
      <c r="T296" s="653"/>
      <c r="U296" s="653"/>
    </row>
    <row r="297" spans="1:21" ht="15.75" customHeight="1">
      <c r="A297" s="687"/>
      <c r="B297" s="688"/>
      <c r="C297" s="689"/>
      <c r="D297" s="671"/>
      <c r="E297" s="676"/>
      <c r="H297" s="653"/>
      <c r="I297" s="1749" t="s">
        <v>2984</v>
      </c>
      <c r="J297" s="715" t="s">
        <v>2985</v>
      </c>
      <c r="K297" s="716">
        <v>2.61E-4</v>
      </c>
      <c r="L297" s="716">
        <v>3.1700000000000001E-4</v>
      </c>
      <c r="M297" s="655"/>
      <c r="N297" s="653"/>
      <c r="O297" s="653"/>
      <c r="P297" s="653"/>
      <c r="Q297" s="653"/>
      <c r="R297" s="653"/>
      <c r="S297" s="653"/>
      <c r="T297" s="653"/>
      <c r="U297" s="653"/>
    </row>
    <row r="298" spans="1:21" ht="17.25" customHeight="1">
      <c r="A298" s="677"/>
      <c r="B298" s="678"/>
      <c r="C298" s="679"/>
      <c r="D298" s="680"/>
      <c r="E298" s="696"/>
      <c r="H298" s="653"/>
      <c r="I298" s="1749" t="s">
        <v>2986</v>
      </c>
      <c r="J298" s="715" t="s">
        <v>2987</v>
      </c>
      <c r="K298" s="716">
        <v>5.0900000000000001E-4</v>
      </c>
      <c r="L298" s="716">
        <v>0</v>
      </c>
      <c r="M298" s="655"/>
      <c r="N298" s="653"/>
      <c r="O298" s="653"/>
      <c r="P298" s="653"/>
      <c r="Q298" s="653"/>
      <c r="R298" s="653"/>
      <c r="S298" s="653"/>
      <c r="T298" s="653"/>
      <c r="U298" s="653"/>
    </row>
    <row r="299" spans="1:21" ht="15.75" customHeight="1">
      <c r="A299" s="690"/>
      <c r="B299" s="683"/>
      <c r="C299" s="670"/>
      <c r="D299" s="671"/>
      <c r="E299" s="676"/>
      <c r="H299" s="653"/>
      <c r="I299" s="1749" t="s">
        <v>2988</v>
      </c>
      <c r="J299" s="715" t="s">
        <v>2987</v>
      </c>
      <c r="K299" s="716">
        <v>5.0900000000000001E-4</v>
      </c>
      <c r="L299" s="716">
        <v>1.25E-4</v>
      </c>
      <c r="M299" s="655"/>
      <c r="N299" s="653"/>
      <c r="O299" s="653"/>
      <c r="P299" s="653"/>
      <c r="Q299" s="653"/>
      <c r="R299" s="653"/>
      <c r="S299" s="653"/>
      <c r="T299" s="653"/>
      <c r="U299" s="653"/>
    </row>
    <row r="300" spans="1:21" ht="15.75" customHeight="1">
      <c r="A300" s="673"/>
      <c r="B300" s="674"/>
      <c r="C300" s="675"/>
      <c r="D300" s="671"/>
      <c r="E300" s="676"/>
      <c r="H300" s="653"/>
      <c r="I300" s="1749" t="s">
        <v>2989</v>
      </c>
      <c r="J300" s="715" t="s">
        <v>2987</v>
      </c>
      <c r="K300" s="716">
        <v>5.0900000000000001E-4</v>
      </c>
      <c r="L300" s="716">
        <v>1.6899999999999999E-4</v>
      </c>
      <c r="M300" s="655"/>
      <c r="N300" s="653"/>
      <c r="O300" s="653"/>
      <c r="P300" s="653"/>
      <c r="Q300" s="653"/>
      <c r="R300" s="653"/>
      <c r="S300" s="653"/>
      <c r="T300" s="653"/>
      <c r="U300" s="653"/>
    </row>
    <row r="301" spans="1:21" ht="17.25" customHeight="1">
      <c r="A301" s="677"/>
      <c r="B301" s="678"/>
      <c r="C301" s="681"/>
      <c r="D301" s="680"/>
      <c r="E301" s="676"/>
      <c r="H301" s="653"/>
      <c r="I301" s="1749" t="s">
        <v>2990</v>
      </c>
      <c r="J301" s="715" t="s">
        <v>2987</v>
      </c>
      <c r="K301" s="716">
        <v>5.0900000000000001E-4</v>
      </c>
      <c r="L301" s="716">
        <v>2.5700000000000001E-4</v>
      </c>
      <c r="M301" s="655"/>
      <c r="N301" s="653"/>
      <c r="O301" s="653"/>
      <c r="P301" s="653"/>
      <c r="Q301" s="653"/>
      <c r="R301" s="653"/>
      <c r="S301" s="653"/>
      <c r="T301" s="653"/>
      <c r="U301" s="653"/>
    </row>
    <row r="302" spans="1:21" ht="15.75" customHeight="1">
      <c r="A302" s="690"/>
      <c r="B302" s="683"/>
      <c r="C302" s="670"/>
      <c r="D302" s="671"/>
      <c r="E302" s="676"/>
      <c r="H302" s="653"/>
      <c r="I302" s="1749" t="s">
        <v>5475</v>
      </c>
      <c r="J302" s="715" t="s">
        <v>2987</v>
      </c>
      <c r="K302" s="716">
        <v>5.0900000000000001E-4</v>
      </c>
      <c r="L302" s="716">
        <v>3.01E-4</v>
      </c>
      <c r="M302" s="655"/>
      <c r="N302" s="653"/>
      <c r="O302" s="653"/>
      <c r="P302" s="653"/>
      <c r="Q302" s="653"/>
      <c r="R302" s="653"/>
      <c r="S302" s="653"/>
      <c r="T302" s="653"/>
      <c r="U302" s="653"/>
    </row>
    <row r="303" spans="1:21" ht="15.75" customHeight="1">
      <c r="A303" s="673"/>
      <c r="B303" s="674"/>
      <c r="C303" s="675"/>
      <c r="D303" s="671"/>
      <c r="E303" s="676"/>
      <c r="H303" s="653"/>
      <c r="I303" s="1749" t="s">
        <v>5476</v>
      </c>
      <c r="J303" s="715" t="s">
        <v>2987</v>
      </c>
      <c r="K303" s="716">
        <v>5.0900000000000001E-4</v>
      </c>
      <c r="L303" s="716">
        <v>3.7800000000000003E-4</v>
      </c>
      <c r="M303" s="655"/>
      <c r="N303" s="653"/>
      <c r="O303" s="653"/>
      <c r="P303" s="653"/>
      <c r="Q303" s="653"/>
      <c r="R303" s="653"/>
      <c r="S303" s="653"/>
      <c r="T303" s="653"/>
      <c r="U303" s="653"/>
    </row>
    <row r="304" spans="1:21" ht="17.25" customHeight="1">
      <c r="A304" s="677"/>
      <c r="B304" s="678"/>
      <c r="C304" s="681"/>
      <c r="D304" s="680"/>
      <c r="E304" s="676"/>
      <c r="H304" s="653"/>
      <c r="I304" s="1749" t="s">
        <v>5477</v>
      </c>
      <c r="J304" s="715" t="s">
        <v>2987</v>
      </c>
      <c r="K304" s="716">
        <v>5.0900000000000001E-4</v>
      </c>
      <c r="L304" s="716">
        <v>0</v>
      </c>
      <c r="M304" s="655"/>
      <c r="N304" s="653"/>
      <c r="O304" s="653"/>
      <c r="P304" s="653"/>
      <c r="Q304" s="653"/>
      <c r="R304" s="653"/>
      <c r="S304" s="653"/>
      <c r="T304" s="653"/>
      <c r="U304" s="653"/>
    </row>
    <row r="305" spans="1:21" ht="15.75" customHeight="1">
      <c r="A305" s="690"/>
      <c r="B305" s="683"/>
      <c r="C305" s="670"/>
      <c r="D305" s="671"/>
      <c r="E305" s="676"/>
      <c r="H305" s="653"/>
      <c r="I305" s="1749" t="s">
        <v>5478</v>
      </c>
      <c r="J305" s="715" t="s">
        <v>2987</v>
      </c>
      <c r="K305" s="716">
        <v>5.0900000000000001E-4</v>
      </c>
      <c r="L305" s="716">
        <v>0</v>
      </c>
      <c r="M305" s="655"/>
      <c r="N305" s="653"/>
      <c r="O305" s="653"/>
      <c r="P305" s="653"/>
      <c r="Q305" s="653"/>
      <c r="R305" s="653"/>
      <c r="S305" s="653"/>
      <c r="T305" s="653"/>
      <c r="U305" s="653"/>
    </row>
    <row r="306" spans="1:21" ht="15.75" customHeight="1">
      <c r="A306" s="673"/>
      <c r="B306" s="674"/>
      <c r="C306" s="675"/>
      <c r="D306" s="671"/>
      <c r="E306" s="676"/>
      <c r="H306" s="653"/>
      <c r="I306" s="1749" t="s">
        <v>5479</v>
      </c>
      <c r="J306" s="715" t="s">
        <v>2987</v>
      </c>
      <c r="K306" s="716">
        <v>5.0900000000000001E-4</v>
      </c>
      <c r="L306" s="716">
        <v>6.0800000000000003E-4</v>
      </c>
      <c r="M306" s="655"/>
      <c r="N306" s="653"/>
      <c r="O306" s="653"/>
      <c r="P306" s="653"/>
      <c r="Q306" s="653"/>
      <c r="R306" s="653"/>
      <c r="S306" s="653"/>
      <c r="T306" s="653"/>
      <c r="U306" s="653"/>
    </row>
    <row r="307" spans="1:21" ht="15.75" customHeight="1">
      <c r="A307" s="673"/>
      <c r="B307" s="674"/>
      <c r="C307" s="675"/>
      <c r="D307" s="671"/>
      <c r="E307" s="676"/>
      <c r="H307" s="653"/>
      <c r="I307" s="1749" t="s">
        <v>2991</v>
      </c>
      <c r="J307" s="715" t="s">
        <v>2992</v>
      </c>
      <c r="K307" s="716">
        <v>4.8000000000000001E-4</v>
      </c>
      <c r="L307" s="716">
        <v>5.1699999999999999E-4</v>
      </c>
      <c r="M307" s="655"/>
      <c r="N307" s="653"/>
      <c r="O307" s="653"/>
      <c r="P307" s="653"/>
      <c r="Q307" s="653"/>
      <c r="R307" s="653"/>
      <c r="S307" s="653"/>
      <c r="T307" s="653"/>
      <c r="U307" s="653"/>
    </row>
    <row r="308" spans="1:21" ht="15.75" customHeight="1">
      <c r="A308" s="673"/>
      <c r="B308" s="674"/>
      <c r="C308" s="675"/>
      <c r="D308" s="671"/>
      <c r="E308" s="676"/>
      <c r="H308" s="653"/>
      <c r="I308" s="1749" t="s">
        <v>2993</v>
      </c>
      <c r="J308" s="715" t="s">
        <v>2994</v>
      </c>
      <c r="K308" s="716">
        <v>1.84E-4</v>
      </c>
      <c r="L308" s="716">
        <v>0</v>
      </c>
      <c r="M308" s="655"/>
      <c r="N308" s="653"/>
      <c r="O308" s="653"/>
      <c r="P308" s="653"/>
      <c r="Q308" s="653"/>
      <c r="R308" s="653"/>
      <c r="S308" s="653"/>
      <c r="T308" s="653"/>
      <c r="U308" s="653"/>
    </row>
    <row r="309" spans="1:21" ht="15.75" customHeight="1">
      <c r="A309" s="690"/>
      <c r="B309" s="683"/>
      <c r="C309" s="670"/>
      <c r="D309" s="671"/>
      <c r="E309" s="676"/>
      <c r="H309" s="653"/>
      <c r="I309" s="1749" t="s">
        <v>2995</v>
      </c>
      <c r="J309" s="715" t="s">
        <v>2994</v>
      </c>
      <c r="K309" s="716">
        <v>1.84E-4</v>
      </c>
      <c r="L309" s="716">
        <v>0</v>
      </c>
      <c r="M309" s="655"/>
      <c r="N309" s="653"/>
      <c r="O309" s="653"/>
      <c r="P309" s="653"/>
      <c r="Q309" s="653"/>
      <c r="R309" s="653"/>
      <c r="S309" s="653"/>
      <c r="T309" s="653"/>
      <c r="U309" s="653"/>
    </row>
    <row r="310" spans="1:21" ht="15.75" customHeight="1">
      <c r="A310" s="673"/>
      <c r="B310" s="674"/>
      <c r="C310" s="675"/>
      <c r="D310" s="671"/>
      <c r="E310" s="676"/>
      <c r="H310" s="653"/>
      <c r="I310" s="1749" t="s">
        <v>3802</v>
      </c>
      <c r="J310" s="715" t="s">
        <v>2994</v>
      </c>
      <c r="K310" s="716">
        <v>1.84E-4</v>
      </c>
      <c r="L310" s="716">
        <v>2.1100000000000001E-4</v>
      </c>
      <c r="M310" s="655"/>
      <c r="N310" s="653"/>
      <c r="O310" s="653"/>
      <c r="P310" s="653"/>
      <c r="Q310" s="653"/>
      <c r="R310" s="653"/>
      <c r="S310" s="653"/>
      <c r="T310" s="653"/>
      <c r="U310" s="653"/>
    </row>
    <row r="311" spans="1:21" ht="15.75" customHeight="1">
      <c r="A311" s="691"/>
      <c r="B311" s="685"/>
      <c r="C311" s="686"/>
      <c r="D311" s="671"/>
      <c r="E311" s="676"/>
      <c r="H311" s="653"/>
      <c r="I311" s="1749" t="s">
        <v>2996</v>
      </c>
      <c r="J311" s="715" t="s">
        <v>2997</v>
      </c>
      <c r="K311" s="716">
        <v>4.37E-4</v>
      </c>
      <c r="L311" s="716">
        <v>0</v>
      </c>
      <c r="M311" s="655"/>
      <c r="N311" s="653"/>
      <c r="O311" s="653"/>
      <c r="P311" s="653"/>
      <c r="Q311" s="653"/>
      <c r="R311" s="653"/>
      <c r="S311" s="653"/>
      <c r="T311" s="653"/>
      <c r="U311" s="653"/>
    </row>
    <row r="312" spans="1:21" ht="15.75" customHeight="1">
      <c r="A312" s="687"/>
      <c r="B312" s="688"/>
      <c r="C312" s="689"/>
      <c r="D312" s="671"/>
      <c r="E312" s="676"/>
      <c r="H312" s="653"/>
      <c r="I312" s="1749" t="s">
        <v>3803</v>
      </c>
      <c r="J312" s="715" t="s">
        <v>2997</v>
      </c>
      <c r="K312" s="716">
        <v>4.37E-4</v>
      </c>
      <c r="L312" s="716">
        <v>4.5399999999999998E-4</v>
      </c>
      <c r="M312" s="655"/>
      <c r="N312" s="653"/>
      <c r="O312" s="653"/>
      <c r="P312" s="653"/>
      <c r="Q312" s="653"/>
      <c r="R312" s="653"/>
      <c r="S312" s="653"/>
      <c r="T312" s="653"/>
      <c r="U312" s="653"/>
    </row>
    <row r="313" spans="1:21" ht="15.75" customHeight="1">
      <c r="A313" s="687"/>
      <c r="B313" s="688"/>
      <c r="C313" s="689"/>
      <c r="D313" s="671"/>
      <c r="E313" s="676"/>
      <c r="H313" s="653"/>
      <c r="I313" s="1749" t="s">
        <v>2998</v>
      </c>
      <c r="J313" s="715" t="s">
        <v>3804</v>
      </c>
      <c r="K313" s="716">
        <v>3.8099999999999999E-4</v>
      </c>
      <c r="L313" s="716">
        <v>0</v>
      </c>
      <c r="M313" s="655"/>
      <c r="N313" s="653"/>
      <c r="O313" s="653"/>
      <c r="P313" s="653"/>
      <c r="Q313" s="653"/>
      <c r="R313" s="653"/>
      <c r="S313" s="653"/>
      <c r="T313" s="653"/>
      <c r="U313" s="653"/>
    </row>
    <row r="314" spans="1:21" ht="17.25" customHeight="1">
      <c r="A314" s="677"/>
      <c r="B314" s="678"/>
      <c r="C314" s="681"/>
      <c r="D314" s="680"/>
      <c r="E314" s="676"/>
      <c r="H314" s="653"/>
      <c r="I314" s="1749" t="s">
        <v>5480</v>
      </c>
      <c r="J314" s="715" t="s">
        <v>3804</v>
      </c>
      <c r="K314" s="716">
        <v>3.8099999999999999E-4</v>
      </c>
      <c r="L314" s="716">
        <v>0</v>
      </c>
      <c r="M314" s="655"/>
      <c r="N314" s="653"/>
      <c r="O314" s="653"/>
      <c r="P314" s="653"/>
      <c r="Q314" s="653"/>
      <c r="R314" s="653"/>
      <c r="S314" s="653"/>
      <c r="T314" s="653"/>
      <c r="U314" s="653"/>
    </row>
    <row r="315" spans="1:21" ht="17.25" customHeight="1">
      <c r="A315" s="677"/>
      <c r="B315" s="678"/>
      <c r="C315" s="681"/>
      <c r="D315" s="680"/>
      <c r="E315" s="676"/>
      <c r="H315" s="653"/>
      <c r="I315" s="1749" t="s">
        <v>5481</v>
      </c>
      <c r="J315" s="715" t="s">
        <v>3804</v>
      </c>
      <c r="K315" s="716">
        <v>3.8099999999999999E-4</v>
      </c>
      <c r="L315" s="716">
        <v>6.4700000000000001E-4</v>
      </c>
      <c r="M315" s="655"/>
      <c r="N315" s="653"/>
      <c r="O315" s="653"/>
      <c r="P315" s="653"/>
      <c r="Q315" s="653"/>
      <c r="R315" s="653"/>
      <c r="S315" s="653"/>
      <c r="T315" s="653"/>
      <c r="U315" s="653"/>
    </row>
    <row r="316" spans="1:21" ht="17.25" customHeight="1">
      <c r="A316" s="677"/>
      <c r="B316" s="678"/>
      <c r="C316" s="681"/>
      <c r="D316" s="680"/>
      <c r="E316" s="676"/>
      <c r="H316" s="653"/>
      <c r="I316" s="1749" t="s">
        <v>2999</v>
      </c>
      <c r="J316" s="715" t="s">
        <v>3000</v>
      </c>
      <c r="K316" s="716">
        <v>4.37E-4</v>
      </c>
      <c r="L316" s="716">
        <v>4.3800000000000002E-4</v>
      </c>
      <c r="M316" s="655"/>
      <c r="N316" s="653"/>
      <c r="O316" s="653"/>
      <c r="P316" s="653"/>
      <c r="Q316" s="653"/>
      <c r="R316" s="653"/>
      <c r="S316" s="653"/>
      <c r="T316" s="653"/>
      <c r="U316" s="653"/>
    </row>
    <row r="317" spans="1:21">
      <c r="A317" s="677"/>
      <c r="B317" s="678"/>
      <c r="C317" s="681"/>
      <c r="D317" s="682"/>
      <c r="E317" s="676"/>
      <c r="H317" s="653"/>
      <c r="I317" s="1749" t="s">
        <v>3001</v>
      </c>
      <c r="J317" s="715" t="s">
        <v>3002</v>
      </c>
      <c r="K317" s="716">
        <v>5.2599999999999999E-4</v>
      </c>
      <c r="L317" s="716">
        <v>0</v>
      </c>
      <c r="M317" s="655"/>
      <c r="N317" s="653"/>
      <c r="O317" s="653"/>
      <c r="P317" s="653"/>
      <c r="Q317" s="653"/>
      <c r="R317" s="653"/>
      <c r="S317" s="653"/>
      <c r="T317" s="653"/>
      <c r="U317" s="653"/>
    </row>
    <row r="318" spans="1:21" ht="17.25" customHeight="1">
      <c r="A318" s="677"/>
      <c r="B318" s="678"/>
      <c r="C318" s="681"/>
      <c r="D318" s="680"/>
      <c r="E318" s="676"/>
      <c r="H318" s="653"/>
      <c r="I318" s="1749" t="s">
        <v>3805</v>
      </c>
      <c r="J318" s="715" t="s">
        <v>3002</v>
      </c>
      <c r="K318" s="716">
        <v>5.2599999999999999E-4</v>
      </c>
      <c r="L318" s="716">
        <v>5.5900000000000004E-4</v>
      </c>
      <c r="M318" s="655"/>
      <c r="N318" s="653"/>
      <c r="O318" s="653"/>
      <c r="P318" s="653"/>
      <c r="Q318" s="653"/>
      <c r="R318" s="653"/>
      <c r="S318" s="653"/>
      <c r="T318" s="653"/>
      <c r="U318" s="653"/>
    </row>
    <row r="319" spans="1:21" ht="15.75" customHeight="1">
      <c r="A319" s="690"/>
      <c r="B319" s="683"/>
      <c r="C319" s="670"/>
      <c r="D319" s="671"/>
      <c r="E319" s="676"/>
      <c r="H319" s="653"/>
      <c r="I319" s="1749" t="s">
        <v>3003</v>
      </c>
      <c r="J319" s="715" t="s">
        <v>3004</v>
      </c>
      <c r="K319" s="716">
        <v>4.6799999999999999E-4</v>
      </c>
      <c r="L319" s="716">
        <v>0</v>
      </c>
      <c r="M319" s="655"/>
      <c r="N319" s="653"/>
      <c r="O319" s="653"/>
      <c r="P319" s="653"/>
      <c r="Q319" s="653"/>
      <c r="R319" s="653"/>
      <c r="S319" s="653"/>
      <c r="T319" s="653"/>
      <c r="U319" s="653"/>
    </row>
    <row r="320" spans="1:21" ht="15.75" customHeight="1">
      <c r="A320" s="673"/>
      <c r="B320" s="674"/>
      <c r="C320" s="675"/>
      <c r="D320" s="671"/>
      <c r="E320" s="676"/>
      <c r="H320" s="653"/>
      <c r="I320" s="1749" t="s">
        <v>3005</v>
      </c>
      <c r="J320" s="715" t="s">
        <v>3004</v>
      </c>
      <c r="K320" s="716">
        <v>4.6799999999999999E-4</v>
      </c>
      <c r="L320" s="716">
        <v>0</v>
      </c>
      <c r="M320" s="655"/>
      <c r="N320" s="653"/>
      <c r="O320" s="653"/>
      <c r="P320" s="653"/>
      <c r="Q320" s="653"/>
      <c r="R320" s="653"/>
      <c r="S320" s="653"/>
      <c r="T320" s="653"/>
      <c r="U320" s="653"/>
    </row>
    <row r="321" spans="1:21" ht="17.25" customHeight="1">
      <c r="A321" s="677"/>
      <c r="B321" s="678"/>
      <c r="C321" s="681"/>
      <c r="D321" s="680"/>
      <c r="E321" s="676"/>
      <c r="H321" s="653"/>
      <c r="I321" s="1749" t="s">
        <v>5482</v>
      </c>
      <c r="J321" s="715" t="s">
        <v>3004</v>
      </c>
      <c r="K321" s="716">
        <v>4.6799999999999999E-4</v>
      </c>
      <c r="L321" s="716">
        <v>4.3600000000000003E-4</v>
      </c>
      <c r="M321" s="655"/>
      <c r="N321" s="653"/>
      <c r="O321" s="653"/>
      <c r="P321" s="653"/>
      <c r="Q321" s="653"/>
      <c r="R321" s="653"/>
      <c r="S321" s="653"/>
      <c r="T321" s="653"/>
      <c r="U321" s="653"/>
    </row>
    <row r="322" spans="1:21" ht="17.25" customHeight="1">
      <c r="A322" s="677"/>
      <c r="B322" s="678"/>
      <c r="C322" s="681"/>
      <c r="D322" s="680"/>
      <c r="E322" s="676"/>
      <c r="H322" s="653"/>
      <c r="I322" s="1749" t="s">
        <v>3806</v>
      </c>
      <c r="J322" s="715" t="s">
        <v>3006</v>
      </c>
      <c r="K322" s="716">
        <v>1.7000000000000001E-4</v>
      </c>
      <c r="L322" s="716">
        <v>0</v>
      </c>
      <c r="M322" s="655"/>
      <c r="N322" s="653"/>
      <c r="O322" s="653"/>
      <c r="P322" s="653"/>
      <c r="Q322" s="653"/>
      <c r="R322" s="653"/>
      <c r="S322" s="653"/>
      <c r="T322" s="653"/>
      <c r="U322" s="653"/>
    </row>
    <row r="323" spans="1:21" ht="15.75" customHeight="1">
      <c r="A323" s="690"/>
      <c r="B323" s="683"/>
      <c r="C323" s="670"/>
      <c r="D323" s="671"/>
      <c r="E323" s="676"/>
      <c r="H323" s="653"/>
      <c r="I323" s="1749" t="s">
        <v>3807</v>
      </c>
      <c r="J323" s="715" t="s">
        <v>3006</v>
      </c>
      <c r="K323" s="716">
        <v>1.7000000000000001E-4</v>
      </c>
      <c r="L323" s="716">
        <v>2.0599999999999999E-4</v>
      </c>
      <c r="M323" s="655"/>
      <c r="N323" s="653"/>
      <c r="O323" s="653"/>
      <c r="P323" s="653"/>
      <c r="Q323" s="653"/>
      <c r="R323" s="653"/>
      <c r="S323" s="653"/>
      <c r="T323" s="653"/>
      <c r="U323" s="653"/>
    </row>
    <row r="324" spans="1:21" ht="15.75" customHeight="1">
      <c r="A324" s="673"/>
      <c r="B324" s="674"/>
      <c r="C324" s="675"/>
      <c r="D324" s="671"/>
      <c r="E324" s="676"/>
      <c r="H324" s="653"/>
      <c r="I324" s="1749" t="s">
        <v>3007</v>
      </c>
      <c r="J324" s="715" t="s">
        <v>3008</v>
      </c>
      <c r="K324" s="716">
        <v>4.5300000000000001E-4</v>
      </c>
      <c r="L324" s="716">
        <v>0</v>
      </c>
      <c r="M324" s="655"/>
      <c r="N324" s="653"/>
      <c r="O324" s="653"/>
      <c r="P324" s="653"/>
      <c r="Q324" s="653"/>
      <c r="R324" s="653"/>
      <c r="S324" s="653"/>
      <c r="T324" s="653"/>
      <c r="U324" s="653"/>
    </row>
    <row r="325" spans="1:21" ht="17.25" customHeight="1">
      <c r="A325" s="677"/>
      <c r="B325" s="678"/>
      <c r="C325" s="681"/>
      <c r="D325" s="680"/>
      <c r="E325" s="676"/>
      <c r="H325" s="653"/>
      <c r="I325" s="1749" t="s">
        <v>3808</v>
      </c>
      <c r="J325" s="715" t="s">
        <v>3008</v>
      </c>
      <c r="K325" s="716">
        <v>4.5300000000000001E-4</v>
      </c>
      <c r="L325" s="716">
        <v>4.5600000000000003E-4</v>
      </c>
      <c r="M325" s="655"/>
      <c r="N325" s="653"/>
      <c r="O325" s="653"/>
      <c r="P325" s="653"/>
      <c r="Q325" s="653"/>
      <c r="R325" s="653"/>
      <c r="S325" s="653"/>
      <c r="T325" s="653"/>
      <c r="U325" s="653"/>
    </row>
    <row r="326" spans="1:21" ht="17.25" customHeight="1">
      <c r="A326" s="677"/>
      <c r="B326" s="678"/>
      <c r="C326" s="681"/>
      <c r="D326" s="680"/>
      <c r="E326" s="676"/>
      <c r="H326" s="653"/>
      <c r="I326" s="1749" t="s">
        <v>3009</v>
      </c>
      <c r="J326" s="715" t="s">
        <v>3809</v>
      </c>
      <c r="K326" s="716">
        <v>5.2400000000000005E-4</v>
      </c>
      <c r="L326" s="716">
        <v>0</v>
      </c>
      <c r="M326" s="655"/>
      <c r="N326" s="653"/>
      <c r="O326" s="653"/>
      <c r="P326" s="653"/>
      <c r="Q326" s="653"/>
      <c r="R326" s="653"/>
      <c r="S326" s="653"/>
      <c r="T326" s="653"/>
      <c r="U326" s="653"/>
    </row>
    <row r="327" spans="1:21">
      <c r="A327" s="677"/>
      <c r="B327" s="678"/>
      <c r="C327" s="681"/>
      <c r="D327" s="682"/>
      <c r="E327" s="676"/>
      <c r="H327" s="653"/>
      <c r="I327" s="1749" t="s">
        <v>3810</v>
      </c>
      <c r="J327" s="715" t="s">
        <v>3809</v>
      </c>
      <c r="K327" s="716">
        <v>5.2400000000000005E-4</v>
      </c>
      <c r="L327" s="716">
        <v>0</v>
      </c>
      <c r="M327" s="655"/>
      <c r="N327" s="653"/>
      <c r="O327" s="653"/>
      <c r="P327" s="653"/>
      <c r="Q327" s="653"/>
      <c r="R327" s="653"/>
      <c r="S327" s="653"/>
      <c r="T327" s="653"/>
      <c r="U327" s="653"/>
    </row>
    <row r="328" spans="1:21" ht="17.25" customHeight="1">
      <c r="A328" s="677"/>
      <c r="B328" s="678"/>
      <c r="C328" s="681"/>
      <c r="D328" s="680"/>
      <c r="E328" s="676"/>
      <c r="H328" s="653"/>
      <c r="I328" s="1749" t="s">
        <v>3811</v>
      </c>
      <c r="J328" s="715" t="s">
        <v>3809</v>
      </c>
      <c r="K328" s="716">
        <v>5.2400000000000005E-4</v>
      </c>
      <c r="L328" s="716">
        <v>0</v>
      </c>
      <c r="M328" s="655"/>
      <c r="N328" s="653"/>
      <c r="O328" s="653"/>
      <c r="P328" s="653"/>
      <c r="Q328" s="653"/>
      <c r="R328" s="653"/>
      <c r="S328" s="653"/>
      <c r="T328" s="653"/>
      <c r="U328" s="653"/>
    </row>
    <row r="329" spans="1:21" ht="15.75" customHeight="1">
      <c r="A329" s="690"/>
      <c r="B329" s="683"/>
      <c r="C329" s="670"/>
      <c r="D329" s="671"/>
      <c r="E329" s="676"/>
      <c r="H329" s="653"/>
      <c r="I329" s="1749" t="s">
        <v>3812</v>
      </c>
      <c r="J329" s="715" t="s">
        <v>3809</v>
      </c>
      <c r="K329" s="716">
        <v>5.2400000000000005E-4</v>
      </c>
      <c r="L329" s="716">
        <v>0</v>
      </c>
      <c r="M329" s="655"/>
      <c r="N329" s="653"/>
      <c r="O329" s="653"/>
      <c r="P329" s="653"/>
      <c r="Q329" s="653"/>
      <c r="R329" s="653"/>
      <c r="S329" s="653"/>
      <c r="T329" s="653"/>
      <c r="U329" s="653"/>
    </row>
    <row r="330" spans="1:21" ht="15.75" customHeight="1">
      <c r="A330" s="673"/>
      <c r="B330" s="674"/>
      <c r="C330" s="675"/>
      <c r="D330" s="671"/>
      <c r="E330" s="676"/>
      <c r="H330" s="653"/>
      <c r="I330" s="1749" t="s">
        <v>3813</v>
      </c>
      <c r="J330" s="715" t="s">
        <v>3809</v>
      </c>
      <c r="K330" s="716">
        <v>5.2400000000000005E-4</v>
      </c>
      <c r="L330" s="716">
        <v>5.7700000000000004E-4</v>
      </c>
      <c r="M330" s="655"/>
      <c r="N330" s="653"/>
      <c r="O330" s="653"/>
      <c r="P330" s="653"/>
      <c r="Q330" s="653"/>
      <c r="R330" s="653"/>
      <c r="S330" s="653"/>
      <c r="T330" s="653"/>
      <c r="U330" s="653"/>
    </row>
    <row r="331" spans="1:21" ht="17.25" customHeight="1">
      <c r="A331" s="677"/>
      <c r="B331" s="678"/>
      <c r="C331" s="681"/>
      <c r="D331" s="680"/>
      <c r="E331" s="676"/>
      <c r="H331" s="653"/>
      <c r="I331" s="1749" t="s">
        <v>3010</v>
      </c>
      <c r="J331" s="715" t="s">
        <v>3011</v>
      </c>
      <c r="K331" s="716">
        <v>4.5399999999999998E-4</v>
      </c>
      <c r="L331" s="716">
        <v>4.57E-4</v>
      </c>
      <c r="M331" s="655"/>
      <c r="N331" s="653"/>
      <c r="O331" s="653"/>
      <c r="P331" s="653"/>
      <c r="Q331" s="653"/>
      <c r="R331" s="653"/>
      <c r="S331" s="653"/>
      <c r="T331" s="653"/>
      <c r="U331" s="653"/>
    </row>
    <row r="332" spans="1:21" ht="17.25" customHeight="1">
      <c r="A332" s="677"/>
      <c r="B332" s="678"/>
      <c r="C332" s="681"/>
      <c r="D332" s="680"/>
      <c r="E332" s="676"/>
      <c r="H332" s="653"/>
      <c r="I332" s="1749" t="s">
        <v>3012</v>
      </c>
      <c r="J332" s="715" t="s">
        <v>3013</v>
      </c>
      <c r="K332" s="716">
        <v>5.0199999999999995E-4</v>
      </c>
      <c r="L332" s="716">
        <v>0</v>
      </c>
      <c r="M332" s="655"/>
      <c r="N332" s="653"/>
      <c r="O332" s="653"/>
      <c r="P332" s="653"/>
      <c r="Q332" s="653"/>
      <c r="R332" s="653"/>
      <c r="S332" s="653"/>
      <c r="T332" s="653"/>
      <c r="U332" s="653"/>
    </row>
    <row r="333" spans="1:21" ht="17.25" customHeight="1">
      <c r="A333" s="677"/>
      <c r="B333" s="678"/>
      <c r="C333" s="681"/>
      <c r="D333" s="680"/>
      <c r="E333" s="676"/>
      <c r="H333" s="653"/>
      <c r="I333" s="1749" t="s">
        <v>3014</v>
      </c>
      <c r="J333" s="715" t="s">
        <v>3013</v>
      </c>
      <c r="K333" s="716">
        <v>5.0199999999999995E-4</v>
      </c>
      <c r="L333" s="716">
        <v>5.1500000000000005E-4</v>
      </c>
      <c r="M333" s="655"/>
      <c r="N333" s="653"/>
      <c r="O333" s="653"/>
      <c r="P333" s="653"/>
      <c r="Q333" s="653"/>
      <c r="R333" s="653"/>
      <c r="S333" s="653"/>
      <c r="T333" s="653"/>
      <c r="U333" s="653"/>
    </row>
    <row r="334" spans="1:21" ht="17.25" customHeight="1">
      <c r="A334" s="677"/>
      <c r="B334" s="678"/>
      <c r="C334" s="681"/>
      <c r="D334" s="680"/>
      <c r="E334" s="676"/>
      <c r="H334" s="653"/>
      <c r="I334" s="1749" t="s">
        <v>5483</v>
      </c>
      <c r="J334" s="715" t="s">
        <v>3015</v>
      </c>
      <c r="K334" s="716">
        <v>4.2200000000000001E-4</v>
      </c>
      <c r="L334" s="716">
        <v>0</v>
      </c>
      <c r="M334" s="655"/>
      <c r="N334" s="653"/>
      <c r="O334" s="653"/>
      <c r="P334" s="653"/>
      <c r="Q334" s="653"/>
      <c r="R334" s="653"/>
      <c r="S334" s="653"/>
      <c r="T334" s="653"/>
      <c r="U334" s="653"/>
    </row>
    <row r="335" spans="1:21" ht="17.25" customHeight="1">
      <c r="A335" s="677"/>
      <c r="B335" s="678"/>
      <c r="C335" s="681"/>
      <c r="D335" s="680"/>
      <c r="E335" s="676"/>
      <c r="H335" s="653"/>
      <c r="I335" s="1749" t="s">
        <v>5484</v>
      </c>
      <c r="J335" s="715" t="s">
        <v>3015</v>
      </c>
      <c r="K335" s="716">
        <v>4.2200000000000001E-4</v>
      </c>
      <c r="L335" s="716">
        <v>4.6799999999999999E-4</v>
      </c>
      <c r="M335" s="655"/>
      <c r="N335" s="653"/>
      <c r="O335" s="653"/>
      <c r="P335" s="653"/>
      <c r="Q335" s="653"/>
      <c r="R335" s="653"/>
      <c r="S335" s="653"/>
      <c r="T335" s="653"/>
      <c r="U335" s="653"/>
    </row>
    <row r="336" spans="1:21" ht="17.25" customHeight="1">
      <c r="A336" s="677"/>
      <c r="B336" s="678"/>
      <c r="C336" s="681"/>
      <c r="D336" s="680"/>
      <c r="E336" s="676"/>
      <c r="H336" s="653"/>
      <c r="I336" s="1749" t="s">
        <v>5485</v>
      </c>
      <c r="J336" s="715" t="s">
        <v>3016</v>
      </c>
      <c r="K336" s="716">
        <v>4.2299999999999998E-4</v>
      </c>
      <c r="L336" s="716">
        <v>0</v>
      </c>
      <c r="M336" s="655"/>
      <c r="N336" s="653"/>
      <c r="O336" s="653"/>
      <c r="P336" s="653"/>
      <c r="Q336" s="653"/>
      <c r="R336" s="653"/>
      <c r="S336" s="653"/>
      <c r="T336" s="653"/>
      <c r="U336" s="653"/>
    </row>
    <row r="337" spans="1:21" ht="17.25" customHeight="1">
      <c r="A337" s="677"/>
      <c r="B337" s="678"/>
      <c r="C337" s="681"/>
      <c r="D337" s="680"/>
      <c r="E337" s="676"/>
      <c r="H337" s="653"/>
      <c r="I337" s="1749" t="s">
        <v>5486</v>
      </c>
      <c r="J337" s="715" t="s">
        <v>3016</v>
      </c>
      <c r="K337" s="716">
        <v>4.2299999999999998E-4</v>
      </c>
      <c r="L337" s="716">
        <v>4.6999999999999999E-4</v>
      </c>
      <c r="M337" s="655"/>
      <c r="N337" s="653"/>
      <c r="O337" s="653"/>
      <c r="P337" s="653"/>
      <c r="Q337" s="653"/>
      <c r="R337" s="653"/>
      <c r="S337" s="653"/>
      <c r="T337" s="653"/>
      <c r="U337" s="653"/>
    </row>
    <row r="338" spans="1:21" ht="17.25" customHeight="1">
      <c r="A338" s="677"/>
      <c r="B338" s="678"/>
      <c r="C338" s="681"/>
      <c r="D338" s="680"/>
      <c r="E338" s="676"/>
      <c r="H338" s="653"/>
      <c r="I338" s="1749" t="s">
        <v>3017</v>
      </c>
      <c r="J338" s="715" t="s">
        <v>3018</v>
      </c>
      <c r="K338" s="716">
        <v>3.0299999999999999E-4</v>
      </c>
      <c r="L338" s="716">
        <v>0</v>
      </c>
      <c r="M338" s="655"/>
      <c r="N338" s="653"/>
      <c r="O338" s="653"/>
      <c r="P338" s="653"/>
      <c r="Q338" s="653"/>
      <c r="R338" s="653"/>
      <c r="S338" s="653"/>
      <c r="T338" s="653"/>
      <c r="U338" s="653"/>
    </row>
    <row r="339" spans="1:21" ht="17.25" customHeight="1">
      <c r="A339" s="677"/>
      <c r="B339" s="678"/>
      <c r="C339" s="681"/>
      <c r="D339" s="680"/>
      <c r="E339" s="676"/>
      <c r="H339" s="653"/>
      <c r="I339" s="1749" t="s">
        <v>3814</v>
      </c>
      <c r="J339" s="715" t="s">
        <v>3018</v>
      </c>
      <c r="K339" s="716">
        <v>3.0299999999999999E-4</v>
      </c>
      <c r="L339" s="716">
        <v>4.15E-4</v>
      </c>
      <c r="M339" s="655"/>
      <c r="N339" s="653"/>
      <c r="O339" s="653"/>
      <c r="P339" s="653"/>
      <c r="Q339" s="653"/>
      <c r="R339" s="653"/>
      <c r="S339" s="653"/>
      <c r="T339" s="653"/>
      <c r="U339" s="653"/>
    </row>
    <row r="340" spans="1:21" ht="17.25" customHeight="1">
      <c r="A340" s="677"/>
      <c r="B340" s="678"/>
      <c r="C340" s="681"/>
      <c r="D340" s="680"/>
      <c r="E340" s="676"/>
      <c r="H340" s="653"/>
      <c r="I340" s="1749" t="s">
        <v>3019</v>
      </c>
      <c r="J340" s="715" t="s">
        <v>3020</v>
      </c>
      <c r="K340" s="716">
        <v>4.6900000000000002E-4</v>
      </c>
      <c r="L340" s="716">
        <v>0</v>
      </c>
      <c r="M340" s="655"/>
      <c r="N340" s="653"/>
      <c r="O340" s="653"/>
      <c r="P340" s="653"/>
      <c r="Q340" s="653"/>
      <c r="R340" s="653"/>
      <c r="S340" s="653"/>
      <c r="T340" s="653"/>
      <c r="U340" s="653"/>
    </row>
    <row r="341" spans="1:21">
      <c r="A341" s="677"/>
      <c r="B341" s="678"/>
      <c r="C341" s="681"/>
      <c r="D341" s="682"/>
      <c r="E341" s="676"/>
      <c r="H341" s="653"/>
      <c r="I341" s="1749" t="s">
        <v>3815</v>
      </c>
      <c r="J341" s="715" t="s">
        <v>3020</v>
      </c>
      <c r="K341" s="716">
        <v>4.6900000000000002E-4</v>
      </c>
      <c r="L341" s="716">
        <v>4.2999999999999999E-4</v>
      </c>
      <c r="M341" s="655"/>
      <c r="N341" s="653"/>
      <c r="O341" s="653"/>
      <c r="P341" s="653"/>
      <c r="Q341" s="653"/>
      <c r="R341" s="653"/>
      <c r="S341" s="653"/>
      <c r="T341" s="653"/>
      <c r="U341" s="653"/>
    </row>
    <row r="342" spans="1:21" ht="15.75" customHeight="1">
      <c r="A342" s="690"/>
      <c r="B342" s="683"/>
      <c r="C342" s="670"/>
      <c r="D342" s="671"/>
      <c r="E342" s="676"/>
      <c r="H342" s="653"/>
      <c r="I342" s="1749" t="s">
        <v>5487</v>
      </c>
      <c r="J342" s="715" t="s">
        <v>3021</v>
      </c>
      <c r="K342" s="716">
        <v>4.44E-4</v>
      </c>
      <c r="L342" s="716">
        <v>0</v>
      </c>
      <c r="M342" s="655"/>
      <c r="N342" s="653"/>
      <c r="O342" s="653"/>
      <c r="P342" s="653"/>
      <c r="Q342" s="653"/>
      <c r="R342" s="653"/>
      <c r="S342" s="653"/>
      <c r="T342" s="653"/>
      <c r="U342" s="653"/>
    </row>
    <row r="343" spans="1:21" ht="15.75" customHeight="1">
      <c r="A343" s="673"/>
      <c r="B343" s="674"/>
      <c r="C343" s="675"/>
      <c r="D343" s="671"/>
      <c r="E343" s="676"/>
      <c r="H343" s="653"/>
      <c r="I343" s="1749" t="s">
        <v>5488</v>
      </c>
      <c r="J343" s="715" t="s">
        <v>3021</v>
      </c>
      <c r="K343" s="716">
        <v>4.44E-4</v>
      </c>
      <c r="L343" s="716">
        <v>4.0200000000000001E-4</v>
      </c>
      <c r="M343" s="655"/>
      <c r="N343" s="653"/>
      <c r="O343" s="653"/>
      <c r="P343" s="653"/>
      <c r="Q343" s="653"/>
      <c r="R343" s="653"/>
      <c r="S343" s="653"/>
      <c r="T343" s="653"/>
      <c r="U343" s="653"/>
    </row>
    <row r="344" spans="1:21" ht="17.25" customHeight="1">
      <c r="A344" s="677"/>
      <c r="B344" s="678"/>
      <c r="C344" s="681"/>
      <c r="D344" s="680"/>
      <c r="E344" s="676"/>
      <c r="H344" s="653"/>
      <c r="I344" s="1749" t="s">
        <v>3022</v>
      </c>
      <c r="J344" s="715" t="s">
        <v>3023</v>
      </c>
      <c r="K344" s="716">
        <v>3.7800000000000003E-4</v>
      </c>
      <c r="L344" s="716">
        <v>0</v>
      </c>
      <c r="M344" s="655"/>
      <c r="N344" s="653"/>
      <c r="O344" s="653"/>
      <c r="P344" s="653"/>
      <c r="Q344" s="653"/>
      <c r="R344" s="653"/>
      <c r="S344" s="653"/>
      <c r="T344" s="653"/>
      <c r="U344" s="653"/>
    </row>
    <row r="345" spans="1:21" ht="17.25" customHeight="1">
      <c r="A345" s="677"/>
      <c r="B345" s="678"/>
      <c r="C345" s="681"/>
      <c r="D345" s="680"/>
      <c r="E345" s="676"/>
      <c r="H345" s="653"/>
      <c r="I345" s="1749" t="s">
        <v>3024</v>
      </c>
      <c r="J345" s="715" t="s">
        <v>3023</v>
      </c>
      <c r="K345" s="716">
        <v>3.7800000000000003E-4</v>
      </c>
      <c r="L345" s="716">
        <v>3.7800000000000003E-4</v>
      </c>
      <c r="M345" s="655"/>
      <c r="N345" s="653"/>
      <c r="O345" s="653"/>
      <c r="P345" s="653"/>
      <c r="Q345" s="653"/>
      <c r="R345" s="653"/>
      <c r="S345" s="653"/>
      <c r="T345" s="653"/>
      <c r="U345" s="653"/>
    </row>
    <row r="346" spans="1:21" ht="15.75" customHeight="1">
      <c r="A346" s="691"/>
      <c r="B346" s="685"/>
      <c r="C346" s="686"/>
      <c r="D346" s="671"/>
      <c r="E346" s="676"/>
      <c r="H346" s="653"/>
      <c r="I346" s="1749" t="s">
        <v>3025</v>
      </c>
      <c r="J346" s="715" t="s">
        <v>3023</v>
      </c>
      <c r="K346" s="716">
        <v>3.7800000000000003E-4</v>
      </c>
      <c r="L346" s="716">
        <v>0</v>
      </c>
      <c r="M346" s="655"/>
      <c r="N346" s="653"/>
      <c r="O346" s="653"/>
      <c r="P346" s="653"/>
      <c r="Q346" s="653"/>
      <c r="R346" s="653"/>
      <c r="S346" s="653"/>
      <c r="T346" s="653"/>
      <c r="U346" s="653"/>
    </row>
    <row r="347" spans="1:21" ht="15.75" customHeight="1">
      <c r="A347" s="687"/>
      <c r="B347" s="688"/>
      <c r="C347" s="689"/>
      <c r="D347" s="671"/>
      <c r="E347" s="676"/>
      <c r="H347" s="653"/>
      <c r="I347" s="1749" t="s">
        <v>3026</v>
      </c>
      <c r="J347" s="715" t="s">
        <v>3023</v>
      </c>
      <c r="K347" s="716">
        <v>3.7800000000000003E-4</v>
      </c>
      <c r="L347" s="716">
        <v>0</v>
      </c>
      <c r="M347" s="655"/>
      <c r="N347" s="653"/>
      <c r="O347" s="653"/>
      <c r="P347" s="653"/>
      <c r="Q347" s="653"/>
      <c r="R347" s="653"/>
      <c r="S347" s="653"/>
      <c r="T347" s="653"/>
      <c r="U347" s="653"/>
    </row>
    <row r="348" spans="1:21" ht="15.75" customHeight="1">
      <c r="A348" s="687"/>
      <c r="B348" s="688"/>
      <c r="C348" s="689"/>
      <c r="D348" s="671"/>
      <c r="E348" s="676"/>
      <c r="H348" s="653"/>
      <c r="I348" s="1749" t="s">
        <v>3027</v>
      </c>
      <c r="J348" s="715" t="s">
        <v>3023</v>
      </c>
      <c r="K348" s="716">
        <v>3.7800000000000003E-4</v>
      </c>
      <c r="L348" s="716">
        <v>0</v>
      </c>
      <c r="M348" s="655"/>
      <c r="N348" s="653"/>
      <c r="O348" s="653"/>
      <c r="P348" s="653"/>
      <c r="Q348" s="653"/>
      <c r="R348" s="653"/>
      <c r="S348" s="653"/>
      <c r="T348" s="653"/>
      <c r="U348" s="653"/>
    </row>
    <row r="349" spans="1:21">
      <c r="A349" s="677"/>
      <c r="B349" s="678"/>
      <c r="C349" s="681"/>
      <c r="D349" s="682"/>
      <c r="E349" s="676"/>
      <c r="H349" s="653"/>
      <c r="I349" s="1749" t="s">
        <v>3028</v>
      </c>
      <c r="J349" s="715" t="s">
        <v>3023</v>
      </c>
      <c r="K349" s="716">
        <v>3.7800000000000003E-4</v>
      </c>
      <c r="L349" s="716">
        <v>0</v>
      </c>
      <c r="M349" s="655"/>
      <c r="N349" s="653"/>
      <c r="O349" s="653"/>
      <c r="P349" s="653"/>
      <c r="Q349" s="653"/>
      <c r="R349" s="653"/>
      <c r="S349" s="653"/>
      <c r="T349" s="653"/>
      <c r="U349" s="653"/>
    </row>
    <row r="350" spans="1:21" ht="17.25" customHeight="1">
      <c r="A350" s="677"/>
      <c r="B350" s="678"/>
      <c r="C350" s="681"/>
      <c r="D350" s="680"/>
      <c r="E350" s="676"/>
      <c r="H350" s="653"/>
      <c r="I350" s="1749" t="s">
        <v>3029</v>
      </c>
      <c r="J350" s="715" t="s">
        <v>3023</v>
      </c>
      <c r="K350" s="716">
        <v>3.7800000000000003E-4</v>
      </c>
      <c r="L350" s="716">
        <v>0</v>
      </c>
      <c r="M350" s="655"/>
      <c r="N350" s="653"/>
      <c r="O350" s="653"/>
      <c r="P350" s="653"/>
      <c r="Q350" s="653"/>
      <c r="R350" s="653"/>
      <c r="S350" s="653"/>
      <c r="T350" s="653"/>
      <c r="U350" s="653"/>
    </row>
    <row r="351" spans="1:21" ht="15.75" customHeight="1">
      <c r="A351" s="690"/>
      <c r="B351" s="683"/>
      <c r="C351" s="670"/>
      <c r="D351" s="671"/>
      <c r="E351" s="676"/>
      <c r="H351" s="653"/>
      <c r="I351" s="1749" t="s">
        <v>3030</v>
      </c>
      <c r="J351" s="715" t="s">
        <v>3023</v>
      </c>
      <c r="K351" s="716">
        <v>3.7800000000000003E-4</v>
      </c>
      <c r="L351" s="716">
        <v>1E-4</v>
      </c>
      <c r="M351" s="655"/>
      <c r="N351" s="653"/>
      <c r="O351" s="653"/>
      <c r="P351" s="653"/>
      <c r="Q351" s="653"/>
      <c r="R351" s="653"/>
      <c r="S351" s="653"/>
      <c r="T351" s="653"/>
      <c r="U351" s="653"/>
    </row>
    <row r="352" spans="1:21" ht="15.75" customHeight="1">
      <c r="A352" s="673"/>
      <c r="B352" s="674"/>
      <c r="C352" s="675"/>
      <c r="D352" s="671"/>
      <c r="E352" s="676"/>
      <c r="H352" s="653"/>
      <c r="I352" s="1749" t="s">
        <v>3816</v>
      </c>
      <c r="J352" s="715" t="s">
        <v>3023</v>
      </c>
      <c r="K352" s="716">
        <v>3.7800000000000003E-4</v>
      </c>
      <c r="L352" s="716">
        <v>2.9999999999999997E-4</v>
      </c>
      <c r="M352" s="655"/>
      <c r="N352" s="653"/>
      <c r="O352" s="653"/>
      <c r="P352" s="653"/>
      <c r="Q352" s="653"/>
      <c r="R352" s="653"/>
      <c r="S352" s="653"/>
      <c r="T352" s="653"/>
      <c r="U352" s="653"/>
    </row>
    <row r="353" spans="1:21" ht="15.75" customHeight="1">
      <c r="A353" s="673"/>
      <c r="B353" s="674"/>
      <c r="C353" s="675"/>
      <c r="D353" s="671"/>
      <c r="E353" s="676"/>
      <c r="H353" s="653"/>
      <c r="I353" s="1749" t="s">
        <v>3817</v>
      </c>
      <c r="J353" s="715" t="s">
        <v>3023</v>
      </c>
      <c r="K353" s="716">
        <v>3.7800000000000003E-4</v>
      </c>
      <c r="L353" s="716">
        <v>4.0000000000000002E-4</v>
      </c>
      <c r="M353" s="655"/>
      <c r="N353" s="653"/>
      <c r="O353" s="653"/>
      <c r="P353" s="653"/>
      <c r="Q353" s="653"/>
      <c r="R353" s="653"/>
      <c r="S353" s="653"/>
      <c r="T353" s="653"/>
      <c r="U353" s="653"/>
    </row>
    <row r="354" spans="1:21" ht="15.75" customHeight="1">
      <c r="A354" s="673"/>
      <c r="B354" s="674"/>
      <c r="C354" s="675"/>
      <c r="D354" s="671"/>
      <c r="E354" s="676"/>
      <c r="H354" s="653"/>
      <c r="I354" s="1749" t="s">
        <v>5489</v>
      </c>
      <c r="J354" s="715" t="s">
        <v>3023</v>
      </c>
      <c r="K354" s="716">
        <v>3.7800000000000003E-4</v>
      </c>
      <c r="L354" s="716">
        <v>5.8399999999999999E-4</v>
      </c>
      <c r="M354" s="655"/>
      <c r="N354" s="653"/>
      <c r="O354" s="653"/>
      <c r="P354" s="653"/>
      <c r="Q354" s="653"/>
      <c r="R354" s="653"/>
      <c r="S354" s="653"/>
      <c r="T354" s="653"/>
      <c r="U354" s="653"/>
    </row>
    <row r="355" spans="1:21" ht="15.75" customHeight="1">
      <c r="A355" s="673"/>
      <c r="B355" s="674"/>
      <c r="C355" s="675"/>
      <c r="D355" s="671"/>
      <c r="E355" s="676"/>
      <c r="H355" s="653"/>
      <c r="I355" s="1749" t="s">
        <v>3818</v>
      </c>
      <c r="J355" s="715" t="s">
        <v>3819</v>
      </c>
      <c r="K355" s="716">
        <v>4.5300000000000001E-4</v>
      </c>
      <c r="L355" s="716">
        <v>4.4999999999999999E-4</v>
      </c>
      <c r="M355" s="655"/>
      <c r="N355" s="653"/>
      <c r="O355" s="653"/>
      <c r="P355" s="653"/>
      <c r="Q355" s="653"/>
      <c r="R355" s="653"/>
      <c r="S355" s="653"/>
      <c r="T355" s="653"/>
      <c r="U355" s="653"/>
    </row>
    <row r="356" spans="1:21" ht="17.25" customHeight="1">
      <c r="A356" s="677"/>
      <c r="B356" s="678"/>
      <c r="C356" s="679"/>
      <c r="D356" s="680"/>
      <c r="E356" s="696"/>
      <c r="H356" s="653"/>
      <c r="I356" s="1749" t="s">
        <v>3820</v>
      </c>
      <c r="J356" s="715" t="s">
        <v>3031</v>
      </c>
      <c r="K356" s="716">
        <v>3.5300000000000002E-4</v>
      </c>
      <c r="L356" s="716">
        <v>0</v>
      </c>
      <c r="M356" s="655"/>
      <c r="N356" s="653"/>
      <c r="O356" s="653"/>
      <c r="P356" s="653"/>
      <c r="Q356" s="653"/>
      <c r="R356" s="653"/>
      <c r="S356" s="653"/>
      <c r="T356" s="653"/>
      <c r="U356" s="653"/>
    </row>
    <row r="357" spans="1:21" ht="15.75" customHeight="1">
      <c r="A357" s="690"/>
      <c r="B357" s="683"/>
      <c r="C357" s="670"/>
      <c r="D357" s="671"/>
      <c r="E357" s="676"/>
      <c r="H357" s="653"/>
      <c r="I357" s="1749" t="s">
        <v>3821</v>
      </c>
      <c r="J357" s="715" t="s">
        <v>3031</v>
      </c>
      <c r="K357" s="716">
        <v>3.5300000000000002E-4</v>
      </c>
      <c r="L357" s="716">
        <v>3.77E-4</v>
      </c>
      <c r="M357" s="655"/>
      <c r="N357" s="653"/>
      <c r="O357" s="653"/>
      <c r="P357" s="653"/>
      <c r="Q357" s="653"/>
      <c r="R357" s="653"/>
      <c r="S357" s="653"/>
      <c r="T357" s="653"/>
      <c r="U357" s="653"/>
    </row>
    <row r="358" spans="1:21" ht="15.75" customHeight="1">
      <c r="A358" s="673"/>
      <c r="B358" s="674"/>
      <c r="C358" s="675"/>
      <c r="D358" s="671"/>
      <c r="E358" s="676"/>
      <c r="H358" s="653"/>
      <c r="I358" s="1749" t="s">
        <v>3032</v>
      </c>
      <c r="J358" s="715" t="s">
        <v>3033</v>
      </c>
      <c r="K358" s="716">
        <v>4.4099999999999999E-4</v>
      </c>
      <c r="L358" s="716">
        <v>1.219E-3</v>
      </c>
      <c r="M358" s="655"/>
      <c r="N358" s="653"/>
      <c r="O358" s="653"/>
      <c r="P358" s="653"/>
      <c r="Q358" s="653"/>
      <c r="R358" s="653"/>
      <c r="S358" s="653"/>
      <c r="T358" s="653"/>
      <c r="U358" s="653"/>
    </row>
    <row r="359" spans="1:21" ht="17.25" customHeight="1">
      <c r="A359" s="677"/>
      <c r="B359" s="693"/>
      <c r="C359" s="681"/>
      <c r="D359" s="680"/>
      <c r="E359" s="676"/>
      <c r="H359" s="653"/>
      <c r="I359" s="1749" t="s">
        <v>3034</v>
      </c>
      <c r="J359" s="715" t="s">
        <v>3035</v>
      </c>
      <c r="K359" s="716">
        <v>1.2400000000000001E-4</v>
      </c>
      <c r="L359" s="716">
        <v>2.6600000000000001E-4</v>
      </c>
      <c r="M359" s="655"/>
      <c r="N359" s="653"/>
      <c r="O359" s="653"/>
      <c r="P359" s="653"/>
      <c r="Q359" s="653"/>
      <c r="R359" s="653"/>
      <c r="S359" s="653"/>
      <c r="T359" s="653"/>
      <c r="U359" s="653"/>
    </row>
    <row r="360" spans="1:21" ht="17.25" customHeight="1">
      <c r="A360" s="677"/>
      <c r="B360" s="678"/>
      <c r="C360" s="681"/>
      <c r="D360" s="680"/>
      <c r="E360" s="676"/>
      <c r="H360" s="653"/>
      <c r="I360" s="1749" t="s">
        <v>5490</v>
      </c>
      <c r="J360" s="715" t="s">
        <v>3035</v>
      </c>
      <c r="K360" s="716">
        <v>1.2400000000000001E-4</v>
      </c>
      <c r="L360" s="716">
        <v>0</v>
      </c>
      <c r="M360" s="655"/>
      <c r="N360" s="653"/>
      <c r="O360" s="653"/>
      <c r="P360" s="653"/>
      <c r="Q360" s="653"/>
      <c r="R360" s="653"/>
      <c r="S360" s="653"/>
      <c r="T360" s="653"/>
      <c r="U360" s="653"/>
    </row>
    <row r="361" spans="1:21" ht="17.25" customHeight="1">
      <c r="A361" s="677"/>
      <c r="B361" s="678"/>
      <c r="C361" s="681"/>
      <c r="D361" s="680"/>
      <c r="E361" s="676"/>
      <c r="H361" s="653"/>
      <c r="I361" s="1749" t="s">
        <v>5491</v>
      </c>
      <c r="J361" s="715" t="s">
        <v>3035</v>
      </c>
      <c r="K361" s="716">
        <v>1.2400000000000001E-4</v>
      </c>
      <c r="L361" s="716">
        <v>5.1199999999999998E-4</v>
      </c>
      <c r="M361" s="655"/>
      <c r="N361" s="653"/>
      <c r="O361" s="653"/>
      <c r="P361" s="653"/>
      <c r="Q361" s="653"/>
      <c r="R361" s="653"/>
      <c r="S361" s="653"/>
      <c r="T361" s="653"/>
      <c r="U361" s="653"/>
    </row>
    <row r="362" spans="1:21">
      <c r="A362" s="677"/>
      <c r="B362" s="678"/>
      <c r="C362" s="681"/>
      <c r="D362" s="682"/>
      <c r="E362" s="676"/>
      <c r="H362" s="653"/>
      <c r="I362" s="1749" t="s">
        <v>5492</v>
      </c>
      <c r="J362" s="715" t="s">
        <v>3036</v>
      </c>
      <c r="K362" s="716">
        <v>2.6800000000000001E-4</v>
      </c>
      <c r="L362" s="716">
        <v>3.7800000000000003E-4</v>
      </c>
      <c r="M362" s="655"/>
      <c r="N362" s="653"/>
      <c r="O362" s="653"/>
      <c r="P362" s="653"/>
      <c r="Q362" s="653"/>
      <c r="R362" s="653"/>
      <c r="S362" s="653"/>
      <c r="T362" s="653"/>
      <c r="U362" s="653"/>
    </row>
    <row r="363" spans="1:21" ht="17.25" customHeight="1">
      <c r="A363" s="677"/>
      <c r="B363" s="678"/>
      <c r="C363" s="681"/>
      <c r="D363" s="680"/>
      <c r="E363" s="676"/>
      <c r="H363" s="653"/>
      <c r="I363" s="1749" t="s">
        <v>5493</v>
      </c>
      <c r="J363" s="715" t="s">
        <v>3036</v>
      </c>
      <c r="K363" s="716">
        <v>2.6800000000000001E-4</v>
      </c>
      <c r="L363" s="716">
        <v>3.6200000000000002E-4</v>
      </c>
      <c r="M363" s="655"/>
      <c r="N363" s="653"/>
      <c r="O363" s="653"/>
      <c r="P363" s="653"/>
      <c r="Q363" s="653"/>
      <c r="R363" s="653"/>
      <c r="S363" s="653"/>
      <c r="T363" s="653"/>
      <c r="U363" s="653"/>
    </row>
    <row r="364" spans="1:21" ht="17.25" customHeight="1">
      <c r="A364" s="677"/>
      <c r="B364" s="678"/>
      <c r="C364" s="681"/>
      <c r="D364" s="680"/>
      <c r="E364" s="676"/>
      <c r="H364" s="653"/>
      <c r="I364" s="1749" t="s">
        <v>3037</v>
      </c>
      <c r="J364" s="715" t="s">
        <v>3038</v>
      </c>
      <c r="K364" s="716">
        <v>4.5399999999999998E-4</v>
      </c>
      <c r="L364" s="716">
        <v>4.57E-4</v>
      </c>
      <c r="M364" s="655"/>
      <c r="N364" s="653"/>
      <c r="O364" s="653"/>
      <c r="P364" s="653"/>
      <c r="Q364" s="653"/>
      <c r="R364" s="653"/>
      <c r="S364" s="653"/>
      <c r="T364" s="653"/>
      <c r="U364" s="653"/>
    </row>
    <row r="365" spans="1:21" ht="17.25" customHeight="1">
      <c r="A365" s="677"/>
      <c r="B365" s="678"/>
      <c r="C365" s="681"/>
      <c r="D365" s="680"/>
      <c r="E365" s="676"/>
      <c r="H365" s="653"/>
      <c r="I365" s="1749" t="s">
        <v>3039</v>
      </c>
      <c r="J365" s="715" t="s">
        <v>3040</v>
      </c>
      <c r="K365" s="716">
        <v>4.5399999999999998E-4</v>
      </c>
      <c r="L365" s="716">
        <v>4.57E-4</v>
      </c>
      <c r="M365" s="655"/>
      <c r="N365" s="653"/>
      <c r="O365" s="653"/>
      <c r="P365" s="653"/>
      <c r="Q365" s="653"/>
      <c r="R365" s="653"/>
      <c r="S365" s="653"/>
      <c r="T365" s="653"/>
      <c r="U365" s="653"/>
    </row>
    <row r="366" spans="1:21" ht="17.25" customHeight="1">
      <c r="A366" s="677"/>
      <c r="B366" s="678"/>
      <c r="C366" s="681"/>
      <c r="D366" s="680"/>
      <c r="E366" s="676"/>
      <c r="H366" s="653"/>
      <c r="I366" s="1749" t="s">
        <v>3822</v>
      </c>
      <c r="J366" s="715" t="s">
        <v>3041</v>
      </c>
      <c r="K366" s="716">
        <v>4.6000000000000001E-4</v>
      </c>
      <c r="L366" s="716">
        <v>0</v>
      </c>
      <c r="M366" s="655"/>
      <c r="N366" s="653"/>
      <c r="O366" s="653"/>
      <c r="P366" s="653"/>
      <c r="Q366" s="653"/>
      <c r="R366" s="653"/>
      <c r="S366" s="653"/>
      <c r="T366" s="653"/>
      <c r="U366" s="653"/>
    </row>
    <row r="367" spans="1:21" ht="15.75" customHeight="1">
      <c r="A367" s="690"/>
      <c r="B367" s="683"/>
      <c r="C367" s="670"/>
      <c r="D367" s="671"/>
      <c r="E367" s="676"/>
      <c r="H367" s="653"/>
      <c r="I367" s="1749" t="s">
        <v>3823</v>
      </c>
      <c r="J367" s="715" t="s">
        <v>3041</v>
      </c>
      <c r="K367" s="716">
        <v>4.6000000000000001E-4</v>
      </c>
      <c r="L367" s="716">
        <v>4.1599999999999997E-4</v>
      </c>
      <c r="M367" s="655"/>
      <c r="N367" s="653"/>
      <c r="O367" s="653"/>
      <c r="P367" s="653"/>
      <c r="Q367" s="653"/>
      <c r="R367" s="653"/>
      <c r="S367" s="653"/>
      <c r="T367" s="653"/>
      <c r="U367" s="653"/>
    </row>
    <row r="368" spans="1:21" ht="15.75" customHeight="1">
      <c r="A368" s="673"/>
      <c r="B368" s="674"/>
      <c r="C368" s="675"/>
      <c r="D368" s="671"/>
      <c r="E368" s="676"/>
      <c r="H368" s="653"/>
      <c r="I368" s="1749" t="s">
        <v>3824</v>
      </c>
      <c r="J368" s="715" t="s">
        <v>3042</v>
      </c>
      <c r="K368" s="716">
        <v>4.4999999999999999E-4</v>
      </c>
      <c r="L368" s="716">
        <v>2.2599999999999999E-4</v>
      </c>
      <c r="M368" s="655"/>
      <c r="N368" s="653"/>
      <c r="O368" s="653"/>
      <c r="P368" s="653"/>
      <c r="Q368" s="653"/>
      <c r="R368" s="653"/>
      <c r="S368" s="653"/>
      <c r="T368" s="653"/>
      <c r="U368" s="653"/>
    </row>
    <row r="369" spans="1:21" ht="17.25" customHeight="1">
      <c r="A369" s="677"/>
      <c r="B369" s="678"/>
      <c r="C369" s="681"/>
      <c r="D369" s="680"/>
      <c r="E369" s="676"/>
      <c r="H369" s="653"/>
      <c r="I369" s="1749" t="s">
        <v>3825</v>
      </c>
      <c r="J369" s="715" t="s">
        <v>3042</v>
      </c>
      <c r="K369" s="716">
        <v>4.4999999999999999E-4</v>
      </c>
      <c r="L369" s="716">
        <v>4.3100000000000001E-4</v>
      </c>
      <c r="M369" s="655"/>
      <c r="N369" s="653"/>
      <c r="O369" s="653"/>
      <c r="P369" s="653"/>
      <c r="Q369" s="653"/>
      <c r="R369" s="653"/>
      <c r="S369" s="653"/>
      <c r="T369" s="653"/>
      <c r="U369" s="653"/>
    </row>
    <row r="370" spans="1:21">
      <c r="A370" s="677"/>
      <c r="B370" s="678"/>
      <c r="C370" s="681"/>
      <c r="D370" s="682"/>
      <c r="E370" s="676"/>
      <c r="H370" s="653"/>
      <c r="I370" s="1749" t="s">
        <v>3043</v>
      </c>
      <c r="J370" s="715" t="s">
        <v>3044</v>
      </c>
      <c r="K370" s="716">
        <v>4.5399999999999998E-4</v>
      </c>
      <c r="L370" s="716">
        <v>4.57E-4</v>
      </c>
      <c r="M370" s="655"/>
      <c r="N370" s="653"/>
      <c r="O370" s="653"/>
      <c r="P370" s="653"/>
      <c r="Q370" s="653"/>
      <c r="R370" s="653"/>
      <c r="S370" s="653"/>
      <c r="T370" s="653"/>
      <c r="U370" s="653"/>
    </row>
    <row r="371" spans="1:21">
      <c r="A371" s="677"/>
      <c r="B371" s="678"/>
      <c r="C371" s="681"/>
      <c r="D371" s="682"/>
      <c r="E371" s="676"/>
      <c r="H371" s="653"/>
      <c r="I371" s="1749" t="s">
        <v>3045</v>
      </c>
      <c r="J371" s="715" t="s">
        <v>3046</v>
      </c>
      <c r="K371" s="716">
        <v>4.55E-4</v>
      </c>
      <c r="L371" s="716">
        <v>4.57E-4</v>
      </c>
      <c r="M371" s="655"/>
      <c r="N371" s="653"/>
      <c r="O371" s="653"/>
      <c r="P371" s="653"/>
      <c r="Q371" s="653"/>
      <c r="R371" s="653"/>
      <c r="S371" s="653"/>
      <c r="T371" s="653"/>
      <c r="U371" s="653"/>
    </row>
    <row r="372" spans="1:21" ht="17.25" customHeight="1">
      <c r="A372" s="677"/>
      <c r="B372" s="678"/>
      <c r="C372" s="681"/>
      <c r="D372" s="680"/>
      <c r="E372" s="676"/>
      <c r="H372" s="653"/>
      <c r="I372" s="1749" t="s">
        <v>3826</v>
      </c>
      <c r="J372" s="715" t="s">
        <v>3047</v>
      </c>
      <c r="K372" s="716">
        <v>3.39E-4</v>
      </c>
      <c r="L372" s="716">
        <v>0</v>
      </c>
      <c r="M372" s="655"/>
      <c r="N372" s="653"/>
      <c r="O372" s="653"/>
      <c r="P372" s="653"/>
      <c r="Q372" s="653"/>
      <c r="R372" s="653"/>
      <c r="S372" s="653"/>
      <c r="T372" s="653"/>
      <c r="U372" s="653"/>
    </row>
    <row r="373" spans="1:21" ht="17.25" customHeight="1">
      <c r="A373" s="677"/>
      <c r="B373" s="678"/>
      <c r="C373" s="681"/>
      <c r="D373" s="680"/>
      <c r="E373" s="676"/>
      <c r="H373" s="653"/>
      <c r="I373" s="1749" t="s">
        <v>3827</v>
      </c>
      <c r="J373" s="715" t="s">
        <v>3047</v>
      </c>
      <c r="K373" s="716">
        <v>3.39E-4</v>
      </c>
      <c r="L373" s="716">
        <v>3.6099999999999999E-4</v>
      </c>
      <c r="M373" s="655"/>
      <c r="N373" s="653"/>
      <c r="O373" s="653"/>
      <c r="P373" s="653"/>
      <c r="Q373" s="653"/>
      <c r="R373" s="653"/>
      <c r="S373" s="653"/>
      <c r="T373" s="653"/>
      <c r="U373" s="653"/>
    </row>
    <row r="374" spans="1:21" ht="17.25" customHeight="1">
      <c r="A374" s="677"/>
      <c r="B374" s="678"/>
      <c r="C374" s="681"/>
      <c r="D374" s="680"/>
      <c r="E374" s="676"/>
      <c r="H374" s="653"/>
      <c r="I374" s="1749" t="s">
        <v>3048</v>
      </c>
      <c r="J374" s="715" t="s">
        <v>3049</v>
      </c>
      <c r="K374" s="716">
        <v>4.4499999999999997E-4</v>
      </c>
      <c r="L374" s="716">
        <v>5.1199999999999998E-4</v>
      </c>
      <c r="M374" s="655"/>
      <c r="N374" s="653"/>
      <c r="O374" s="653"/>
      <c r="P374" s="653"/>
      <c r="Q374" s="653"/>
      <c r="R374" s="653"/>
      <c r="S374" s="653"/>
      <c r="T374" s="653"/>
      <c r="U374" s="653"/>
    </row>
    <row r="375" spans="1:21" ht="17.25" customHeight="1">
      <c r="A375" s="677"/>
      <c r="B375" s="678"/>
      <c r="C375" s="681"/>
      <c r="D375" s="680"/>
      <c r="E375" s="676"/>
      <c r="H375" s="653"/>
      <c r="I375" s="1749" t="s">
        <v>3050</v>
      </c>
      <c r="J375" s="715" t="s">
        <v>3051</v>
      </c>
      <c r="K375" s="716">
        <v>4.5399999999999998E-4</v>
      </c>
      <c r="L375" s="716">
        <v>4.57E-4</v>
      </c>
      <c r="M375" s="655"/>
      <c r="N375" s="653"/>
      <c r="O375" s="653"/>
      <c r="P375" s="653"/>
      <c r="Q375" s="653"/>
      <c r="R375" s="653"/>
      <c r="S375" s="653"/>
      <c r="T375" s="653"/>
      <c r="U375" s="653"/>
    </row>
    <row r="376" spans="1:21" ht="17.25" customHeight="1">
      <c r="A376" s="677"/>
      <c r="B376" s="678"/>
      <c r="C376" s="681"/>
      <c r="D376" s="680"/>
      <c r="E376" s="676"/>
      <c r="H376" s="653"/>
      <c r="I376" s="1749" t="s">
        <v>3052</v>
      </c>
      <c r="J376" s="715" t="s">
        <v>3053</v>
      </c>
      <c r="K376" s="716">
        <v>4.5399999999999998E-4</v>
      </c>
      <c r="L376" s="716">
        <v>4.57E-4</v>
      </c>
      <c r="M376" s="655"/>
      <c r="N376" s="653"/>
      <c r="O376" s="653"/>
      <c r="P376" s="653"/>
      <c r="Q376" s="653"/>
      <c r="R376" s="653"/>
      <c r="S376" s="653"/>
      <c r="T376" s="653"/>
      <c r="U376" s="653"/>
    </row>
    <row r="377" spans="1:21" ht="17.25" customHeight="1">
      <c r="A377" s="677"/>
      <c r="B377" s="678"/>
      <c r="C377" s="681"/>
      <c r="D377" s="680"/>
      <c r="E377" s="676"/>
      <c r="H377" s="653"/>
      <c r="I377" s="1749" t="s">
        <v>3054</v>
      </c>
      <c r="J377" s="715" t="s">
        <v>3055</v>
      </c>
      <c r="K377" s="716">
        <v>4.4099999999999999E-4</v>
      </c>
      <c r="L377" s="716">
        <v>0</v>
      </c>
      <c r="M377" s="655"/>
      <c r="N377" s="653"/>
      <c r="O377" s="653"/>
      <c r="P377" s="653"/>
      <c r="Q377" s="653"/>
      <c r="R377" s="653"/>
      <c r="S377" s="653"/>
      <c r="T377" s="653"/>
      <c r="U377" s="653"/>
    </row>
    <row r="378" spans="1:21" ht="17.25" customHeight="1">
      <c r="A378" s="677"/>
      <c r="B378" s="678"/>
      <c r="C378" s="681"/>
      <c r="D378" s="680"/>
      <c r="E378" s="676"/>
      <c r="H378" s="653"/>
      <c r="I378" s="1749" t="s">
        <v>3828</v>
      </c>
      <c r="J378" s="715" t="s">
        <v>3055</v>
      </c>
      <c r="K378" s="716">
        <v>4.4099999999999999E-4</v>
      </c>
      <c r="L378" s="716">
        <v>4.46E-4</v>
      </c>
      <c r="M378" s="655"/>
      <c r="N378" s="653"/>
      <c r="O378" s="653"/>
      <c r="P378" s="653"/>
      <c r="Q378" s="653"/>
      <c r="R378" s="653"/>
      <c r="S378" s="653"/>
      <c r="T378" s="653"/>
      <c r="U378" s="653"/>
    </row>
    <row r="379" spans="1:21" ht="17.25" customHeight="1">
      <c r="A379" s="677"/>
      <c r="B379" s="678"/>
      <c r="C379" s="681"/>
      <c r="D379" s="680"/>
      <c r="E379" s="676"/>
      <c r="H379" s="653"/>
      <c r="I379" s="1749" t="s">
        <v>3056</v>
      </c>
      <c r="J379" s="715" t="s">
        <v>3829</v>
      </c>
      <c r="K379" s="716">
        <v>5.7700000000000004E-4</v>
      </c>
      <c r="L379" s="716">
        <v>0</v>
      </c>
      <c r="M379" s="655"/>
      <c r="N379" s="653"/>
      <c r="O379" s="653"/>
      <c r="P379" s="653"/>
      <c r="Q379" s="653"/>
      <c r="R379" s="653"/>
      <c r="S379" s="653"/>
      <c r="T379" s="653"/>
      <c r="U379" s="653"/>
    </row>
    <row r="380" spans="1:21" ht="17.25" customHeight="1">
      <c r="A380" s="677"/>
      <c r="B380" s="678"/>
      <c r="C380" s="681"/>
      <c r="D380" s="680"/>
      <c r="E380" s="676"/>
      <c r="H380" s="653"/>
      <c r="I380" s="1749" t="s">
        <v>3057</v>
      </c>
      <c r="J380" s="715" t="s">
        <v>3829</v>
      </c>
      <c r="K380" s="716">
        <v>5.7700000000000004E-4</v>
      </c>
      <c r="L380" s="716">
        <v>2.13E-4</v>
      </c>
      <c r="M380" s="655"/>
      <c r="N380" s="653"/>
      <c r="O380" s="653"/>
      <c r="P380" s="653"/>
      <c r="Q380" s="653"/>
      <c r="R380" s="653"/>
      <c r="S380" s="653"/>
      <c r="T380" s="653"/>
      <c r="U380" s="653"/>
    </row>
    <row r="381" spans="1:21">
      <c r="A381" s="677"/>
      <c r="B381" s="678"/>
      <c r="C381" s="681"/>
      <c r="D381" s="682"/>
      <c r="E381" s="676"/>
      <c r="H381" s="653"/>
      <c r="I381" s="1749" t="s">
        <v>3058</v>
      </c>
      <c r="J381" s="715" t="s">
        <v>3829</v>
      </c>
      <c r="K381" s="716">
        <v>5.7700000000000004E-4</v>
      </c>
      <c r="L381" s="716">
        <v>2.9799999999999998E-4</v>
      </c>
      <c r="M381" s="655"/>
      <c r="N381" s="653"/>
      <c r="O381" s="653"/>
      <c r="P381" s="653"/>
      <c r="Q381" s="653"/>
      <c r="R381" s="653"/>
      <c r="S381" s="653"/>
      <c r="T381" s="653"/>
      <c r="U381" s="653"/>
    </row>
    <row r="382" spans="1:21" ht="17.25" customHeight="1">
      <c r="A382" s="677"/>
      <c r="B382" s="678"/>
      <c r="C382" s="681"/>
      <c r="D382" s="680"/>
      <c r="E382" s="676"/>
      <c r="H382" s="653"/>
      <c r="I382" s="1749" t="s">
        <v>3059</v>
      </c>
      <c r="J382" s="715" t="s">
        <v>3829</v>
      </c>
      <c r="K382" s="716">
        <v>5.7700000000000004E-4</v>
      </c>
      <c r="L382" s="716">
        <v>3.19E-4</v>
      </c>
      <c r="M382" s="655"/>
      <c r="N382" s="653"/>
      <c r="O382" s="653"/>
      <c r="P382" s="653"/>
      <c r="Q382" s="653"/>
      <c r="R382" s="653"/>
      <c r="S382" s="653"/>
      <c r="T382" s="653"/>
      <c r="U382" s="653"/>
    </row>
    <row r="383" spans="1:21" ht="17.25" customHeight="1">
      <c r="A383" s="677"/>
      <c r="B383" s="678"/>
      <c r="C383" s="681"/>
      <c r="D383" s="680"/>
      <c r="E383" s="676"/>
      <c r="H383" s="653"/>
      <c r="I383" s="1749" t="s">
        <v>3060</v>
      </c>
      <c r="J383" s="715" t="s">
        <v>3829</v>
      </c>
      <c r="K383" s="716">
        <v>5.7700000000000004E-4</v>
      </c>
      <c r="L383" s="716">
        <v>3.8299999999999999E-4</v>
      </c>
      <c r="M383" s="655"/>
      <c r="N383" s="653"/>
      <c r="O383" s="653"/>
      <c r="P383" s="653"/>
      <c r="Q383" s="653"/>
      <c r="R383" s="653"/>
      <c r="S383" s="653"/>
      <c r="T383" s="653"/>
      <c r="U383" s="653"/>
    </row>
    <row r="384" spans="1:21" ht="17.25" customHeight="1">
      <c r="A384" s="677"/>
      <c r="B384" s="678"/>
      <c r="C384" s="681"/>
      <c r="D384" s="680"/>
      <c r="E384" s="676"/>
      <c r="H384" s="653"/>
      <c r="I384" s="1749" t="s">
        <v>3061</v>
      </c>
      <c r="J384" s="715" t="s">
        <v>3829</v>
      </c>
      <c r="K384" s="716">
        <v>5.7700000000000004E-4</v>
      </c>
      <c r="L384" s="716">
        <v>3.6099999999999999E-4</v>
      </c>
      <c r="M384" s="655"/>
      <c r="N384" s="653"/>
      <c r="O384" s="653"/>
      <c r="P384" s="653"/>
      <c r="Q384" s="653"/>
      <c r="R384" s="653"/>
      <c r="S384" s="653"/>
      <c r="T384" s="653"/>
      <c r="U384" s="653"/>
    </row>
    <row r="385" spans="1:21" ht="15.75" customHeight="1">
      <c r="A385" s="690"/>
      <c r="B385" s="683"/>
      <c r="C385" s="670"/>
      <c r="D385" s="671"/>
      <c r="E385" s="676"/>
      <c r="H385" s="653"/>
      <c r="I385" s="1749" t="s">
        <v>3062</v>
      </c>
      <c r="J385" s="715" t="s">
        <v>3829</v>
      </c>
      <c r="K385" s="716">
        <v>5.7700000000000004E-4</v>
      </c>
      <c r="L385" s="716">
        <v>3.4000000000000002E-4</v>
      </c>
      <c r="M385" s="655"/>
      <c r="N385" s="653"/>
      <c r="O385" s="653"/>
      <c r="P385" s="653"/>
      <c r="Q385" s="653"/>
      <c r="R385" s="653"/>
      <c r="S385" s="653"/>
      <c r="T385" s="653"/>
      <c r="U385" s="653"/>
    </row>
    <row r="386" spans="1:21" ht="15.75" customHeight="1">
      <c r="A386" s="673"/>
      <c r="B386" s="674"/>
      <c r="C386" s="675"/>
      <c r="D386" s="671"/>
      <c r="E386" s="676"/>
      <c r="H386" s="653"/>
      <c r="I386" s="1749" t="s">
        <v>3063</v>
      </c>
      <c r="J386" s="715" t="s">
        <v>3829</v>
      </c>
      <c r="K386" s="716">
        <v>5.7700000000000004E-4</v>
      </c>
      <c r="L386" s="716">
        <v>2.7599999999999999E-4</v>
      </c>
      <c r="M386" s="655"/>
      <c r="N386" s="653"/>
      <c r="O386" s="653"/>
      <c r="P386" s="653"/>
      <c r="Q386" s="653"/>
      <c r="R386" s="653"/>
      <c r="S386" s="653"/>
      <c r="T386" s="653"/>
      <c r="U386" s="653"/>
    </row>
    <row r="387" spans="1:21" ht="15.75" customHeight="1">
      <c r="A387" s="691"/>
      <c r="B387" s="685"/>
      <c r="C387" s="686"/>
      <c r="D387" s="671"/>
      <c r="E387" s="676"/>
      <c r="H387" s="653"/>
      <c r="I387" s="1749" t="s">
        <v>3830</v>
      </c>
      <c r="J387" s="715" t="s">
        <v>3829</v>
      </c>
      <c r="K387" s="716">
        <v>5.7700000000000004E-4</v>
      </c>
      <c r="L387" s="716">
        <v>1.7000000000000001E-4</v>
      </c>
      <c r="M387" s="655"/>
      <c r="N387" s="653"/>
      <c r="O387" s="653"/>
      <c r="P387" s="653"/>
      <c r="Q387" s="653"/>
      <c r="R387" s="653"/>
      <c r="S387" s="653"/>
      <c r="T387" s="653"/>
      <c r="U387" s="653"/>
    </row>
    <row r="388" spans="1:21" ht="15.75" customHeight="1">
      <c r="A388" s="687"/>
      <c r="B388" s="688"/>
      <c r="C388" s="689"/>
      <c r="D388" s="671"/>
      <c r="E388" s="676"/>
      <c r="H388" s="653"/>
      <c r="I388" s="1749" t="s">
        <v>3831</v>
      </c>
      <c r="J388" s="715" t="s">
        <v>3829</v>
      </c>
      <c r="K388" s="716">
        <v>5.7700000000000004E-4</v>
      </c>
      <c r="L388" s="716">
        <v>4.0400000000000001E-4</v>
      </c>
      <c r="M388" s="655"/>
      <c r="N388" s="653"/>
      <c r="O388" s="653"/>
      <c r="P388" s="653"/>
      <c r="Q388" s="653"/>
      <c r="R388" s="653"/>
      <c r="S388" s="653"/>
      <c r="T388" s="653"/>
      <c r="U388" s="653"/>
    </row>
    <row r="389" spans="1:21" ht="15.75" customHeight="1">
      <c r="A389" s="687"/>
      <c r="B389" s="688"/>
      <c r="C389" s="689"/>
      <c r="D389" s="671"/>
      <c r="E389" s="676"/>
      <c r="H389" s="653"/>
      <c r="I389" s="1749" t="s">
        <v>3832</v>
      </c>
      <c r="J389" s="715" t="s">
        <v>3829</v>
      </c>
      <c r="K389" s="716">
        <v>5.7700000000000004E-4</v>
      </c>
      <c r="L389" s="716">
        <v>5.4100000000000003E-4</v>
      </c>
      <c r="M389" s="655"/>
      <c r="N389" s="653"/>
      <c r="O389" s="653"/>
      <c r="P389" s="653"/>
      <c r="Q389" s="653"/>
      <c r="R389" s="653"/>
      <c r="S389" s="653"/>
      <c r="T389" s="653"/>
      <c r="U389" s="653"/>
    </row>
    <row r="390" spans="1:21" ht="15.75" customHeight="1">
      <c r="A390" s="690"/>
      <c r="B390" s="669"/>
      <c r="C390" s="670"/>
      <c r="D390" s="671"/>
      <c r="E390" s="676"/>
      <c r="H390" s="653"/>
      <c r="I390" s="1749" t="s">
        <v>3833</v>
      </c>
      <c r="J390" s="715" t="s">
        <v>3064</v>
      </c>
      <c r="K390" s="716">
        <v>6.7599999999999995E-4</v>
      </c>
      <c r="L390" s="716">
        <v>1.65E-4</v>
      </c>
      <c r="M390" s="655"/>
      <c r="N390" s="653"/>
      <c r="O390" s="653"/>
      <c r="P390" s="653"/>
      <c r="Q390" s="653"/>
      <c r="R390" s="653"/>
      <c r="S390" s="653"/>
      <c r="T390" s="653"/>
      <c r="U390" s="653"/>
    </row>
    <row r="391" spans="1:21" ht="15.75" customHeight="1">
      <c r="A391" s="673"/>
      <c r="B391" s="674"/>
      <c r="C391" s="675"/>
      <c r="D391" s="671"/>
      <c r="E391" s="676"/>
      <c r="H391" s="653"/>
      <c r="I391" s="1749" t="s">
        <v>3834</v>
      </c>
      <c r="J391" s="715" t="s">
        <v>3064</v>
      </c>
      <c r="K391" s="716">
        <v>6.7599999999999995E-4</v>
      </c>
      <c r="L391" s="716">
        <v>0</v>
      </c>
      <c r="M391" s="655"/>
      <c r="N391" s="653"/>
      <c r="O391" s="653"/>
      <c r="P391" s="653"/>
      <c r="Q391" s="653"/>
      <c r="R391" s="653"/>
      <c r="S391" s="653"/>
      <c r="T391" s="653"/>
      <c r="U391" s="653"/>
    </row>
    <row r="392" spans="1:21" ht="15.75" customHeight="1">
      <c r="A392" s="673"/>
      <c r="B392" s="674"/>
      <c r="C392" s="675"/>
      <c r="D392" s="671"/>
      <c r="E392" s="676"/>
      <c r="H392" s="653"/>
      <c r="I392" s="1749" t="s">
        <v>3835</v>
      </c>
      <c r="J392" s="715" t="s">
        <v>3064</v>
      </c>
      <c r="K392" s="716">
        <v>6.7599999999999995E-4</v>
      </c>
      <c r="L392" s="716">
        <v>7.2300000000000001E-4</v>
      </c>
      <c r="M392" s="655"/>
      <c r="N392" s="653"/>
      <c r="O392" s="653"/>
      <c r="P392" s="653"/>
      <c r="Q392" s="653"/>
      <c r="R392" s="653"/>
      <c r="S392" s="653"/>
      <c r="T392" s="653"/>
      <c r="U392" s="653"/>
    </row>
    <row r="393" spans="1:21" ht="15.75" customHeight="1">
      <c r="A393" s="673"/>
      <c r="B393" s="674"/>
      <c r="C393" s="675"/>
      <c r="D393" s="671"/>
      <c r="E393" s="676"/>
      <c r="H393" s="653"/>
      <c r="I393" s="1749" t="s">
        <v>3065</v>
      </c>
      <c r="J393" s="715" t="s">
        <v>3066</v>
      </c>
      <c r="K393" s="716">
        <v>5.0000000000000001E-4</v>
      </c>
      <c r="L393" s="716">
        <v>5.1599999999999997E-4</v>
      </c>
      <c r="M393" s="655"/>
      <c r="N393" s="653"/>
      <c r="O393" s="653"/>
      <c r="P393" s="653"/>
      <c r="Q393" s="653"/>
      <c r="R393" s="653"/>
      <c r="S393" s="653"/>
      <c r="T393" s="653"/>
      <c r="U393" s="653"/>
    </row>
    <row r="394" spans="1:21" ht="15.75" customHeight="1">
      <c r="A394" s="673"/>
      <c r="B394" s="674"/>
      <c r="C394" s="675"/>
      <c r="D394" s="671"/>
      <c r="E394" s="676"/>
      <c r="H394" s="653"/>
      <c r="I394" s="1749" t="s">
        <v>3067</v>
      </c>
      <c r="J394" s="715" t="s">
        <v>3068</v>
      </c>
      <c r="K394" s="716">
        <v>5.0000000000000001E-4</v>
      </c>
      <c r="L394" s="716">
        <v>4.4999999999999999E-4</v>
      </c>
      <c r="M394" s="655"/>
      <c r="N394" s="653"/>
      <c r="O394" s="653"/>
      <c r="P394" s="653"/>
      <c r="Q394" s="653"/>
      <c r="R394" s="653"/>
      <c r="S394" s="653"/>
      <c r="T394" s="653"/>
      <c r="U394" s="653"/>
    </row>
    <row r="395" spans="1:21" ht="15.75" customHeight="1">
      <c r="A395" s="673"/>
      <c r="B395" s="674"/>
      <c r="C395" s="675"/>
      <c r="D395" s="671"/>
      <c r="E395" s="676"/>
      <c r="H395" s="653"/>
      <c r="I395" s="1749" t="s">
        <v>3069</v>
      </c>
      <c r="J395" s="715" t="s">
        <v>3070</v>
      </c>
      <c r="K395" s="716">
        <v>4.15E-4</v>
      </c>
      <c r="L395" s="716">
        <v>0</v>
      </c>
      <c r="M395" s="655"/>
      <c r="N395" s="653"/>
      <c r="O395" s="653"/>
      <c r="P395" s="653"/>
      <c r="Q395" s="653"/>
      <c r="R395" s="653"/>
      <c r="S395" s="653"/>
      <c r="T395" s="653"/>
      <c r="U395" s="653"/>
    </row>
    <row r="396" spans="1:21" ht="15.75" customHeight="1">
      <c r="A396" s="673"/>
      <c r="B396" s="674"/>
      <c r="C396" s="675"/>
      <c r="D396" s="671"/>
      <c r="E396" s="676"/>
      <c r="H396" s="653"/>
      <c r="I396" s="1749" t="s">
        <v>3836</v>
      </c>
      <c r="J396" s="715" t="s">
        <v>3070</v>
      </c>
      <c r="K396" s="716">
        <v>4.15E-4</v>
      </c>
      <c r="L396" s="716">
        <v>4.2400000000000001E-4</v>
      </c>
      <c r="M396" s="655"/>
      <c r="N396" s="653"/>
      <c r="O396" s="653"/>
      <c r="P396" s="653"/>
      <c r="Q396" s="653"/>
      <c r="R396" s="653"/>
      <c r="S396" s="653"/>
      <c r="T396" s="653"/>
      <c r="U396" s="653"/>
    </row>
    <row r="397" spans="1:21" ht="15.75" customHeight="1">
      <c r="A397" s="690"/>
      <c r="B397" s="683"/>
      <c r="C397" s="670"/>
      <c r="D397" s="671"/>
      <c r="E397" s="676"/>
      <c r="H397" s="653"/>
      <c r="I397" s="1749" t="s">
        <v>3071</v>
      </c>
      <c r="J397" s="715" t="s">
        <v>3072</v>
      </c>
      <c r="K397" s="716">
        <v>4.2700000000000002E-4</v>
      </c>
      <c r="L397" s="716">
        <v>4.75E-4</v>
      </c>
      <c r="M397" s="655"/>
      <c r="N397" s="653"/>
      <c r="O397" s="653"/>
      <c r="P397" s="653"/>
      <c r="Q397" s="653"/>
      <c r="R397" s="653"/>
      <c r="S397" s="653"/>
      <c r="T397" s="653"/>
      <c r="U397" s="653"/>
    </row>
    <row r="398" spans="1:21" ht="15.75" customHeight="1">
      <c r="A398" s="673"/>
      <c r="B398" s="674"/>
      <c r="C398" s="675"/>
      <c r="D398" s="671"/>
      <c r="E398" s="676"/>
      <c r="H398" s="653"/>
      <c r="I398" s="1749" t="s">
        <v>3073</v>
      </c>
      <c r="J398" s="715" t="s">
        <v>3837</v>
      </c>
      <c r="K398" s="716">
        <v>4.3800000000000002E-4</v>
      </c>
      <c r="L398" s="716">
        <v>0</v>
      </c>
      <c r="M398" s="655"/>
      <c r="N398" s="653"/>
      <c r="O398" s="653"/>
      <c r="P398" s="653"/>
      <c r="Q398" s="653"/>
      <c r="R398" s="653"/>
      <c r="S398" s="653"/>
      <c r="T398" s="653"/>
      <c r="U398" s="653"/>
    </row>
    <row r="399" spans="1:21" ht="15.75" customHeight="1">
      <c r="A399" s="691"/>
      <c r="B399" s="685"/>
      <c r="C399" s="686"/>
      <c r="D399" s="671"/>
      <c r="E399" s="676"/>
      <c r="H399" s="653"/>
      <c r="I399" s="1749" t="s">
        <v>5494</v>
      </c>
      <c r="J399" s="715" t="s">
        <v>3837</v>
      </c>
      <c r="K399" s="716">
        <v>4.3800000000000002E-4</v>
      </c>
      <c r="L399" s="716">
        <v>4.5199999999999998E-4</v>
      </c>
      <c r="M399" s="655"/>
      <c r="N399" s="653"/>
      <c r="O399" s="653"/>
      <c r="P399" s="653"/>
      <c r="Q399" s="653"/>
      <c r="R399" s="653"/>
      <c r="S399" s="653"/>
      <c r="T399" s="653"/>
      <c r="U399" s="653"/>
    </row>
    <row r="400" spans="1:21" ht="15.75" customHeight="1">
      <c r="A400" s="687"/>
      <c r="B400" s="688"/>
      <c r="C400" s="689"/>
      <c r="D400" s="671"/>
      <c r="E400" s="676"/>
      <c r="H400" s="653"/>
      <c r="I400" s="1749" t="s">
        <v>3838</v>
      </c>
      <c r="J400" s="715" t="s">
        <v>3839</v>
      </c>
      <c r="K400" s="716">
        <v>4.4099999999999999E-4</v>
      </c>
      <c r="L400" s="716">
        <v>0</v>
      </c>
      <c r="M400" s="655"/>
      <c r="N400" s="653"/>
      <c r="O400" s="653"/>
      <c r="P400" s="653"/>
      <c r="Q400" s="653"/>
      <c r="R400" s="653"/>
      <c r="S400" s="653"/>
      <c r="T400" s="653"/>
      <c r="U400" s="653"/>
    </row>
    <row r="401" spans="1:21" ht="15.75" customHeight="1">
      <c r="A401" s="687"/>
      <c r="B401" s="688"/>
      <c r="C401" s="689"/>
      <c r="D401" s="671"/>
      <c r="E401" s="676"/>
      <c r="H401" s="653"/>
      <c r="I401" s="1749" t="s">
        <v>3840</v>
      </c>
      <c r="J401" s="715" t="s">
        <v>3839</v>
      </c>
      <c r="K401" s="716">
        <v>4.4099999999999999E-4</v>
      </c>
      <c r="L401" s="716">
        <v>2.99E-4</v>
      </c>
      <c r="M401" s="655"/>
      <c r="N401" s="653"/>
      <c r="O401" s="653"/>
      <c r="P401" s="653"/>
      <c r="Q401" s="653"/>
      <c r="R401" s="653"/>
      <c r="S401" s="653"/>
      <c r="T401" s="653"/>
      <c r="U401" s="653"/>
    </row>
    <row r="402" spans="1:21" ht="15.75" customHeight="1">
      <c r="A402" s="690"/>
      <c r="B402" s="683"/>
      <c r="C402" s="670"/>
      <c r="D402" s="671"/>
      <c r="E402" s="676"/>
      <c r="H402" s="653"/>
      <c r="I402" s="1749" t="s">
        <v>3841</v>
      </c>
      <c r="J402" s="715" t="s">
        <v>3839</v>
      </c>
      <c r="K402" s="716">
        <v>4.4099999999999999E-4</v>
      </c>
      <c r="L402" s="716">
        <v>4.4099999999999999E-4</v>
      </c>
      <c r="M402" s="655"/>
      <c r="N402" s="653"/>
      <c r="O402" s="653"/>
      <c r="P402" s="653"/>
      <c r="Q402" s="653"/>
      <c r="R402" s="653"/>
      <c r="S402" s="653"/>
      <c r="T402" s="653"/>
      <c r="U402" s="653"/>
    </row>
    <row r="403" spans="1:21" ht="15.75" customHeight="1">
      <c r="A403" s="673"/>
      <c r="B403" s="674"/>
      <c r="C403" s="675"/>
      <c r="D403" s="671"/>
      <c r="E403" s="676"/>
      <c r="H403" s="653"/>
      <c r="I403" s="1749" t="s">
        <v>3074</v>
      </c>
      <c r="J403" s="715" t="s">
        <v>3075</v>
      </c>
      <c r="K403" s="716">
        <v>3.3599999999999998E-4</v>
      </c>
      <c r="L403" s="716">
        <v>2.7999999999999998E-4</v>
      </c>
      <c r="M403" s="655"/>
      <c r="N403" s="653"/>
      <c r="O403" s="653"/>
      <c r="P403" s="653"/>
      <c r="Q403" s="653"/>
      <c r="R403" s="653"/>
      <c r="S403" s="653"/>
      <c r="T403" s="653"/>
      <c r="U403" s="653"/>
    </row>
    <row r="404" spans="1:21" ht="15.75" customHeight="1">
      <c r="A404" s="673"/>
      <c r="B404" s="674"/>
      <c r="C404" s="675"/>
      <c r="D404" s="671"/>
      <c r="E404" s="676"/>
      <c r="H404" s="653"/>
      <c r="I404" s="1749" t="s">
        <v>3842</v>
      </c>
      <c r="J404" s="715" t="s">
        <v>3075</v>
      </c>
      <c r="K404" s="716">
        <v>3.3599999999999998E-4</v>
      </c>
      <c r="L404" s="716">
        <v>0</v>
      </c>
      <c r="M404" s="655"/>
      <c r="N404" s="653"/>
      <c r="O404" s="653"/>
      <c r="P404" s="653"/>
      <c r="Q404" s="653"/>
      <c r="R404" s="653"/>
      <c r="S404" s="653"/>
      <c r="T404" s="653"/>
      <c r="U404" s="653"/>
    </row>
    <row r="405" spans="1:21" ht="15.75" customHeight="1">
      <c r="A405" s="673"/>
      <c r="B405" s="674"/>
      <c r="C405" s="675"/>
      <c r="D405" s="671"/>
      <c r="E405" s="676"/>
      <c r="H405" s="653"/>
      <c r="I405" s="1749" t="s">
        <v>3843</v>
      </c>
      <c r="J405" s="715" t="s">
        <v>3075</v>
      </c>
      <c r="K405" s="716">
        <v>3.3599999999999998E-4</v>
      </c>
      <c r="L405" s="716">
        <v>0</v>
      </c>
      <c r="M405" s="655"/>
      <c r="N405" s="653"/>
      <c r="O405" s="653"/>
      <c r="P405" s="653"/>
      <c r="Q405" s="653"/>
      <c r="R405" s="653"/>
      <c r="S405" s="653"/>
      <c r="T405" s="653"/>
      <c r="U405" s="653"/>
    </row>
    <row r="406" spans="1:21" ht="15.75" customHeight="1">
      <c r="A406" s="691"/>
      <c r="B406" s="685"/>
      <c r="C406" s="686"/>
      <c r="D406" s="671"/>
      <c r="E406" s="676"/>
      <c r="H406" s="653"/>
      <c r="I406" s="1749" t="s">
        <v>3844</v>
      </c>
      <c r="J406" s="715" t="s">
        <v>3075</v>
      </c>
      <c r="K406" s="716">
        <v>3.3599999999999998E-4</v>
      </c>
      <c r="L406" s="716">
        <v>5.9500000000000004E-4</v>
      </c>
      <c r="M406" s="655"/>
      <c r="N406" s="653"/>
      <c r="O406" s="653"/>
      <c r="P406" s="653"/>
      <c r="Q406" s="653"/>
      <c r="R406" s="653"/>
      <c r="S406" s="653"/>
      <c r="T406" s="653"/>
      <c r="U406" s="653"/>
    </row>
    <row r="407" spans="1:21" ht="15.75" customHeight="1">
      <c r="A407" s="687"/>
      <c r="B407" s="688"/>
      <c r="C407" s="689"/>
      <c r="D407" s="671"/>
      <c r="E407" s="676"/>
      <c r="H407" s="653"/>
      <c r="I407" s="1749" t="s">
        <v>3076</v>
      </c>
      <c r="J407" s="715" t="s">
        <v>3077</v>
      </c>
      <c r="K407" s="716">
        <v>3.5E-4</v>
      </c>
      <c r="L407" s="716">
        <v>3.3199999999999999E-4</v>
      </c>
      <c r="M407" s="655"/>
      <c r="N407" s="653"/>
      <c r="O407" s="653"/>
      <c r="P407" s="653"/>
      <c r="Q407" s="653"/>
      <c r="R407" s="653"/>
      <c r="S407" s="653"/>
      <c r="T407" s="653"/>
      <c r="U407" s="653"/>
    </row>
    <row r="408" spans="1:21" ht="15.75" customHeight="1">
      <c r="A408" s="687"/>
      <c r="B408" s="688"/>
      <c r="C408" s="689"/>
      <c r="D408" s="671"/>
      <c r="E408" s="676"/>
      <c r="H408" s="653"/>
      <c r="I408" s="1749" t="s">
        <v>3078</v>
      </c>
      <c r="J408" s="715" t="s">
        <v>3079</v>
      </c>
      <c r="K408" s="716">
        <v>4.2099999999999999E-4</v>
      </c>
      <c r="L408" s="716">
        <v>0</v>
      </c>
      <c r="M408" s="655"/>
      <c r="N408" s="653"/>
      <c r="O408" s="653"/>
      <c r="P408" s="653"/>
      <c r="Q408" s="653"/>
      <c r="R408" s="653"/>
      <c r="S408" s="653"/>
      <c r="T408" s="653"/>
      <c r="U408" s="653"/>
    </row>
    <row r="409" spans="1:21" ht="15.75" customHeight="1">
      <c r="A409" s="691"/>
      <c r="B409" s="685"/>
      <c r="C409" s="686"/>
      <c r="D409" s="671"/>
      <c r="E409" s="676"/>
      <c r="H409" s="653"/>
      <c r="I409" s="1749" t="s">
        <v>3845</v>
      </c>
      <c r="J409" s="715" t="s">
        <v>3079</v>
      </c>
      <c r="K409" s="716">
        <v>4.2099999999999999E-4</v>
      </c>
      <c r="L409" s="716">
        <v>4.3800000000000002E-4</v>
      </c>
      <c r="M409" s="655"/>
      <c r="N409" s="653"/>
      <c r="O409" s="653"/>
      <c r="P409" s="653"/>
      <c r="Q409" s="653"/>
      <c r="R409" s="653"/>
      <c r="S409" s="653"/>
      <c r="T409" s="653"/>
      <c r="U409" s="653"/>
    </row>
    <row r="410" spans="1:21" ht="15.75" customHeight="1">
      <c r="A410" s="687"/>
      <c r="B410" s="688"/>
      <c r="C410" s="689"/>
      <c r="D410" s="671"/>
      <c r="E410" s="676"/>
      <c r="H410" s="653"/>
      <c r="I410" s="1749" t="s">
        <v>3080</v>
      </c>
      <c r="J410" s="715" t="s">
        <v>3081</v>
      </c>
      <c r="K410" s="716">
        <v>1.65E-4</v>
      </c>
      <c r="L410" s="716">
        <v>4.5199999999999998E-4</v>
      </c>
      <c r="M410" s="655"/>
      <c r="N410" s="653"/>
      <c r="O410" s="653"/>
      <c r="P410" s="653"/>
      <c r="Q410" s="653"/>
      <c r="R410" s="653"/>
      <c r="S410" s="653"/>
      <c r="T410" s="653"/>
      <c r="U410" s="653"/>
    </row>
    <row r="411" spans="1:21" ht="15.75" customHeight="1">
      <c r="A411" s="687"/>
      <c r="B411" s="688"/>
      <c r="C411" s="689"/>
      <c r="D411" s="671"/>
      <c r="E411" s="676"/>
      <c r="H411" s="653"/>
      <c r="I411" s="1749" t="s">
        <v>3082</v>
      </c>
      <c r="J411" s="715" t="s">
        <v>3083</v>
      </c>
      <c r="K411" s="716">
        <v>5.0299999999999997E-4</v>
      </c>
      <c r="L411" s="716">
        <v>0</v>
      </c>
      <c r="M411" s="655"/>
      <c r="N411" s="653"/>
      <c r="O411" s="653"/>
      <c r="P411" s="653"/>
      <c r="Q411" s="653"/>
      <c r="R411" s="653"/>
      <c r="S411" s="653"/>
      <c r="T411" s="653"/>
      <c r="U411" s="653"/>
    </row>
    <row r="412" spans="1:21" ht="15.75" customHeight="1">
      <c r="A412" s="690"/>
      <c r="B412" s="683"/>
      <c r="C412" s="670"/>
      <c r="D412" s="671"/>
      <c r="E412" s="676"/>
      <c r="H412" s="653"/>
      <c r="I412" s="1749" t="s">
        <v>3084</v>
      </c>
      <c r="J412" s="715" t="s">
        <v>3083</v>
      </c>
      <c r="K412" s="716">
        <v>5.0299999999999997E-4</v>
      </c>
      <c r="L412" s="716">
        <v>1.83E-4</v>
      </c>
      <c r="M412" s="655"/>
      <c r="N412" s="653"/>
      <c r="O412" s="653"/>
      <c r="P412" s="653"/>
      <c r="Q412" s="653"/>
      <c r="R412" s="653"/>
      <c r="S412" s="653"/>
      <c r="T412" s="653"/>
      <c r="U412" s="653"/>
    </row>
    <row r="413" spans="1:21" ht="15.75" customHeight="1">
      <c r="A413" s="673"/>
      <c r="B413" s="674"/>
      <c r="C413" s="675"/>
      <c r="D413" s="671"/>
      <c r="E413" s="676"/>
      <c r="H413" s="653"/>
      <c r="I413" s="1749" t="s">
        <v>5495</v>
      </c>
      <c r="J413" s="715" t="s">
        <v>3083</v>
      </c>
      <c r="K413" s="716">
        <v>5.0299999999999997E-4</v>
      </c>
      <c r="L413" s="716">
        <v>2.4800000000000001E-4</v>
      </c>
      <c r="M413" s="655"/>
      <c r="N413" s="653"/>
      <c r="O413" s="653"/>
      <c r="P413" s="653"/>
      <c r="Q413" s="653"/>
      <c r="R413" s="653"/>
      <c r="S413" s="653"/>
      <c r="T413" s="653"/>
      <c r="U413" s="653"/>
    </row>
    <row r="414" spans="1:21" ht="17.25" customHeight="1">
      <c r="A414" s="677"/>
      <c r="B414" s="678"/>
      <c r="C414" s="681"/>
      <c r="D414" s="680"/>
      <c r="E414" s="676"/>
      <c r="H414" s="653"/>
      <c r="I414" s="1749" t="s">
        <v>5496</v>
      </c>
      <c r="J414" s="715" t="s">
        <v>3083</v>
      </c>
      <c r="K414" s="716">
        <v>5.0299999999999997E-4</v>
      </c>
      <c r="L414" s="716">
        <v>5.6400000000000005E-4</v>
      </c>
      <c r="M414" s="655"/>
      <c r="N414" s="653"/>
      <c r="O414" s="653"/>
      <c r="P414" s="653"/>
      <c r="Q414" s="653"/>
      <c r="R414" s="653"/>
      <c r="S414" s="653"/>
      <c r="T414" s="653"/>
      <c r="U414" s="653"/>
    </row>
    <row r="415" spans="1:21" ht="17.25" customHeight="1">
      <c r="A415" s="677"/>
      <c r="B415" s="678"/>
      <c r="C415" s="681"/>
      <c r="D415" s="680"/>
      <c r="E415" s="676"/>
      <c r="H415" s="653"/>
      <c r="I415" s="1749" t="s">
        <v>3085</v>
      </c>
      <c r="J415" s="715" t="s">
        <v>3086</v>
      </c>
      <c r="K415" s="716">
        <v>4.86E-4</v>
      </c>
      <c r="L415" s="716">
        <v>0</v>
      </c>
      <c r="M415" s="655"/>
      <c r="N415" s="653"/>
      <c r="O415" s="653"/>
      <c r="P415" s="653"/>
      <c r="Q415" s="653"/>
      <c r="R415" s="653"/>
      <c r="S415" s="653"/>
      <c r="T415" s="653"/>
      <c r="U415" s="653"/>
    </row>
    <row r="416" spans="1:21" ht="17.25" customHeight="1">
      <c r="A416" s="677"/>
      <c r="B416" s="678"/>
      <c r="C416" s="681"/>
      <c r="D416" s="680"/>
      <c r="E416" s="676"/>
      <c r="H416" s="653"/>
      <c r="I416" s="1749" t="s">
        <v>3846</v>
      </c>
      <c r="J416" s="715" t="s">
        <v>3086</v>
      </c>
      <c r="K416" s="716">
        <v>4.86E-4</v>
      </c>
      <c r="L416" s="716">
        <v>4.3600000000000003E-4</v>
      </c>
      <c r="M416" s="655"/>
      <c r="N416" s="653"/>
      <c r="O416" s="653"/>
      <c r="P416" s="653"/>
      <c r="Q416" s="653"/>
      <c r="R416" s="653"/>
      <c r="S416" s="653"/>
      <c r="T416" s="653"/>
      <c r="U416" s="653"/>
    </row>
    <row r="417" spans="1:21" ht="17.25" customHeight="1">
      <c r="A417" s="677"/>
      <c r="B417" s="678"/>
      <c r="C417" s="681"/>
      <c r="D417" s="680"/>
      <c r="E417" s="676"/>
      <c r="H417" s="653"/>
      <c r="I417" s="1749" t="s">
        <v>3087</v>
      </c>
      <c r="J417" s="715" t="s">
        <v>3088</v>
      </c>
      <c r="K417" s="716">
        <v>3.6699999999999998E-4</v>
      </c>
      <c r="L417" s="716">
        <v>2.9399999999999999E-4</v>
      </c>
      <c r="M417" s="655"/>
      <c r="N417" s="653"/>
      <c r="O417" s="653"/>
      <c r="P417" s="653"/>
      <c r="Q417" s="653"/>
      <c r="R417" s="653"/>
      <c r="S417" s="653"/>
      <c r="T417" s="653"/>
      <c r="U417" s="653"/>
    </row>
    <row r="418" spans="1:21">
      <c r="A418" s="677"/>
      <c r="B418" s="678"/>
      <c r="C418" s="681"/>
      <c r="D418" s="682"/>
      <c r="E418" s="676"/>
      <c r="H418" s="653"/>
      <c r="I418" s="1749" t="s">
        <v>3089</v>
      </c>
      <c r="J418" s="715" t="s">
        <v>3088</v>
      </c>
      <c r="K418" s="716">
        <v>3.6699999999999998E-4</v>
      </c>
      <c r="L418" s="716">
        <v>3.3300000000000002E-4</v>
      </c>
      <c r="M418" s="655"/>
      <c r="N418" s="653"/>
      <c r="O418" s="653"/>
      <c r="P418" s="653"/>
      <c r="Q418" s="653"/>
      <c r="R418" s="653"/>
      <c r="S418" s="653"/>
      <c r="T418" s="653"/>
      <c r="U418" s="653"/>
    </row>
    <row r="419" spans="1:21" ht="17.25" customHeight="1">
      <c r="A419" s="677"/>
      <c r="B419" s="678"/>
      <c r="C419" s="681"/>
      <c r="D419" s="680"/>
      <c r="E419" s="676"/>
      <c r="H419" s="653"/>
      <c r="I419" s="1749" t="s">
        <v>3847</v>
      </c>
      <c r="J419" s="715" t="s">
        <v>3088</v>
      </c>
      <c r="K419" s="716">
        <v>3.6699999999999998E-4</v>
      </c>
      <c r="L419" s="716">
        <v>3.5500000000000001E-4</v>
      </c>
      <c r="M419" s="655"/>
      <c r="N419" s="653"/>
      <c r="O419" s="653"/>
      <c r="P419" s="653"/>
      <c r="Q419" s="653"/>
      <c r="R419" s="653"/>
      <c r="S419" s="653"/>
      <c r="T419" s="653"/>
      <c r="U419" s="653"/>
    </row>
    <row r="420" spans="1:21" ht="17.25" customHeight="1">
      <c r="A420" s="677"/>
      <c r="B420" s="678"/>
      <c r="C420" s="681"/>
      <c r="D420" s="680"/>
      <c r="E420" s="676"/>
      <c r="H420" s="653"/>
      <c r="I420" s="1749" t="s">
        <v>3090</v>
      </c>
      <c r="J420" s="715" t="s">
        <v>3091</v>
      </c>
      <c r="K420" s="716">
        <v>4.3100000000000001E-4</v>
      </c>
      <c r="L420" s="716">
        <v>4.9399999999999997E-4</v>
      </c>
      <c r="M420" s="655"/>
      <c r="N420" s="653"/>
      <c r="O420" s="653"/>
      <c r="P420" s="653"/>
      <c r="Q420" s="653"/>
      <c r="R420" s="653"/>
      <c r="S420" s="653"/>
      <c r="T420" s="653"/>
      <c r="U420" s="653"/>
    </row>
    <row r="421" spans="1:21" ht="17.25" customHeight="1">
      <c r="A421" s="677"/>
      <c r="B421" s="678"/>
      <c r="C421" s="681"/>
      <c r="D421" s="680"/>
      <c r="E421" s="676"/>
      <c r="H421" s="653"/>
      <c r="I421" s="1749" t="s">
        <v>3092</v>
      </c>
      <c r="J421" s="715" t="s">
        <v>3848</v>
      </c>
      <c r="K421" s="716">
        <v>3.9300000000000001E-4</v>
      </c>
      <c r="L421" s="716">
        <v>3.8499999999999998E-4</v>
      </c>
      <c r="M421" s="655"/>
      <c r="N421" s="653"/>
      <c r="O421" s="653"/>
      <c r="P421" s="653"/>
      <c r="Q421" s="653"/>
      <c r="R421" s="653"/>
      <c r="S421" s="653"/>
      <c r="T421" s="653"/>
      <c r="U421" s="653"/>
    </row>
    <row r="422" spans="1:21" ht="17.25" customHeight="1">
      <c r="A422" s="677"/>
      <c r="B422" s="678"/>
      <c r="C422" s="681"/>
      <c r="D422" s="680"/>
      <c r="E422" s="676"/>
      <c r="H422" s="653"/>
      <c r="I422" s="1749" t="s">
        <v>5497</v>
      </c>
      <c r="J422" s="715" t="s">
        <v>3093</v>
      </c>
      <c r="K422" s="716">
        <v>4.8700000000000002E-4</v>
      </c>
      <c r="L422" s="716">
        <v>0</v>
      </c>
      <c r="M422" s="655"/>
      <c r="N422" s="653"/>
      <c r="O422" s="653"/>
      <c r="P422" s="653"/>
      <c r="Q422" s="653"/>
      <c r="R422" s="653"/>
      <c r="S422" s="653"/>
      <c r="T422" s="653"/>
      <c r="U422" s="653"/>
    </row>
    <row r="423" spans="1:21">
      <c r="A423" s="677"/>
      <c r="B423" s="678"/>
      <c r="C423" s="681"/>
      <c r="D423" s="682"/>
      <c r="E423" s="676"/>
      <c r="H423" s="653"/>
      <c r="I423" s="1749" t="s">
        <v>5498</v>
      </c>
      <c r="J423" s="715" t="s">
        <v>3093</v>
      </c>
      <c r="K423" s="716">
        <v>4.8700000000000002E-4</v>
      </c>
      <c r="L423" s="716">
        <v>4.8999999999999998E-4</v>
      </c>
      <c r="M423" s="655"/>
      <c r="N423" s="653"/>
      <c r="O423" s="653"/>
      <c r="P423" s="653"/>
      <c r="Q423" s="653"/>
      <c r="R423" s="653"/>
      <c r="S423" s="653"/>
      <c r="T423" s="653"/>
      <c r="U423" s="653"/>
    </row>
    <row r="424" spans="1:21" ht="17.25" customHeight="1">
      <c r="A424" s="677"/>
      <c r="B424" s="678"/>
      <c r="C424" s="681"/>
      <c r="D424" s="680"/>
      <c r="E424" s="676"/>
      <c r="H424" s="653"/>
      <c r="I424" s="1749" t="s">
        <v>3849</v>
      </c>
      <c r="J424" s="715" t="s">
        <v>3094</v>
      </c>
      <c r="K424" s="716">
        <v>4.2099999999999999E-4</v>
      </c>
      <c r="L424" s="716">
        <v>0</v>
      </c>
      <c r="M424" s="655"/>
      <c r="N424" s="653"/>
      <c r="O424" s="653"/>
      <c r="P424" s="653"/>
      <c r="Q424" s="653"/>
      <c r="R424" s="653"/>
      <c r="S424" s="653"/>
      <c r="T424" s="653"/>
      <c r="U424" s="653"/>
    </row>
    <row r="425" spans="1:21" ht="17.25" customHeight="1">
      <c r="A425" s="677"/>
      <c r="B425" s="678"/>
      <c r="C425" s="681"/>
      <c r="D425" s="680"/>
      <c r="E425" s="676"/>
      <c r="H425" s="653"/>
      <c r="I425" s="1749" t="s">
        <v>5499</v>
      </c>
      <c r="J425" s="715" t="s">
        <v>3094</v>
      </c>
      <c r="K425" s="716">
        <v>4.2099999999999999E-4</v>
      </c>
      <c r="L425" s="716">
        <v>4.4700000000000002E-4</v>
      </c>
      <c r="M425" s="655"/>
      <c r="N425" s="653"/>
      <c r="O425" s="653"/>
      <c r="P425" s="653"/>
      <c r="Q425" s="653"/>
      <c r="R425" s="653"/>
      <c r="S425" s="653"/>
      <c r="T425" s="653"/>
      <c r="U425" s="653"/>
    </row>
    <row r="426" spans="1:21" ht="17.25" customHeight="1">
      <c r="A426" s="677"/>
      <c r="B426" s="678"/>
      <c r="C426" s="681"/>
      <c r="D426" s="680"/>
      <c r="E426" s="676"/>
      <c r="H426" s="653"/>
      <c r="I426" s="1749" t="s">
        <v>3095</v>
      </c>
      <c r="J426" s="715" t="s">
        <v>3096</v>
      </c>
      <c r="K426" s="716">
        <v>4.4000000000000002E-4</v>
      </c>
      <c r="L426" s="716">
        <v>3.8400000000000001E-4</v>
      </c>
      <c r="M426" s="655"/>
      <c r="N426" s="653"/>
      <c r="O426" s="653"/>
      <c r="P426" s="653"/>
      <c r="Q426" s="653"/>
      <c r="R426" s="653"/>
      <c r="S426" s="653"/>
      <c r="T426" s="653"/>
      <c r="U426" s="653"/>
    </row>
    <row r="427" spans="1:21">
      <c r="A427" s="677"/>
      <c r="B427" s="678"/>
      <c r="C427" s="681"/>
      <c r="D427" s="682"/>
      <c r="E427" s="676"/>
      <c r="H427" s="653"/>
      <c r="I427" s="1749" t="s">
        <v>3097</v>
      </c>
      <c r="J427" s="715" t="s">
        <v>3098</v>
      </c>
      <c r="K427" s="716">
        <v>5.0000000000000002E-5</v>
      </c>
      <c r="L427" s="716">
        <v>4.3100000000000001E-4</v>
      </c>
      <c r="M427" s="655"/>
      <c r="N427" s="653"/>
      <c r="O427" s="653"/>
      <c r="P427" s="653"/>
      <c r="Q427" s="653"/>
      <c r="R427" s="653"/>
      <c r="S427" s="653"/>
      <c r="T427" s="653"/>
      <c r="U427" s="653"/>
    </row>
    <row r="428" spans="1:21" ht="17.25" customHeight="1">
      <c r="A428" s="677"/>
      <c r="B428" s="678"/>
      <c r="C428" s="681"/>
      <c r="D428" s="680"/>
      <c r="E428" s="676"/>
      <c r="H428" s="653"/>
      <c r="I428" s="1749" t="s">
        <v>3099</v>
      </c>
      <c r="J428" s="715" t="s">
        <v>3100</v>
      </c>
      <c r="K428" s="716">
        <v>4.5399999999999998E-4</v>
      </c>
      <c r="L428" s="716">
        <v>4.57E-4</v>
      </c>
      <c r="M428" s="655"/>
      <c r="N428" s="653"/>
      <c r="O428" s="653"/>
      <c r="P428" s="653"/>
      <c r="Q428" s="653"/>
      <c r="R428" s="653"/>
      <c r="S428" s="653"/>
      <c r="T428" s="653"/>
      <c r="U428" s="653"/>
    </row>
    <row r="429" spans="1:21" ht="17.25" customHeight="1">
      <c r="A429" s="677"/>
      <c r="B429" s="678"/>
      <c r="C429" s="681"/>
      <c r="D429" s="680"/>
      <c r="E429" s="676"/>
      <c r="H429" s="653"/>
      <c r="I429" s="1749" t="s">
        <v>3850</v>
      </c>
      <c r="J429" s="715" t="s">
        <v>3101</v>
      </c>
      <c r="K429" s="716">
        <v>4.06E-4</v>
      </c>
      <c r="L429" s="716">
        <v>0</v>
      </c>
      <c r="M429" s="655"/>
      <c r="N429" s="653"/>
      <c r="O429" s="653"/>
      <c r="P429" s="653"/>
      <c r="Q429" s="653"/>
      <c r="R429" s="653"/>
      <c r="S429" s="653"/>
      <c r="T429" s="653"/>
      <c r="U429" s="653"/>
    </row>
    <row r="430" spans="1:21">
      <c r="A430" s="677"/>
      <c r="B430" s="678"/>
      <c r="C430" s="681"/>
      <c r="D430" s="682"/>
      <c r="E430" s="676"/>
      <c r="H430" s="653"/>
      <c r="I430" s="1749" t="s">
        <v>3851</v>
      </c>
      <c r="J430" s="715" t="s">
        <v>3101</v>
      </c>
      <c r="K430" s="716">
        <v>4.06E-4</v>
      </c>
      <c r="L430" s="716">
        <v>0</v>
      </c>
      <c r="M430" s="655"/>
      <c r="N430" s="653"/>
      <c r="O430" s="653"/>
      <c r="P430" s="653"/>
      <c r="Q430" s="653"/>
      <c r="R430" s="653"/>
      <c r="S430" s="653"/>
      <c r="T430" s="653"/>
      <c r="U430" s="653"/>
    </row>
    <row r="431" spans="1:21" ht="17.25" customHeight="1">
      <c r="A431" s="677"/>
      <c r="B431" s="693"/>
      <c r="C431" s="681"/>
      <c r="D431" s="680"/>
      <c r="E431" s="676"/>
      <c r="H431" s="653"/>
      <c r="I431" s="1749" t="s">
        <v>5500</v>
      </c>
      <c r="J431" s="715" t="s">
        <v>3101</v>
      </c>
      <c r="K431" s="716">
        <v>4.06E-4</v>
      </c>
      <c r="L431" s="716">
        <v>9.5600000000000004E-4</v>
      </c>
      <c r="M431" s="655"/>
      <c r="N431" s="653"/>
      <c r="O431" s="653"/>
      <c r="P431" s="653"/>
      <c r="Q431" s="653"/>
      <c r="R431" s="653"/>
      <c r="S431" s="653"/>
      <c r="T431" s="653"/>
      <c r="U431" s="653"/>
    </row>
    <row r="432" spans="1:21" ht="17.25" customHeight="1">
      <c r="A432" s="677"/>
      <c r="B432" s="693"/>
      <c r="C432" s="679"/>
      <c r="D432" s="680"/>
      <c r="E432" s="676"/>
      <c r="H432" s="653"/>
      <c r="I432" s="1749" t="s">
        <v>3102</v>
      </c>
      <c r="J432" s="715" t="s">
        <v>3103</v>
      </c>
      <c r="K432" s="716">
        <v>2.5099999999999998E-4</v>
      </c>
      <c r="L432" s="716">
        <v>0</v>
      </c>
      <c r="M432" s="655"/>
      <c r="N432" s="653"/>
      <c r="O432" s="653"/>
      <c r="P432" s="653"/>
      <c r="Q432" s="653"/>
      <c r="R432" s="653"/>
      <c r="S432" s="653"/>
      <c r="T432" s="653"/>
      <c r="U432" s="653"/>
    </row>
    <row r="433" spans="1:21" ht="17.25" customHeight="1">
      <c r="A433" s="677"/>
      <c r="B433" s="678"/>
      <c r="C433" s="681"/>
      <c r="D433" s="680"/>
      <c r="E433" s="676"/>
      <c r="H433" s="653"/>
      <c r="I433" s="1749" t="s">
        <v>3852</v>
      </c>
      <c r="J433" s="715" t="s">
        <v>3103</v>
      </c>
      <c r="K433" s="716">
        <v>2.5099999999999998E-4</v>
      </c>
      <c r="L433" s="716">
        <v>2.43E-4</v>
      </c>
      <c r="M433" s="655"/>
      <c r="N433" s="653"/>
      <c r="O433" s="653"/>
      <c r="P433" s="653"/>
      <c r="Q433" s="653"/>
      <c r="R433" s="653"/>
      <c r="S433" s="653"/>
      <c r="T433" s="653"/>
      <c r="U433" s="653"/>
    </row>
    <row r="434" spans="1:21" ht="15.75" customHeight="1">
      <c r="A434" s="690"/>
      <c r="B434" s="683"/>
      <c r="C434" s="670"/>
      <c r="D434" s="671"/>
      <c r="E434" s="676"/>
      <c r="H434" s="653"/>
      <c r="I434" s="1749" t="s">
        <v>3853</v>
      </c>
      <c r="J434" s="715" t="s">
        <v>3104</v>
      </c>
      <c r="K434" s="716">
        <v>3.0699999999999998E-4</v>
      </c>
      <c r="L434" s="716">
        <v>0</v>
      </c>
      <c r="M434" s="655"/>
      <c r="N434" s="653"/>
      <c r="O434" s="653"/>
      <c r="P434" s="653"/>
      <c r="Q434" s="653"/>
      <c r="R434" s="653"/>
      <c r="S434" s="653"/>
      <c r="T434" s="653"/>
      <c r="U434" s="653"/>
    </row>
    <row r="435" spans="1:21" ht="15.75" customHeight="1">
      <c r="A435" s="673"/>
      <c r="B435" s="674"/>
      <c r="C435" s="675"/>
      <c r="D435" s="671"/>
      <c r="E435" s="676"/>
      <c r="H435" s="653"/>
      <c r="I435" s="1749" t="s">
        <v>3854</v>
      </c>
      <c r="J435" s="715" t="s">
        <v>3104</v>
      </c>
      <c r="K435" s="716">
        <v>3.0699999999999998E-4</v>
      </c>
      <c r="L435" s="716">
        <v>4.3300000000000001E-4</v>
      </c>
      <c r="M435" s="655"/>
      <c r="N435" s="653"/>
      <c r="O435" s="653"/>
      <c r="P435" s="653"/>
      <c r="Q435" s="653"/>
      <c r="R435" s="653"/>
      <c r="S435" s="653"/>
      <c r="T435" s="653"/>
      <c r="U435" s="653"/>
    </row>
    <row r="436" spans="1:21" ht="17.25" customHeight="1">
      <c r="A436" s="677"/>
      <c r="B436" s="678"/>
      <c r="C436" s="681"/>
      <c r="D436" s="680"/>
      <c r="E436" s="676"/>
      <c r="H436" s="653"/>
      <c r="I436" s="1749" t="s">
        <v>3105</v>
      </c>
      <c r="J436" s="715" t="s">
        <v>3855</v>
      </c>
      <c r="K436" s="716">
        <v>4.6999999999999999E-4</v>
      </c>
      <c r="L436" s="716">
        <v>4.7399999999999997E-4</v>
      </c>
      <c r="M436" s="655"/>
      <c r="N436" s="653"/>
      <c r="O436" s="653"/>
      <c r="P436" s="653"/>
      <c r="Q436" s="653"/>
      <c r="R436" s="653"/>
      <c r="S436" s="653"/>
      <c r="T436" s="653"/>
      <c r="U436" s="653"/>
    </row>
    <row r="437" spans="1:21">
      <c r="A437" s="677"/>
      <c r="B437" s="678"/>
      <c r="C437" s="681"/>
      <c r="D437" s="682"/>
      <c r="E437" s="676"/>
      <c r="H437" s="653"/>
      <c r="I437" s="1749" t="s">
        <v>3106</v>
      </c>
      <c r="J437" s="715" t="s">
        <v>3107</v>
      </c>
      <c r="K437" s="716">
        <v>3.6999999999999998E-5</v>
      </c>
      <c r="L437" s="716">
        <v>4.3199999999999998E-4</v>
      </c>
      <c r="M437" s="655"/>
      <c r="N437" s="653"/>
      <c r="O437" s="653"/>
      <c r="P437" s="653"/>
      <c r="Q437" s="653"/>
      <c r="R437" s="653"/>
      <c r="S437" s="653"/>
      <c r="T437" s="653"/>
      <c r="U437" s="653"/>
    </row>
    <row r="438" spans="1:21">
      <c r="A438" s="677"/>
      <c r="B438" s="678"/>
      <c r="C438" s="681"/>
      <c r="D438" s="682"/>
      <c r="E438" s="676"/>
      <c r="H438" s="653"/>
      <c r="I438" s="1749" t="s">
        <v>3108</v>
      </c>
      <c r="J438" s="715" t="s">
        <v>3109</v>
      </c>
      <c r="K438" s="716">
        <v>4.6E-5</v>
      </c>
      <c r="L438" s="716">
        <v>0</v>
      </c>
      <c r="M438" s="655"/>
      <c r="N438" s="653"/>
      <c r="O438" s="653"/>
      <c r="P438" s="653"/>
      <c r="Q438" s="653"/>
      <c r="R438" s="653"/>
      <c r="S438" s="653"/>
      <c r="T438" s="653"/>
      <c r="U438" s="653"/>
    </row>
    <row r="439" spans="1:21" ht="15.75" customHeight="1">
      <c r="A439" s="690"/>
      <c r="B439" s="683"/>
      <c r="C439" s="670"/>
      <c r="D439" s="671"/>
      <c r="E439" s="676"/>
      <c r="H439" s="653"/>
      <c r="I439" s="1749" t="s">
        <v>3856</v>
      </c>
      <c r="J439" s="715" t="s">
        <v>3109</v>
      </c>
      <c r="K439" s="716">
        <v>4.6E-5</v>
      </c>
      <c r="L439" s="716">
        <v>3.97E-4</v>
      </c>
      <c r="M439" s="655"/>
      <c r="N439" s="653"/>
      <c r="O439" s="653"/>
      <c r="P439" s="653"/>
      <c r="Q439" s="653"/>
      <c r="R439" s="653"/>
      <c r="S439" s="653"/>
      <c r="T439" s="653"/>
      <c r="U439" s="653"/>
    </row>
    <row r="440" spans="1:21" ht="15.75" customHeight="1">
      <c r="A440" s="673"/>
      <c r="B440" s="674"/>
      <c r="C440" s="675"/>
      <c r="D440" s="671"/>
      <c r="E440" s="676"/>
      <c r="H440" s="653"/>
      <c r="I440" s="1749" t="s">
        <v>3110</v>
      </c>
      <c r="J440" s="715" t="s">
        <v>3111</v>
      </c>
      <c r="K440" s="716">
        <v>4.5399999999999998E-4</v>
      </c>
      <c r="L440" s="716">
        <v>4.57E-4</v>
      </c>
      <c r="M440" s="655"/>
      <c r="N440" s="653"/>
      <c r="O440" s="653"/>
      <c r="P440" s="653"/>
      <c r="Q440" s="653"/>
      <c r="R440" s="653"/>
      <c r="S440" s="653"/>
      <c r="T440" s="653"/>
      <c r="U440" s="653"/>
    </row>
    <row r="441" spans="1:21" ht="17.25" customHeight="1">
      <c r="A441" s="677"/>
      <c r="B441" s="678"/>
      <c r="C441" s="681"/>
      <c r="D441" s="680"/>
      <c r="E441" s="676"/>
      <c r="H441" s="653"/>
      <c r="I441" s="1749" t="s">
        <v>3112</v>
      </c>
      <c r="J441" s="715" t="s">
        <v>3113</v>
      </c>
      <c r="K441" s="716">
        <v>4.6999999999999997E-5</v>
      </c>
      <c r="L441" s="716">
        <v>4.1199999999999999E-4</v>
      </c>
      <c r="M441" s="655"/>
      <c r="N441" s="653"/>
      <c r="O441" s="653"/>
      <c r="P441" s="653"/>
      <c r="Q441" s="653"/>
      <c r="R441" s="653"/>
      <c r="S441" s="653"/>
      <c r="T441" s="653"/>
      <c r="U441" s="653"/>
    </row>
    <row r="442" spans="1:21" ht="17.25" customHeight="1">
      <c r="A442" s="677"/>
      <c r="B442" s="678"/>
      <c r="C442" s="681"/>
      <c r="D442" s="680"/>
      <c r="E442" s="676"/>
      <c r="H442" s="653"/>
      <c r="I442" s="1749" t="s">
        <v>3114</v>
      </c>
      <c r="J442" s="715" t="s">
        <v>3115</v>
      </c>
      <c r="K442" s="716">
        <v>4.3800000000000002E-4</v>
      </c>
      <c r="L442" s="716">
        <v>4.1300000000000001E-4</v>
      </c>
      <c r="M442" s="655"/>
      <c r="N442" s="653"/>
      <c r="O442" s="653"/>
      <c r="P442" s="653"/>
      <c r="Q442" s="653"/>
      <c r="R442" s="653"/>
      <c r="S442" s="653"/>
      <c r="T442" s="653"/>
      <c r="U442" s="653"/>
    </row>
    <row r="443" spans="1:21" ht="17.25" customHeight="1">
      <c r="A443" s="677"/>
      <c r="B443" s="678"/>
      <c r="C443" s="681"/>
      <c r="D443" s="680"/>
      <c r="E443" s="676"/>
      <c r="H443" s="653"/>
      <c r="I443" s="1749" t="s">
        <v>5501</v>
      </c>
      <c r="J443" s="715" t="s">
        <v>3857</v>
      </c>
      <c r="K443" s="716">
        <v>5.8500000000000002E-4</v>
      </c>
      <c r="L443" s="716">
        <v>0</v>
      </c>
      <c r="M443" s="655"/>
      <c r="N443" s="653"/>
      <c r="O443" s="653"/>
      <c r="P443" s="653"/>
      <c r="Q443" s="653"/>
      <c r="R443" s="653"/>
      <c r="S443" s="653"/>
      <c r="T443" s="653"/>
      <c r="U443" s="653"/>
    </row>
    <row r="444" spans="1:21" ht="17.25" customHeight="1">
      <c r="A444" s="677"/>
      <c r="B444" s="678"/>
      <c r="C444" s="681"/>
      <c r="D444" s="680"/>
      <c r="E444" s="676"/>
      <c r="H444" s="653"/>
      <c r="I444" s="1749" t="s">
        <v>5502</v>
      </c>
      <c r="J444" s="715" t="s">
        <v>3857</v>
      </c>
      <c r="K444" s="716">
        <v>5.8500000000000002E-4</v>
      </c>
      <c r="L444" s="716">
        <v>2.6899999999999998E-4</v>
      </c>
      <c r="M444" s="655"/>
      <c r="N444" s="653"/>
      <c r="O444" s="653"/>
      <c r="P444" s="653"/>
      <c r="Q444" s="653"/>
      <c r="R444" s="653"/>
      <c r="S444" s="653"/>
      <c r="T444" s="653"/>
      <c r="U444" s="653"/>
    </row>
    <row r="445" spans="1:21" ht="17.25" customHeight="1">
      <c r="A445" s="677"/>
      <c r="B445" s="678"/>
      <c r="C445" s="681"/>
      <c r="D445" s="680"/>
      <c r="E445" s="676"/>
      <c r="H445" s="653"/>
      <c r="I445" s="1749" t="s">
        <v>5503</v>
      </c>
      <c r="J445" s="715" t="s">
        <v>3857</v>
      </c>
      <c r="K445" s="716">
        <v>5.8500000000000002E-4</v>
      </c>
      <c r="L445" s="716">
        <v>4.8799999999999999E-4</v>
      </c>
      <c r="M445" s="655"/>
      <c r="N445" s="653"/>
      <c r="O445" s="653"/>
      <c r="P445" s="653"/>
      <c r="Q445" s="653"/>
      <c r="R445" s="653"/>
      <c r="S445" s="653"/>
      <c r="T445" s="653"/>
      <c r="U445" s="653"/>
    </row>
    <row r="446" spans="1:21" ht="17.25" customHeight="1">
      <c r="A446" s="677"/>
      <c r="B446" s="678"/>
      <c r="C446" s="681"/>
      <c r="D446" s="680"/>
      <c r="E446" s="676"/>
      <c r="H446" s="653"/>
      <c r="I446" s="1749" t="s">
        <v>5504</v>
      </c>
      <c r="J446" s="715" t="s">
        <v>3857</v>
      </c>
      <c r="K446" s="716">
        <v>5.8500000000000002E-4</v>
      </c>
      <c r="L446" s="716">
        <v>5.3600000000000002E-4</v>
      </c>
      <c r="M446" s="655"/>
      <c r="N446" s="653"/>
      <c r="O446" s="653"/>
      <c r="P446" s="653"/>
      <c r="Q446" s="653"/>
      <c r="R446" s="653"/>
      <c r="S446" s="653"/>
      <c r="T446" s="653"/>
      <c r="U446" s="653"/>
    </row>
    <row r="447" spans="1:21" ht="17.25" customHeight="1">
      <c r="A447" s="677"/>
      <c r="B447" s="678"/>
      <c r="C447" s="681"/>
      <c r="D447" s="680"/>
      <c r="E447" s="676"/>
      <c r="H447" s="653"/>
      <c r="I447" s="1749" t="s">
        <v>3116</v>
      </c>
      <c r="J447" s="715" t="s">
        <v>3117</v>
      </c>
      <c r="K447" s="716">
        <v>3.2000000000000003E-4</v>
      </c>
      <c r="L447" s="716">
        <v>2.6499999999999999E-4</v>
      </c>
      <c r="M447" s="655"/>
      <c r="N447" s="653"/>
      <c r="O447" s="653"/>
      <c r="P447" s="653"/>
      <c r="Q447" s="653"/>
      <c r="R447" s="653"/>
      <c r="S447" s="653"/>
      <c r="T447" s="653"/>
      <c r="U447" s="653"/>
    </row>
    <row r="448" spans="1:21" ht="17.25" customHeight="1">
      <c r="A448" s="677"/>
      <c r="B448" s="678"/>
      <c r="C448" s="681"/>
      <c r="D448" s="680"/>
      <c r="E448" s="676"/>
      <c r="H448" s="653"/>
      <c r="I448" s="1749" t="s">
        <v>3118</v>
      </c>
      <c r="J448" s="715" t="s">
        <v>3119</v>
      </c>
      <c r="K448" s="716">
        <v>4.4099999999999999E-4</v>
      </c>
      <c r="L448" s="716">
        <v>3.4299999999999999E-4</v>
      </c>
      <c r="M448" s="655"/>
      <c r="N448" s="653"/>
      <c r="O448" s="653"/>
      <c r="P448" s="653"/>
      <c r="Q448" s="653"/>
      <c r="R448" s="653"/>
      <c r="S448" s="653"/>
      <c r="T448" s="653"/>
      <c r="U448" s="653"/>
    </row>
    <row r="449" spans="1:21">
      <c r="A449" s="677"/>
      <c r="B449" s="678"/>
      <c r="C449" s="681"/>
      <c r="D449" s="682"/>
      <c r="E449" s="676"/>
      <c r="H449" s="653"/>
      <c r="I449" s="1749" t="s">
        <v>3120</v>
      </c>
      <c r="J449" s="715" t="s">
        <v>3121</v>
      </c>
      <c r="K449" s="716">
        <v>4.4099999999999999E-4</v>
      </c>
      <c r="L449" s="716">
        <v>3.7599999999999998E-4</v>
      </c>
      <c r="M449" s="655"/>
      <c r="N449" s="653"/>
      <c r="O449" s="653"/>
      <c r="P449" s="653"/>
      <c r="Q449" s="653"/>
      <c r="R449" s="653"/>
      <c r="S449" s="653"/>
      <c r="T449" s="653"/>
      <c r="U449" s="653"/>
    </row>
    <row r="450" spans="1:21" ht="17.25" customHeight="1">
      <c r="A450" s="677"/>
      <c r="B450" s="678"/>
      <c r="C450" s="681"/>
      <c r="D450" s="680"/>
      <c r="E450" s="676"/>
      <c r="H450" s="653"/>
      <c r="I450" s="1749" t="s">
        <v>3858</v>
      </c>
      <c r="J450" s="715" t="s">
        <v>3122</v>
      </c>
      <c r="K450" s="716">
        <v>2.7300000000000002E-4</v>
      </c>
      <c r="L450" s="716">
        <v>0</v>
      </c>
      <c r="M450" s="655"/>
      <c r="N450" s="653"/>
      <c r="O450" s="653"/>
      <c r="P450" s="653"/>
      <c r="Q450" s="653"/>
      <c r="R450" s="653"/>
      <c r="S450" s="653"/>
      <c r="T450" s="653"/>
      <c r="U450" s="653"/>
    </row>
    <row r="451" spans="1:21" ht="17.25" customHeight="1">
      <c r="A451" s="677"/>
      <c r="B451" s="678"/>
      <c r="C451" s="681"/>
      <c r="D451" s="680"/>
      <c r="E451" s="676"/>
      <c r="H451" s="653"/>
      <c r="I451" s="1749" t="s">
        <v>3859</v>
      </c>
      <c r="J451" s="715" t="s">
        <v>3122</v>
      </c>
      <c r="K451" s="716">
        <v>2.7300000000000002E-4</v>
      </c>
      <c r="L451" s="716">
        <v>4.73E-4</v>
      </c>
      <c r="M451" s="655"/>
      <c r="N451" s="653"/>
      <c r="O451" s="653"/>
      <c r="P451" s="653"/>
      <c r="Q451" s="653"/>
      <c r="R451" s="653"/>
      <c r="S451" s="653"/>
      <c r="T451" s="653"/>
      <c r="U451" s="653"/>
    </row>
    <row r="452" spans="1:21" ht="17.25" customHeight="1">
      <c r="A452" s="677"/>
      <c r="B452" s="678"/>
      <c r="C452" s="681"/>
      <c r="D452" s="680"/>
      <c r="E452" s="676"/>
      <c r="H452" s="653"/>
      <c r="I452" s="1749" t="s">
        <v>5505</v>
      </c>
      <c r="J452" s="715" t="s">
        <v>3123</v>
      </c>
      <c r="K452" s="716">
        <v>4.6799999999999999E-4</v>
      </c>
      <c r="L452" s="716">
        <v>0</v>
      </c>
      <c r="M452" s="655"/>
      <c r="N452" s="653"/>
      <c r="O452" s="653"/>
      <c r="P452" s="653"/>
      <c r="Q452" s="653"/>
      <c r="R452" s="653"/>
      <c r="S452" s="653"/>
      <c r="T452" s="653"/>
      <c r="U452" s="653"/>
    </row>
    <row r="453" spans="1:21" ht="15.75" customHeight="1">
      <c r="A453" s="690"/>
      <c r="B453" s="699"/>
      <c r="C453" s="670"/>
      <c r="D453" s="671"/>
      <c r="E453" s="676"/>
      <c r="H453" s="653"/>
      <c r="I453" s="1749" t="s">
        <v>5506</v>
      </c>
      <c r="J453" s="715" t="s">
        <v>3123</v>
      </c>
      <c r="K453" s="716">
        <v>4.6799999999999999E-4</v>
      </c>
      <c r="L453" s="716">
        <v>4.26E-4</v>
      </c>
      <c r="M453" s="655"/>
      <c r="N453" s="653"/>
      <c r="O453" s="653"/>
      <c r="P453" s="653"/>
      <c r="Q453" s="653"/>
      <c r="R453" s="653"/>
      <c r="S453" s="653"/>
      <c r="T453" s="653"/>
      <c r="U453" s="653"/>
    </row>
    <row r="454" spans="1:21" ht="15.75" customHeight="1">
      <c r="A454" s="673"/>
      <c r="B454" s="700"/>
      <c r="C454" s="675"/>
      <c r="D454" s="671"/>
      <c r="E454" s="676"/>
      <c r="H454" s="653"/>
      <c r="I454" s="1749" t="s">
        <v>3124</v>
      </c>
      <c r="J454" s="715" t="s">
        <v>5507</v>
      </c>
      <c r="K454" s="716">
        <v>3.6699999999999998E-4</v>
      </c>
      <c r="L454" s="716">
        <v>0</v>
      </c>
      <c r="M454" s="655"/>
      <c r="N454" s="653"/>
      <c r="O454" s="653"/>
      <c r="P454" s="653"/>
      <c r="Q454" s="653"/>
      <c r="R454" s="653"/>
      <c r="S454" s="653"/>
      <c r="T454" s="653"/>
      <c r="U454" s="653"/>
    </row>
    <row r="455" spans="1:21" ht="15.75" customHeight="1">
      <c r="A455" s="690"/>
      <c r="B455" s="683"/>
      <c r="C455" s="670"/>
      <c r="D455" s="671"/>
      <c r="E455" s="676"/>
      <c r="H455" s="653"/>
      <c r="I455" s="1749" t="s">
        <v>3860</v>
      </c>
      <c r="J455" s="715" t="s">
        <v>5507</v>
      </c>
      <c r="K455" s="716">
        <v>3.6699999999999998E-4</v>
      </c>
      <c r="L455" s="716">
        <v>4.6700000000000002E-4</v>
      </c>
      <c r="M455" s="655"/>
      <c r="N455" s="653"/>
      <c r="O455" s="653"/>
      <c r="P455" s="653"/>
      <c r="Q455" s="653"/>
      <c r="R455" s="653"/>
      <c r="S455" s="653"/>
      <c r="T455" s="653"/>
      <c r="U455" s="653"/>
    </row>
    <row r="456" spans="1:21" ht="15.75" customHeight="1">
      <c r="A456" s="673"/>
      <c r="B456" s="674"/>
      <c r="C456" s="675"/>
      <c r="D456" s="671"/>
      <c r="E456" s="676"/>
      <c r="H456" s="653"/>
      <c r="I456" s="1749" t="s">
        <v>3125</v>
      </c>
      <c r="J456" s="715" t="s">
        <v>3861</v>
      </c>
      <c r="K456" s="716">
        <v>5.7200000000000003E-4</v>
      </c>
      <c r="L456" s="716">
        <v>6.0099999999999997E-4</v>
      </c>
      <c r="M456" s="655"/>
      <c r="N456" s="653"/>
      <c r="O456" s="653"/>
      <c r="P456" s="653"/>
      <c r="Q456" s="653"/>
      <c r="R456" s="653"/>
      <c r="S456" s="653"/>
      <c r="T456" s="653"/>
      <c r="U456" s="653"/>
    </row>
    <row r="457" spans="1:21" ht="17.25" customHeight="1">
      <c r="A457" s="677"/>
      <c r="B457" s="678"/>
      <c r="C457" s="681"/>
      <c r="D457" s="680"/>
      <c r="E457" s="676"/>
      <c r="H457" s="653"/>
      <c r="I457" s="1749" t="s">
        <v>3126</v>
      </c>
      <c r="J457" s="715" t="s">
        <v>3127</v>
      </c>
      <c r="K457" s="716">
        <v>4.7600000000000002E-4</v>
      </c>
      <c r="L457" s="716">
        <v>4.2000000000000002E-4</v>
      </c>
      <c r="M457" s="655"/>
      <c r="N457" s="653"/>
      <c r="O457" s="653"/>
      <c r="P457" s="653"/>
      <c r="Q457" s="653"/>
      <c r="R457" s="653"/>
      <c r="S457" s="653"/>
      <c r="T457" s="653"/>
      <c r="U457" s="653"/>
    </row>
    <row r="458" spans="1:21" ht="17.25" customHeight="1">
      <c r="A458" s="677"/>
      <c r="B458" s="678"/>
      <c r="C458" s="681"/>
      <c r="D458" s="680"/>
      <c r="E458" s="676"/>
      <c r="H458" s="653"/>
      <c r="I458" s="1749" t="s">
        <v>3128</v>
      </c>
      <c r="J458" s="715" t="s">
        <v>3129</v>
      </c>
      <c r="K458" s="716">
        <v>4.55E-4</v>
      </c>
      <c r="L458" s="716">
        <v>6.0000000000000002E-6</v>
      </c>
      <c r="M458" s="655"/>
      <c r="N458" s="653"/>
      <c r="O458" s="653"/>
      <c r="P458" s="653"/>
      <c r="Q458" s="653"/>
      <c r="R458" s="653"/>
      <c r="S458" s="653"/>
      <c r="T458" s="653"/>
      <c r="U458" s="653"/>
    </row>
    <row r="459" spans="1:21" ht="17.25" customHeight="1">
      <c r="A459" s="677"/>
      <c r="B459" s="678"/>
      <c r="C459" s="681"/>
      <c r="D459" s="680"/>
      <c r="E459" s="676"/>
      <c r="H459" s="653"/>
      <c r="I459" s="1749" t="s">
        <v>3130</v>
      </c>
      <c r="J459" s="715" t="s">
        <v>3131</v>
      </c>
      <c r="K459" s="716">
        <v>4.3600000000000003E-4</v>
      </c>
      <c r="L459" s="716">
        <v>4.86E-4</v>
      </c>
      <c r="M459" s="655"/>
      <c r="N459" s="653"/>
      <c r="O459" s="653"/>
      <c r="P459" s="653"/>
      <c r="Q459" s="653"/>
      <c r="R459" s="653"/>
      <c r="S459" s="653"/>
      <c r="T459" s="653"/>
      <c r="U459" s="653"/>
    </row>
    <row r="460" spans="1:21" ht="16.5" customHeight="1">
      <c r="A460" s="677"/>
      <c r="B460" s="678"/>
      <c r="C460" s="681"/>
      <c r="D460" s="680"/>
      <c r="E460" s="676"/>
      <c r="H460" s="653"/>
      <c r="I460" s="1749" t="s">
        <v>5508</v>
      </c>
      <c r="J460" s="715" t="s">
        <v>3132</v>
      </c>
      <c r="K460" s="716">
        <v>1.56E-4</v>
      </c>
      <c r="L460" s="716">
        <v>0</v>
      </c>
      <c r="M460" s="655"/>
      <c r="N460" s="653"/>
      <c r="O460" s="653"/>
      <c r="P460" s="653"/>
      <c r="Q460" s="653"/>
      <c r="R460" s="653"/>
      <c r="S460" s="653"/>
      <c r="T460" s="653"/>
      <c r="U460" s="653"/>
    </row>
    <row r="461" spans="1:21" ht="17.25" customHeight="1">
      <c r="A461" s="677"/>
      <c r="B461" s="678"/>
      <c r="C461" s="681"/>
      <c r="D461" s="680"/>
      <c r="E461" s="676"/>
      <c r="H461" s="653"/>
      <c r="I461" s="1749" t="s">
        <v>5509</v>
      </c>
      <c r="J461" s="715" t="s">
        <v>3132</v>
      </c>
      <c r="K461" s="716">
        <v>1.56E-4</v>
      </c>
      <c r="L461" s="716">
        <v>5.8699999999999996E-4</v>
      </c>
      <c r="M461" s="655"/>
      <c r="N461" s="653"/>
      <c r="O461" s="653"/>
      <c r="P461" s="653"/>
      <c r="Q461" s="653"/>
      <c r="R461" s="653"/>
      <c r="S461" s="653"/>
      <c r="T461" s="653"/>
      <c r="U461" s="653"/>
    </row>
    <row r="462" spans="1:21" ht="17.25" customHeight="1">
      <c r="A462" s="677"/>
      <c r="B462" s="678"/>
      <c r="C462" s="681"/>
      <c r="D462" s="680"/>
      <c r="E462" s="676"/>
      <c r="H462" s="653"/>
      <c r="I462" s="1749" t="s">
        <v>3133</v>
      </c>
      <c r="J462" s="715" t="s">
        <v>3134</v>
      </c>
      <c r="K462" s="716">
        <v>3.4E-5</v>
      </c>
      <c r="L462" s="716">
        <v>0</v>
      </c>
      <c r="M462" s="655"/>
      <c r="N462" s="653"/>
      <c r="O462" s="653"/>
      <c r="P462" s="653"/>
      <c r="Q462" s="653"/>
      <c r="R462" s="653"/>
      <c r="S462" s="653"/>
      <c r="T462" s="653"/>
      <c r="U462" s="653"/>
    </row>
    <row r="463" spans="1:21" ht="17.25" customHeight="1">
      <c r="A463" s="677"/>
      <c r="B463" s="678"/>
      <c r="C463" s="681"/>
      <c r="D463" s="680"/>
      <c r="E463" s="676"/>
      <c r="H463" s="653"/>
      <c r="I463" s="1749" t="s">
        <v>5510</v>
      </c>
      <c r="J463" s="715" t="s">
        <v>3134</v>
      </c>
      <c r="K463" s="716">
        <v>3.4E-5</v>
      </c>
      <c r="L463" s="716">
        <v>6.1399999999999996E-4</v>
      </c>
      <c r="M463" s="655"/>
      <c r="N463" s="653"/>
      <c r="O463" s="653"/>
      <c r="P463" s="653"/>
      <c r="Q463" s="653"/>
      <c r="R463" s="653"/>
      <c r="S463" s="653"/>
      <c r="T463" s="653"/>
      <c r="U463" s="653"/>
    </row>
    <row r="464" spans="1:21" ht="17.25" customHeight="1">
      <c r="A464" s="677"/>
      <c r="B464" s="678"/>
      <c r="C464" s="681"/>
      <c r="D464" s="680"/>
      <c r="E464" s="676"/>
      <c r="H464" s="653"/>
      <c r="I464" s="1749" t="s">
        <v>3135</v>
      </c>
      <c r="J464" s="715" t="s">
        <v>3862</v>
      </c>
      <c r="K464" s="716">
        <v>4.4099999999999999E-4</v>
      </c>
      <c r="L464" s="716">
        <v>9.1699999999999995E-4</v>
      </c>
      <c r="M464" s="655"/>
      <c r="N464" s="653"/>
      <c r="O464" s="653"/>
      <c r="P464" s="653"/>
      <c r="Q464" s="653"/>
      <c r="R464" s="653"/>
      <c r="S464" s="653"/>
      <c r="T464" s="653"/>
      <c r="U464" s="653"/>
    </row>
    <row r="465" spans="1:21" ht="17.25" customHeight="1">
      <c r="A465" s="677"/>
      <c r="B465" s="678"/>
      <c r="C465" s="681"/>
      <c r="D465" s="680"/>
      <c r="E465" s="676"/>
      <c r="H465" s="653"/>
      <c r="I465" s="1749" t="s">
        <v>3136</v>
      </c>
      <c r="J465" s="715" t="s">
        <v>3137</v>
      </c>
      <c r="K465" s="716">
        <v>1.4100000000000001E-4</v>
      </c>
      <c r="L465" s="716">
        <v>0</v>
      </c>
      <c r="M465" s="655"/>
      <c r="N465" s="653"/>
      <c r="O465" s="653"/>
      <c r="P465" s="653"/>
      <c r="Q465" s="653"/>
      <c r="R465" s="653"/>
      <c r="S465" s="653"/>
      <c r="T465" s="653"/>
      <c r="U465" s="653"/>
    </row>
    <row r="466" spans="1:21" ht="17.25" customHeight="1">
      <c r="A466" s="677"/>
      <c r="B466" s="678"/>
      <c r="C466" s="681"/>
      <c r="D466" s="680"/>
      <c r="E466" s="676"/>
      <c r="H466" s="653"/>
      <c r="I466" s="1749" t="s">
        <v>3863</v>
      </c>
      <c r="J466" s="715" t="s">
        <v>3137</v>
      </c>
      <c r="K466" s="716">
        <v>1.4100000000000001E-4</v>
      </c>
      <c r="L466" s="716">
        <v>9.3300000000000002E-4</v>
      </c>
      <c r="M466" s="655"/>
      <c r="N466" s="653"/>
      <c r="O466" s="653"/>
      <c r="P466" s="653"/>
      <c r="Q466" s="653"/>
      <c r="R466" s="653"/>
      <c r="S466" s="653"/>
      <c r="T466" s="653"/>
      <c r="U466" s="653"/>
    </row>
    <row r="467" spans="1:21" ht="17.25" customHeight="1">
      <c r="A467" s="677"/>
      <c r="B467" s="678"/>
      <c r="C467" s="681"/>
      <c r="D467" s="680"/>
      <c r="E467" s="676"/>
      <c r="H467" s="653"/>
      <c r="I467" s="1749" t="s">
        <v>5511</v>
      </c>
      <c r="J467" s="715" t="s">
        <v>3138</v>
      </c>
      <c r="K467" s="716">
        <v>4.1899999999999999E-4</v>
      </c>
      <c r="L467" s="716">
        <v>3.7800000000000003E-4</v>
      </c>
      <c r="M467" s="655"/>
      <c r="N467" s="653"/>
      <c r="O467" s="653"/>
      <c r="P467" s="653"/>
      <c r="Q467" s="653"/>
      <c r="R467" s="653"/>
      <c r="S467" s="653"/>
      <c r="T467" s="653"/>
      <c r="U467" s="653"/>
    </row>
    <row r="468" spans="1:21">
      <c r="A468" s="701"/>
      <c r="B468" s="702"/>
      <c r="C468" s="703"/>
      <c r="D468" s="671"/>
      <c r="E468" s="704"/>
      <c r="H468" s="653"/>
      <c r="I468" s="1749" t="s">
        <v>5512</v>
      </c>
      <c r="J468" s="715" t="s">
        <v>3138</v>
      </c>
      <c r="K468" s="716">
        <v>4.1899999999999999E-4</v>
      </c>
      <c r="L468" s="716">
        <v>5.7600000000000001E-4</v>
      </c>
      <c r="M468" s="655"/>
      <c r="N468" s="653"/>
      <c r="O468" s="653"/>
      <c r="P468" s="653"/>
      <c r="Q468" s="653"/>
      <c r="R468" s="653"/>
      <c r="S468" s="653"/>
      <c r="T468" s="653"/>
      <c r="U468" s="653"/>
    </row>
    <row r="469" spans="1:21" ht="17.25" customHeight="1">
      <c r="A469" s="677"/>
      <c r="B469" s="678"/>
      <c r="C469" s="681"/>
      <c r="D469" s="680"/>
      <c r="E469" s="676"/>
      <c r="H469" s="653"/>
      <c r="I469" s="1749" t="s">
        <v>3864</v>
      </c>
      <c r="J469" s="715" t="s">
        <v>3139</v>
      </c>
      <c r="K469" s="716">
        <v>2.0799999999999999E-4</v>
      </c>
      <c r="L469" s="716">
        <v>0</v>
      </c>
      <c r="M469" s="655"/>
      <c r="N469" s="653"/>
      <c r="O469" s="653"/>
      <c r="P469" s="653"/>
      <c r="Q469" s="653"/>
      <c r="R469" s="653"/>
      <c r="S469" s="653"/>
      <c r="T469" s="653"/>
      <c r="U469" s="653"/>
    </row>
    <row r="470" spans="1:21" ht="17.25" customHeight="1">
      <c r="A470" s="677"/>
      <c r="B470" s="678"/>
      <c r="C470" s="681"/>
      <c r="D470" s="680"/>
      <c r="E470" s="676"/>
      <c r="H470" s="653"/>
      <c r="I470" s="1749" t="s">
        <v>3865</v>
      </c>
      <c r="J470" s="715" t="s">
        <v>3139</v>
      </c>
      <c r="K470" s="716">
        <v>2.0799999999999999E-4</v>
      </c>
      <c r="L470" s="716">
        <v>2.12E-4</v>
      </c>
      <c r="M470" s="655"/>
      <c r="N470" s="653"/>
      <c r="O470" s="653"/>
      <c r="P470" s="653"/>
      <c r="Q470" s="653"/>
      <c r="R470" s="653"/>
      <c r="S470" s="653"/>
      <c r="T470" s="653"/>
      <c r="U470" s="653"/>
    </row>
    <row r="471" spans="1:21" ht="17.25" customHeight="1">
      <c r="A471" s="677"/>
      <c r="B471" s="678"/>
      <c r="C471" s="681"/>
      <c r="D471" s="680"/>
      <c r="E471" s="676"/>
      <c r="H471" s="653"/>
      <c r="I471" s="1749" t="s">
        <v>3866</v>
      </c>
      <c r="J471" s="715" t="s">
        <v>5513</v>
      </c>
      <c r="K471" s="716">
        <v>4.5300000000000001E-4</v>
      </c>
      <c r="L471" s="716">
        <v>0</v>
      </c>
      <c r="M471" s="655"/>
      <c r="N471" s="653"/>
      <c r="O471" s="653"/>
      <c r="P471" s="653"/>
      <c r="Q471" s="653"/>
      <c r="R471" s="653"/>
      <c r="S471" s="653"/>
      <c r="T471" s="653"/>
      <c r="U471" s="653"/>
    </row>
    <row r="472" spans="1:21" ht="17.25" customHeight="1">
      <c r="A472" s="677"/>
      <c r="B472" s="678"/>
      <c r="C472" s="681"/>
      <c r="D472" s="680"/>
      <c r="E472" s="676"/>
      <c r="H472" s="653"/>
      <c r="I472" s="1749" t="s">
        <v>3867</v>
      </c>
      <c r="J472" s="715" t="s">
        <v>5513</v>
      </c>
      <c r="K472" s="716">
        <v>4.5300000000000001E-4</v>
      </c>
      <c r="L472" s="716">
        <v>5.4000000000000001E-4</v>
      </c>
      <c r="M472" s="655"/>
      <c r="N472" s="653"/>
      <c r="O472" s="653"/>
      <c r="P472" s="653"/>
      <c r="Q472" s="653"/>
      <c r="R472" s="653"/>
      <c r="S472" s="653"/>
      <c r="T472" s="653"/>
      <c r="U472" s="653"/>
    </row>
    <row r="473" spans="1:21" ht="15.75" customHeight="1">
      <c r="A473" s="690"/>
      <c r="B473" s="683"/>
      <c r="C473" s="670"/>
      <c r="D473" s="671"/>
      <c r="E473" s="676"/>
      <c r="H473" s="653"/>
      <c r="I473" s="1749" t="s">
        <v>3140</v>
      </c>
      <c r="J473" s="715" t="s">
        <v>3141</v>
      </c>
      <c r="K473" s="716">
        <v>4.8000000000000001E-5</v>
      </c>
      <c r="L473" s="716">
        <v>4.37E-4</v>
      </c>
      <c r="M473" s="655"/>
      <c r="N473" s="653"/>
      <c r="O473" s="653"/>
      <c r="P473" s="653"/>
      <c r="Q473" s="653"/>
      <c r="R473" s="653"/>
      <c r="S473" s="653"/>
      <c r="T473" s="653"/>
      <c r="U473" s="653"/>
    </row>
    <row r="474" spans="1:21" ht="15.75" customHeight="1">
      <c r="A474" s="673"/>
      <c r="B474" s="674"/>
      <c r="C474" s="675"/>
      <c r="D474" s="671"/>
      <c r="E474" s="676"/>
      <c r="H474" s="653"/>
      <c r="I474" s="1749" t="s">
        <v>3868</v>
      </c>
      <c r="J474" s="715" t="s">
        <v>3869</v>
      </c>
      <c r="K474" s="716">
        <v>4.4099999999999999E-4</v>
      </c>
      <c r="L474" s="716">
        <v>5.4100000000000003E-4</v>
      </c>
      <c r="M474" s="655"/>
      <c r="N474" s="653"/>
      <c r="O474" s="653"/>
      <c r="P474" s="653"/>
      <c r="Q474" s="653"/>
      <c r="R474" s="653"/>
      <c r="S474" s="653"/>
      <c r="T474" s="653"/>
      <c r="U474" s="653"/>
    </row>
    <row r="475" spans="1:21" ht="17.25" customHeight="1">
      <c r="A475" s="677"/>
      <c r="B475" s="678"/>
      <c r="C475" s="681"/>
      <c r="D475" s="680"/>
      <c r="E475" s="676"/>
      <c r="H475" s="653"/>
      <c r="I475" s="1749" t="s">
        <v>3142</v>
      </c>
      <c r="J475" s="715" t="s">
        <v>3143</v>
      </c>
      <c r="K475" s="716">
        <v>4.0700000000000003E-4</v>
      </c>
      <c r="L475" s="716">
        <v>3.8299999999999999E-4</v>
      </c>
      <c r="M475" s="655"/>
      <c r="N475" s="653"/>
      <c r="O475" s="653"/>
      <c r="P475" s="653"/>
      <c r="Q475" s="653"/>
      <c r="R475" s="653"/>
      <c r="S475" s="653"/>
      <c r="T475" s="653"/>
      <c r="U475" s="653"/>
    </row>
    <row r="476" spans="1:21">
      <c r="A476" s="677"/>
      <c r="B476" s="678"/>
      <c r="C476" s="681"/>
      <c r="D476" s="682"/>
      <c r="E476" s="676"/>
      <c r="H476" s="653"/>
      <c r="I476" s="1749" t="s">
        <v>3144</v>
      </c>
      <c r="J476" s="715" t="s">
        <v>3145</v>
      </c>
      <c r="K476" s="716">
        <v>3.8699999999999997E-4</v>
      </c>
      <c r="L476" s="716">
        <v>3.3100000000000002E-4</v>
      </c>
      <c r="M476" s="655"/>
      <c r="N476" s="653"/>
      <c r="O476" s="653"/>
      <c r="P476" s="653"/>
      <c r="Q476" s="653"/>
      <c r="R476" s="653"/>
      <c r="S476" s="653"/>
      <c r="T476" s="653"/>
      <c r="U476" s="653"/>
    </row>
    <row r="477" spans="1:21" ht="17.25" customHeight="1">
      <c r="A477" s="677"/>
      <c r="B477" s="678"/>
      <c r="C477" s="681"/>
      <c r="D477" s="680"/>
      <c r="E477" s="676"/>
      <c r="H477" s="653"/>
      <c r="I477" s="1749" t="s">
        <v>3146</v>
      </c>
      <c r="J477" s="715" t="s">
        <v>3147</v>
      </c>
      <c r="K477" s="716">
        <v>4.66E-4</v>
      </c>
      <c r="L477" s="716">
        <v>4.0900000000000002E-4</v>
      </c>
      <c r="M477" s="655"/>
      <c r="N477" s="653"/>
      <c r="O477" s="653"/>
      <c r="P477" s="653"/>
      <c r="Q477" s="653"/>
      <c r="R477" s="653"/>
      <c r="S477" s="653"/>
      <c r="T477" s="653"/>
      <c r="U477" s="653"/>
    </row>
    <row r="478" spans="1:21" ht="17.25" customHeight="1">
      <c r="A478" s="677"/>
      <c r="B478" s="678"/>
      <c r="C478" s="681"/>
      <c r="D478" s="680"/>
      <c r="E478" s="676"/>
      <c r="H478" s="653"/>
      <c r="I478" s="1749" t="s">
        <v>3148</v>
      </c>
      <c r="J478" s="715" t="s">
        <v>3149</v>
      </c>
      <c r="K478" s="716">
        <v>4.0499999999999998E-4</v>
      </c>
      <c r="L478" s="716">
        <v>4.1300000000000001E-4</v>
      </c>
      <c r="M478" s="655"/>
      <c r="N478" s="653"/>
      <c r="O478" s="653"/>
      <c r="P478" s="653"/>
      <c r="Q478" s="653"/>
      <c r="R478" s="653"/>
      <c r="S478" s="653"/>
      <c r="T478" s="653"/>
      <c r="U478" s="653"/>
    </row>
    <row r="479" spans="1:21">
      <c r="A479" s="677"/>
      <c r="B479" s="693"/>
      <c r="C479" s="681"/>
      <c r="D479" s="682"/>
      <c r="E479" s="676"/>
      <c r="H479" s="653"/>
      <c r="I479" s="1749" t="s">
        <v>5514</v>
      </c>
      <c r="J479" s="715" t="s">
        <v>3150</v>
      </c>
      <c r="K479" s="716">
        <v>2.9700000000000001E-4</v>
      </c>
      <c r="L479" s="716">
        <v>0</v>
      </c>
      <c r="M479" s="655"/>
      <c r="N479" s="653"/>
      <c r="O479" s="653"/>
      <c r="P479" s="653"/>
      <c r="Q479" s="653"/>
      <c r="R479" s="653"/>
      <c r="S479" s="653"/>
      <c r="T479" s="653"/>
      <c r="U479" s="653"/>
    </row>
    <row r="480" spans="1:21" ht="17.25" customHeight="1">
      <c r="A480" s="677"/>
      <c r="B480" s="678"/>
      <c r="C480" s="681"/>
      <c r="D480" s="680"/>
      <c r="E480" s="676"/>
      <c r="H480" s="653"/>
      <c r="I480" s="1749" t="s">
        <v>5515</v>
      </c>
      <c r="J480" s="715" t="s">
        <v>3150</v>
      </c>
      <c r="K480" s="716">
        <v>2.9700000000000001E-4</v>
      </c>
      <c r="L480" s="716">
        <v>2.7399999999999999E-4</v>
      </c>
      <c r="M480" s="655"/>
      <c r="N480" s="653"/>
      <c r="O480" s="653"/>
      <c r="P480" s="653"/>
      <c r="Q480" s="653"/>
      <c r="R480" s="653"/>
      <c r="S480" s="653"/>
      <c r="T480" s="653"/>
      <c r="U480" s="653"/>
    </row>
    <row r="481" spans="1:21" ht="17.25" customHeight="1">
      <c r="A481" s="677"/>
      <c r="B481" s="678"/>
      <c r="C481" s="681"/>
      <c r="D481" s="680"/>
      <c r="E481" s="676"/>
      <c r="H481" s="653"/>
      <c r="I481" s="1749" t="s">
        <v>3151</v>
      </c>
      <c r="J481" s="715" t="s">
        <v>3152</v>
      </c>
      <c r="K481" s="716">
        <v>4.6500000000000003E-4</v>
      </c>
      <c r="L481" s="716">
        <v>5.0299999999999997E-4</v>
      </c>
      <c r="M481" s="655"/>
      <c r="N481" s="653"/>
      <c r="O481" s="653"/>
      <c r="P481" s="653"/>
      <c r="Q481" s="653"/>
      <c r="R481" s="653"/>
      <c r="S481" s="653"/>
      <c r="T481" s="653"/>
      <c r="U481" s="653"/>
    </row>
    <row r="482" spans="1:21" ht="17.25" customHeight="1">
      <c r="A482" s="677"/>
      <c r="B482" s="678"/>
      <c r="C482" s="681"/>
      <c r="D482" s="680"/>
      <c r="E482" s="676"/>
      <c r="H482" s="653"/>
      <c r="I482" s="1749" t="s">
        <v>3153</v>
      </c>
      <c r="J482" s="715" t="s">
        <v>3154</v>
      </c>
      <c r="K482" s="716">
        <v>5.1999999999999995E-4</v>
      </c>
      <c r="L482" s="716">
        <v>5.3700000000000004E-4</v>
      </c>
      <c r="M482" s="655"/>
      <c r="N482" s="653"/>
      <c r="O482" s="653"/>
      <c r="P482" s="653"/>
      <c r="Q482" s="653"/>
      <c r="R482" s="653"/>
      <c r="S482" s="653"/>
      <c r="T482" s="653"/>
      <c r="U482" s="653"/>
    </row>
    <row r="483" spans="1:21" ht="15.75" customHeight="1">
      <c r="A483" s="690"/>
      <c r="B483" s="699"/>
      <c r="C483" s="670"/>
      <c r="D483" s="671"/>
      <c r="E483" s="676"/>
      <c r="H483" s="653"/>
      <c r="I483" s="1749" t="s">
        <v>5516</v>
      </c>
      <c r="J483" s="715" t="s">
        <v>3155</v>
      </c>
      <c r="K483" s="716">
        <v>3.2200000000000002E-4</v>
      </c>
      <c r="L483" s="716">
        <v>0</v>
      </c>
      <c r="M483" s="655"/>
      <c r="N483" s="653"/>
      <c r="O483" s="653"/>
      <c r="P483" s="653"/>
      <c r="Q483" s="653"/>
      <c r="R483" s="653"/>
      <c r="S483" s="653"/>
      <c r="T483" s="653"/>
      <c r="U483" s="653"/>
    </row>
    <row r="484" spans="1:21" ht="15.75" customHeight="1">
      <c r="A484" s="673"/>
      <c r="B484" s="700"/>
      <c r="C484" s="675"/>
      <c r="D484" s="671"/>
      <c r="E484" s="676"/>
      <c r="H484" s="653"/>
      <c r="I484" s="1749" t="s">
        <v>5517</v>
      </c>
      <c r="J484" s="715" t="s">
        <v>3155</v>
      </c>
      <c r="K484" s="716">
        <v>3.2200000000000002E-4</v>
      </c>
      <c r="L484" s="716">
        <v>4.57E-4</v>
      </c>
      <c r="M484" s="655"/>
      <c r="N484" s="653"/>
      <c r="O484" s="653"/>
      <c r="P484" s="653"/>
      <c r="Q484" s="653"/>
      <c r="R484" s="653"/>
      <c r="S484" s="653"/>
      <c r="T484" s="653"/>
      <c r="U484" s="653"/>
    </row>
    <row r="485" spans="1:21">
      <c r="A485" s="677"/>
      <c r="B485" s="678"/>
      <c r="C485" s="681"/>
      <c r="D485" s="682"/>
      <c r="E485" s="676"/>
      <c r="H485" s="653"/>
      <c r="I485" s="1749" t="s">
        <v>3156</v>
      </c>
      <c r="J485" s="715" t="s">
        <v>3870</v>
      </c>
      <c r="K485" s="716">
        <v>4.3300000000000001E-4</v>
      </c>
      <c r="L485" s="716">
        <v>3.7800000000000003E-4</v>
      </c>
      <c r="M485" s="655"/>
      <c r="N485" s="653"/>
      <c r="O485" s="653"/>
      <c r="P485" s="653"/>
      <c r="Q485" s="653"/>
      <c r="R485" s="653"/>
      <c r="S485" s="653"/>
      <c r="T485" s="653"/>
      <c r="U485" s="653"/>
    </row>
    <row r="486" spans="1:21">
      <c r="A486" s="677"/>
      <c r="B486" s="678"/>
      <c r="C486" s="681"/>
      <c r="D486" s="682"/>
      <c r="E486" s="676"/>
      <c r="H486" s="653"/>
      <c r="I486" s="1749" t="s">
        <v>3157</v>
      </c>
      <c r="J486" s="715" t="s">
        <v>3158</v>
      </c>
      <c r="K486" s="716">
        <v>3.3799999999999998E-4</v>
      </c>
      <c r="L486" s="716">
        <v>3.6699999999999998E-4</v>
      </c>
      <c r="M486" s="655"/>
      <c r="N486" s="653"/>
      <c r="O486" s="653"/>
      <c r="P486" s="653"/>
      <c r="Q486" s="653"/>
      <c r="R486" s="653"/>
      <c r="S486" s="653"/>
      <c r="T486" s="653"/>
      <c r="U486" s="653"/>
    </row>
    <row r="487" spans="1:21" ht="17.25" customHeight="1">
      <c r="A487" s="677"/>
      <c r="B487" s="678"/>
      <c r="C487" s="681"/>
      <c r="D487" s="680"/>
      <c r="E487" s="676"/>
      <c r="H487" s="653"/>
      <c r="I487" s="1749" t="s">
        <v>3159</v>
      </c>
      <c r="J487" s="715" t="s">
        <v>3160</v>
      </c>
      <c r="K487" s="716">
        <v>3.2400000000000001E-4</v>
      </c>
      <c r="L487" s="716">
        <v>4.0999999999999999E-4</v>
      </c>
      <c r="M487" s="655"/>
      <c r="N487" s="653"/>
      <c r="O487" s="653"/>
      <c r="P487" s="653"/>
      <c r="Q487" s="653"/>
      <c r="R487" s="653"/>
      <c r="S487" s="653"/>
      <c r="T487" s="653"/>
      <c r="U487" s="653"/>
    </row>
    <row r="488" spans="1:21" ht="17.25" customHeight="1">
      <c r="A488" s="677"/>
      <c r="B488" s="678"/>
      <c r="C488" s="681"/>
      <c r="D488" s="680"/>
      <c r="E488" s="676"/>
      <c r="H488" s="653"/>
      <c r="I488" s="1749" t="s">
        <v>3871</v>
      </c>
      <c r="J488" s="715" t="s">
        <v>3161</v>
      </c>
      <c r="K488" s="716">
        <v>4.37E-4</v>
      </c>
      <c r="L488" s="716">
        <v>0</v>
      </c>
      <c r="M488" s="655"/>
      <c r="N488" s="653"/>
      <c r="O488" s="653"/>
      <c r="P488" s="653"/>
      <c r="Q488" s="653"/>
      <c r="R488" s="653"/>
      <c r="S488" s="653"/>
      <c r="T488" s="653"/>
      <c r="U488" s="653"/>
    </row>
    <row r="489" spans="1:21">
      <c r="A489" s="677"/>
      <c r="B489" s="693"/>
      <c r="C489" s="681"/>
      <c r="D489" s="682"/>
      <c r="E489" s="676"/>
      <c r="H489" s="653"/>
      <c r="I489" s="1749" t="s">
        <v>3872</v>
      </c>
      <c r="J489" s="715" t="s">
        <v>3161</v>
      </c>
      <c r="K489" s="716">
        <v>4.37E-4</v>
      </c>
      <c r="L489" s="716">
        <v>3.8200000000000002E-4</v>
      </c>
      <c r="M489" s="655"/>
      <c r="N489" s="653"/>
      <c r="O489" s="653"/>
      <c r="P489" s="653"/>
      <c r="Q489" s="653"/>
      <c r="R489" s="653"/>
      <c r="S489" s="653"/>
      <c r="T489" s="653"/>
      <c r="U489" s="653"/>
    </row>
    <row r="490" spans="1:21" ht="15.75" customHeight="1">
      <c r="A490" s="690"/>
      <c r="B490" s="683"/>
      <c r="C490" s="670"/>
      <c r="D490" s="671"/>
      <c r="E490" s="676"/>
      <c r="H490" s="653"/>
      <c r="I490" s="1749" t="s">
        <v>3162</v>
      </c>
      <c r="J490" s="715" t="s">
        <v>3163</v>
      </c>
      <c r="K490" s="716">
        <v>4.0400000000000001E-4</v>
      </c>
      <c r="L490" s="716">
        <v>4.2299999999999998E-4</v>
      </c>
      <c r="M490" s="655"/>
      <c r="N490" s="653"/>
      <c r="O490" s="653"/>
      <c r="P490" s="653"/>
      <c r="Q490" s="653"/>
      <c r="R490" s="653"/>
      <c r="S490" s="653"/>
      <c r="T490" s="653"/>
      <c r="U490" s="653"/>
    </row>
    <row r="491" spans="1:21" ht="15.75" customHeight="1">
      <c r="A491" s="673"/>
      <c r="B491" s="674"/>
      <c r="C491" s="675"/>
      <c r="D491" s="671"/>
      <c r="E491" s="676"/>
      <c r="H491" s="653"/>
      <c r="I491" s="1749" t="s">
        <v>3164</v>
      </c>
      <c r="J491" s="715" t="s">
        <v>3165</v>
      </c>
      <c r="K491" s="716">
        <v>4.7899999999999999E-4</v>
      </c>
      <c r="L491" s="716">
        <v>4.2299999999999998E-4</v>
      </c>
      <c r="M491" s="655"/>
      <c r="N491" s="653"/>
      <c r="O491" s="653"/>
      <c r="P491" s="653"/>
      <c r="Q491" s="653"/>
      <c r="R491" s="653"/>
      <c r="S491" s="653"/>
      <c r="T491" s="653"/>
      <c r="U491" s="653"/>
    </row>
    <row r="492" spans="1:21" ht="15.75" customHeight="1">
      <c r="A492" s="673"/>
      <c r="B492" s="674"/>
      <c r="C492" s="675"/>
      <c r="D492" s="671"/>
      <c r="E492" s="676"/>
      <c r="H492" s="653"/>
      <c r="I492" s="1749" t="s">
        <v>3166</v>
      </c>
      <c r="J492" s="715" t="s">
        <v>3167</v>
      </c>
      <c r="K492" s="716">
        <v>5.62E-4</v>
      </c>
      <c r="L492" s="716">
        <v>5.2400000000000005E-4</v>
      </c>
      <c r="M492" s="655"/>
      <c r="N492" s="653"/>
      <c r="O492" s="653"/>
      <c r="P492" s="653"/>
      <c r="Q492" s="653"/>
      <c r="R492" s="653"/>
      <c r="S492" s="653"/>
      <c r="T492" s="653"/>
      <c r="U492" s="653"/>
    </row>
    <row r="493" spans="1:21" ht="15.75" customHeight="1">
      <c r="A493" s="673"/>
      <c r="B493" s="674"/>
      <c r="C493" s="675"/>
      <c r="D493" s="671"/>
      <c r="E493" s="676"/>
      <c r="H493" s="653"/>
      <c r="I493" s="1749" t="s">
        <v>3168</v>
      </c>
      <c r="J493" s="715" t="s">
        <v>3169</v>
      </c>
      <c r="K493" s="716">
        <v>0</v>
      </c>
      <c r="L493" s="716">
        <v>5.9500000000000004E-4</v>
      </c>
      <c r="M493" s="655"/>
      <c r="N493" s="653"/>
      <c r="O493" s="653"/>
      <c r="P493" s="653"/>
      <c r="Q493" s="653"/>
      <c r="R493" s="653"/>
      <c r="S493" s="653"/>
      <c r="T493" s="653"/>
      <c r="U493" s="653"/>
    </row>
    <row r="494" spans="1:21" ht="15.75" customHeight="1">
      <c r="A494" s="673"/>
      <c r="B494" s="674"/>
      <c r="C494" s="675"/>
      <c r="D494" s="671"/>
      <c r="E494" s="676"/>
      <c r="H494" s="653"/>
      <c r="I494" s="1749" t="s">
        <v>3170</v>
      </c>
      <c r="J494" s="715" t="s">
        <v>3171</v>
      </c>
      <c r="K494" s="716">
        <v>4.7899999999999999E-4</v>
      </c>
      <c r="L494" s="716">
        <v>4.2400000000000001E-4</v>
      </c>
      <c r="M494" s="655"/>
      <c r="N494" s="653"/>
      <c r="O494" s="653"/>
      <c r="P494" s="653"/>
      <c r="Q494" s="653"/>
      <c r="R494" s="653"/>
      <c r="S494" s="653"/>
      <c r="T494" s="653"/>
      <c r="U494" s="653"/>
    </row>
    <row r="495" spans="1:21" ht="15.75" customHeight="1">
      <c r="A495" s="673"/>
      <c r="B495" s="674"/>
      <c r="C495" s="675"/>
      <c r="D495" s="671"/>
      <c r="E495" s="676"/>
      <c r="H495" s="653"/>
      <c r="I495" s="1749" t="s">
        <v>5518</v>
      </c>
      <c r="J495" s="715" t="s">
        <v>3172</v>
      </c>
      <c r="K495" s="716">
        <v>4.5100000000000001E-4</v>
      </c>
      <c r="L495" s="716">
        <v>0</v>
      </c>
      <c r="M495" s="655"/>
      <c r="N495" s="653"/>
      <c r="O495" s="653"/>
      <c r="P495" s="653"/>
      <c r="Q495" s="653"/>
      <c r="R495" s="653"/>
      <c r="S495" s="653"/>
      <c r="T495" s="653"/>
      <c r="U495" s="653"/>
    </row>
    <row r="496" spans="1:21" ht="15.75" customHeight="1">
      <c r="A496" s="673"/>
      <c r="B496" s="674"/>
      <c r="C496" s="675"/>
      <c r="D496" s="671"/>
      <c r="E496" s="676"/>
      <c r="H496" s="653"/>
      <c r="I496" s="1749" t="s">
        <v>5519</v>
      </c>
      <c r="J496" s="715" t="s">
        <v>3172</v>
      </c>
      <c r="K496" s="716">
        <v>4.5100000000000001E-4</v>
      </c>
      <c r="L496" s="716">
        <v>4.5600000000000003E-4</v>
      </c>
      <c r="M496" s="655"/>
      <c r="N496" s="653"/>
      <c r="O496" s="653"/>
      <c r="P496" s="653"/>
      <c r="Q496" s="653"/>
      <c r="R496" s="653"/>
      <c r="S496" s="653"/>
      <c r="T496" s="653"/>
      <c r="U496" s="653"/>
    </row>
    <row r="497" spans="1:21" ht="17.25" customHeight="1">
      <c r="A497" s="677"/>
      <c r="B497" s="678"/>
      <c r="C497" s="681"/>
      <c r="D497" s="680"/>
      <c r="E497" s="676"/>
      <c r="H497" s="653"/>
      <c r="I497" s="1749" t="s">
        <v>3173</v>
      </c>
      <c r="J497" s="715" t="s">
        <v>3174</v>
      </c>
      <c r="K497" s="716">
        <v>5.3300000000000005E-4</v>
      </c>
      <c r="L497" s="716">
        <v>0</v>
      </c>
      <c r="M497" s="655"/>
      <c r="N497" s="653"/>
      <c r="O497" s="653"/>
      <c r="P497" s="653"/>
      <c r="Q497" s="653"/>
      <c r="R497" s="653"/>
      <c r="S497" s="653"/>
      <c r="T497" s="653"/>
      <c r="U497" s="653"/>
    </row>
    <row r="498" spans="1:21" ht="17.25" customHeight="1">
      <c r="A498" s="677"/>
      <c r="B498" s="678"/>
      <c r="C498" s="681"/>
      <c r="D498" s="680"/>
      <c r="E498" s="676"/>
      <c r="H498" s="653"/>
      <c r="I498" s="1749" t="s">
        <v>3873</v>
      </c>
      <c r="J498" s="715" t="s">
        <v>3174</v>
      </c>
      <c r="K498" s="716">
        <v>5.3300000000000005E-4</v>
      </c>
      <c r="L498" s="716">
        <v>0</v>
      </c>
      <c r="M498" s="655"/>
      <c r="N498" s="653"/>
      <c r="O498" s="653"/>
      <c r="P498" s="653"/>
      <c r="Q498" s="653"/>
      <c r="R498" s="653"/>
      <c r="S498" s="653"/>
      <c r="T498" s="653"/>
      <c r="U498" s="653"/>
    </row>
    <row r="499" spans="1:21" ht="17.25" customHeight="1">
      <c r="A499" s="677"/>
      <c r="B499" s="678"/>
      <c r="C499" s="681"/>
      <c r="D499" s="680"/>
      <c r="E499" s="676"/>
      <c r="H499" s="653"/>
      <c r="I499" s="1749" t="s">
        <v>3874</v>
      </c>
      <c r="J499" s="715" t="s">
        <v>3174</v>
      </c>
      <c r="K499" s="716">
        <v>5.3300000000000005E-4</v>
      </c>
      <c r="L499" s="716">
        <v>5.4100000000000003E-4</v>
      </c>
      <c r="M499" s="655"/>
      <c r="N499" s="653"/>
      <c r="O499" s="653"/>
      <c r="P499" s="653"/>
      <c r="Q499" s="653"/>
      <c r="R499" s="653"/>
      <c r="S499" s="653"/>
      <c r="T499" s="653"/>
      <c r="U499" s="653"/>
    </row>
    <row r="500" spans="1:21" ht="17.25" customHeight="1">
      <c r="A500" s="677"/>
      <c r="B500" s="678"/>
      <c r="C500" s="681"/>
      <c r="D500" s="680"/>
      <c r="E500" s="676"/>
      <c r="H500" s="653"/>
      <c r="I500" s="1749" t="s">
        <v>3175</v>
      </c>
      <c r="J500" s="715" t="s">
        <v>3176</v>
      </c>
      <c r="K500" s="716">
        <v>4.7699999999999999E-4</v>
      </c>
      <c r="L500" s="716">
        <v>0</v>
      </c>
      <c r="M500" s="655"/>
      <c r="N500" s="653"/>
      <c r="O500" s="653"/>
      <c r="P500" s="653"/>
      <c r="Q500" s="653"/>
      <c r="R500" s="653"/>
      <c r="S500" s="653"/>
      <c r="T500" s="653"/>
      <c r="U500" s="653"/>
    </row>
    <row r="501" spans="1:21" ht="17.25" customHeight="1">
      <c r="A501" s="677"/>
      <c r="B501" s="678"/>
      <c r="C501" s="681"/>
      <c r="D501" s="680"/>
      <c r="E501" s="676"/>
      <c r="H501" s="653"/>
      <c r="I501" s="1749" t="s">
        <v>3177</v>
      </c>
      <c r="J501" s="715" t="s">
        <v>3176</v>
      </c>
      <c r="K501" s="716">
        <v>4.7699999999999999E-4</v>
      </c>
      <c r="L501" s="716">
        <v>0</v>
      </c>
      <c r="M501" s="655"/>
      <c r="N501" s="653"/>
      <c r="O501" s="653"/>
      <c r="P501" s="653"/>
      <c r="Q501" s="653"/>
      <c r="R501" s="653"/>
      <c r="S501" s="653"/>
      <c r="T501" s="653"/>
      <c r="U501" s="653"/>
    </row>
    <row r="502" spans="1:21" ht="15.75" customHeight="1">
      <c r="A502" s="690"/>
      <c r="B502" s="683"/>
      <c r="C502" s="694"/>
      <c r="D502" s="671"/>
      <c r="E502" s="676"/>
      <c r="H502" s="653"/>
      <c r="I502" s="1749" t="s">
        <v>5520</v>
      </c>
      <c r="J502" s="715" t="s">
        <v>3176</v>
      </c>
      <c r="K502" s="716">
        <v>4.7699999999999999E-4</v>
      </c>
      <c r="L502" s="716">
        <v>0</v>
      </c>
      <c r="M502" s="655"/>
      <c r="N502" s="653"/>
      <c r="O502" s="653"/>
      <c r="P502" s="653"/>
      <c r="Q502" s="653"/>
      <c r="R502" s="653"/>
      <c r="S502" s="653"/>
      <c r="T502" s="653"/>
      <c r="U502" s="653"/>
    </row>
    <row r="503" spans="1:21" ht="15.75" customHeight="1">
      <c r="A503" s="673"/>
      <c r="B503" s="674"/>
      <c r="C503" s="695"/>
      <c r="D503" s="671"/>
      <c r="E503" s="676"/>
      <c r="H503" s="653"/>
      <c r="I503" s="1749" t="s">
        <v>5521</v>
      </c>
      <c r="J503" s="715" t="s">
        <v>3176</v>
      </c>
      <c r="K503" s="716">
        <v>4.7699999999999999E-4</v>
      </c>
      <c r="L503" s="716">
        <v>4.7100000000000001E-4</v>
      </c>
      <c r="M503" s="655"/>
      <c r="N503" s="653"/>
      <c r="O503" s="653"/>
      <c r="P503" s="653"/>
      <c r="Q503" s="653"/>
      <c r="R503" s="653"/>
      <c r="S503" s="653"/>
      <c r="T503" s="653"/>
      <c r="U503" s="653"/>
    </row>
    <row r="504" spans="1:21" ht="17.25" customHeight="1">
      <c r="A504" s="677"/>
      <c r="B504" s="678"/>
      <c r="C504" s="681"/>
      <c r="D504" s="680"/>
      <c r="E504" s="676"/>
      <c r="H504" s="653"/>
      <c r="I504" s="1749" t="s">
        <v>3178</v>
      </c>
      <c r="J504" s="715" t="s">
        <v>3179</v>
      </c>
      <c r="K504" s="716">
        <v>4.57E-4</v>
      </c>
      <c r="L504" s="716">
        <v>0</v>
      </c>
      <c r="M504" s="655"/>
      <c r="N504" s="653"/>
      <c r="O504" s="653"/>
      <c r="P504" s="653"/>
      <c r="Q504" s="653"/>
      <c r="R504" s="653"/>
      <c r="S504" s="653"/>
      <c r="T504" s="653"/>
      <c r="U504" s="653"/>
    </row>
    <row r="505" spans="1:21">
      <c r="A505" s="677"/>
      <c r="B505" s="678"/>
      <c r="C505" s="681"/>
      <c r="D505" s="682"/>
      <c r="E505" s="676"/>
      <c r="H505" s="653"/>
      <c r="I505" s="1749" t="s">
        <v>3180</v>
      </c>
      <c r="J505" s="715" t="s">
        <v>3179</v>
      </c>
      <c r="K505" s="716">
        <v>4.57E-4</v>
      </c>
      <c r="L505" s="716">
        <v>0</v>
      </c>
      <c r="M505" s="655"/>
      <c r="N505" s="653"/>
      <c r="O505" s="653"/>
      <c r="P505" s="653"/>
      <c r="Q505" s="653"/>
      <c r="R505" s="653"/>
      <c r="S505" s="653"/>
      <c r="T505" s="653"/>
      <c r="U505" s="653"/>
    </row>
    <row r="506" spans="1:21" ht="17.25" customHeight="1">
      <c r="A506" s="677"/>
      <c r="B506" s="678"/>
      <c r="C506" s="681"/>
      <c r="D506" s="680"/>
      <c r="E506" s="676"/>
      <c r="H506" s="653"/>
      <c r="I506" s="1749" t="s">
        <v>3181</v>
      </c>
      <c r="J506" s="715" t="s">
        <v>3179</v>
      </c>
      <c r="K506" s="716">
        <v>4.57E-4</v>
      </c>
      <c r="L506" s="716">
        <v>0</v>
      </c>
      <c r="M506" s="655"/>
      <c r="N506" s="653"/>
      <c r="O506" s="653"/>
      <c r="P506" s="653"/>
      <c r="Q506" s="653"/>
      <c r="R506" s="653"/>
      <c r="S506" s="653"/>
      <c r="T506" s="653"/>
      <c r="U506" s="653"/>
    </row>
    <row r="507" spans="1:21" ht="17.25" customHeight="1">
      <c r="A507" s="677"/>
      <c r="B507" s="678"/>
      <c r="C507" s="681"/>
      <c r="D507" s="680"/>
      <c r="E507" s="676"/>
      <c r="H507" s="653"/>
      <c r="I507" s="1749" t="s">
        <v>3182</v>
      </c>
      <c r="J507" s="715" t="s">
        <v>3179</v>
      </c>
      <c r="K507" s="716">
        <v>4.57E-4</v>
      </c>
      <c r="L507" s="716">
        <v>0</v>
      </c>
      <c r="M507" s="655"/>
      <c r="N507" s="653"/>
      <c r="O507" s="653"/>
      <c r="P507" s="653"/>
      <c r="Q507" s="653"/>
      <c r="R507" s="653"/>
      <c r="S507" s="653"/>
      <c r="T507" s="653"/>
      <c r="U507" s="653"/>
    </row>
    <row r="508" spans="1:21" ht="15.75" customHeight="1">
      <c r="A508" s="690"/>
      <c r="B508" s="683"/>
      <c r="C508" s="670"/>
      <c r="D508" s="671"/>
      <c r="E508" s="676"/>
      <c r="H508" s="653"/>
      <c r="I508" s="1749" t="s">
        <v>3183</v>
      </c>
      <c r="J508" s="715" t="s">
        <v>3179</v>
      </c>
      <c r="K508" s="716">
        <v>4.57E-4</v>
      </c>
      <c r="L508" s="716">
        <v>0</v>
      </c>
      <c r="M508" s="655"/>
      <c r="N508" s="653"/>
      <c r="O508" s="653"/>
      <c r="P508" s="653"/>
      <c r="Q508" s="653"/>
      <c r="R508" s="653"/>
      <c r="S508" s="653"/>
      <c r="T508" s="653"/>
      <c r="U508" s="653"/>
    </row>
    <row r="509" spans="1:21" ht="15.75" customHeight="1">
      <c r="A509" s="673"/>
      <c r="B509" s="674"/>
      <c r="C509" s="675"/>
      <c r="D509" s="671"/>
      <c r="E509" s="676"/>
      <c r="H509" s="653"/>
      <c r="I509" s="1749" t="s">
        <v>3184</v>
      </c>
      <c r="J509" s="715" t="s">
        <v>3179</v>
      </c>
      <c r="K509" s="716">
        <v>4.57E-4</v>
      </c>
      <c r="L509" s="716">
        <v>0</v>
      </c>
      <c r="M509" s="655"/>
      <c r="N509" s="653"/>
      <c r="O509" s="653"/>
      <c r="P509" s="653"/>
      <c r="Q509" s="653"/>
      <c r="R509" s="653"/>
      <c r="S509" s="653"/>
      <c r="T509" s="653"/>
      <c r="U509" s="653"/>
    </row>
    <row r="510" spans="1:21" ht="17.25" customHeight="1">
      <c r="A510" s="677"/>
      <c r="B510" s="678"/>
      <c r="C510" s="681"/>
      <c r="D510" s="680"/>
      <c r="E510" s="676"/>
      <c r="H510" s="653"/>
      <c r="I510" s="1749" t="s">
        <v>3875</v>
      </c>
      <c r="J510" s="715" t="s">
        <v>3179</v>
      </c>
      <c r="K510" s="716">
        <v>4.57E-4</v>
      </c>
      <c r="L510" s="716">
        <v>0</v>
      </c>
      <c r="M510" s="655"/>
      <c r="N510" s="653"/>
      <c r="O510" s="653"/>
      <c r="P510" s="653"/>
      <c r="Q510" s="653"/>
      <c r="R510" s="653"/>
      <c r="S510" s="653"/>
      <c r="T510" s="653"/>
      <c r="U510" s="653"/>
    </row>
    <row r="511" spans="1:21" ht="17.25" customHeight="1">
      <c r="A511" s="677"/>
      <c r="B511" s="678"/>
      <c r="C511" s="681"/>
      <c r="D511" s="680"/>
      <c r="E511" s="676"/>
      <c r="H511" s="653"/>
      <c r="I511" s="1749" t="s">
        <v>3876</v>
      </c>
      <c r="J511" s="715" t="s">
        <v>3179</v>
      </c>
      <c r="K511" s="716">
        <v>4.57E-4</v>
      </c>
      <c r="L511" s="716">
        <v>0</v>
      </c>
      <c r="M511" s="655"/>
      <c r="N511" s="653"/>
      <c r="O511" s="653"/>
      <c r="P511" s="653"/>
      <c r="Q511" s="653"/>
      <c r="R511" s="653"/>
      <c r="S511" s="653"/>
      <c r="T511" s="653"/>
      <c r="U511" s="653"/>
    </row>
    <row r="512" spans="1:21">
      <c r="A512" s="701"/>
      <c r="B512" s="702"/>
      <c r="C512" s="703"/>
      <c r="D512" s="671"/>
      <c r="E512" s="704"/>
      <c r="H512" s="653"/>
      <c r="I512" s="1749" t="s">
        <v>3877</v>
      </c>
      <c r="J512" s="715" t="s">
        <v>3179</v>
      </c>
      <c r="K512" s="716">
        <v>4.57E-4</v>
      </c>
      <c r="L512" s="716">
        <v>0</v>
      </c>
      <c r="M512" s="655"/>
      <c r="N512" s="653"/>
      <c r="O512" s="653"/>
      <c r="P512" s="653"/>
      <c r="Q512" s="653"/>
      <c r="R512" s="653"/>
      <c r="S512" s="653"/>
      <c r="T512" s="653"/>
      <c r="U512" s="653"/>
    </row>
    <row r="513" spans="1:21" ht="17.25" customHeight="1">
      <c r="A513" s="677"/>
      <c r="B513" s="678"/>
      <c r="C513" s="681"/>
      <c r="D513" s="680"/>
      <c r="E513" s="676"/>
      <c r="H513" s="653"/>
      <c r="I513" s="1749" t="s">
        <v>5522</v>
      </c>
      <c r="J513" s="715" t="s">
        <v>3179</v>
      </c>
      <c r="K513" s="716">
        <v>4.57E-4</v>
      </c>
      <c r="L513" s="716">
        <v>0</v>
      </c>
      <c r="M513" s="655"/>
      <c r="N513" s="653"/>
      <c r="O513" s="653"/>
      <c r="P513" s="653"/>
      <c r="Q513" s="653"/>
      <c r="R513" s="653"/>
      <c r="S513" s="653"/>
      <c r="T513" s="653"/>
      <c r="U513" s="653"/>
    </row>
    <row r="514" spans="1:21" ht="17.25" customHeight="1">
      <c r="A514" s="677"/>
      <c r="B514" s="678"/>
      <c r="C514" s="681"/>
      <c r="D514" s="680"/>
      <c r="E514" s="676"/>
      <c r="H514" s="653"/>
      <c r="I514" s="1749" t="s">
        <v>5523</v>
      </c>
      <c r="J514" s="715" t="s">
        <v>3179</v>
      </c>
      <c r="K514" s="716">
        <v>4.57E-4</v>
      </c>
      <c r="L514" s="716">
        <v>0</v>
      </c>
      <c r="M514" s="655"/>
      <c r="N514" s="653"/>
      <c r="O514" s="653"/>
      <c r="P514" s="653"/>
      <c r="Q514" s="653"/>
      <c r="R514" s="653"/>
      <c r="S514" s="653"/>
      <c r="T514" s="653"/>
      <c r="U514" s="653"/>
    </row>
    <row r="515" spans="1:21" ht="17.25" customHeight="1">
      <c r="A515" s="677"/>
      <c r="B515" s="678"/>
      <c r="C515" s="681"/>
      <c r="D515" s="680"/>
      <c r="E515" s="676"/>
      <c r="H515" s="653"/>
      <c r="I515" s="1749" t="s">
        <v>5524</v>
      </c>
      <c r="J515" s="715" t="s">
        <v>3179</v>
      </c>
      <c r="K515" s="716">
        <v>4.57E-4</v>
      </c>
      <c r="L515" s="716">
        <v>3.8999999999999999E-4</v>
      </c>
      <c r="M515" s="655"/>
      <c r="N515" s="653"/>
      <c r="O515" s="653"/>
      <c r="P515" s="653"/>
      <c r="Q515" s="653"/>
      <c r="R515" s="653"/>
      <c r="S515" s="653"/>
      <c r="T515" s="653"/>
      <c r="U515" s="653"/>
    </row>
    <row r="516" spans="1:21">
      <c r="A516" s="677"/>
      <c r="B516" s="678"/>
      <c r="C516" s="681"/>
      <c r="D516" s="682"/>
      <c r="E516" s="676"/>
      <c r="H516" s="653"/>
      <c r="I516" s="1749" t="s">
        <v>3185</v>
      </c>
      <c r="J516" s="715" t="s">
        <v>3186</v>
      </c>
      <c r="K516" s="716">
        <v>4.3300000000000001E-4</v>
      </c>
      <c r="L516" s="716">
        <v>0</v>
      </c>
      <c r="M516" s="655"/>
      <c r="N516" s="653"/>
      <c r="O516" s="653"/>
      <c r="P516" s="653"/>
      <c r="Q516" s="653"/>
      <c r="R516" s="653"/>
      <c r="S516" s="653"/>
      <c r="T516" s="653"/>
      <c r="U516" s="653"/>
    </row>
    <row r="517" spans="1:21" ht="17.25" customHeight="1">
      <c r="A517" s="677"/>
      <c r="B517" s="678"/>
      <c r="C517" s="681"/>
      <c r="D517" s="680"/>
      <c r="E517" s="676"/>
      <c r="H517" s="653"/>
      <c r="I517" s="1749" t="s">
        <v>3878</v>
      </c>
      <c r="J517" s="715" t="s">
        <v>3186</v>
      </c>
      <c r="K517" s="716">
        <v>4.3300000000000001E-4</v>
      </c>
      <c r="L517" s="716">
        <v>4.5899999999999999E-4</v>
      </c>
      <c r="M517" s="655"/>
      <c r="N517" s="653"/>
      <c r="O517" s="653"/>
      <c r="P517" s="653"/>
      <c r="Q517" s="653"/>
      <c r="R517" s="653"/>
      <c r="S517" s="653"/>
      <c r="T517" s="653"/>
      <c r="U517" s="653"/>
    </row>
    <row r="518" spans="1:21" ht="17.25" customHeight="1">
      <c r="A518" s="677"/>
      <c r="B518" s="693"/>
      <c r="C518" s="681"/>
      <c r="D518" s="680"/>
      <c r="E518" s="676"/>
      <c r="H518" s="653"/>
      <c r="I518" s="1749" t="s">
        <v>3187</v>
      </c>
      <c r="J518" s="715" t="s">
        <v>3188</v>
      </c>
      <c r="K518" s="716">
        <v>4.8700000000000002E-4</v>
      </c>
      <c r="L518" s="716">
        <v>0</v>
      </c>
      <c r="M518" s="655"/>
      <c r="N518" s="653"/>
      <c r="O518" s="653"/>
      <c r="P518" s="653"/>
      <c r="Q518" s="653"/>
      <c r="R518" s="653"/>
      <c r="S518" s="653"/>
      <c r="T518" s="653"/>
      <c r="U518" s="653"/>
    </row>
    <row r="519" spans="1:21">
      <c r="A519" s="677"/>
      <c r="B519" s="693"/>
      <c r="C519" s="681"/>
      <c r="D519" s="682"/>
      <c r="E519" s="676"/>
      <c r="H519" s="653"/>
      <c r="I519" s="1749" t="s">
        <v>5525</v>
      </c>
      <c r="J519" s="715" t="s">
        <v>3188</v>
      </c>
      <c r="K519" s="716">
        <v>4.8700000000000002E-4</v>
      </c>
      <c r="L519" s="716">
        <v>5.1400000000000003E-4</v>
      </c>
      <c r="M519" s="655"/>
      <c r="N519" s="653"/>
      <c r="O519" s="653"/>
      <c r="P519" s="653"/>
      <c r="Q519" s="653"/>
      <c r="R519" s="653"/>
      <c r="S519" s="653"/>
      <c r="T519" s="653"/>
      <c r="U519" s="653"/>
    </row>
    <row r="520" spans="1:21" ht="17.25" customHeight="1">
      <c r="A520" s="677"/>
      <c r="B520" s="678"/>
      <c r="C520" s="681"/>
      <c r="D520" s="680"/>
      <c r="E520" s="676"/>
      <c r="H520" s="653"/>
      <c r="I520" s="1749" t="s">
        <v>3189</v>
      </c>
      <c r="J520" s="715" t="s">
        <v>5526</v>
      </c>
      <c r="K520" s="716">
        <v>3.6000000000000002E-4</v>
      </c>
      <c r="L520" s="716">
        <v>0</v>
      </c>
      <c r="M520" s="655"/>
      <c r="N520" s="653"/>
      <c r="O520" s="653"/>
      <c r="P520" s="653"/>
      <c r="Q520" s="653"/>
      <c r="R520" s="653"/>
      <c r="S520" s="653"/>
      <c r="T520" s="653"/>
      <c r="U520" s="653"/>
    </row>
    <row r="521" spans="1:21" ht="17.25" customHeight="1">
      <c r="A521" s="677"/>
      <c r="B521" s="678"/>
      <c r="C521" s="681"/>
      <c r="D521" s="680"/>
      <c r="E521" s="676"/>
      <c r="H521" s="653"/>
      <c r="I521" s="1749" t="s">
        <v>3190</v>
      </c>
      <c r="J521" s="715" t="s">
        <v>5526</v>
      </c>
      <c r="K521" s="716">
        <v>3.6000000000000002E-4</v>
      </c>
      <c r="L521" s="716">
        <v>0</v>
      </c>
      <c r="M521" s="655"/>
      <c r="N521" s="653"/>
      <c r="O521" s="653"/>
      <c r="P521" s="653"/>
      <c r="Q521" s="653"/>
      <c r="R521" s="653"/>
      <c r="S521" s="653"/>
      <c r="T521" s="653"/>
      <c r="U521" s="653"/>
    </row>
    <row r="522" spans="1:21" ht="17.25" customHeight="1">
      <c r="A522" s="677"/>
      <c r="B522" s="693"/>
      <c r="C522" s="681"/>
      <c r="D522" s="680"/>
      <c r="E522" s="676"/>
      <c r="H522" s="653"/>
      <c r="I522" s="1749" t="s">
        <v>3191</v>
      </c>
      <c r="J522" s="715" t="s">
        <v>5526</v>
      </c>
      <c r="K522" s="716">
        <v>3.6000000000000002E-4</v>
      </c>
      <c r="L522" s="716">
        <v>0</v>
      </c>
      <c r="M522" s="655"/>
      <c r="N522" s="653"/>
      <c r="O522" s="653"/>
      <c r="P522" s="653"/>
      <c r="Q522" s="653"/>
      <c r="R522" s="653"/>
      <c r="S522" s="653"/>
      <c r="T522" s="653"/>
      <c r="U522" s="653"/>
    </row>
    <row r="523" spans="1:21" ht="17.25" customHeight="1">
      <c r="A523" s="677"/>
      <c r="B523" s="693"/>
      <c r="C523" s="681"/>
      <c r="D523" s="680"/>
      <c r="E523" s="676"/>
      <c r="H523" s="653"/>
      <c r="I523" s="1749" t="s">
        <v>3879</v>
      </c>
      <c r="J523" s="715" t="s">
        <v>5526</v>
      </c>
      <c r="K523" s="716">
        <v>3.6000000000000002E-4</v>
      </c>
      <c r="L523" s="716">
        <v>0</v>
      </c>
      <c r="M523" s="655"/>
      <c r="N523" s="653"/>
      <c r="O523" s="653"/>
      <c r="P523" s="653"/>
      <c r="Q523" s="653"/>
      <c r="R523" s="653"/>
      <c r="S523" s="653"/>
      <c r="T523" s="653"/>
      <c r="U523" s="653"/>
    </row>
    <row r="524" spans="1:21" ht="17.25" customHeight="1">
      <c r="A524" s="677"/>
      <c r="B524" s="678"/>
      <c r="C524" s="681"/>
      <c r="D524" s="680"/>
      <c r="E524" s="676"/>
      <c r="H524" s="653"/>
      <c r="I524" s="1749" t="s">
        <v>3880</v>
      </c>
      <c r="J524" s="715" t="s">
        <v>5526</v>
      </c>
      <c r="K524" s="716">
        <v>3.6000000000000002E-4</v>
      </c>
      <c r="L524" s="716">
        <v>0</v>
      </c>
      <c r="M524" s="655"/>
      <c r="N524" s="653"/>
      <c r="O524" s="653"/>
      <c r="P524" s="653"/>
      <c r="Q524" s="653"/>
      <c r="R524" s="653"/>
      <c r="S524" s="653"/>
      <c r="T524" s="653"/>
      <c r="U524" s="653"/>
    </row>
    <row r="525" spans="1:21" ht="17.25" customHeight="1">
      <c r="A525" s="677"/>
      <c r="B525" s="678"/>
      <c r="C525" s="681"/>
      <c r="D525" s="680"/>
      <c r="E525" s="676"/>
      <c r="H525" s="653"/>
      <c r="I525" s="1749" t="s">
        <v>5527</v>
      </c>
      <c r="J525" s="715" t="s">
        <v>5526</v>
      </c>
      <c r="K525" s="716">
        <v>3.6000000000000002E-4</v>
      </c>
      <c r="L525" s="716">
        <v>0</v>
      </c>
      <c r="M525" s="655"/>
      <c r="N525" s="653"/>
      <c r="O525" s="653"/>
      <c r="P525" s="653"/>
      <c r="Q525" s="653"/>
      <c r="R525" s="653"/>
      <c r="S525" s="653"/>
      <c r="T525" s="653"/>
      <c r="U525" s="653"/>
    </row>
    <row r="526" spans="1:21" ht="17.25" customHeight="1">
      <c r="A526" s="677"/>
      <c r="B526" s="678"/>
      <c r="C526" s="681"/>
      <c r="D526" s="680"/>
      <c r="E526" s="676"/>
      <c r="H526" s="653"/>
      <c r="I526" s="1749" t="s">
        <v>5528</v>
      </c>
      <c r="J526" s="715" t="s">
        <v>5526</v>
      </c>
      <c r="K526" s="716">
        <v>3.6000000000000002E-4</v>
      </c>
      <c r="L526" s="716">
        <v>0</v>
      </c>
      <c r="M526" s="655"/>
      <c r="N526" s="653"/>
      <c r="O526" s="653"/>
      <c r="P526" s="653"/>
      <c r="Q526" s="653"/>
      <c r="R526" s="653"/>
      <c r="S526" s="653"/>
      <c r="T526" s="653"/>
      <c r="U526" s="653"/>
    </row>
    <row r="527" spans="1:21" ht="17.25" customHeight="1">
      <c r="A527" s="677"/>
      <c r="B527" s="678"/>
      <c r="C527" s="681"/>
      <c r="D527" s="680"/>
      <c r="E527" s="676"/>
      <c r="H527" s="653"/>
      <c r="I527" s="1749" t="s">
        <v>5529</v>
      </c>
      <c r="J527" s="715" t="s">
        <v>5526</v>
      </c>
      <c r="K527" s="716">
        <v>3.6000000000000002E-4</v>
      </c>
      <c r="L527" s="716">
        <v>0</v>
      </c>
      <c r="M527" s="655"/>
      <c r="N527" s="653"/>
      <c r="O527" s="653"/>
      <c r="P527" s="653"/>
      <c r="Q527" s="653"/>
      <c r="R527" s="653"/>
      <c r="S527" s="653"/>
      <c r="T527" s="653"/>
      <c r="U527" s="653"/>
    </row>
    <row r="528" spans="1:21" ht="17.25" customHeight="1">
      <c r="A528" s="677"/>
      <c r="B528" s="678"/>
      <c r="C528" s="679"/>
      <c r="D528" s="680"/>
      <c r="E528" s="676"/>
      <c r="H528" s="653"/>
      <c r="I528" s="1749" t="s">
        <v>5530</v>
      </c>
      <c r="J528" s="715" t="s">
        <v>5526</v>
      </c>
      <c r="K528" s="716">
        <v>3.6000000000000002E-4</v>
      </c>
      <c r="L528" s="716">
        <v>4.3399999999999998E-4</v>
      </c>
      <c r="M528" s="655"/>
      <c r="N528" s="653"/>
      <c r="O528" s="653"/>
      <c r="P528" s="653"/>
      <c r="Q528" s="653"/>
      <c r="R528" s="653"/>
      <c r="S528" s="653"/>
      <c r="T528" s="653"/>
      <c r="U528" s="653"/>
    </row>
    <row r="529" spans="1:21" ht="17.25" customHeight="1">
      <c r="A529" s="677"/>
      <c r="B529" s="678"/>
      <c r="C529" s="681"/>
      <c r="D529" s="680"/>
      <c r="E529" s="676"/>
      <c r="H529" s="653"/>
      <c r="I529" s="1749" t="s">
        <v>3192</v>
      </c>
      <c r="J529" s="715" t="s">
        <v>3193</v>
      </c>
      <c r="K529" s="716">
        <v>5.3700000000000004E-4</v>
      </c>
      <c r="L529" s="716">
        <v>0</v>
      </c>
      <c r="M529" s="655"/>
      <c r="N529" s="653"/>
      <c r="O529" s="653"/>
      <c r="P529" s="653"/>
      <c r="Q529" s="653"/>
      <c r="R529" s="653"/>
      <c r="S529" s="653"/>
      <c r="T529" s="653"/>
      <c r="U529" s="653"/>
    </row>
    <row r="530" spans="1:21" ht="17.25" customHeight="1">
      <c r="A530" s="677"/>
      <c r="B530" s="678"/>
      <c r="C530" s="681"/>
      <c r="D530" s="680"/>
      <c r="E530" s="676"/>
      <c r="H530" s="653"/>
      <c r="I530" s="1749" t="s">
        <v>3194</v>
      </c>
      <c r="J530" s="715" t="s">
        <v>3193</v>
      </c>
      <c r="K530" s="716">
        <v>5.3700000000000004E-4</v>
      </c>
      <c r="L530" s="716">
        <v>0</v>
      </c>
      <c r="M530" s="655"/>
      <c r="N530" s="653"/>
      <c r="O530" s="653"/>
      <c r="P530" s="653"/>
      <c r="Q530" s="653"/>
      <c r="R530" s="653"/>
      <c r="S530" s="653"/>
      <c r="T530" s="653"/>
      <c r="U530" s="653"/>
    </row>
    <row r="531" spans="1:21" ht="17.25" customHeight="1">
      <c r="A531" s="677"/>
      <c r="B531" s="678"/>
      <c r="C531" s="681"/>
      <c r="D531" s="680"/>
      <c r="E531" s="676"/>
      <c r="H531" s="653"/>
      <c r="I531" s="1749" t="s">
        <v>3881</v>
      </c>
      <c r="J531" s="715" t="s">
        <v>3193</v>
      </c>
      <c r="K531" s="716">
        <v>5.3700000000000004E-4</v>
      </c>
      <c r="L531" s="716">
        <v>0</v>
      </c>
      <c r="M531" s="655"/>
      <c r="N531" s="653"/>
      <c r="O531" s="653"/>
      <c r="P531" s="653"/>
      <c r="Q531" s="653"/>
      <c r="R531" s="653"/>
      <c r="S531" s="653"/>
      <c r="T531" s="653"/>
      <c r="U531" s="653"/>
    </row>
    <row r="532" spans="1:21" ht="17.25" customHeight="1">
      <c r="A532" s="677"/>
      <c r="B532" s="678"/>
      <c r="C532" s="681"/>
      <c r="D532" s="680"/>
      <c r="E532" s="676"/>
      <c r="H532" s="653"/>
      <c r="I532" s="1749" t="s">
        <v>3882</v>
      </c>
      <c r="J532" s="715" t="s">
        <v>3193</v>
      </c>
      <c r="K532" s="716">
        <v>5.3700000000000004E-4</v>
      </c>
      <c r="L532" s="716">
        <v>0</v>
      </c>
      <c r="M532" s="655"/>
      <c r="N532" s="653"/>
      <c r="O532" s="653"/>
      <c r="P532" s="653"/>
      <c r="Q532" s="653"/>
      <c r="R532" s="653"/>
      <c r="S532" s="653"/>
      <c r="T532" s="653"/>
      <c r="U532" s="653"/>
    </row>
    <row r="533" spans="1:21" ht="15.75" customHeight="1">
      <c r="A533" s="690"/>
      <c r="B533" s="683"/>
      <c r="C533" s="670"/>
      <c r="D533" s="671"/>
      <c r="E533" s="676"/>
      <c r="H533" s="653"/>
      <c r="I533" s="1749" t="s">
        <v>5531</v>
      </c>
      <c r="J533" s="715" t="s">
        <v>3193</v>
      </c>
      <c r="K533" s="716">
        <v>5.3700000000000004E-4</v>
      </c>
      <c r="L533" s="716">
        <v>0</v>
      </c>
      <c r="M533" s="655"/>
      <c r="N533" s="653"/>
      <c r="O533" s="653"/>
      <c r="P533" s="653"/>
      <c r="Q533" s="653"/>
      <c r="R533" s="653"/>
      <c r="S533" s="653"/>
      <c r="T533" s="653"/>
      <c r="U533" s="653"/>
    </row>
    <row r="534" spans="1:21" ht="15.75" customHeight="1">
      <c r="A534" s="673"/>
      <c r="B534" s="674"/>
      <c r="C534" s="675"/>
      <c r="D534" s="671"/>
      <c r="E534" s="676"/>
      <c r="H534" s="653"/>
      <c r="I534" s="1749" t="s">
        <v>5532</v>
      </c>
      <c r="J534" s="715" t="s">
        <v>3193</v>
      </c>
      <c r="K534" s="716">
        <v>5.3700000000000004E-4</v>
      </c>
      <c r="L534" s="716">
        <v>0</v>
      </c>
      <c r="M534" s="655"/>
      <c r="N534" s="653"/>
      <c r="O534" s="653"/>
      <c r="P534" s="653"/>
      <c r="Q534" s="653"/>
      <c r="R534" s="653"/>
      <c r="S534" s="653"/>
      <c r="T534" s="653"/>
      <c r="U534" s="653"/>
    </row>
    <row r="535" spans="1:21" ht="17.25" customHeight="1">
      <c r="A535" s="677"/>
      <c r="B535" s="693"/>
      <c r="C535" s="681"/>
      <c r="D535" s="680"/>
      <c r="E535" s="676"/>
      <c r="H535" s="653"/>
      <c r="I535" s="1749" t="s">
        <v>5533</v>
      </c>
      <c r="J535" s="715" t="s">
        <v>3193</v>
      </c>
      <c r="K535" s="716">
        <v>5.3700000000000004E-4</v>
      </c>
      <c r="L535" s="716">
        <v>5.5199999999999997E-4</v>
      </c>
      <c r="M535" s="655"/>
      <c r="N535" s="653"/>
      <c r="O535" s="653"/>
      <c r="P535" s="653"/>
      <c r="Q535" s="653"/>
      <c r="R535" s="653"/>
      <c r="S535" s="653"/>
      <c r="T535" s="653"/>
      <c r="U535" s="653"/>
    </row>
    <row r="536" spans="1:21" ht="17.25" customHeight="1">
      <c r="A536" s="677"/>
      <c r="B536" s="678"/>
      <c r="C536" s="681"/>
      <c r="D536" s="680"/>
      <c r="E536" s="676"/>
      <c r="H536" s="653"/>
      <c r="I536" s="1749" t="s">
        <v>3195</v>
      </c>
      <c r="J536" s="715" t="s">
        <v>3196</v>
      </c>
      <c r="K536" s="716">
        <v>3.6999999999999999E-4</v>
      </c>
      <c r="L536" s="716">
        <v>0</v>
      </c>
      <c r="M536" s="655"/>
      <c r="N536" s="653"/>
      <c r="O536" s="653"/>
      <c r="P536" s="653"/>
      <c r="Q536" s="653"/>
      <c r="R536" s="653"/>
      <c r="S536" s="653"/>
      <c r="T536" s="653"/>
      <c r="U536" s="653"/>
    </row>
    <row r="537" spans="1:21" ht="17.25" customHeight="1">
      <c r="A537" s="677"/>
      <c r="B537" s="678"/>
      <c r="C537" s="681"/>
      <c r="D537" s="680"/>
      <c r="E537" s="676"/>
      <c r="H537" s="653"/>
      <c r="I537" s="1749" t="s">
        <v>3197</v>
      </c>
      <c r="J537" s="715" t="s">
        <v>3196</v>
      </c>
      <c r="K537" s="716">
        <v>3.6999999999999999E-4</v>
      </c>
      <c r="L537" s="716">
        <v>0</v>
      </c>
      <c r="M537" s="655"/>
      <c r="N537" s="653"/>
      <c r="O537" s="653"/>
      <c r="P537" s="653"/>
      <c r="Q537" s="653"/>
      <c r="R537" s="653"/>
      <c r="S537" s="653"/>
      <c r="T537" s="653"/>
      <c r="U537" s="653"/>
    </row>
    <row r="538" spans="1:21" ht="17.25" customHeight="1">
      <c r="A538" s="677"/>
      <c r="B538" s="678"/>
      <c r="C538" s="679"/>
      <c r="D538" s="680"/>
      <c r="E538" s="696"/>
      <c r="H538" s="653"/>
      <c r="I538" s="1749" t="s">
        <v>3883</v>
      </c>
      <c r="J538" s="715" t="s">
        <v>3196</v>
      </c>
      <c r="K538" s="716">
        <v>3.6999999999999999E-4</v>
      </c>
      <c r="L538" s="716">
        <v>4.5399999999999998E-4</v>
      </c>
      <c r="M538" s="655"/>
      <c r="N538" s="653"/>
      <c r="O538" s="653"/>
      <c r="P538" s="653"/>
      <c r="Q538" s="653"/>
      <c r="R538" s="653"/>
      <c r="S538" s="653"/>
      <c r="T538" s="653"/>
      <c r="U538" s="653"/>
    </row>
    <row r="539" spans="1:21" ht="17.25" customHeight="1">
      <c r="A539" s="677"/>
      <c r="B539" s="678"/>
      <c r="C539" s="681"/>
      <c r="D539" s="680"/>
      <c r="E539" s="676"/>
      <c r="H539" s="653"/>
      <c r="I539" s="1749" t="s">
        <v>3198</v>
      </c>
      <c r="J539" s="715" t="s">
        <v>3199</v>
      </c>
      <c r="K539" s="716">
        <v>4.0700000000000003E-4</v>
      </c>
      <c r="L539" s="716">
        <v>0</v>
      </c>
      <c r="M539" s="655"/>
      <c r="N539" s="653"/>
      <c r="O539" s="653"/>
      <c r="P539" s="653"/>
      <c r="Q539" s="653"/>
      <c r="R539" s="653"/>
      <c r="S539" s="653"/>
      <c r="T539" s="653"/>
      <c r="U539" s="653"/>
    </row>
    <row r="540" spans="1:21" ht="17.25" customHeight="1">
      <c r="A540" s="677"/>
      <c r="B540" s="678"/>
      <c r="C540" s="681"/>
      <c r="D540" s="680"/>
      <c r="E540" s="676"/>
      <c r="H540" s="653"/>
      <c r="I540" s="1749" t="s">
        <v>3884</v>
      </c>
      <c r="J540" s="715" t="s">
        <v>3199</v>
      </c>
      <c r="K540" s="716">
        <v>4.0700000000000003E-4</v>
      </c>
      <c r="L540" s="716">
        <v>4.75E-4</v>
      </c>
      <c r="M540" s="655"/>
      <c r="N540" s="653"/>
      <c r="O540" s="653"/>
      <c r="P540" s="653"/>
      <c r="Q540" s="653"/>
      <c r="R540" s="653"/>
      <c r="S540" s="653"/>
      <c r="T540" s="653"/>
      <c r="U540" s="653"/>
    </row>
    <row r="541" spans="1:21" ht="17.25" customHeight="1">
      <c r="A541" s="677"/>
      <c r="B541" s="678"/>
      <c r="C541" s="681"/>
      <c r="D541" s="680"/>
      <c r="E541" s="676"/>
      <c r="H541" s="653"/>
      <c r="I541" s="1749" t="s">
        <v>3885</v>
      </c>
      <c r="J541" s="715" t="s">
        <v>3200</v>
      </c>
      <c r="K541" s="716">
        <v>7.1000000000000002E-4</v>
      </c>
      <c r="L541" s="716">
        <v>0</v>
      </c>
      <c r="M541" s="655"/>
      <c r="N541" s="653"/>
      <c r="O541" s="653"/>
      <c r="P541" s="653"/>
      <c r="Q541" s="653"/>
      <c r="R541" s="653"/>
      <c r="S541" s="653"/>
      <c r="T541" s="653"/>
      <c r="U541" s="653"/>
    </row>
    <row r="542" spans="1:21" ht="17.25" customHeight="1">
      <c r="A542" s="677"/>
      <c r="B542" s="678"/>
      <c r="C542" s="681"/>
      <c r="D542" s="680"/>
      <c r="E542" s="676"/>
      <c r="H542" s="653"/>
      <c r="I542" s="1749" t="s">
        <v>3886</v>
      </c>
      <c r="J542" s="715" t="s">
        <v>3200</v>
      </c>
      <c r="K542" s="716">
        <v>7.1000000000000002E-4</v>
      </c>
      <c r="L542" s="716">
        <v>6.8000000000000005E-4</v>
      </c>
      <c r="M542" s="655"/>
      <c r="N542" s="653"/>
      <c r="O542" s="653"/>
      <c r="P542" s="653"/>
      <c r="Q542" s="653"/>
      <c r="R542" s="653"/>
      <c r="S542" s="653"/>
      <c r="T542" s="653"/>
      <c r="U542" s="653"/>
    </row>
    <row r="543" spans="1:21" ht="17.25" customHeight="1">
      <c r="A543" s="677"/>
      <c r="B543" s="678"/>
      <c r="C543" s="681"/>
      <c r="D543" s="680"/>
      <c r="E543" s="676"/>
      <c r="H543" s="653"/>
      <c r="I543" s="1749" t="s">
        <v>3201</v>
      </c>
      <c r="J543" s="715" t="s">
        <v>3202</v>
      </c>
      <c r="K543" s="716">
        <v>4.6799999999999999E-4</v>
      </c>
      <c r="L543" s="716">
        <v>4.2900000000000002E-4</v>
      </c>
      <c r="M543" s="655"/>
      <c r="N543" s="653"/>
      <c r="O543" s="653"/>
      <c r="P543" s="653"/>
      <c r="Q543" s="653"/>
      <c r="R543" s="653"/>
      <c r="S543" s="653"/>
      <c r="T543" s="653"/>
      <c r="U543" s="653"/>
    </row>
    <row r="544" spans="1:21" ht="17.25" customHeight="1">
      <c r="A544" s="677"/>
      <c r="B544" s="678"/>
      <c r="C544" s="681"/>
      <c r="D544" s="680"/>
      <c r="E544" s="676"/>
      <c r="H544" s="653"/>
      <c r="I544" s="1749" t="s">
        <v>3203</v>
      </c>
      <c r="J544" s="715" t="s">
        <v>3204</v>
      </c>
      <c r="K544" s="716">
        <v>4.1199999999999999E-4</v>
      </c>
      <c r="L544" s="716">
        <v>3.8499999999999998E-4</v>
      </c>
      <c r="M544" s="655"/>
      <c r="N544" s="653"/>
      <c r="O544" s="653"/>
      <c r="P544" s="653"/>
      <c r="Q544" s="653"/>
      <c r="R544" s="653"/>
      <c r="S544" s="653"/>
      <c r="T544" s="653"/>
      <c r="U544" s="653"/>
    </row>
    <row r="545" spans="1:21" ht="17.25" customHeight="1">
      <c r="A545" s="677"/>
      <c r="B545" s="678"/>
      <c r="C545" s="681"/>
      <c r="D545" s="680"/>
      <c r="E545" s="676"/>
      <c r="H545" s="653"/>
      <c r="I545" s="1749" t="s">
        <v>3205</v>
      </c>
      <c r="J545" s="715" t="s">
        <v>3206</v>
      </c>
      <c r="K545" s="716">
        <v>5.3600000000000002E-4</v>
      </c>
      <c r="L545" s="716">
        <v>4.8099999999999998E-4</v>
      </c>
      <c r="M545" s="655"/>
      <c r="N545" s="653"/>
      <c r="O545" s="653"/>
      <c r="P545" s="653"/>
      <c r="Q545" s="653"/>
      <c r="R545" s="653"/>
      <c r="S545" s="653"/>
      <c r="T545" s="653"/>
      <c r="U545" s="653"/>
    </row>
    <row r="546" spans="1:21" ht="17.25" customHeight="1">
      <c r="A546" s="677"/>
      <c r="B546" s="678"/>
      <c r="C546" s="681"/>
      <c r="D546" s="680"/>
      <c r="E546" s="676"/>
      <c r="H546" s="653"/>
      <c r="I546" s="1749" t="s">
        <v>3207</v>
      </c>
      <c r="J546" s="715" t="s">
        <v>3208</v>
      </c>
      <c r="K546" s="716">
        <v>3.3300000000000002E-4</v>
      </c>
      <c r="L546" s="716">
        <v>2.7700000000000001E-4</v>
      </c>
      <c r="M546" s="655"/>
      <c r="N546" s="653"/>
      <c r="O546" s="653"/>
      <c r="P546" s="653"/>
      <c r="Q546" s="653"/>
      <c r="R546" s="653"/>
      <c r="S546" s="653"/>
      <c r="T546" s="653"/>
      <c r="U546" s="653"/>
    </row>
    <row r="547" spans="1:21" ht="17.25" customHeight="1">
      <c r="A547" s="677"/>
      <c r="B547" s="678"/>
      <c r="C547" s="681"/>
      <c r="D547" s="680"/>
      <c r="E547" s="676"/>
      <c r="H547" s="653"/>
      <c r="I547" s="1749" t="s">
        <v>3209</v>
      </c>
      <c r="J547" s="715" t="s">
        <v>3210</v>
      </c>
      <c r="K547" s="716">
        <v>4.6500000000000003E-4</v>
      </c>
      <c r="L547" s="716">
        <v>5.2899999999999996E-4</v>
      </c>
      <c r="M547" s="655"/>
      <c r="N547" s="653"/>
      <c r="O547" s="653"/>
      <c r="P547" s="653"/>
      <c r="Q547" s="653"/>
      <c r="R547" s="653"/>
      <c r="S547" s="653"/>
      <c r="T547" s="653"/>
      <c r="U547" s="653"/>
    </row>
    <row r="548" spans="1:21" ht="17.25" customHeight="1">
      <c r="A548" s="677"/>
      <c r="B548" s="678"/>
      <c r="C548" s="681"/>
      <c r="D548" s="680"/>
      <c r="E548" s="676"/>
      <c r="H548" s="653"/>
      <c r="I548" s="1749" t="s">
        <v>3211</v>
      </c>
      <c r="J548" s="715" t="s">
        <v>3212</v>
      </c>
      <c r="K548" s="716">
        <v>4.5399999999999998E-4</v>
      </c>
      <c r="L548" s="716">
        <v>4.57E-4</v>
      </c>
      <c r="M548" s="655"/>
      <c r="N548" s="653"/>
      <c r="O548" s="653"/>
      <c r="P548" s="653"/>
      <c r="Q548" s="653"/>
      <c r="R548" s="653"/>
      <c r="S548" s="653"/>
      <c r="T548" s="653"/>
      <c r="U548" s="653"/>
    </row>
    <row r="549" spans="1:21" ht="17.25" customHeight="1">
      <c r="A549" s="677"/>
      <c r="B549" s="678"/>
      <c r="C549" s="681"/>
      <c r="D549" s="680"/>
      <c r="E549" s="676"/>
      <c r="H549" s="653"/>
      <c r="I549" s="1749" t="s">
        <v>3213</v>
      </c>
      <c r="J549" s="715" t="s">
        <v>3214</v>
      </c>
      <c r="K549" s="716">
        <v>3.39E-4</v>
      </c>
      <c r="L549" s="716">
        <v>2.8299999999999999E-4</v>
      </c>
      <c r="M549" s="655"/>
      <c r="N549" s="653"/>
      <c r="O549" s="653"/>
      <c r="P549" s="653"/>
      <c r="Q549" s="653"/>
      <c r="R549" s="653"/>
      <c r="S549" s="653"/>
      <c r="T549" s="653"/>
      <c r="U549" s="653"/>
    </row>
    <row r="550" spans="1:21" ht="17.25" customHeight="1">
      <c r="A550" s="677"/>
      <c r="B550" s="678"/>
      <c r="C550" s="681"/>
      <c r="D550" s="680"/>
      <c r="E550" s="696"/>
      <c r="H550" s="653"/>
      <c r="I550" s="1749" t="s">
        <v>3215</v>
      </c>
      <c r="J550" s="715" t="s">
        <v>3216</v>
      </c>
      <c r="K550" s="716">
        <v>4.7899999999999999E-4</v>
      </c>
      <c r="L550" s="716">
        <v>4.2400000000000001E-4</v>
      </c>
      <c r="M550" s="655"/>
      <c r="N550" s="653"/>
      <c r="O550" s="653"/>
      <c r="P550" s="653"/>
      <c r="Q550" s="653"/>
      <c r="R550" s="653"/>
      <c r="S550" s="653"/>
      <c r="T550" s="653"/>
      <c r="U550" s="653"/>
    </row>
    <row r="551" spans="1:21" ht="17.25" customHeight="1">
      <c r="A551" s="677"/>
      <c r="B551" s="678"/>
      <c r="C551" s="681"/>
      <c r="D551" s="680"/>
      <c r="E551" s="676"/>
      <c r="H551" s="653"/>
      <c r="I551" s="1749" t="s">
        <v>3217</v>
      </c>
      <c r="J551" s="715" t="s">
        <v>3218</v>
      </c>
      <c r="K551" s="716">
        <v>2.6899999999999998E-4</v>
      </c>
      <c r="L551" s="716">
        <v>3.0699999999999998E-4</v>
      </c>
      <c r="M551" s="655"/>
      <c r="N551" s="653"/>
      <c r="O551" s="653"/>
      <c r="P551" s="653"/>
      <c r="Q551" s="653"/>
      <c r="R551" s="653"/>
      <c r="S551" s="653"/>
      <c r="T551" s="653"/>
      <c r="U551" s="653"/>
    </row>
    <row r="552" spans="1:21" ht="17.25" customHeight="1">
      <c r="A552" s="677"/>
      <c r="B552" s="678"/>
      <c r="C552" s="681"/>
      <c r="D552" s="680"/>
      <c r="E552" s="676"/>
      <c r="H552" s="653"/>
      <c r="I552" s="1749" t="s">
        <v>3219</v>
      </c>
      <c r="J552" s="715" t="s">
        <v>3220</v>
      </c>
      <c r="K552" s="716">
        <v>4.7899999999999999E-4</v>
      </c>
      <c r="L552" s="716">
        <v>4.2299999999999998E-4</v>
      </c>
      <c r="M552" s="655"/>
      <c r="N552" s="653"/>
      <c r="O552" s="653"/>
      <c r="P552" s="653"/>
      <c r="Q552" s="653"/>
      <c r="R552" s="653"/>
      <c r="S552" s="653"/>
      <c r="T552" s="653"/>
      <c r="U552" s="653"/>
    </row>
    <row r="553" spans="1:21">
      <c r="A553" s="677"/>
      <c r="B553" s="678"/>
      <c r="C553" s="681"/>
      <c r="D553" s="682"/>
      <c r="E553" s="676"/>
      <c r="H553" s="653"/>
      <c r="I553" s="1749" t="s">
        <v>5534</v>
      </c>
      <c r="J553" s="715" t="s">
        <v>3221</v>
      </c>
      <c r="K553" s="716">
        <v>4.5600000000000003E-4</v>
      </c>
      <c r="L553" s="716">
        <v>0</v>
      </c>
      <c r="M553" s="655"/>
      <c r="N553" s="653"/>
      <c r="O553" s="653"/>
      <c r="P553" s="653"/>
      <c r="Q553" s="653"/>
      <c r="R553" s="653"/>
      <c r="S553" s="653"/>
      <c r="T553" s="653"/>
      <c r="U553" s="653"/>
    </row>
    <row r="554" spans="1:21">
      <c r="A554" s="677"/>
      <c r="B554" s="678"/>
      <c r="C554" s="681"/>
      <c r="D554" s="682"/>
      <c r="E554" s="676"/>
      <c r="H554" s="653"/>
      <c r="I554" s="1749" t="s">
        <v>5535</v>
      </c>
      <c r="J554" s="715" t="s">
        <v>3221</v>
      </c>
      <c r="K554" s="716">
        <v>4.5600000000000003E-4</v>
      </c>
      <c r="L554" s="716">
        <v>5.1199999999999998E-4</v>
      </c>
      <c r="M554" s="655"/>
      <c r="N554" s="653"/>
      <c r="O554" s="653"/>
      <c r="P554" s="653"/>
      <c r="Q554" s="653"/>
      <c r="R554" s="653"/>
      <c r="S554" s="653"/>
      <c r="T554" s="653"/>
      <c r="U554" s="653"/>
    </row>
    <row r="555" spans="1:21" ht="17.25" customHeight="1">
      <c r="A555" s="677"/>
      <c r="B555" s="678"/>
      <c r="C555" s="681"/>
      <c r="D555" s="680"/>
      <c r="E555" s="676"/>
      <c r="H555" s="653"/>
      <c r="I555" s="1749" t="s">
        <v>3222</v>
      </c>
      <c r="J555" s="715" t="s">
        <v>3223</v>
      </c>
      <c r="K555" s="716">
        <v>5.2099999999999998E-4</v>
      </c>
      <c r="L555" s="716">
        <v>5.4299999999999997E-4</v>
      </c>
      <c r="M555" s="655"/>
      <c r="N555" s="653"/>
      <c r="O555" s="653"/>
      <c r="P555" s="653"/>
      <c r="Q555" s="653"/>
      <c r="R555" s="653"/>
      <c r="S555" s="653"/>
      <c r="T555" s="653"/>
      <c r="U555" s="653"/>
    </row>
    <row r="556" spans="1:21" ht="17.25" customHeight="1">
      <c r="A556" s="677"/>
      <c r="B556" s="678"/>
      <c r="C556" s="681"/>
      <c r="D556" s="680"/>
      <c r="E556" s="676"/>
      <c r="H556" s="653"/>
      <c r="I556" s="1749" t="s">
        <v>3224</v>
      </c>
      <c r="J556" s="715" t="s">
        <v>3225</v>
      </c>
      <c r="K556" s="716">
        <v>4.7899999999999999E-4</v>
      </c>
      <c r="L556" s="716">
        <v>4.2299999999999998E-4</v>
      </c>
      <c r="M556" s="655"/>
      <c r="N556" s="653"/>
      <c r="O556" s="653"/>
      <c r="P556" s="653"/>
      <c r="Q556" s="653"/>
      <c r="R556" s="653"/>
      <c r="S556" s="653"/>
      <c r="T556" s="653"/>
      <c r="U556" s="653"/>
    </row>
    <row r="557" spans="1:21" ht="17.25" customHeight="1">
      <c r="A557" s="677"/>
      <c r="B557" s="678"/>
      <c r="C557" s="681"/>
      <c r="D557" s="680"/>
      <c r="E557" s="676"/>
      <c r="H557" s="653"/>
      <c r="I557" s="1749" t="s">
        <v>3226</v>
      </c>
      <c r="J557" s="715" t="s">
        <v>3227</v>
      </c>
      <c r="K557" s="716">
        <v>4.5199999999999998E-4</v>
      </c>
      <c r="L557" s="716">
        <v>4.2400000000000001E-4</v>
      </c>
      <c r="M557" s="655"/>
      <c r="N557" s="653"/>
      <c r="O557" s="653"/>
      <c r="P557" s="653"/>
      <c r="Q557" s="653"/>
      <c r="R557" s="653"/>
      <c r="S557" s="653"/>
      <c r="T557" s="653"/>
      <c r="U557" s="653"/>
    </row>
    <row r="558" spans="1:21" ht="17.25" customHeight="1">
      <c r="A558" s="677"/>
      <c r="B558" s="678"/>
      <c r="C558" s="679"/>
      <c r="D558" s="680"/>
      <c r="E558" s="696"/>
      <c r="H558" s="653"/>
      <c r="I558" s="1749" t="s">
        <v>5536</v>
      </c>
      <c r="J558" s="715" t="s">
        <v>3228</v>
      </c>
      <c r="K558" s="716">
        <v>0</v>
      </c>
      <c r="L558" s="716">
        <v>0</v>
      </c>
      <c r="M558" s="655"/>
      <c r="N558" s="653"/>
      <c r="O558" s="653"/>
      <c r="P558" s="653"/>
      <c r="Q558" s="653"/>
      <c r="R558" s="653"/>
      <c r="S558" s="653"/>
      <c r="T558" s="653"/>
      <c r="U558" s="653"/>
    </row>
    <row r="559" spans="1:21" ht="17.25" customHeight="1">
      <c r="A559" s="677"/>
      <c r="B559" s="678"/>
      <c r="C559" s="681"/>
      <c r="D559" s="680"/>
      <c r="E559" s="676"/>
      <c r="H559" s="653"/>
      <c r="I559" s="1749" t="s">
        <v>5537</v>
      </c>
      <c r="J559" s="715" t="s">
        <v>3228</v>
      </c>
      <c r="K559" s="716">
        <v>0</v>
      </c>
      <c r="L559" s="716">
        <v>4.0499999999999998E-4</v>
      </c>
      <c r="M559" s="655"/>
      <c r="N559" s="653"/>
      <c r="O559" s="653"/>
      <c r="P559" s="653"/>
      <c r="Q559" s="653"/>
      <c r="R559" s="653"/>
      <c r="S559" s="653"/>
      <c r="T559" s="653"/>
      <c r="U559" s="653"/>
    </row>
    <row r="560" spans="1:21" ht="17.25" customHeight="1">
      <c r="A560" s="677"/>
      <c r="B560" s="678"/>
      <c r="C560" s="681"/>
      <c r="D560" s="680"/>
      <c r="E560" s="676"/>
      <c r="H560" s="653"/>
      <c r="I560" s="1749" t="s">
        <v>3229</v>
      </c>
      <c r="J560" s="715" t="s">
        <v>3230</v>
      </c>
      <c r="K560" s="716">
        <v>4.4099999999999999E-4</v>
      </c>
      <c r="L560" s="716">
        <v>2.1599999999999999E-4</v>
      </c>
      <c r="M560" s="655"/>
      <c r="N560" s="653"/>
      <c r="O560" s="653"/>
      <c r="P560" s="653"/>
      <c r="Q560" s="653"/>
      <c r="R560" s="653"/>
      <c r="S560" s="653"/>
      <c r="T560" s="653"/>
      <c r="U560" s="653"/>
    </row>
    <row r="561" spans="1:21" ht="17.25" customHeight="1">
      <c r="A561" s="677"/>
      <c r="B561" s="678"/>
      <c r="C561" s="681"/>
      <c r="D561" s="680"/>
      <c r="E561" s="676"/>
      <c r="H561" s="653"/>
      <c r="I561" s="1749" t="s">
        <v>3231</v>
      </c>
      <c r="J561" s="715" t="s">
        <v>3232</v>
      </c>
      <c r="K561" s="716">
        <v>4.08E-4</v>
      </c>
      <c r="L561" s="716">
        <v>3.5199999999999999E-4</v>
      </c>
      <c r="M561" s="655"/>
      <c r="N561" s="653"/>
      <c r="O561" s="653"/>
      <c r="P561" s="653"/>
      <c r="Q561" s="653"/>
      <c r="R561" s="653"/>
      <c r="S561" s="653"/>
      <c r="T561" s="653"/>
      <c r="U561" s="653"/>
    </row>
    <row r="562" spans="1:21" ht="17.25" customHeight="1">
      <c r="A562" s="677"/>
      <c r="B562" s="678"/>
      <c r="C562" s="681"/>
      <c r="D562" s="680"/>
      <c r="E562" s="676"/>
      <c r="H562" s="653"/>
      <c r="I562" s="1749" t="s">
        <v>3233</v>
      </c>
      <c r="J562" s="715" t="s">
        <v>3234</v>
      </c>
      <c r="K562" s="716">
        <v>4.3800000000000002E-4</v>
      </c>
      <c r="L562" s="716">
        <v>0</v>
      </c>
      <c r="M562" s="655"/>
      <c r="N562" s="653"/>
      <c r="O562" s="653"/>
      <c r="P562" s="653"/>
      <c r="Q562" s="653"/>
      <c r="R562" s="653"/>
      <c r="S562" s="653"/>
      <c r="T562" s="653"/>
      <c r="U562" s="653"/>
    </row>
    <row r="563" spans="1:21" ht="17.25" customHeight="1">
      <c r="A563" s="677"/>
      <c r="B563" s="678"/>
      <c r="C563" s="681"/>
      <c r="D563" s="680"/>
      <c r="E563" s="676"/>
      <c r="H563" s="653"/>
      <c r="I563" s="1749" t="s">
        <v>3887</v>
      </c>
      <c r="J563" s="715" t="s">
        <v>3234</v>
      </c>
      <c r="K563" s="716">
        <v>4.3800000000000002E-4</v>
      </c>
      <c r="L563" s="716">
        <v>0</v>
      </c>
      <c r="M563" s="655"/>
      <c r="N563" s="653"/>
      <c r="O563" s="653"/>
      <c r="P563" s="653"/>
      <c r="Q563" s="653"/>
      <c r="R563" s="653"/>
      <c r="S563" s="653"/>
      <c r="T563" s="653"/>
      <c r="U563" s="653"/>
    </row>
    <row r="564" spans="1:21" ht="17.25" customHeight="1">
      <c r="A564" s="677"/>
      <c r="B564" s="678"/>
      <c r="C564" s="681"/>
      <c r="D564" s="680"/>
      <c r="E564" s="676"/>
      <c r="H564" s="653"/>
      <c r="I564" s="1749" t="s">
        <v>5538</v>
      </c>
      <c r="J564" s="715" t="s">
        <v>3234</v>
      </c>
      <c r="K564" s="716">
        <v>4.3800000000000002E-4</v>
      </c>
      <c r="L564" s="716">
        <v>0</v>
      </c>
      <c r="M564" s="655"/>
      <c r="N564" s="653"/>
      <c r="O564" s="653"/>
      <c r="P564" s="653"/>
      <c r="Q564" s="653"/>
      <c r="R564" s="653"/>
      <c r="S564" s="653"/>
      <c r="T564" s="653"/>
      <c r="U564" s="653"/>
    </row>
    <row r="565" spans="1:21" ht="17.25" customHeight="1">
      <c r="A565" s="677"/>
      <c r="B565" s="678"/>
      <c r="C565" s="681"/>
      <c r="D565" s="680"/>
      <c r="E565" s="676"/>
      <c r="H565" s="653"/>
      <c r="I565" s="1749" t="s">
        <v>5539</v>
      </c>
      <c r="J565" s="715" t="s">
        <v>3234</v>
      </c>
      <c r="K565" s="716">
        <v>4.3800000000000002E-4</v>
      </c>
      <c r="L565" s="716">
        <v>4.6500000000000003E-4</v>
      </c>
      <c r="M565" s="655"/>
      <c r="N565" s="653"/>
      <c r="O565" s="653"/>
      <c r="P565" s="653"/>
      <c r="Q565" s="653"/>
      <c r="R565" s="653"/>
      <c r="S565" s="653"/>
      <c r="T565" s="653"/>
      <c r="U565" s="653"/>
    </row>
    <row r="566" spans="1:21" ht="15.75" customHeight="1">
      <c r="A566" s="690"/>
      <c r="B566" s="683"/>
      <c r="C566" s="670"/>
      <c r="D566" s="671"/>
      <c r="E566" s="676"/>
      <c r="H566" s="653"/>
      <c r="I566" s="1749" t="s">
        <v>3235</v>
      </c>
      <c r="J566" s="715" t="s">
        <v>3236</v>
      </c>
      <c r="K566" s="716">
        <v>4.6000000000000001E-4</v>
      </c>
      <c r="L566" s="716">
        <v>4.6799999999999999E-4</v>
      </c>
      <c r="M566" s="655"/>
      <c r="N566" s="653"/>
      <c r="O566" s="653"/>
      <c r="P566" s="653"/>
      <c r="Q566" s="653"/>
      <c r="R566" s="653"/>
      <c r="S566" s="653"/>
      <c r="T566" s="653"/>
      <c r="U566" s="653"/>
    </row>
    <row r="567" spans="1:21" ht="15.75" customHeight="1">
      <c r="A567" s="673"/>
      <c r="B567" s="674"/>
      <c r="C567" s="675"/>
      <c r="D567" s="671"/>
      <c r="E567" s="676"/>
      <c r="H567" s="653"/>
      <c r="I567" s="1749" t="s">
        <v>3237</v>
      </c>
      <c r="J567" s="715" t="s">
        <v>3238</v>
      </c>
      <c r="K567" s="716">
        <v>4.4299999999999998E-4</v>
      </c>
      <c r="L567" s="716">
        <v>4.5300000000000001E-4</v>
      </c>
      <c r="M567" s="655"/>
      <c r="N567" s="653"/>
      <c r="O567" s="653"/>
      <c r="P567" s="653"/>
      <c r="Q567" s="653"/>
      <c r="R567" s="653"/>
      <c r="S567" s="653"/>
      <c r="T567" s="653"/>
      <c r="U567" s="653"/>
    </row>
    <row r="568" spans="1:21" ht="17.25" customHeight="1">
      <c r="A568" s="677"/>
      <c r="B568" s="678"/>
      <c r="C568" s="681"/>
      <c r="D568" s="680"/>
      <c r="E568" s="676"/>
      <c r="H568" s="653"/>
      <c r="I568" s="1749" t="s">
        <v>3239</v>
      </c>
      <c r="J568" s="715" t="s">
        <v>3240</v>
      </c>
      <c r="K568" s="716">
        <v>1.013E-3</v>
      </c>
      <c r="L568" s="716">
        <v>1.0120000000000001E-3</v>
      </c>
      <c r="M568" s="655"/>
      <c r="N568" s="653"/>
      <c r="O568" s="653"/>
      <c r="P568" s="653"/>
      <c r="Q568" s="653"/>
      <c r="R568" s="653"/>
      <c r="S568" s="653"/>
      <c r="T568" s="653"/>
      <c r="U568" s="653"/>
    </row>
    <row r="569" spans="1:21" ht="17.25" customHeight="1">
      <c r="A569" s="677"/>
      <c r="B569" s="678"/>
      <c r="C569" s="681"/>
      <c r="D569" s="680"/>
      <c r="E569" s="676"/>
      <c r="H569" s="653"/>
      <c r="I569" s="1749" t="s">
        <v>3241</v>
      </c>
      <c r="J569" s="715" t="s">
        <v>3242</v>
      </c>
      <c r="K569" s="716">
        <v>4.4099999999999999E-4</v>
      </c>
      <c r="L569" s="716">
        <v>0</v>
      </c>
      <c r="M569" s="655"/>
      <c r="N569" s="653"/>
      <c r="O569" s="653"/>
      <c r="P569" s="653"/>
      <c r="Q569" s="653"/>
      <c r="R569" s="653"/>
      <c r="S569" s="653"/>
      <c r="T569" s="653"/>
      <c r="U569" s="653"/>
    </row>
    <row r="570" spans="1:21" ht="17.25" customHeight="1">
      <c r="A570" s="677"/>
      <c r="B570" s="678"/>
      <c r="C570" s="681"/>
      <c r="D570" s="680"/>
      <c r="E570" s="676"/>
      <c r="H570" s="653"/>
      <c r="I570" s="1749" t="s">
        <v>3888</v>
      </c>
      <c r="J570" s="715" t="s">
        <v>3242</v>
      </c>
      <c r="K570" s="716">
        <v>4.4099999999999999E-4</v>
      </c>
      <c r="L570" s="716">
        <v>6.7400000000000001E-4</v>
      </c>
      <c r="M570" s="655"/>
      <c r="N570" s="653"/>
      <c r="O570" s="653"/>
      <c r="P570" s="653"/>
      <c r="Q570" s="653"/>
      <c r="R570" s="653"/>
      <c r="S570" s="653"/>
      <c r="T570" s="653"/>
      <c r="U570" s="653"/>
    </row>
    <row r="571" spans="1:21" ht="17.25" customHeight="1">
      <c r="A571" s="677"/>
      <c r="B571" s="678"/>
      <c r="C571" s="681"/>
      <c r="D571" s="680"/>
      <c r="E571" s="676"/>
      <c r="H571" s="653"/>
      <c r="I571" s="1749" t="s">
        <v>3889</v>
      </c>
      <c r="J571" s="715" t="s">
        <v>3243</v>
      </c>
      <c r="K571" s="716">
        <v>5.9900000000000003E-4</v>
      </c>
      <c r="L571" s="716">
        <v>0</v>
      </c>
      <c r="M571" s="655"/>
      <c r="N571" s="653"/>
      <c r="O571" s="653"/>
      <c r="P571" s="653"/>
      <c r="Q571" s="653"/>
      <c r="R571" s="653"/>
      <c r="S571" s="653"/>
      <c r="T571" s="653"/>
      <c r="U571" s="653"/>
    </row>
    <row r="572" spans="1:21" ht="17.25" customHeight="1">
      <c r="A572" s="677"/>
      <c r="B572" s="678"/>
      <c r="C572" s="681"/>
      <c r="D572" s="680"/>
      <c r="E572" s="676"/>
      <c r="H572" s="653"/>
      <c r="I572" s="1749" t="s">
        <v>3890</v>
      </c>
      <c r="J572" s="715" t="s">
        <v>3243</v>
      </c>
      <c r="K572" s="716">
        <v>5.9900000000000003E-4</v>
      </c>
      <c r="L572" s="716">
        <v>0</v>
      </c>
      <c r="M572" s="655"/>
      <c r="N572" s="653"/>
      <c r="O572" s="653"/>
      <c r="P572" s="653"/>
      <c r="Q572" s="653"/>
      <c r="R572" s="653"/>
      <c r="S572" s="653"/>
      <c r="T572" s="653"/>
      <c r="U572" s="653"/>
    </row>
    <row r="573" spans="1:21" ht="17.25" customHeight="1">
      <c r="A573" s="677"/>
      <c r="B573" s="678"/>
      <c r="C573" s="681"/>
      <c r="D573" s="680"/>
      <c r="E573" s="676"/>
      <c r="H573" s="653"/>
      <c r="I573" s="1749" t="s">
        <v>3891</v>
      </c>
      <c r="J573" s="715" t="s">
        <v>3243</v>
      </c>
      <c r="K573" s="716">
        <v>5.9900000000000003E-4</v>
      </c>
      <c r="L573" s="716">
        <v>0</v>
      </c>
      <c r="M573" s="655"/>
      <c r="N573" s="653"/>
      <c r="O573" s="653"/>
      <c r="P573" s="653"/>
      <c r="Q573" s="653"/>
      <c r="R573" s="653"/>
      <c r="S573" s="653"/>
      <c r="T573" s="653"/>
      <c r="U573" s="653"/>
    </row>
    <row r="574" spans="1:21" ht="15.75" customHeight="1">
      <c r="A574" s="690"/>
      <c r="B574" s="683"/>
      <c r="C574" s="670"/>
      <c r="D574" s="671"/>
      <c r="E574" s="676"/>
      <c r="H574" s="653"/>
      <c r="I574" s="1749" t="s">
        <v>5540</v>
      </c>
      <c r="J574" s="715" t="s">
        <v>3243</v>
      </c>
      <c r="K574" s="716">
        <v>5.9900000000000003E-4</v>
      </c>
      <c r="L574" s="716">
        <v>0</v>
      </c>
      <c r="M574" s="655"/>
      <c r="N574" s="653"/>
      <c r="O574" s="653"/>
      <c r="P574" s="653"/>
      <c r="Q574" s="653"/>
      <c r="R574" s="653"/>
      <c r="S574" s="653"/>
      <c r="T574" s="653"/>
      <c r="U574" s="653"/>
    </row>
    <row r="575" spans="1:21" ht="15.75" customHeight="1">
      <c r="A575" s="673"/>
      <c r="B575" s="674"/>
      <c r="C575" s="675"/>
      <c r="D575" s="671"/>
      <c r="E575" s="676"/>
      <c r="H575" s="653"/>
      <c r="I575" s="1749" t="s">
        <v>5541</v>
      </c>
      <c r="J575" s="715" t="s">
        <v>3243</v>
      </c>
      <c r="K575" s="716">
        <v>5.9900000000000003E-4</v>
      </c>
      <c r="L575" s="716">
        <v>0</v>
      </c>
      <c r="M575" s="655"/>
      <c r="N575" s="653"/>
      <c r="O575" s="653"/>
      <c r="P575" s="653"/>
      <c r="Q575" s="653"/>
      <c r="R575" s="653"/>
      <c r="S575" s="653"/>
      <c r="T575" s="653"/>
      <c r="U575" s="653"/>
    </row>
    <row r="576" spans="1:21" ht="17.25" customHeight="1">
      <c r="A576" s="677"/>
      <c r="B576" s="678"/>
      <c r="C576" s="681"/>
      <c r="D576" s="680"/>
      <c r="E576" s="676"/>
      <c r="H576" s="653"/>
      <c r="I576" s="1749" t="s">
        <v>5542</v>
      </c>
      <c r="J576" s="715" t="s">
        <v>3243</v>
      </c>
      <c r="K576" s="716">
        <v>5.9900000000000003E-4</v>
      </c>
      <c r="L576" s="716">
        <v>5.9400000000000002E-4</v>
      </c>
      <c r="M576" s="655"/>
      <c r="N576" s="653"/>
      <c r="O576" s="653"/>
      <c r="P576" s="653"/>
      <c r="Q576" s="653"/>
      <c r="R576" s="653"/>
      <c r="S576" s="653"/>
      <c r="T576" s="653"/>
      <c r="U576" s="653"/>
    </row>
    <row r="577" spans="1:21" ht="17.25" customHeight="1">
      <c r="A577" s="677"/>
      <c r="B577" s="678"/>
      <c r="C577" s="681"/>
      <c r="D577" s="680"/>
      <c r="E577" s="676"/>
      <c r="H577" s="653"/>
      <c r="I577" s="1749" t="s">
        <v>3244</v>
      </c>
      <c r="J577" s="715" t="s">
        <v>3245</v>
      </c>
      <c r="K577" s="716">
        <v>4.3100000000000001E-4</v>
      </c>
      <c r="L577" s="716">
        <v>3.7599999999999998E-4</v>
      </c>
      <c r="M577" s="655"/>
      <c r="N577" s="653"/>
      <c r="O577" s="653"/>
      <c r="P577" s="653"/>
      <c r="Q577" s="653"/>
      <c r="R577" s="653"/>
      <c r="S577" s="653"/>
      <c r="T577" s="653"/>
      <c r="U577" s="653"/>
    </row>
    <row r="578" spans="1:21" ht="17.25" customHeight="1">
      <c r="A578" s="677"/>
      <c r="B578" s="678"/>
      <c r="C578" s="681"/>
      <c r="D578" s="680"/>
      <c r="E578" s="676"/>
      <c r="H578" s="653"/>
      <c r="I578" s="1749" t="s">
        <v>3246</v>
      </c>
      <c r="J578" s="715" t="s">
        <v>3892</v>
      </c>
      <c r="K578" s="716">
        <v>4.44E-4</v>
      </c>
      <c r="L578" s="716">
        <v>3.88E-4</v>
      </c>
      <c r="M578" s="655"/>
      <c r="N578" s="653"/>
      <c r="O578" s="653"/>
      <c r="P578" s="653"/>
      <c r="Q578" s="653"/>
      <c r="R578" s="653"/>
      <c r="S578" s="653"/>
      <c r="T578" s="653"/>
      <c r="U578" s="653"/>
    </row>
    <row r="579" spans="1:21" ht="17.25" customHeight="1">
      <c r="A579" s="677"/>
      <c r="B579" s="678"/>
      <c r="C579" s="681"/>
      <c r="D579" s="680"/>
      <c r="E579" s="676"/>
      <c r="H579" s="653"/>
      <c r="I579" s="1749" t="s">
        <v>3247</v>
      </c>
      <c r="J579" s="715" t="s">
        <v>3248</v>
      </c>
      <c r="K579" s="716">
        <v>4.0400000000000001E-4</v>
      </c>
      <c r="L579" s="716">
        <v>3.6099999999999999E-4</v>
      </c>
      <c r="M579" s="655"/>
      <c r="N579" s="653"/>
      <c r="O579" s="653"/>
      <c r="P579" s="653"/>
      <c r="Q579" s="653"/>
      <c r="R579" s="653"/>
      <c r="S579" s="653"/>
      <c r="T579" s="653"/>
      <c r="U579" s="653"/>
    </row>
    <row r="580" spans="1:21" ht="17.25" customHeight="1">
      <c r="A580" s="677"/>
      <c r="B580" s="678"/>
      <c r="C580" s="681"/>
      <c r="D580" s="680"/>
      <c r="E580" s="676"/>
      <c r="H580" s="653"/>
      <c r="I580" s="1749" t="s">
        <v>3249</v>
      </c>
      <c r="J580" s="715" t="s">
        <v>3250</v>
      </c>
      <c r="K580" s="716">
        <v>4.6900000000000002E-4</v>
      </c>
      <c r="L580" s="716">
        <v>4.1300000000000001E-4</v>
      </c>
      <c r="M580" s="655"/>
      <c r="N580" s="653"/>
      <c r="O580" s="653"/>
      <c r="P580" s="653"/>
      <c r="Q580" s="653"/>
      <c r="R580" s="653"/>
      <c r="S580" s="653"/>
      <c r="T580" s="653"/>
      <c r="U580" s="653"/>
    </row>
    <row r="581" spans="1:21" ht="17.25" customHeight="1">
      <c r="A581" s="677"/>
      <c r="B581" s="678"/>
      <c r="C581" s="681"/>
      <c r="D581" s="680"/>
      <c r="E581" s="676"/>
      <c r="H581" s="653"/>
      <c r="I581" s="1749" t="s">
        <v>3251</v>
      </c>
      <c r="J581" s="715" t="s">
        <v>3252</v>
      </c>
      <c r="K581" s="716">
        <v>4.5399999999999998E-4</v>
      </c>
      <c r="L581" s="716">
        <v>4.57E-4</v>
      </c>
      <c r="M581" s="655"/>
      <c r="N581" s="653"/>
      <c r="O581" s="653"/>
      <c r="P581" s="653"/>
      <c r="Q581" s="653"/>
      <c r="R581" s="653"/>
      <c r="S581" s="653"/>
      <c r="T581" s="653"/>
      <c r="U581" s="653"/>
    </row>
    <row r="582" spans="1:21">
      <c r="A582" s="677"/>
      <c r="B582" s="678"/>
      <c r="C582" s="681"/>
      <c r="D582" s="682"/>
      <c r="E582" s="676"/>
      <c r="H582" s="653"/>
      <c r="I582" s="1749" t="s">
        <v>3253</v>
      </c>
      <c r="J582" s="715" t="s">
        <v>3254</v>
      </c>
      <c r="K582" s="716">
        <v>4.6200000000000001E-4</v>
      </c>
      <c r="L582" s="716">
        <v>5.2700000000000002E-4</v>
      </c>
      <c r="M582" s="655"/>
      <c r="N582" s="653"/>
      <c r="O582" s="653"/>
      <c r="P582" s="653"/>
      <c r="Q582" s="653"/>
      <c r="R582" s="653"/>
      <c r="S582" s="653"/>
      <c r="T582" s="653"/>
      <c r="U582" s="653"/>
    </row>
    <row r="583" spans="1:21" ht="17.25" customHeight="1">
      <c r="A583" s="677"/>
      <c r="B583" s="678"/>
      <c r="C583" s="681"/>
      <c r="D583" s="680"/>
      <c r="E583" s="676"/>
      <c r="H583" s="653"/>
      <c r="I583" s="1749" t="s">
        <v>3255</v>
      </c>
      <c r="J583" s="715" t="s">
        <v>3256</v>
      </c>
      <c r="K583" s="716">
        <v>4.73E-4</v>
      </c>
      <c r="L583" s="716">
        <v>5.3499999999999999E-4</v>
      </c>
      <c r="M583" s="655"/>
      <c r="N583" s="653"/>
      <c r="O583" s="653"/>
      <c r="P583" s="653"/>
      <c r="Q583" s="653"/>
      <c r="R583" s="653"/>
      <c r="S583" s="653"/>
      <c r="T583" s="653"/>
      <c r="U583" s="653"/>
    </row>
    <row r="584" spans="1:21">
      <c r="A584" s="677"/>
      <c r="B584" s="678"/>
      <c r="C584" s="681"/>
      <c r="D584" s="682"/>
      <c r="E584" s="676"/>
      <c r="H584" s="653"/>
      <c r="I584" s="1749" t="s">
        <v>3257</v>
      </c>
      <c r="J584" s="715" t="s">
        <v>3258</v>
      </c>
      <c r="K584" s="716">
        <v>5.0100000000000003E-4</v>
      </c>
      <c r="L584" s="716">
        <v>4.4499999999999997E-4</v>
      </c>
      <c r="M584" s="655"/>
      <c r="N584" s="653"/>
      <c r="O584" s="653"/>
      <c r="P584" s="653"/>
      <c r="Q584" s="653"/>
      <c r="R584" s="653"/>
      <c r="S584" s="653"/>
      <c r="T584" s="653"/>
      <c r="U584" s="653"/>
    </row>
    <row r="585" spans="1:21" ht="17.25" customHeight="1">
      <c r="A585" s="677"/>
      <c r="B585" s="678"/>
      <c r="C585" s="681"/>
      <c r="D585" s="680"/>
      <c r="E585" s="676"/>
      <c r="H585" s="653"/>
      <c r="I585" s="1749" t="s">
        <v>3260</v>
      </c>
      <c r="J585" s="715" t="s">
        <v>3259</v>
      </c>
      <c r="K585" s="716">
        <v>4.6799999999999999E-4</v>
      </c>
      <c r="L585" s="716">
        <v>0</v>
      </c>
      <c r="M585" s="655"/>
      <c r="N585" s="653"/>
      <c r="O585" s="653"/>
      <c r="P585" s="653"/>
      <c r="Q585" s="653"/>
      <c r="R585" s="653"/>
      <c r="S585" s="653"/>
      <c r="T585" s="653"/>
      <c r="U585" s="653"/>
    </row>
    <row r="586" spans="1:21" ht="17.25" customHeight="1">
      <c r="A586" s="677"/>
      <c r="B586" s="678"/>
      <c r="C586" s="681"/>
      <c r="D586" s="680"/>
      <c r="E586" s="676"/>
      <c r="H586" s="653"/>
      <c r="I586" s="1749" t="s">
        <v>3893</v>
      </c>
      <c r="J586" s="715" t="s">
        <v>3259</v>
      </c>
      <c r="K586" s="716">
        <v>4.6799999999999999E-4</v>
      </c>
      <c r="L586" s="716">
        <v>4.1300000000000001E-4</v>
      </c>
      <c r="M586" s="655"/>
      <c r="N586" s="653"/>
      <c r="O586" s="653"/>
      <c r="P586" s="653"/>
      <c r="Q586" s="653"/>
      <c r="R586" s="653"/>
      <c r="S586" s="653"/>
      <c r="T586" s="653"/>
      <c r="U586" s="653"/>
    </row>
    <row r="587" spans="1:21" ht="17.25" customHeight="1">
      <c r="A587" s="677"/>
      <c r="B587" s="678"/>
      <c r="C587" s="681"/>
      <c r="D587" s="680"/>
      <c r="E587" s="676"/>
      <c r="H587" s="653"/>
      <c r="I587" s="1749" t="s">
        <v>3261</v>
      </c>
      <c r="J587" s="715" t="s">
        <v>3894</v>
      </c>
      <c r="K587" s="716">
        <v>4.6799999999999999E-4</v>
      </c>
      <c r="L587" s="716">
        <v>0</v>
      </c>
      <c r="M587" s="655"/>
      <c r="N587" s="653"/>
      <c r="O587" s="653"/>
      <c r="P587" s="653"/>
      <c r="Q587" s="653"/>
      <c r="R587" s="653"/>
      <c r="S587" s="653"/>
      <c r="T587" s="653"/>
      <c r="U587" s="653"/>
    </row>
    <row r="588" spans="1:21" ht="17.25" customHeight="1">
      <c r="A588" s="677"/>
      <c r="B588" s="678"/>
      <c r="C588" s="681"/>
      <c r="D588" s="680"/>
      <c r="E588" s="676"/>
      <c r="H588" s="653"/>
      <c r="I588" s="1749" t="s">
        <v>3895</v>
      </c>
      <c r="J588" s="715" t="s">
        <v>3894</v>
      </c>
      <c r="K588" s="716">
        <v>4.6799999999999999E-4</v>
      </c>
      <c r="L588" s="716">
        <v>4.95E-4</v>
      </c>
      <c r="M588" s="655"/>
      <c r="N588" s="653"/>
      <c r="O588" s="653"/>
      <c r="P588" s="653"/>
      <c r="Q588" s="653"/>
      <c r="R588" s="653"/>
      <c r="S588" s="653"/>
      <c r="T588" s="653"/>
      <c r="U588" s="653"/>
    </row>
    <row r="589" spans="1:21" ht="17.25" customHeight="1">
      <c r="A589" s="677"/>
      <c r="B589" s="678"/>
      <c r="C589" s="681"/>
      <c r="D589" s="680"/>
      <c r="E589" s="676"/>
      <c r="H589" s="653"/>
      <c r="I589" s="1749" t="s">
        <v>5543</v>
      </c>
      <c r="J589" s="715" t="s">
        <v>3262</v>
      </c>
      <c r="K589" s="716">
        <v>5.5400000000000002E-4</v>
      </c>
      <c r="L589" s="716">
        <v>0</v>
      </c>
      <c r="M589" s="655"/>
      <c r="N589" s="653"/>
      <c r="O589" s="653"/>
      <c r="P589" s="653"/>
      <c r="Q589" s="653"/>
      <c r="R589" s="653"/>
      <c r="S589" s="653"/>
      <c r="T589" s="653"/>
      <c r="U589" s="653"/>
    </row>
    <row r="590" spans="1:21">
      <c r="A590" s="677"/>
      <c r="B590" s="693"/>
      <c r="C590" s="681"/>
      <c r="D590" s="682"/>
      <c r="E590" s="676"/>
      <c r="H590" s="653"/>
      <c r="I590" s="1749" t="s">
        <v>5544</v>
      </c>
      <c r="J590" s="715" t="s">
        <v>3262</v>
      </c>
      <c r="K590" s="716">
        <v>5.5400000000000002E-4</v>
      </c>
      <c r="L590" s="716">
        <v>4.9799999999999996E-4</v>
      </c>
      <c r="M590" s="655"/>
      <c r="N590" s="653"/>
      <c r="O590" s="653"/>
      <c r="P590" s="653"/>
      <c r="Q590" s="653"/>
      <c r="R590" s="653"/>
      <c r="S590" s="653"/>
      <c r="T590" s="653"/>
      <c r="U590" s="653"/>
    </row>
    <row r="591" spans="1:21">
      <c r="A591" s="677"/>
      <c r="B591" s="678"/>
      <c r="C591" s="681"/>
      <c r="D591" s="682"/>
      <c r="E591" s="676"/>
      <c r="H591" s="653"/>
      <c r="I591" s="1749" t="s">
        <v>3896</v>
      </c>
      <c r="J591" s="715" t="s">
        <v>3263</v>
      </c>
      <c r="K591" s="716">
        <v>4.4099999999999999E-4</v>
      </c>
      <c r="L591" s="716">
        <v>0</v>
      </c>
      <c r="M591" s="655"/>
      <c r="N591" s="653"/>
      <c r="O591" s="653"/>
      <c r="P591" s="653"/>
      <c r="Q591" s="653"/>
      <c r="R591" s="653"/>
      <c r="S591" s="653"/>
      <c r="T591" s="653"/>
      <c r="U591" s="653"/>
    </row>
    <row r="592" spans="1:21" ht="15.75" customHeight="1">
      <c r="A592" s="690"/>
      <c r="B592" s="683"/>
      <c r="C592" s="670"/>
      <c r="D592" s="671"/>
      <c r="E592" s="676"/>
      <c r="H592" s="653"/>
      <c r="I592" s="1749" t="s">
        <v>3897</v>
      </c>
      <c r="J592" s="715" t="s">
        <v>3263</v>
      </c>
      <c r="K592" s="716">
        <v>4.4099999999999999E-4</v>
      </c>
      <c r="L592" s="716">
        <v>4.4299999999999998E-4</v>
      </c>
      <c r="M592" s="655"/>
      <c r="N592" s="653"/>
      <c r="O592" s="653"/>
      <c r="P592" s="653"/>
      <c r="Q592" s="653"/>
      <c r="R592" s="653"/>
      <c r="S592" s="653"/>
      <c r="T592" s="653"/>
      <c r="U592" s="653"/>
    </row>
    <row r="593" spans="1:21" ht="15.75" customHeight="1">
      <c r="A593" s="673"/>
      <c r="B593" s="674"/>
      <c r="C593" s="675"/>
      <c r="D593" s="671"/>
      <c r="E593" s="676"/>
      <c r="H593" s="653"/>
      <c r="I593" s="1749" t="s">
        <v>3264</v>
      </c>
      <c r="J593" s="715" t="s">
        <v>3265</v>
      </c>
      <c r="K593" s="716">
        <v>4.5399999999999998E-4</v>
      </c>
      <c r="L593" s="716">
        <v>4.57E-4</v>
      </c>
      <c r="M593" s="655"/>
      <c r="N593" s="653"/>
      <c r="O593" s="653"/>
      <c r="P593" s="653"/>
      <c r="Q593" s="653"/>
      <c r="R593" s="653"/>
      <c r="S593" s="653"/>
      <c r="T593" s="653"/>
      <c r="U593" s="653"/>
    </row>
    <row r="594" spans="1:21">
      <c r="A594" s="677"/>
      <c r="B594" s="693"/>
      <c r="C594" s="681"/>
      <c r="D594" s="682"/>
      <c r="E594" s="676"/>
      <c r="H594" s="653"/>
      <c r="I594" s="1749" t="s">
        <v>3266</v>
      </c>
      <c r="J594" s="715" t="s">
        <v>3898</v>
      </c>
      <c r="K594" s="716">
        <v>4.9899999999999999E-4</v>
      </c>
      <c r="L594" s="716">
        <v>4.44E-4</v>
      </c>
      <c r="M594" s="655"/>
      <c r="N594" s="653"/>
      <c r="O594" s="653"/>
      <c r="P594" s="653"/>
      <c r="Q594" s="653"/>
      <c r="R594" s="653"/>
      <c r="S594" s="653"/>
      <c r="T594" s="653"/>
      <c r="U594" s="653"/>
    </row>
    <row r="595" spans="1:21">
      <c r="A595" s="677"/>
      <c r="B595" s="678"/>
      <c r="C595" s="681"/>
      <c r="D595" s="682"/>
      <c r="E595" s="676"/>
      <c r="H595" s="653"/>
      <c r="I595" s="1749" t="s">
        <v>3267</v>
      </c>
      <c r="J595" s="715" t="s">
        <v>3899</v>
      </c>
      <c r="K595" s="716">
        <v>4.64E-4</v>
      </c>
      <c r="L595" s="716">
        <v>4.08E-4</v>
      </c>
      <c r="M595" s="655"/>
      <c r="N595" s="653"/>
      <c r="O595" s="653"/>
      <c r="P595" s="653"/>
      <c r="Q595" s="653"/>
      <c r="R595" s="653"/>
      <c r="S595" s="653"/>
      <c r="T595" s="653"/>
      <c r="U595" s="653"/>
    </row>
    <row r="596" spans="1:21" ht="17.25" customHeight="1">
      <c r="A596" s="677"/>
      <c r="B596" s="678"/>
      <c r="C596" s="681"/>
      <c r="D596" s="680"/>
      <c r="E596" s="676"/>
      <c r="H596" s="653"/>
      <c r="I596" s="1749" t="s">
        <v>3268</v>
      </c>
      <c r="J596" s="715" t="s">
        <v>3269</v>
      </c>
      <c r="K596" s="716">
        <v>3.4699999999999998E-4</v>
      </c>
      <c r="L596" s="716">
        <v>2.9500000000000001E-4</v>
      </c>
      <c r="M596" s="655"/>
      <c r="N596" s="653"/>
      <c r="O596" s="653"/>
      <c r="P596" s="653"/>
      <c r="Q596" s="653"/>
      <c r="R596" s="653"/>
      <c r="S596" s="653"/>
      <c r="T596" s="653"/>
      <c r="U596" s="653"/>
    </row>
    <row r="597" spans="1:21" ht="17.25" customHeight="1">
      <c r="A597" s="677"/>
      <c r="B597" s="678"/>
      <c r="C597" s="681"/>
      <c r="D597" s="680"/>
      <c r="E597" s="676"/>
      <c r="H597" s="653"/>
      <c r="I597" s="1749" t="s">
        <v>3270</v>
      </c>
      <c r="J597" s="715" t="s">
        <v>3900</v>
      </c>
      <c r="K597" s="716">
        <v>8.6899999999999998E-4</v>
      </c>
      <c r="L597" s="716">
        <v>8.5499999999999997E-4</v>
      </c>
      <c r="M597" s="655"/>
      <c r="N597" s="653"/>
      <c r="O597" s="653"/>
      <c r="P597" s="653"/>
      <c r="Q597" s="653"/>
      <c r="R597" s="653"/>
      <c r="S597" s="653"/>
      <c r="T597" s="653"/>
      <c r="U597" s="653"/>
    </row>
    <row r="598" spans="1:21" ht="17.25" customHeight="1">
      <c r="A598" s="677"/>
      <c r="B598" s="693"/>
      <c r="C598" s="681"/>
      <c r="D598" s="680"/>
      <c r="E598" s="676"/>
      <c r="H598" s="653"/>
      <c r="I598" s="1749" t="s">
        <v>3271</v>
      </c>
      <c r="J598" s="715" t="s">
        <v>3272</v>
      </c>
      <c r="K598" s="716">
        <v>4.5399999999999998E-4</v>
      </c>
      <c r="L598" s="716">
        <v>4.57E-4</v>
      </c>
      <c r="M598" s="655"/>
      <c r="N598" s="653"/>
      <c r="O598" s="653"/>
      <c r="P598" s="653"/>
      <c r="Q598" s="653"/>
      <c r="R598" s="653"/>
      <c r="S598" s="653"/>
      <c r="T598" s="653"/>
      <c r="U598" s="653"/>
    </row>
    <row r="599" spans="1:21" ht="17.25" customHeight="1">
      <c r="A599" s="677"/>
      <c r="B599" s="678"/>
      <c r="C599" s="681"/>
      <c r="D599" s="680"/>
      <c r="E599" s="676"/>
      <c r="H599" s="653"/>
      <c r="I599" s="1749" t="s">
        <v>5545</v>
      </c>
      <c r="J599" s="715" t="s">
        <v>3273</v>
      </c>
      <c r="K599" s="716">
        <v>4.37E-4</v>
      </c>
      <c r="L599" s="716">
        <v>0</v>
      </c>
      <c r="M599" s="655"/>
      <c r="N599" s="653"/>
      <c r="O599" s="653"/>
      <c r="P599" s="653"/>
      <c r="Q599" s="653"/>
      <c r="R599" s="653"/>
      <c r="S599" s="653"/>
      <c r="T599" s="653"/>
      <c r="U599" s="653"/>
    </row>
    <row r="600" spans="1:21" ht="17.25" customHeight="1">
      <c r="A600" s="677"/>
      <c r="B600" s="678"/>
      <c r="C600" s="681"/>
      <c r="D600" s="680"/>
      <c r="E600" s="676"/>
      <c r="H600" s="653"/>
      <c r="I600" s="1749" t="s">
        <v>5546</v>
      </c>
      <c r="J600" s="715" t="s">
        <v>3273</v>
      </c>
      <c r="K600" s="716">
        <v>4.37E-4</v>
      </c>
      <c r="L600" s="716">
        <v>4.5399999999999998E-4</v>
      </c>
      <c r="M600" s="655"/>
      <c r="N600" s="653"/>
      <c r="O600" s="653"/>
      <c r="P600" s="653"/>
      <c r="Q600" s="653"/>
      <c r="R600" s="653"/>
      <c r="S600" s="653"/>
      <c r="T600" s="653"/>
      <c r="U600" s="653"/>
    </row>
    <row r="601" spans="1:21" ht="17.25" customHeight="1">
      <c r="A601" s="677"/>
      <c r="B601" s="678"/>
      <c r="C601" s="681"/>
      <c r="D601" s="680"/>
      <c r="E601" s="676"/>
      <c r="H601" s="653"/>
      <c r="I601" s="1749" t="s">
        <v>3274</v>
      </c>
      <c r="J601" s="715" t="s">
        <v>3275</v>
      </c>
      <c r="K601" s="716">
        <v>2.9599999999999998E-4</v>
      </c>
      <c r="L601" s="716">
        <v>4.8500000000000003E-4</v>
      </c>
      <c r="M601" s="655"/>
      <c r="N601" s="653"/>
      <c r="O601" s="653"/>
      <c r="P601" s="653"/>
      <c r="Q601" s="653"/>
      <c r="R601" s="653"/>
      <c r="S601" s="653"/>
      <c r="T601" s="653"/>
      <c r="U601" s="653"/>
    </row>
    <row r="602" spans="1:21" ht="17.25" customHeight="1">
      <c r="A602" s="677"/>
      <c r="B602" s="678"/>
      <c r="C602" s="681"/>
      <c r="D602" s="680"/>
      <c r="E602" s="676"/>
      <c r="H602" s="653"/>
      <c r="I602" s="1749" t="s">
        <v>3276</v>
      </c>
      <c r="J602" s="715" t="s">
        <v>3277</v>
      </c>
      <c r="K602" s="716">
        <v>4.6999999999999999E-4</v>
      </c>
      <c r="L602" s="716">
        <v>5.1400000000000003E-4</v>
      </c>
      <c r="M602" s="655"/>
      <c r="N602" s="653"/>
      <c r="O602" s="653"/>
      <c r="P602" s="653"/>
      <c r="Q602" s="653"/>
      <c r="R602" s="653"/>
      <c r="S602" s="653"/>
      <c r="T602" s="653"/>
      <c r="U602" s="653"/>
    </row>
    <row r="603" spans="1:21" ht="17.25" customHeight="1">
      <c r="A603" s="677"/>
      <c r="B603" s="678"/>
      <c r="C603" s="681"/>
      <c r="D603" s="680"/>
      <c r="E603" s="676"/>
      <c r="H603" s="653"/>
      <c r="I603" s="1749" t="s">
        <v>3278</v>
      </c>
      <c r="J603" s="715" t="s">
        <v>3279</v>
      </c>
      <c r="K603" s="716">
        <v>2.7399999999999999E-4</v>
      </c>
      <c r="L603" s="716">
        <v>4.64E-4</v>
      </c>
      <c r="M603" s="655"/>
      <c r="N603" s="653"/>
      <c r="O603" s="653"/>
      <c r="P603" s="653"/>
      <c r="Q603" s="653"/>
      <c r="R603" s="653"/>
      <c r="S603" s="653"/>
      <c r="T603" s="653"/>
      <c r="U603" s="653"/>
    </row>
    <row r="604" spans="1:21" ht="17.25" customHeight="1">
      <c r="A604" s="677"/>
      <c r="B604" s="678"/>
      <c r="C604" s="681"/>
      <c r="D604" s="680"/>
      <c r="E604" s="676"/>
      <c r="H604" s="653"/>
      <c r="I604" s="1749" t="s">
        <v>3280</v>
      </c>
      <c r="J604" s="715" t="s">
        <v>3281</v>
      </c>
      <c r="K604" s="716">
        <v>3.8499999999999998E-4</v>
      </c>
      <c r="L604" s="716">
        <v>4.8799999999999999E-4</v>
      </c>
      <c r="M604" s="655"/>
      <c r="N604" s="653"/>
      <c r="O604" s="653"/>
      <c r="P604" s="653"/>
      <c r="Q604" s="653"/>
      <c r="R604" s="653"/>
      <c r="S604" s="653"/>
      <c r="T604" s="653"/>
      <c r="U604" s="653"/>
    </row>
    <row r="605" spans="1:21" ht="15.75" customHeight="1">
      <c r="A605" s="690"/>
      <c r="B605" s="683"/>
      <c r="C605" s="670"/>
      <c r="D605" s="671"/>
      <c r="E605" s="676"/>
      <c r="H605" s="653"/>
      <c r="I605" s="1749" t="s">
        <v>3282</v>
      </c>
      <c r="J605" s="715" t="s">
        <v>3901</v>
      </c>
      <c r="K605" s="716">
        <v>4.6099999999999998E-4</v>
      </c>
      <c r="L605" s="716">
        <v>5.2499999999999997E-4</v>
      </c>
      <c r="M605" s="655"/>
      <c r="N605" s="653"/>
      <c r="O605" s="653"/>
      <c r="P605" s="653"/>
      <c r="Q605" s="653"/>
      <c r="R605" s="653"/>
      <c r="S605" s="653"/>
      <c r="T605" s="653"/>
      <c r="U605" s="653"/>
    </row>
    <row r="606" spans="1:21" ht="15.75" customHeight="1">
      <c r="A606" s="673"/>
      <c r="B606" s="674"/>
      <c r="C606" s="675"/>
      <c r="D606" s="671"/>
      <c r="E606" s="676"/>
      <c r="H606" s="653"/>
      <c r="I606" s="1749" t="s">
        <v>3283</v>
      </c>
      <c r="J606" s="715" t="s">
        <v>3284</v>
      </c>
      <c r="K606" s="716">
        <v>2.4399999999999999E-4</v>
      </c>
      <c r="L606" s="716">
        <v>4.9100000000000001E-4</v>
      </c>
      <c r="M606" s="655"/>
      <c r="N606" s="653"/>
      <c r="O606" s="653"/>
      <c r="P606" s="653"/>
      <c r="Q606" s="653"/>
      <c r="R606" s="653"/>
      <c r="S606" s="653"/>
      <c r="T606" s="653"/>
      <c r="U606" s="653"/>
    </row>
    <row r="607" spans="1:21" ht="17.25" customHeight="1">
      <c r="A607" s="677"/>
      <c r="B607" s="678"/>
      <c r="C607" s="681"/>
      <c r="D607" s="680"/>
      <c r="E607" s="676"/>
      <c r="H607" s="653"/>
      <c r="I607" s="1749" t="s">
        <v>3285</v>
      </c>
      <c r="J607" s="715" t="s">
        <v>5547</v>
      </c>
      <c r="K607" s="716">
        <v>4.7600000000000002E-4</v>
      </c>
      <c r="L607" s="716">
        <v>0</v>
      </c>
      <c r="M607" s="655"/>
      <c r="N607" s="653"/>
      <c r="O607" s="653"/>
      <c r="P607" s="653"/>
      <c r="Q607" s="653"/>
      <c r="R607" s="653"/>
      <c r="S607" s="653"/>
      <c r="T607" s="653"/>
      <c r="U607" s="653"/>
    </row>
    <row r="608" spans="1:21" ht="17.25" customHeight="1">
      <c r="A608" s="677"/>
      <c r="B608" s="693"/>
      <c r="C608" s="681"/>
      <c r="D608" s="680"/>
      <c r="E608" s="676"/>
      <c r="H608" s="653"/>
      <c r="I608" s="1749" t="s">
        <v>3902</v>
      </c>
      <c r="J608" s="715" t="s">
        <v>5547</v>
      </c>
      <c r="K608" s="716">
        <v>4.7600000000000002E-4</v>
      </c>
      <c r="L608" s="716">
        <v>0</v>
      </c>
      <c r="M608" s="655"/>
      <c r="N608" s="653"/>
      <c r="O608" s="653"/>
      <c r="P608" s="653"/>
      <c r="Q608" s="653"/>
      <c r="R608" s="653"/>
      <c r="S608" s="653"/>
      <c r="T608" s="653"/>
      <c r="U608" s="653"/>
    </row>
    <row r="609" spans="1:21" ht="17.25" customHeight="1">
      <c r="A609" s="677"/>
      <c r="B609" s="693"/>
      <c r="C609" s="681"/>
      <c r="D609" s="680"/>
      <c r="E609" s="676"/>
      <c r="H609" s="653"/>
      <c r="I609" s="1749" t="s">
        <v>3903</v>
      </c>
      <c r="J609" s="715" t="s">
        <v>5547</v>
      </c>
      <c r="K609" s="716">
        <v>4.7600000000000002E-4</v>
      </c>
      <c r="L609" s="716">
        <v>0</v>
      </c>
      <c r="M609" s="655"/>
      <c r="N609" s="653"/>
      <c r="O609" s="653"/>
      <c r="P609" s="653"/>
      <c r="Q609" s="653"/>
      <c r="R609" s="653"/>
      <c r="S609" s="653"/>
      <c r="T609" s="653"/>
      <c r="U609" s="653"/>
    </row>
    <row r="610" spans="1:21" ht="17.25" customHeight="1">
      <c r="A610" s="677"/>
      <c r="B610" s="693"/>
      <c r="C610" s="681"/>
      <c r="D610" s="680"/>
      <c r="E610" s="676"/>
      <c r="H610" s="653"/>
      <c r="I610" s="1749" t="s">
        <v>3904</v>
      </c>
      <c r="J610" s="715" t="s">
        <v>5547</v>
      </c>
      <c r="K610" s="716">
        <v>4.7600000000000002E-4</v>
      </c>
      <c r="L610" s="716">
        <v>4.9399999999999997E-4</v>
      </c>
      <c r="M610" s="655"/>
      <c r="N610" s="653"/>
      <c r="O610" s="653"/>
      <c r="P610" s="653"/>
      <c r="Q610" s="653"/>
      <c r="R610" s="653"/>
      <c r="S610" s="653"/>
      <c r="T610" s="653"/>
      <c r="U610" s="653"/>
    </row>
    <row r="611" spans="1:21" ht="17.25" customHeight="1">
      <c r="A611" s="677"/>
      <c r="B611" s="678"/>
      <c r="C611" s="681"/>
      <c r="D611" s="680"/>
      <c r="E611" s="676"/>
      <c r="H611" s="653"/>
      <c r="I611" s="1749" t="s">
        <v>3286</v>
      </c>
      <c r="J611" s="715" t="s">
        <v>3287</v>
      </c>
      <c r="K611" s="716">
        <v>3.4299999999999999E-4</v>
      </c>
      <c r="L611" s="716">
        <v>4.2499999999999998E-4</v>
      </c>
      <c r="M611" s="655"/>
      <c r="N611" s="653"/>
      <c r="O611" s="653"/>
      <c r="P611" s="653"/>
      <c r="Q611" s="653"/>
      <c r="R611" s="653"/>
      <c r="S611" s="653"/>
      <c r="T611" s="653"/>
      <c r="U611" s="653"/>
    </row>
    <row r="612" spans="1:21" ht="17.25" customHeight="1">
      <c r="A612" s="677"/>
      <c r="B612" s="678"/>
      <c r="C612" s="681"/>
      <c r="D612" s="680"/>
      <c r="E612" s="676"/>
      <c r="H612" s="653"/>
      <c r="I612" s="1749" t="s">
        <v>3288</v>
      </c>
      <c r="J612" s="715" t="s">
        <v>3289</v>
      </c>
      <c r="K612" s="716">
        <v>3.88E-4</v>
      </c>
      <c r="L612" s="716">
        <v>4.7899999999999999E-4</v>
      </c>
      <c r="M612" s="655"/>
      <c r="N612" s="653"/>
      <c r="O612" s="653"/>
      <c r="P612" s="653"/>
      <c r="Q612" s="653"/>
      <c r="R612" s="653"/>
      <c r="S612" s="653"/>
      <c r="T612" s="653"/>
      <c r="U612" s="653"/>
    </row>
    <row r="613" spans="1:21" ht="17.25" customHeight="1">
      <c r="A613" s="677"/>
      <c r="B613" s="678"/>
      <c r="C613" s="681"/>
      <c r="D613" s="680"/>
      <c r="E613" s="676"/>
      <c r="H613" s="653"/>
      <c r="I613" s="1749" t="s">
        <v>3290</v>
      </c>
      <c r="J613" s="715" t="s">
        <v>3291</v>
      </c>
      <c r="K613" s="716">
        <v>3.3300000000000002E-4</v>
      </c>
      <c r="L613" s="716">
        <v>3.8000000000000002E-4</v>
      </c>
      <c r="M613" s="655"/>
      <c r="N613" s="653"/>
      <c r="O613" s="653"/>
      <c r="P613" s="653"/>
      <c r="Q613" s="653"/>
      <c r="R613" s="653"/>
      <c r="S613" s="653"/>
      <c r="T613" s="653"/>
      <c r="U613" s="653"/>
    </row>
    <row r="614" spans="1:21" ht="15.75" customHeight="1">
      <c r="A614" s="690"/>
      <c r="B614" s="683"/>
      <c r="C614" s="670"/>
      <c r="D614" s="671"/>
      <c r="E614" s="676"/>
      <c r="H614" s="653"/>
      <c r="I614" s="1749" t="s">
        <v>3292</v>
      </c>
      <c r="J614" s="715" t="s">
        <v>3293</v>
      </c>
      <c r="K614" s="716">
        <v>4.64E-4</v>
      </c>
      <c r="L614" s="716">
        <v>4.08E-4</v>
      </c>
      <c r="M614" s="655"/>
      <c r="N614" s="653"/>
      <c r="O614" s="653"/>
      <c r="P614" s="653"/>
      <c r="Q614" s="653"/>
      <c r="R614" s="653"/>
      <c r="S614" s="653"/>
      <c r="T614" s="653"/>
      <c r="U614" s="653"/>
    </row>
    <row r="615" spans="1:21" ht="15.75" customHeight="1">
      <c r="A615" s="673"/>
      <c r="B615" s="674"/>
      <c r="C615" s="675"/>
      <c r="D615" s="671"/>
      <c r="E615" s="676"/>
      <c r="H615" s="653"/>
      <c r="I615" s="1749" t="s">
        <v>5548</v>
      </c>
      <c r="J615" s="715" t="s">
        <v>3294</v>
      </c>
      <c r="K615" s="716">
        <v>4.4799999999999999E-4</v>
      </c>
      <c r="L615" s="716">
        <v>0</v>
      </c>
      <c r="M615" s="655"/>
      <c r="N615" s="653"/>
      <c r="O615" s="653"/>
      <c r="P615" s="653"/>
      <c r="Q615" s="653"/>
      <c r="R615" s="653"/>
      <c r="S615" s="653"/>
      <c r="T615" s="653"/>
      <c r="U615" s="653"/>
    </row>
    <row r="616" spans="1:21" ht="17.25" customHeight="1">
      <c r="A616" s="677"/>
      <c r="B616" s="678"/>
      <c r="C616" s="681"/>
      <c r="D616" s="680"/>
      <c r="E616" s="676"/>
      <c r="H616" s="653"/>
      <c r="I616" s="1749" t="s">
        <v>5549</v>
      </c>
      <c r="J616" s="715" t="s">
        <v>3294</v>
      </c>
      <c r="K616" s="716">
        <v>4.4799999999999999E-4</v>
      </c>
      <c r="L616" s="716">
        <v>3.9199999999999999E-4</v>
      </c>
      <c r="M616" s="655"/>
      <c r="N616" s="653"/>
      <c r="O616" s="653"/>
      <c r="P616" s="653"/>
      <c r="Q616" s="653"/>
      <c r="R616" s="653"/>
      <c r="S616" s="653"/>
      <c r="T616" s="653"/>
      <c r="U616" s="653"/>
    </row>
    <row r="617" spans="1:21" ht="17.25" customHeight="1">
      <c r="A617" s="677"/>
      <c r="B617" s="678"/>
      <c r="C617" s="681"/>
      <c r="D617" s="680"/>
      <c r="E617" s="676"/>
      <c r="H617" s="653"/>
      <c r="I617" s="1749" t="s">
        <v>3295</v>
      </c>
      <c r="J617" s="715" t="s">
        <v>3296</v>
      </c>
      <c r="K617" s="716">
        <v>4.8799999999999999E-4</v>
      </c>
      <c r="L617" s="716">
        <v>4.2499999999999998E-4</v>
      </c>
      <c r="M617" s="655"/>
      <c r="N617" s="653"/>
      <c r="O617" s="653"/>
      <c r="P617" s="653"/>
      <c r="Q617" s="653"/>
      <c r="R617" s="653"/>
      <c r="S617" s="653"/>
      <c r="T617" s="653"/>
      <c r="U617" s="653"/>
    </row>
    <row r="618" spans="1:21" ht="15.75" customHeight="1">
      <c r="A618" s="690"/>
      <c r="B618" s="683"/>
      <c r="C618" s="670"/>
      <c r="D618" s="671"/>
      <c r="E618" s="676"/>
      <c r="H618" s="653"/>
      <c r="I618" s="1749" t="s">
        <v>3297</v>
      </c>
      <c r="J618" s="715" t="s">
        <v>3298</v>
      </c>
      <c r="K618" s="716">
        <v>3.7500000000000001E-4</v>
      </c>
      <c r="L618" s="716">
        <v>4.73E-4</v>
      </c>
      <c r="M618" s="655"/>
      <c r="N618" s="653"/>
      <c r="O618" s="653"/>
      <c r="P618" s="653"/>
      <c r="Q618" s="653"/>
      <c r="R618" s="653"/>
      <c r="S618" s="653"/>
      <c r="T618" s="653"/>
      <c r="U618" s="653"/>
    </row>
    <row r="619" spans="1:21" ht="15.75" customHeight="1">
      <c r="A619" s="673"/>
      <c r="B619" s="674"/>
      <c r="C619" s="675"/>
      <c r="D619" s="671"/>
      <c r="E619" s="676"/>
      <c r="H619" s="653"/>
      <c r="I619" s="1749" t="s">
        <v>3299</v>
      </c>
      <c r="J619" s="715" t="s">
        <v>3300</v>
      </c>
      <c r="K619" s="716">
        <v>4.95E-4</v>
      </c>
      <c r="L619" s="716">
        <v>4.2000000000000002E-4</v>
      </c>
      <c r="M619" s="655"/>
      <c r="N619" s="653"/>
      <c r="O619" s="653"/>
      <c r="P619" s="653"/>
      <c r="Q619" s="653"/>
      <c r="R619" s="653"/>
      <c r="S619" s="653"/>
      <c r="T619" s="653"/>
      <c r="U619" s="653"/>
    </row>
    <row r="620" spans="1:21" ht="17.25" customHeight="1">
      <c r="A620" s="677"/>
      <c r="B620" s="678"/>
      <c r="C620" s="681"/>
      <c r="D620" s="680"/>
      <c r="E620" s="676"/>
      <c r="H620" s="653"/>
      <c r="I620" s="1749" t="s">
        <v>3302</v>
      </c>
      <c r="J620" s="715" t="s">
        <v>3301</v>
      </c>
      <c r="K620" s="716">
        <v>4.66E-4</v>
      </c>
      <c r="L620" s="716">
        <v>0</v>
      </c>
      <c r="M620" s="655"/>
      <c r="N620" s="653"/>
      <c r="O620" s="653"/>
      <c r="P620" s="653"/>
      <c r="Q620" s="653"/>
      <c r="R620" s="653"/>
      <c r="S620" s="653"/>
      <c r="T620" s="653"/>
      <c r="U620" s="653"/>
    </row>
    <row r="621" spans="1:21" ht="17.25" customHeight="1">
      <c r="A621" s="677"/>
      <c r="B621" s="678"/>
      <c r="C621" s="681"/>
      <c r="D621" s="680"/>
      <c r="E621" s="676"/>
      <c r="H621" s="653"/>
      <c r="I621" s="1749" t="s">
        <v>3905</v>
      </c>
      <c r="J621" s="715" t="s">
        <v>3301</v>
      </c>
      <c r="K621" s="716">
        <v>4.66E-4</v>
      </c>
      <c r="L621" s="716">
        <v>4.1300000000000001E-4</v>
      </c>
      <c r="M621" s="655"/>
      <c r="N621" s="653"/>
      <c r="O621" s="653"/>
      <c r="P621" s="653"/>
      <c r="Q621" s="653"/>
      <c r="R621" s="653"/>
      <c r="S621" s="653"/>
      <c r="T621" s="653"/>
      <c r="U621" s="653"/>
    </row>
    <row r="622" spans="1:21" ht="17.25" customHeight="1">
      <c r="A622" s="677"/>
      <c r="B622" s="678"/>
      <c r="C622" s="681"/>
      <c r="D622" s="680"/>
      <c r="E622" s="676"/>
      <c r="H622" s="653"/>
      <c r="I622" s="1749" t="s">
        <v>3906</v>
      </c>
      <c r="J622" s="715" t="s">
        <v>3303</v>
      </c>
      <c r="K622" s="716">
        <v>4.5399999999999998E-4</v>
      </c>
      <c r="L622" s="716">
        <v>0</v>
      </c>
      <c r="M622" s="655"/>
      <c r="N622" s="653"/>
      <c r="O622" s="653"/>
      <c r="P622" s="653"/>
      <c r="Q622" s="653"/>
      <c r="R622" s="653"/>
      <c r="S622" s="653"/>
      <c r="T622" s="653"/>
      <c r="U622" s="653"/>
    </row>
    <row r="623" spans="1:21" ht="15.75" customHeight="1">
      <c r="A623" s="690"/>
      <c r="B623" s="683"/>
      <c r="C623" s="670"/>
      <c r="D623" s="671"/>
      <c r="E623" s="676"/>
      <c r="H623" s="653"/>
      <c r="I623" s="1749" t="s">
        <v>3907</v>
      </c>
      <c r="J623" s="715" t="s">
        <v>3303</v>
      </c>
      <c r="K623" s="716">
        <v>4.5399999999999998E-4</v>
      </c>
      <c r="L623" s="716">
        <v>0</v>
      </c>
      <c r="M623" s="655"/>
      <c r="N623" s="653"/>
      <c r="O623" s="653"/>
      <c r="P623" s="653"/>
      <c r="Q623" s="653"/>
      <c r="R623" s="653"/>
      <c r="S623" s="653"/>
      <c r="T623" s="653"/>
      <c r="U623" s="653"/>
    </row>
    <row r="624" spans="1:21" ht="15.75" customHeight="1">
      <c r="A624" s="673"/>
      <c r="B624" s="674"/>
      <c r="C624" s="675"/>
      <c r="D624" s="671"/>
      <c r="E624" s="676"/>
      <c r="H624" s="653"/>
      <c r="I624" s="1749" t="s">
        <v>3908</v>
      </c>
      <c r="J624" s="715" t="s">
        <v>3303</v>
      </c>
      <c r="K624" s="716">
        <v>4.5399999999999998E-4</v>
      </c>
      <c r="L624" s="716">
        <v>0</v>
      </c>
      <c r="M624" s="655"/>
      <c r="N624" s="653"/>
      <c r="O624" s="653"/>
      <c r="P624" s="653"/>
      <c r="Q624" s="653"/>
      <c r="R624" s="653"/>
      <c r="S624" s="653"/>
      <c r="T624" s="653"/>
      <c r="U624" s="653"/>
    </row>
    <row r="625" spans="1:21" ht="17.25" customHeight="1">
      <c r="A625" s="677"/>
      <c r="B625" s="678"/>
      <c r="C625" s="681"/>
      <c r="D625" s="680"/>
      <c r="E625" s="676"/>
      <c r="H625" s="653"/>
      <c r="I625" s="1749" t="s">
        <v>3909</v>
      </c>
      <c r="J625" s="715" t="s">
        <v>3303</v>
      </c>
      <c r="K625" s="716">
        <v>4.5399999999999998E-4</v>
      </c>
      <c r="L625" s="716">
        <v>0</v>
      </c>
      <c r="M625" s="655"/>
      <c r="N625" s="653"/>
      <c r="O625" s="653"/>
      <c r="P625" s="653"/>
      <c r="Q625" s="653"/>
      <c r="R625" s="653"/>
      <c r="S625" s="653"/>
      <c r="T625" s="653"/>
      <c r="U625" s="653"/>
    </row>
    <row r="626" spans="1:21" ht="15.75" customHeight="1">
      <c r="A626" s="691"/>
      <c r="B626" s="685"/>
      <c r="C626" s="686"/>
      <c r="D626" s="671"/>
      <c r="E626" s="676"/>
      <c r="H626" s="653"/>
      <c r="I626" s="1749" t="s">
        <v>5550</v>
      </c>
      <c r="J626" s="715" t="s">
        <v>3303</v>
      </c>
      <c r="K626" s="716">
        <v>4.5399999999999998E-4</v>
      </c>
      <c r="L626" s="716">
        <v>0</v>
      </c>
      <c r="M626" s="655"/>
      <c r="N626" s="653"/>
      <c r="O626" s="653"/>
      <c r="P626" s="653"/>
      <c r="Q626" s="653"/>
      <c r="R626" s="653"/>
      <c r="S626" s="653"/>
      <c r="T626" s="653"/>
      <c r="U626" s="653"/>
    </row>
    <row r="627" spans="1:21" ht="15.75" customHeight="1">
      <c r="A627" s="687"/>
      <c r="B627" s="688"/>
      <c r="C627" s="689"/>
      <c r="D627" s="671"/>
      <c r="E627" s="676"/>
      <c r="H627" s="653"/>
      <c r="I627" s="1749" t="s">
        <v>5551</v>
      </c>
      <c r="J627" s="715" t="s">
        <v>3303</v>
      </c>
      <c r="K627" s="716">
        <v>4.5399999999999998E-4</v>
      </c>
      <c r="L627" s="716">
        <v>0</v>
      </c>
      <c r="M627" s="655"/>
      <c r="N627" s="653"/>
      <c r="O627" s="653"/>
      <c r="P627" s="653"/>
      <c r="Q627" s="653"/>
      <c r="R627" s="653"/>
      <c r="S627" s="653"/>
      <c r="T627" s="653"/>
      <c r="U627" s="653"/>
    </row>
    <row r="628" spans="1:21" ht="15.75" customHeight="1">
      <c r="A628" s="687"/>
      <c r="B628" s="688"/>
      <c r="C628" s="689"/>
      <c r="D628" s="671"/>
      <c r="E628" s="676"/>
      <c r="H628" s="653"/>
      <c r="I628" s="1749" t="s">
        <v>5552</v>
      </c>
      <c r="J628" s="715" t="s">
        <v>3303</v>
      </c>
      <c r="K628" s="716">
        <v>4.5399999999999998E-4</v>
      </c>
      <c r="L628" s="716">
        <v>5.1900000000000004E-4</v>
      </c>
      <c r="M628" s="655"/>
      <c r="N628" s="653"/>
      <c r="O628" s="653"/>
      <c r="P628" s="653"/>
      <c r="Q628" s="653"/>
      <c r="R628" s="653"/>
      <c r="S628" s="653"/>
      <c r="T628" s="653"/>
      <c r="U628" s="653"/>
    </row>
    <row r="629" spans="1:21" ht="17.25" customHeight="1">
      <c r="A629" s="677"/>
      <c r="B629" s="678"/>
      <c r="C629" s="681"/>
      <c r="D629" s="680"/>
      <c r="E629" s="676"/>
      <c r="H629" s="653"/>
      <c r="I629" s="1749" t="s">
        <v>3304</v>
      </c>
      <c r="J629" s="715" t="s">
        <v>3305</v>
      </c>
      <c r="K629" s="716">
        <v>4.6299999999999998E-4</v>
      </c>
      <c r="L629" s="716">
        <v>4.8799999999999999E-4</v>
      </c>
      <c r="M629" s="655"/>
      <c r="N629" s="653"/>
      <c r="O629" s="653"/>
      <c r="P629" s="653"/>
      <c r="Q629" s="653"/>
      <c r="R629" s="653"/>
      <c r="S629" s="653"/>
      <c r="T629" s="653"/>
      <c r="U629" s="653"/>
    </row>
    <row r="630" spans="1:21" ht="17.25" customHeight="1">
      <c r="A630" s="677"/>
      <c r="B630" s="678"/>
      <c r="C630" s="681"/>
      <c r="D630" s="680"/>
      <c r="E630" s="676"/>
      <c r="H630" s="653"/>
      <c r="I630" s="1749" t="s">
        <v>3910</v>
      </c>
      <c r="J630" s="715" t="s">
        <v>3306</v>
      </c>
      <c r="K630" s="716">
        <v>5.53E-4</v>
      </c>
      <c r="L630" s="716">
        <v>0</v>
      </c>
      <c r="M630" s="655"/>
      <c r="N630" s="653"/>
      <c r="O630" s="653"/>
      <c r="P630" s="653"/>
      <c r="Q630" s="653"/>
      <c r="R630" s="653"/>
      <c r="S630" s="653"/>
      <c r="T630" s="653"/>
      <c r="U630" s="653"/>
    </row>
    <row r="631" spans="1:21" ht="15.75" customHeight="1">
      <c r="A631" s="691"/>
      <c r="B631" s="685"/>
      <c r="C631" s="686"/>
      <c r="D631" s="671"/>
      <c r="E631" s="676"/>
      <c r="H631" s="653"/>
      <c r="I631" s="1749" t="s">
        <v>3911</v>
      </c>
      <c r="J631" s="715" t="s">
        <v>3306</v>
      </c>
      <c r="K631" s="716">
        <v>5.53E-4</v>
      </c>
      <c r="L631" s="716">
        <v>5.4100000000000003E-4</v>
      </c>
      <c r="M631" s="655"/>
      <c r="N631" s="653"/>
      <c r="O631" s="653"/>
      <c r="P631" s="653"/>
      <c r="Q631" s="653"/>
      <c r="R631" s="653"/>
      <c r="S631" s="653"/>
      <c r="T631" s="653"/>
      <c r="U631" s="653"/>
    </row>
    <row r="632" spans="1:21" ht="15.75" customHeight="1">
      <c r="A632" s="687"/>
      <c r="B632" s="688"/>
      <c r="C632" s="689"/>
      <c r="D632" s="671"/>
      <c r="E632" s="676"/>
      <c r="H632" s="653"/>
      <c r="I632" s="1749" t="s">
        <v>3307</v>
      </c>
      <c r="J632" s="715" t="s">
        <v>3308</v>
      </c>
      <c r="K632" s="716">
        <v>3.9100000000000002E-4</v>
      </c>
      <c r="L632" s="716">
        <v>0</v>
      </c>
      <c r="M632" s="655"/>
      <c r="N632" s="653"/>
      <c r="O632" s="653"/>
      <c r="P632" s="653"/>
      <c r="Q632" s="653"/>
      <c r="R632" s="653"/>
      <c r="S632" s="653"/>
      <c r="T632" s="653"/>
      <c r="U632" s="653"/>
    </row>
    <row r="633" spans="1:21" ht="15.75" customHeight="1">
      <c r="A633" s="687"/>
      <c r="B633" s="688"/>
      <c r="C633" s="689"/>
      <c r="D633" s="671"/>
      <c r="E633" s="676"/>
      <c r="H633" s="653"/>
      <c r="I633" s="1749" t="s">
        <v>3309</v>
      </c>
      <c r="J633" s="715" t="s">
        <v>3308</v>
      </c>
      <c r="K633" s="716">
        <v>3.9100000000000002E-4</v>
      </c>
      <c r="L633" s="716">
        <v>0</v>
      </c>
      <c r="M633" s="655"/>
      <c r="N633" s="653"/>
      <c r="O633" s="653"/>
      <c r="P633" s="653"/>
      <c r="Q633" s="653"/>
      <c r="R633" s="653"/>
      <c r="S633" s="653"/>
      <c r="T633" s="653"/>
      <c r="U633" s="653"/>
    </row>
    <row r="634" spans="1:21" ht="17.25" customHeight="1">
      <c r="A634" s="677"/>
      <c r="B634" s="678"/>
      <c r="C634" s="681"/>
      <c r="D634" s="680"/>
      <c r="E634" s="676"/>
      <c r="H634" s="653"/>
      <c r="I634" s="1749" t="s">
        <v>3310</v>
      </c>
      <c r="J634" s="715" t="s">
        <v>3308</v>
      </c>
      <c r="K634" s="716">
        <v>3.9100000000000002E-4</v>
      </c>
      <c r="L634" s="716">
        <v>3.0800000000000001E-4</v>
      </c>
      <c r="M634" s="655"/>
      <c r="N634" s="653"/>
      <c r="O634" s="653"/>
      <c r="P634" s="653"/>
      <c r="Q634" s="653"/>
      <c r="R634" s="653"/>
      <c r="S634" s="653"/>
      <c r="T634" s="653"/>
      <c r="U634" s="653"/>
    </row>
    <row r="635" spans="1:21" ht="17.25" customHeight="1">
      <c r="A635" s="677"/>
      <c r="B635" s="678"/>
      <c r="C635" s="681"/>
      <c r="D635" s="680"/>
      <c r="E635" s="676"/>
      <c r="H635" s="653"/>
      <c r="I635" s="1749" t="s">
        <v>3311</v>
      </c>
      <c r="J635" s="715" t="s">
        <v>3308</v>
      </c>
      <c r="K635" s="716">
        <v>3.9100000000000002E-4</v>
      </c>
      <c r="L635" s="716">
        <v>4.0299999999999998E-4</v>
      </c>
      <c r="M635" s="655"/>
      <c r="N635" s="653"/>
      <c r="O635" s="653"/>
      <c r="P635" s="653"/>
      <c r="Q635" s="653"/>
      <c r="R635" s="653"/>
      <c r="S635" s="653"/>
      <c r="T635" s="653"/>
      <c r="U635" s="653"/>
    </row>
    <row r="636" spans="1:21" ht="17.25" customHeight="1">
      <c r="A636" s="677"/>
      <c r="B636" s="678"/>
      <c r="C636" s="681"/>
      <c r="D636" s="680"/>
      <c r="E636" s="676"/>
      <c r="H636" s="653"/>
      <c r="I636" s="1749" t="s">
        <v>3312</v>
      </c>
      <c r="J636" s="715" t="s">
        <v>3313</v>
      </c>
      <c r="K636" s="716">
        <v>4.3899999999999999E-4</v>
      </c>
      <c r="L636" s="716">
        <v>3.8499999999999998E-4</v>
      </c>
      <c r="M636" s="655"/>
      <c r="N636" s="653"/>
      <c r="O636" s="653"/>
      <c r="P636" s="653"/>
      <c r="Q636" s="653"/>
      <c r="R636" s="653"/>
      <c r="S636" s="653"/>
      <c r="T636" s="653"/>
      <c r="U636" s="653"/>
    </row>
    <row r="637" spans="1:21" ht="17.25" customHeight="1">
      <c r="A637" s="677"/>
      <c r="B637" s="678"/>
      <c r="C637" s="681"/>
      <c r="D637" s="680"/>
      <c r="E637" s="676"/>
      <c r="H637" s="653"/>
      <c r="I637" s="1749" t="s">
        <v>3314</v>
      </c>
      <c r="J637" s="715" t="s">
        <v>3315</v>
      </c>
      <c r="K637" s="716">
        <v>4.5399999999999998E-4</v>
      </c>
      <c r="L637" s="716">
        <v>4.57E-4</v>
      </c>
      <c r="M637" s="655"/>
      <c r="N637" s="653"/>
      <c r="O637" s="653"/>
      <c r="P637" s="653"/>
      <c r="Q637" s="653"/>
      <c r="R637" s="653"/>
      <c r="S637" s="653"/>
      <c r="T637" s="653"/>
      <c r="U637" s="653"/>
    </row>
    <row r="638" spans="1:21" ht="17.25" customHeight="1">
      <c r="A638" s="677"/>
      <c r="B638" s="678"/>
      <c r="C638" s="681"/>
      <c r="D638" s="680"/>
      <c r="E638" s="676"/>
      <c r="H638" s="653"/>
      <c r="I638" s="1749" t="s">
        <v>3316</v>
      </c>
      <c r="J638" s="715" t="s">
        <v>3317</v>
      </c>
      <c r="K638" s="716">
        <v>4.9200000000000003E-4</v>
      </c>
      <c r="L638" s="716">
        <v>4.3600000000000003E-4</v>
      </c>
      <c r="M638" s="655"/>
      <c r="N638" s="653"/>
      <c r="O638" s="653"/>
      <c r="P638" s="653"/>
      <c r="Q638" s="653"/>
      <c r="R638" s="653"/>
      <c r="S638" s="653"/>
      <c r="T638" s="653"/>
      <c r="U638" s="653"/>
    </row>
    <row r="639" spans="1:21" ht="17.25" customHeight="1">
      <c r="A639" s="677"/>
      <c r="B639" s="678"/>
      <c r="C639" s="681"/>
      <c r="D639" s="680"/>
      <c r="E639" s="676"/>
      <c r="H639" s="653"/>
      <c r="I639" s="1749" t="s">
        <v>3318</v>
      </c>
      <c r="J639" s="715" t="s">
        <v>3319</v>
      </c>
      <c r="K639" s="716">
        <v>5.22E-4</v>
      </c>
      <c r="L639" s="716">
        <v>5.0699999999999996E-4</v>
      </c>
      <c r="M639" s="655"/>
      <c r="N639" s="653"/>
      <c r="O639" s="653"/>
      <c r="P639" s="653"/>
      <c r="Q639" s="653"/>
      <c r="R639" s="653"/>
      <c r="S639" s="653"/>
      <c r="T639" s="653"/>
      <c r="U639" s="653"/>
    </row>
    <row r="640" spans="1:21" ht="17.25" customHeight="1">
      <c r="A640" s="677"/>
      <c r="B640" s="678"/>
      <c r="C640" s="681"/>
      <c r="D640" s="680"/>
      <c r="E640" s="676"/>
      <c r="H640" s="653"/>
      <c r="I640" s="1749" t="s">
        <v>5553</v>
      </c>
      <c r="J640" s="715" t="s">
        <v>3320</v>
      </c>
      <c r="K640" s="716">
        <v>4.0999999999999999E-4</v>
      </c>
      <c r="L640" s="716">
        <v>0</v>
      </c>
      <c r="M640" s="655"/>
      <c r="N640" s="653"/>
      <c r="O640" s="653"/>
      <c r="P640" s="653"/>
      <c r="Q640" s="653"/>
      <c r="R640" s="653"/>
      <c r="S640" s="653"/>
      <c r="T640" s="653"/>
      <c r="U640" s="653"/>
    </row>
    <row r="641" spans="1:21" ht="17.25" customHeight="1">
      <c r="A641" s="677"/>
      <c r="B641" s="678"/>
      <c r="C641" s="681"/>
      <c r="D641" s="680"/>
      <c r="E641" s="676"/>
      <c r="H641" s="653"/>
      <c r="I641" s="1749" t="s">
        <v>5554</v>
      </c>
      <c r="J641" s="715" t="s">
        <v>3320</v>
      </c>
      <c r="K641" s="716">
        <v>4.0999999999999999E-4</v>
      </c>
      <c r="L641" s="716">
        <v>5.3499999999999999E-4</v>
      </c>
      <c r="M641" s="655"/>
      <c r="N641" s="653"/>
      <c r="O641" s="653"/>
      <c r="P641" s="653"/>
      <c r="Q641" s="653"/>
      <c r="R641" s="653"/>
      <c r="S641" s="653"/>
      <c r="T641" s="653"/>
      <c r="U641" s="653"/>
    </row>
    <row r="642" spans="1:21" ht="17.25" customHeight="1">
      <c r="A642" s="677"/>
      <c r="B642" s="678"/>
      <c r="C642" s="681"/>
      <c r="D642" s="680"/>
      <c r="E642" s="676"/>
      <c r="H642" s="653"/>
      <c r="I642" s="1749" t="s">
        <v>3321</v>
      </c>
      <c r="J642" s="715" t="s">
        <v>3322</v>
      </c>
      <c r="K642" s="716">
        <v>4.4099999999999999E-4</v>
      </c>
      <c r="L642" s="716">
        <v>0</v>
      </c>
      <c r="M642" s="655"/>
      <c r="N642" s="653"/>
      <c r="O642" s="653"/>
      <c r="P642" s="653"/>
      <c r="Q642" s="653"/>
      <c r="R642" s="653"/>
      <c r="S642" s="653"/>
      <c r="T642" s="653"/>
      <c r="U642" s="653"/>
    </row>
    <row r="643" spans="1:21" ht="17.25" customHeight="1">
      <c r="A643" s="677"/>
      <c r="B643" s="678"/>
      <c r="C643" s="681"/>
      <c r="D643" s="680"/>
      <c r="E643" s="676"/>
      <c r="H643" s="653"/>
      <c r="I643" s="1749" t="s">
        <v>3912</v>
      </c>
      <c r="J643" s="715" t="s">
        <v>3322</v>
      </c>
      <c r="K643" s="716">
        <v>4.4099999999999999E-4</v>
      </c>
      <c r="L643" s="716">
        <v>4.7899999999999999E-4</v>
      </c>
      <c r="M643" s="655"/>
      <c r="N643" s="653"/>
      <c r="O643" s="653"/>
      <c r="P643" s="653"/>
      <c r="Q643" s="653"/>
      <c r="R643" s="653"/>
      <c r="S643" s="653"/>
      <c r="T643" s="653"/>
      <c r="U643" s="653"/>
    </row>
    <row r="644" spans="1:21" ht="17.25" customHeight="1">
      <c r="A644" s="677"/>
      <c r="B644" s="678"/>
      <c r="C644" s="681"/>
      <c r="D644" s="680"/>
      <c r="E644" s="676"/>
      <c r="H644" s="653"/>
      <c r="I644" s="1749" t="s">
        <v>3323</v>
      </c>
      <c r="J644" s="715" t="s">
        <v>3324</v>
      </c>
      <c r="K644" s="716">
        <v>4.17E-4</v>
      </c>
      <c r="L644" s="716">
        <v>3.6099999999999999E-4</v>
      </c>
      <c r="M644" s="655"/>
      <c r="N644" s="653"/>
      <c r="O644" s="653"/>
      <c r="P644" s="653"/>
      <c r="Q644" s="653"/>
      <c r="R644" s="653"/>
      <c r="S644" s="653"/>
      <c r="T644" s="653"/>
      <c r="U644" s="653"/>
    </row>
    <row r="645" spans="1:21" ht="17.25" customHeight="1">
      <c r="A645" s="677"/>
      <c r="B645" s="678"/>
      <c r="C645" s="679"/>
      <c r="D645" s="680"/>
      <c r="E645" s="676"/>
      <c r="H645" s="653"/>
      <c r="I645" s="1749" t="s">
        <v>3913</v>
      </c>
      <c r="J645" s="715" t="s">
        <v>3325</v>
      </c>
      <c r="K645" s="716">
        <v>6.3900000000000003E-4</v>
      </c>
      <c r="L645" s="716">
        <v>0</v>
      </c>
      <c r="M645" s="655"/>
      <c r="N645" s="653"/>
      <c r="O645" s="653"/>
      <c r="P645" s="653"/>
      <c r="Q645" s="653"/>
      <c r="R645" s="653"/>
      <c r="S645" s="653"/>
      <c r="T645" s="653"/>
      <c r="U645" s="653"/>
    </row>
    <row r="646" spans="1:21" ht="17.25" customHeight="1">
      <c r="A646" s="677"/>
      <c r="B646" s="678"/>
      <c r="C646" s="681"/>
      <c r="D646" s="680"/>
      <c r="E646" s="676"/>
      <c r="H646" s="653"/>
      <c r="I646" s="1749" t="s">
        <v>3914</v>
      </c>
      <c r="J646" s="715" t="s">
        <v>3325</v>
      </c>
      <c r="K646" s="716">
        <v>6.3900000000000003E-4</v>
      </c>
      <c r="L646" s="716">
        <v>6.6100000000000002E-4</v>
      </c>
      <c r="M646" s="655"/>
      <c r="N646" s="653"/>
      <c r="O646" s="653"/>
      <c r="P646" s="653"/>
      <c r="Q646" s="653"/>
      <c r="R646" s="653"/>
      <c r="S646" s="653"/>
      <c r="T646" s="653"/>
      <c r="U646" s="653"/>
    </row>
    <row r="647" spans="1:21" ht="17.25" customHeight="1">
      <c r="A647" s="677"/>
      <c r="B647" s="678"/>
      <c r="C647" s="681"/>
      <c r="D647" s="680"/>
      <c r="E647" s="676"/>
      <c r="H647" s="653"/>
      <c r="I647" s="1749" t="s">
        <v>5555</v>
      </c>
      <c r="J647" s="715" t="s">
        <v>3326</v>
      </c>
      <c r="K647" s="716">
        <v>8.3000000000000001E-4</v>
      </c>
      <c r="L647" s="716">
        <v>0</v>
      </c>
      <c r="M647" s="655"/>
      <c r="N647" s="653"/>
      <c r="O647" s="653"/>
      <c r="P647" s="653"/>
      <c r="Q647" s="653"/>
      <c r="R647" s="653"/>
      <c r="S647" s="653"/>
      <c r="T647" s="653"/>
      <c r="U647" s="653"/>
    </row>
    <row r="648" spans="1:21" ht="15.75" customHeight="1">
      <c r="A648" s="690"/>
      <c r="B648" s="683"/>
      <c r="C648" s="694"/>
      <c r="D648" s="671"/>
      <c r="E648" s="676"/>
      <c r="H648" s="653"/>
      <c r="I648" s="1749" t="s">
        <v>5556</v>
      </c>
      <c r="J648" s="715" t="s">
        <v>3326</v>
      </c>
      <c r="K648" s="716">
        <v>8.3000000000000001E-4</v>
      </c>
      <c r="L648" s="716">
        <v>7.8399999999999997E-4</v>
      </c>
      <c r="M648" s="655"/>
      <c r="N648" s="653"/>
      <c r="O648" s="653"/>
      <c r="P648" s="653"/>
      <c r="Q648" s="653"/>
      <c r="R648" s="653"/>
      <c r="S648" s="653"/>
      <c r="T648" s="653"/>
      <c r="U648" s="653"/>
    </row>
    <row r="649" spans="1:21" ht="15.75" customHeight="1">
      <c r="A649" s="673"/>
      <c r="B649" s="674"/>
      <c r="C649" s="695"/>
      <c r="D649" s="671"/>
      <c r="E649" s="676"/>
      <c r="H649" s="653"/>
      <c r="I649" s="1749" t="s">
        <v>3327</v>
      </c>
      <c r="J649" s="715" t="s">
        <v>3328</v>
      </c>
      <c r="K649" s="716">
        <v>4.46E-4</v>
      </c>
      <c r="L649" s="716">
        <v>4.6900000000000002E-4</v>
      </c>
      <c r="M649" s="655"/>
      <c r="N649" s="653"/>
      <c r="O649" s="653"/>
      <c r="P649" s="653"/>
      <c r="Q649" s="653"/>
      <c r="R649" s="653"/>
      <c r="S649" s="653"/>
      <c r="T649" s="653"/>
      <c r="U649" s="653"/>
    </row>
    <row r="650" spans="1:21" ht="17.25" customHeight="1">
      <c r="A650" s="677"/>
      <c r="B650" s="678"/>
      <c r="C650" s="681"/>
      <c r="D650" s="680"/>
      <c r="E650" s="676"/>
      <c r="H650" s="653"/>
      <c r="I650" s="1749" t="s">
        <v>3329</v>
      </c>
      <c r="J650" s="715" t="s">
        <v>3915</v>
      </c>
      <c r="K650" s="716">
        <v>4.6799999999999999E-4</v>
      </c>
      <c r="L650" s="716">
        <v>0</v>
      </c>
      <c r="M650" s="655"/>
      <c r="N650" s="653"/>
      <c r="O650" s="653"/>
      <c r="P650" s="653"/>
      <c r="Q650" s="653"/>
      <c r="R650" s="653"/>
      <c r="S650" s="653"/>
      <c r="T650" s="653"/>
      <c r="U650" s="653"/>
    </row>
    <row r="651" spans="1:21" ht="17.25" customHeight="1">
      <c r="A651" s="677"/>
      <c r="B651" s="678"/>
      <c r="C651" s="679"/>
      <c r="D651" s="680"/>
      <c r="E651" s="696"/>
      <c r="H651" s="653"/>
      <c r="I651" s="1749" t="s">
        <v>3916</v>
      </c>
      <c r="J651" s="715" t="s">
        <v>3915</v>
      </c>
      <c r="K651" s="716">
        <v>4.6799999999999999E-4</v>
      </c>
      <c r="L651" s="716">
        <v>0</v>
      </c>
      <c r="M651" s="655"/>
      <c r="N651" s="653"/>
      <c r="O651" s="653"/>
      <c r="P651" s="653"/>
      <c r="Q651" s="653"/>
      <c r="R651" s="653"/>
      <c r="S651" s="653"/>
      <c r="T651" s="653"/>
      <c r="U651" s="653"/>
    </row>
    <row r="652" spans="1:21" ht="17.25" customHeight="1">
      <c r="A652" s="677"/>
      <c r="B652" s="678"/>
      <c r="C652" s="681"/>
      <c r="D652" s="680"/>
      <c r="E652" s="676"/>
      <c r="H652" s="653"/>
      <c r="I652" s="1749" t="s">
        <v>3917</v>
      </c>
      <c r="J652" s="715" t="s">
        <v>3915</v>
      </c>
      <c r="K652" s="716">
        <v>4.6799999999999999E-4</v>
      </c>
      <c r="L652" s="716">
        <v>4.1899999999999999E-4</v>
      </c>
      <c r="M652" s="655"/>
      <c r="N652" s="653"/>
      <c r="O652" s="653"/>
      <c r="P652" s="653"/>
      <c r="Q652" s="653"/>
      <c r="R652" s="653"/>
      <c r="S652" s="653"/>
      <c r="T652" s="653"/>
      <c r="U652" s="653"/>
    </row>
    <row r="653" spans="1:21" ht="17.25" customHeight="1">
      <c r="A653" s="677"/>
      <c r="B653" s="678"/>
      <c r="C653" s="681"/>
      <c r="D653" s="680"/>
      <c r="E653" s="676"/>
      <c r="H653" s="653"/>
      <c r="I653" s="1749" t="s">
        <v>3330</v>
      </c>
      <c r="J653" s="715" t="s">
        <v>3331</v>
      </c>
      <c r="K653" s="716">
        <v>4.0099999999999999E-4</v>
      </c>
      <c r="L653" s="716">
        <v>4.0099999999999999E-4</v>
      </c>
      <c r="M653" s="655"/>
      <c r="N653" s="653"/>
      <c r="O653" s="653"/>
      <c r="P653" s="653"/>
      <c r="Q653" s="653"/>
      <c r="R653" s="653"/>
      <c r="S653" s="653"/>
      <c r="T653" s="653"/>
      <c r="U653" s="653"/>
    </row>
    <row r="654" spans="1:21" ht="17.25" customHeight="1">
      <c r="A654" s="677"/>
      <c r="B654" s="678"/>
      <c r="C654" s="681"/>
      <c r="D654" s="680"/>
      <c r="E654" s="676"/>
      <c r="H654" s="653"/>
      <c r="I654" s="1749" t="s">
        <v>3332</v>
      </c>
      <c r="J654" s="715" t="s">
        <v>3333</v>
      </c>
      <c r="K654" s="716">
        <v>4.1399999999999998E-4</v>
      </c>
      <c r="L654" s="716">
        <v>4.3399999999999998E-4</v>
      </c>
      <c r="M654" s="655"/>
      <c r="N654" s="653"/>
      <c r="O654" s="653"/>
      <c r="P654" s="653"/>
      <c r="Q654" s="653"/>
      <c r="R654" s="653"/>
      <c r="S654" s="653"/>
      <c r="T654" s="653"/>
      <c r="U654" s="653"/>
    </row>
    <row r="655" spans="1:21" ht="17.25" customHeight="1">
      <c r="A655" s="677"/>
      <c r="B655" s="678"/>
      <c r="C655" s="681"/>
      <c r="D655" s="680"/>
      <c r="E655" s="676"/>
      <c r="H655" s="653"/>
      <c r="I655" s="1749" t="s">
        <v>3334</v>
      </c>
      <c r="J655" s="715" t="s">
        <v>3335</v>
      </c>
      <c r="K655" s="716">
        <v>4.0400000000000001E-4</v>
      </c>
      <c r="L655" s="716">
        <v>4.4799999999999999E-4</v>
      </c>
      <c r="M655" s="655"/>
      <c r="N655" s="653"/>
      <c r="O655" s="653"/>
      <c r="P655" s="653"/>
      <c r="Q655" s="653"/>
      <c r="R655" s="653"/>
      <c r="S655" s="653"/>
      <c r="T655" s="653"/>
      <c r="U655" s="653"/>
    </row>
    <row r="656" spans="1:21" ht="30.2" customHeight="1">
      <c r="A656" s="677"/>
      <c r="B656" s="678"/>
      <c r="C656" s="681"/>
      <c r="D656" s="682"/>
      <c r="E656" s="676"/>
      <c r="H656" s="653"/>
      <c r="I656" s="1749" t="s">
        <v>3336</v>
      </c>
      <c r="J656" s="715" t="s">
        <v>3337</v>
      </c>
      <c r="K656" s="716">
        <v>4.3399999999999998E-4</v>
      </c>
      <c r="L656" s="716">
        <v>1.5999999999999999E-5</v>
      </c>
      <c r="M656" s="655"/>
      <c r="N656" s="653"/>
      <c r="O656" s="653"/>
      <c r="P656" s="653"/>
      <c r="Q656" s="653"/>
      <c r="R656" s="653"/>
      <c r="S656" s="653"/>
      <c r="T656" s="653"/>
      <c r="U656" s="653"/>
    </row>
    <row r="657" spans="1:21" ht="30.2" customHeight="1">
      <c r="A657" s="677"/>
      <c r="B657" s="678"/>
      <c r="C657" s="681"/>
      <c r="D657" s="682"/>
      <c r="E657" s="676"/>
      <c r="H657" s="653"/>
      <c r="I657" s="1749" t="s">
        <v>3338</v>
      </c>
      <c r="J657" s="715" t="s">
        <v>3339</v>
      </c>
      <c r="K657" s="716">
        <v>5.5900000000000004E-4</v>
      </c>
      <c r="L657" s="716">
        <v>5.0299999999999997E-4</v>
      </c>
      <c r="M657" s="655"/>
      <c r="N657" s="653"/>
      <c r="O657" s="653"/>
      <c r="P657" s="653"/>
      <c r="Q657" s="653"/>
      <c r="R657" s="653"/>
      <c r="S657" s="653"/>
      <c r="T657" s="653"/>
      <c r="U657" s="653"/>
    </row>
    <row r="658" spans="1:21" ht="30.2" customHeight="1">
      <c r="A658" s="677"/>
      <c r="B658" s="678"/>
      <c r="C658" s="681"/>
      <c r="D658" s="682"/>
      <c r="E658" s="676"/>
      <c r="H658" s="653"/>
      <c r="I658" s="1749" t="s">
        <v>3340</v>
      </c>
      <c r="J658" s="715" t="s">
        <v>3341</v>
      </c>
      <c r="K658" s="716">
        <v>4.8799999999999999E-4</v>
      </c>
      <c r="L658" s="716">
        <v>4.3199999999999998E-4</v>
      </c>
      <c r="M658" s="655"/>
      <c r="N658" s="653"/>
      <c r="O658" s="653"/>
      <c r="P658" s="653"/>
      <c r="Q658" s="653"/>
      <c r="R658" s="653"/>
      <c r="S658" s="653"/>
      <c r="T658" s="653"/>
      <c r="U658" s="653"/>
    </row>
    <row r="659" spans="1:21" ht="17.25" customHeight="1">
      <c r="A659" s="677"/>
      <c r="B659" s="693"/>
      <c r="C659" s="681"/>
      <c r="D659" s="680"/>
      <c r="E659" s="676"/>
      <c r="H659" s="653"/>
      <c r="I659" s="1749" t="s">
        <v>3342</v>
      </c>
      <c r="J659" s="715" t="s">
        <v>3343</v>
      </c>
      <c r="K659" s="716">
        <v>4.5399999999999998E-4</v>
      </c>
      <c r="L659" s="716">
        <v>4.3199999999999998E-4</v>
      </c>
      <c r="M659" s="655"/>
      <c r="N659" s="653"/>
      <c r="O659" s="653"/>
      <c r="P659" s="653"/>
      <c r="Q659" s="653"/>
      <c r="R659" s="653"/>
      <c r="S659" s="653"/>
      <c r="T659" s="653"/>
      <c r="U659" s="653"/>
    </row>
    <row r="660" spans="1:21" ht="17.25" customHeight="1">
      <c r="A660" s="677"/>
      <c r="B660" s="678"/>
      <c r="C660" s="681"/>
      <c r="D660" s="680"/>
      <c r="E660" s="676"/>
      <c r="H660" s="653"/>
      <c r="I660" s="1749" t="s">
        <v>3344</v>
      </c>
      <c r="J660" s="715" t="s">
        <v>3918</v>
      </c>
      <c r="K660" s="716">
        <v>4.6999999999999999E-4</v>
      </c>
      <c r="L660" s="716">
        <v>5.2899999999999996E-4</v>
      </c>
      <c r="M660" s="655"/>
      <c r="N660" s="653"/>
      <c r="O660" s="653"/>
      <c r="P660" s="653"/>
      <c r="Q660" s="653"/>
      <c r="R660" s="653"/>
      <c r="S660" s="653"/>
      <c r="T660" s="653"/>
      <c r="U660" s="653"/>
    </row>
    <row r="661" spans="1:21" ht="17.25" customHeight="1">
      <c r="A661" s="677"/>
      <c r="B661" s="678"/>
      <c r="C661" s="681"/>
      <c r="D661" s="680"/>
      <c r="E661" s="676"/>
      <c r="H661" s="653"/>
      <c r="I661" s="1749" t="s">
        <v>3345</v>
      </c>
      <c r="J661" s="715" t="s">
        <v>3346</v>
      </c>
      <c r="K661" s="716">
        <v>4.4099999999999999E-4</v>
      </c>
      <c r="L661" s="716">
        <v>5.1900000000000004E-4</v>
      </c>
      <c r="M661" s="655"/>
      <c r="N661" s="653"/>
      <c r="O661" s="653"/>
      <c r="P661" s="653"/>
      <c r="Q661" s="653"/>
      <c r="R661" s="653"/>
      <c r="S661" s="653"/>
      <c r="T661" s="653"/>
      <c r="U661" s="653"/>
    </row>
    <row r="662" spans="1:21" ht="17.25" customHeight="1">
      <c r="A662" s="677"/>
      <c r="B662" s="678"/>
      <c r="C662" s="681"/>
      <c r="D662" s="680"/>
      <c r="E662" s="676"/>
      <c r="H662" s="653"/>
      <c r="I662" s="1749" t="s">
        <v>5557</v>
      </c>
      <c r="J662" s="715" t="s">
        <v>3347</v>
      </c>
      <c r="K662" s="716">
        <v>4.2299999999999998E-4</v>
      </c>
      <c r="L662" s="716">
        <v>0</v>
      </c>
      <c r="M662" s="655"/>
      <c r="N662" s="653"/>
      <c r="O662" s="653"/>
      <c r="P662" s="653"/>
      <c r="Q662" s="653"/>
      <c r="R662" s="653"/>
      <c r="S662" s="653"/>
      <c r="T662" s="653"/>
      <c r="U662" s="653"/>
    </row>
    <row r="663" spans="1:21" ht="17.25" customHeight="1">
      <c r="A663" s="677"/>
      <c r="B663" s="678"/>
      <c r="C663" s="681"/>
      <c r="D663" s="680"/>
      <c r="E663" s="676"/>
      <c r="H663" s="653"/>
      <c r="I663" s="1749" t="s">
        <v>5558</v>
      </c>
      <c r="J663" s="715" t="s">
        <v>3347</v>
      </c>
      <c r="K663" s="716">
        <v>4.2299999999999998E-4</v>
      </c>
      <c r="L663" s="716">
        <v>4.6999999999999999E-4</v>
      </c>
      <c r="M663" s="655"/>
      <c r="N663" s="653"/>
      <c r="O663" s="653"/>
      <c r="P663" s="653"/>
      <c r="Q663" s="653"/>
      <c r="R663" s="653"/>
      <c r="S663" s="653"/>
      <c r="T663" s="653"/>
      <c r="U663" s="653"/>
    </row>
    <row r="664" spans="1:21" ht="17.25" customHeight="1">
      <c r="A664" s="677"/>
      <c r="B664" s="678"/>
      <c r="C664" s="681"/>
      <c r="D664" s="680"/>
      <c r="E664" s="676"/>
      <c r="H664" s="653"/>
      <c r="I664" s="1749" t="s">
        <v>5559</v>
      </c>
      <c r="J664" s="715" t="s">
        <v>3348</v>
      </c>
      <c r="K664" s="716">
        <v>4.75E-4</v>
      </c>
      <c r="L664" s="716">
        <v>0</v>
      </c>
      <c r="M664" s="655"/>
      <c r="N664" s="653"/>
      <c r="O664" s="653"/>
      <c r="P664" s="653"/>
      <c r="Q664" s="653"/>
      <c r="R664" s="653"/>
      <c r="S664" s="653"/>
      <c r="T664" s="653"/>
      <c r="U664" s="653"/>
    </row>
    <row r="665" spans="1:21">
      <c r="A665" s="677"/>
      <c r="B665" s="678"/>
      <c r="C665" s="681"/>
      <c r="D665" s="682"/>
      <c r="E665" s="676"/>
      <c r="H665" s="653"/>
      <c r="I665" s="1749" t="s">
        <v>5560</v>
      </c>
      <c r="J665" s="715" t="s">
        <v>3348</v>
      </c>
      <c r="K665" s="716">
        <v>4.75E-4</v>
      </c>
      <c r="L665" s="716">
        <v>0</v>
      </c>
      <c r="M665" s="655"/>
      <c r="N665" s="653"/>
      <c r="O665" s="653"/>
      <c r="P665" s="653"/>
      <c r="Q665" s="653"/>
      <c r="R665" s="653"/>
      <c r="S665" s="653"/>
      <c r="T665" s="653"/>
      <c r="U665" s="653"/>
    </row>
    <row r="666" spans="1:21" ht="15.75" customHeight="1">
      <c r="A666" s="690"/>
      <c r="B666" s="683"/>
      <c r="C666" s="670"/>
      <c r="D666" s="671"/>
      <c r="E666" s="676"/>
      <c r="H666" s="653"/>
      <c r="I666" s="1749" t="s">
        <v>5561</v>
      </c>
      <c r="J666" s="715" t="s">
        <v>3348</v>
      </c>
      <c r="K666" s="716">
        <v>4.75E-4</v>
      </c>
      <c r="L666" s="716">
        <v>4.2299999999999998E-4</v>
      </c>
      <c r="M666" s="655"/>
      <c r="N666" s="653"/>
      <c r="O666" s="653"/>
      <c r="P666" s="653"/>
      <c r="Q666" s="653"/>
      <c r="R666" s="653"/>
      <c r="S666" s="653"/>
      <c r="T666" s="653"/>
      <c r="U666" s="653"/>
    </row>
    <row r="667" spans="1:21" ht="15.75" customHeight="1">
      <c r="A667" s="673"/>
      <c r="B667" s="674"/>
      <c r="C667" s="675"/>
      <c r="D667" s="671"/>
      <c r="E667" s="676"/>
      <c r="H667" s="653"/>
      <c r="I667" s="1749" t="s">
        <v>3349</v>
      </c>
      <c r="J667" s="715" t="s">
        <v>3350</v>
      </c>
      <c r="K667" s="716">
        <v>4.64E-4</v>
      </c>
      <c r="L667" s="716">
        <v>4.08E-4</v>
      </c>
      <c r="M667" s="655"/>
      <c r="N667" s="653"/>
      <c r="O667" s="653"/>
      <c r="P667" s="653"/>
      <c r="Q667" s="653"/>
      <c r="R667" s="653"/>
      <c r="S667" s="653"/>
      <c r="T667" s="653"/>
      <c r="U667" s="653"/>
    </row>
    <row r="668" spans="1:21" ht="17.25" customHeight="1">
      <c r="A668" s="677"/>
      <c r="B668" s="678"/>
      <c r="C668" s="681"/>
      <c r="D668" s="680"/>
      <c r="E668" s="676"/>
      <c r="H668" s="653"/>
      <c r="I668" s="1749" t="s">
        <v>3351</v>
      </c>
      <c r="J668" s="715" t="s">
        <v>3352</v>
      </c>
      <c r="K668" s="716">
        <v>4.4499999999999997E-4</v>
      </c>
      <c r="L668" s="716">
        <v>3.8900000000000002E-4</v>
      </c>
      <c r="M668" s="655"/>
      <c r="N668" s="653"/>
      <c r="O668" s="653"/>
      <c r="P668" s="653"/>
      <c r="Q668" s="653"/>
      <c r="R668" s="653"/>
      <c r="S668" s="653"/>
      <c r="T668" s="653"/>
      <c r="U668" s="653"/>
    </row>
    <row r="669" spans="1:21" ht="17.25" customHeight="1">
      <c r="A669" s="677"/>
      <c r="B669" s="678"/>
      <c r="C669" s="681"/>
      <c r="D669" s="680"/>
      <c r="E669" s="676"/>
      <c r="H669" s="653"/>
      <c r="I669" s="1749" t="s">
        <v>3353</v>
      </c>
      <c r="J669" s="715" t="s">
        <v>5562</v>
      </c>
      <c r="K669" s="716">
        <v>4.6200000000000001E-4</v>
      </c>
      <c r="L669" s="716">
        <v>5.0500000000000002E-4</v>
      </c>
      <c r="M669" s="655"/>
      <c r="N669" s="653"/>
      <c r="O669" s="653"/>
      <c r="P669" s="653"/>
      <c r="Q669" s="653"/>
      <c r="R669" s="653"/>
      <c r="S669" s="653"/>
      <c r="T669" s="653"/>
      <c r="U669" s="653"/>
    </row>
    <row r="670" spans="1:21" ht="17.25" customHeight="1">
      <c r="A670" s="677"/>
      <c r="B670" s="678"/>
      <c r="C670" s="681"/>
      <c r="D670" s="680"/>
      <c r="E670" s="676"/>
      <c r="H670" s="653"/>
      <c r="I670" s="1749" t="s">
        <v>3919</v>
      </c>
      <c r="J670" s="715" t="s">
        <v>3354</v>
      </c>
      <c r="K670" s="716">
        <v>4.5600000000000003E-4</v>
      </c>
      <c r="L670" s="716">
        <v>0</v>
      </c>
      <c r="M670" s="655"/>
      <c r="N670" s="653"/>
      <c r="O670" s="653"/>
      <c r="P670" s="653"/>
      <c r="Q670" s="653"/>
      <c r="R670" s="653"/>
      <c r="S670" s="653"/>
      <c r="T670" s="653"/>
      <c r="U670" s="653"/>
    </row>
    <row r="671" spans="1:21" ht="15.75" customHeight="1">
      <c r="A671" s="690"/>
      <c r="B671" s="683"/>
      <c r="C671" s="670"/>
      <c r="D671" s="671"/>
      <c r="E671" s="676"/>
      <c r="H671" s="653"/>
      <c r="I671" s="1749" t="s">
        <v>3920</v>
      </c>
      <c r="J671" s="715" t="s">
        <v>3354</v>
      </c>
      <c r="K671" s="716">
        <v>4.5600000000000003E-4</v>
      </c>
      <c r="L671" s="716">
        <v>4.0200000000000001E-4</v>
      </c>
      <c r="M671" s="655"/>
      <c r="N671" s="653"/>
      <c r="O671" s="653"/>
      <c r="P671" s="653"/>
      <c r="Q671" s="653"/>
      <c r="R671" s="653"/>
      <c r="S671" s="653"/>
      <c r="T671" s="653"/>
      <c r="U671" s="653"/>
    </row>
    <row r="672" spans="1:21" ht="15.75" customHeight="1">
      <c r="A672" s="673"/>
      <c r="B672" s="674"/>
      <c r="C672" s="675"/>
      <c r="D672" s="671"/>
      <c r="E672" s="676"/>
      <c r="H672" s="653"/>
      <c r="I672" s="1749" t="s">
        <v>3355</v>
      </c>
      <c r="J672" s="715" t="s">
        <v>3356</v>
      </c>
      <c r="K672" s="716">
        <v>4.0700000000000003E-4</v>
      </c>
      <c r="L672" s="716">
        <v>4.1599999999999997E-4</v>
      </c>
      <c r="M672" s="655"/>
      <c r="N672" s="653"/>
      <c r="O672" s="653"/>
      <c r="P672" s="653"/>
      <c r="Q672" s="653"/>
      <c r="R672" s="653"/>
      <c r="S672" s="653"/>
      <c r="T672" s="653"/>
      <c r="U672" s="653"/>
    </row>
    <row r="673" spans="1:21" ht="17.25" customHeight="1">
      <c r="A673" s="677"/>
      <c r="B673" s="678"/>
      <c r="C673" s="681"/>
      <c r="D673" s="680"/>
      <c r="E673" s="676"/>
      <c r="H673" s="653"/>
      <c r="I673" s="1749" t="s">
        <v>3357</v>
      </c>
      <c r="J673" s="715" t="s">
        <v>3358</v>
      </c>
      <c r="K673" s="716">
        <v>3.2000000000000003E-4</v>
      </c>
      <c r="L673" s="716">
        <v>4.7899999999999999E-4</v>
      </c>
      <c r="M673" s="655"/>
      <c r="N673" s="653"/>
      <c r="O673" s="653"/>
      <c r="P673" s="653"/>
      <c r="Q673" s="653"/>
      <c r="R673" s="653"/>
      <c r="S673" s="653"/>
      <c r="T673" s="653"/>
      <c r="U673" s="653"/>
    </row>
    <row r="674" spans="1:21" ht="17.25" customHeight="1">
      <c r="A674" s="677"/>
      <c r="B674" s="678"/>
      <c r="C674" s="681"/>
      <c r="D674" s="680"/>
      <c r="E674" s="676"/>
      <c r="H674" s="653"/>
      <c r="I674" s="1749" t="s">
        <v>3359</v>
      </c>
      <c r="J674" s="715" t="s">
        <v>3360</v>
      </c>
      <c r="K674" s="716">
        <v>2.2000000000000001E-4</v>
      </c>
      <c r="L674" s="716">
        <v>0</v>
      </c>
      <c r="M674" s="655"/>
      <c r="N674" s="653"/>
      <c r="O674" s="653"/>
      <c r="P674" s="653"/>
      <c r="Q674" s="653"/>
      <c r="R674" s="653"/>
      <c r="S674" s="653"/>
      <c r="T674" s="653"/>
      <c r="U674" s="653"/>
    </row>
    <row r="675" spans="1:21" ht="17.25" customHeight="1">
      <c r="A675" s="677"/>
      <c r="B675" s="678"/>
      <c r="C675" s="681"/>
      <c r="D675" s="680"/>
      <c r="E675" s="676"/>
      <c r="H675" s="653"/>
      <c r="I675" s="1749" t="s">
        <v>3921</v>
      </c>
      <c r="J675" s="715" t="s">
        <v>3360</v>
      </c>
      <c r="K675" s="716">
        <v>2.2000000000000001E-4</v>
      </c>
      <c r="L675" s="716">
        <v>2.5399999999999999E-4</v>
      </c>
      <c r="M675" s="655"/>
      <c r="N675" s="653"/>
      <c r="O675" s="653"/>
      <c r="P675" s="653"/>
      <c r="Q675" s="653"/>
      <c r="R675" s="653"/>
      <c r="S675" s="653"/>
      <c r="T675" s="653"/>
      <c r="U675" s="653"/>
    </row>
    <row r="676" spans="1:21" ht="17.25" customHeight="1">
      <c r="A676" s="677"/>
      <c r="B676" s="678"/>
      <c r="C676" s="681"/>
      <c r="D676" s="680"/>
      <c r="E676" s="676"/>
      <c r="H676" s="653"/>
      <c r="I676" s="1749" t="s">
        <v>3922</v>
      </c>
      <c r="J676" s="715" t="s">
        <v>3360</v>
      </c>
      <c r="K676" s="716">
        <v>2.2000000000000001E-4</v>
      </c>
      <c r="L676" s="716">
        <v>3.6699999999999998E-4</v>
      </c>
      <c r="M676" s="655"/>
      <c r="N676" s="653"/>
      <c r="O676" s="653"/>
      <c r="P676" s="653"/>
      <c r="Q676" s="653"/>
      <c r="R676" s="653"/>
      <c r="S676" s="653"/>
      <c r="T676" s="653"/>
      <c r="U676" s="653"/>
    </row>
    <row r="677" spans="1:21" ht="17.25" customHeight="1">
      <c r="A677" s="677"/>
      <c r="B677" s="678"/>
      <c r="C677" s="681"/>
      <c r="D677" s="680"/>
      <c r="E677" s="676"/>
      <c r="H677" s="653"/>
      <c r="I677" s="1749" t="s">
        <v>3361</v>
      </c>
      <c r="J677" s="715" t="s">
        <v>3362</v>
      </c>
      <c r="K677" s="716">
        <v>3.4600000000000001E-4</v>
      </c>
      <c r="L677" s="716">
        <v>4.6200000000000001E-4</v>
      </c>
      <c r="M677" s="655"/>
      <c r="N677" s="653"/>
      <c r="O677" s="653"/>
      <c r="P677" s="653"/>
      <c r="Q677" s="653"/>
      <c r="R677" s="653"/>
      <c r="S677" s="653"/>
      <c r="T677" s="653"/>
      <c r="U677" s="653"/>
    </row>
    <row r="678" spans="1:21" ht="17.25" customHeight="1">
      <c r="A678" s="677"/>
      <c r="B678" s="678"/>
      <c r="C678" s="681"/>
      <c r="D678" s="680"/>
      <c r="E678" s="676"/>
      <c r="H678" s="653"/>
      <c r="I678" s="1749" t="s">
        <v>3363</v>
      </c>
      <c r="J678" s="715" t="s">
        <v>3364</v>
      </c>
      <c r="K678" s="716">
        <v>5.5199999999999997E-4</v>
      </c>
      <c r="L678" s="716">
        <v>5.04E-4</v>
      </c>
      <c r="M678" s="655"/>
      <c r="N678" s="653"/>
      <c r="O678" s="653"/>
      <c r="P678" s="653"/>
      <c r="Q678" s="653"/>
      <c r="R678" s="653"/>
      <c r="S678" s="653"/>
      <c r="T678" s="653"/>
      <c r="U678" s="653"/>
    </row>
    <row r="679" spans="1:21" ht="17.25" customHeight="1">
      <c r="A679" s="677"/>
      <c r="B679" s="678"/>
      <c r="C679" s="681"/>
      <c r="D679" s="680"/>
      <c r="E679" s="676"/>
      <c r="H679" s="653"/>
      <c r="I679" s="1749" t="s">
        <v>3365</v>
      </c>
      <c r="J679" s="715" t="s">
        <v>3366</v>
      </c>
      <c r="K679" s="716">
        <v>4.4099999999999999E-4</v>
      </c>
      <c r="L679" s="716">
        <v>4.4099999999999999E-4</v>
      </c>
      <c r="M679" s="655"/>
      <c r="N679" s="653"/>
      <c r="O679" s="653"/>
      <c r="P679" s="653"/>
      <c r="Q679" s="653"/>
      <c r="R679" s="653"/>
      <c r="S679" s="653"/>
      <c r="T679" s="653"/>
      <c r="U679" s="653"/>
    </row>
    <row r="680" spans="1:21" ht="17.25" customHeight="1">
      <c r="A680" s="677"/>
      <c r="B680" s="678"/>
      <c r="C680" s="681"/>
      <c r="D680" s="680"/>
      <c r="E680" s="676"/>
      <c r="H680" s="653"/>
      <c r="I680" s="1749" t="s">
        <v>3367</v>
      </c>
      <c r="J680" s="715" t="s">
        <v>3368</v>
      </c>
      <c r="K680" s="716">
        <v>5.44E-4</v>
      </c>
      <c r="L680" s="716">
        <v>5.9999999999999995E-4</v>
      </c>
      <c r="M680" s="655"/>
      <c r="N680" s="653"/>
      <c r="O680" s="653"/>
      <c r="P680" s="653"/>
      <c r="Q680" s="653"/>
      <c r="R680" s="653"/>
      <c r="S680" s="653"/>
      <c r="T680" s="653"/>
      <c r="U680" s="653"/>
    </row>
    <row r="681" spans="1:21" ht="17.25" customHeight="1">
      <c r="A681" s="677"/>
      <c r="B681" s="678"/>
      <c r="C681" s="681"/>
      <c r="D681" s="680"/>
      <c r="E681" s="676"/>
      <c r="H681" s="653"/>
      <c r="I681" s="1749" t="s">
        <v>3369</v>
      </c>
      <c r="J681" s="715" t="s">
        <v>3370</v>
      </c>
      <c r="K681" s="716">
        <v>4.66E-4</v>
      </c>
      <c r="L681" s="716">
        <v>5.3200000000000003E-4</v>
      </c>
      <c r="M681" s="655"/>
      <c r="N681" s="653"/>
      <c r="O681" s="653"/>
      <c r="P681" s="653"/>
      <c r="Q681" s="653"/>
      <c r="R681" s="653"/>
      <c r="S681" s="653"/>
      <c r="T681" s="653"/>
      <c r="U681" s="653"/>
    </row>
    <row r="682" spans="1:21" ht="17.25" customHeight="1">
      <c r="A682" s="677"/>
      <c r="B682" s="678"/>
      <c r="C682" s="681"/>
      <c r="D682" s="680"/>
      <c r="E682" s="676"/>
      <c r="H682" s="653"/>
      <c r="I682" s="1749" t="s">
        <v>3923</v>
      </c>
      <c r="J682" s="715" t="s">
        <v>3371</v>
      </c>
      <c r="K682" s="716">
        <v>7.3999999999999996E-5</v>
      </c>
      <c r="L682" s="716">
        <v>0</v>
      </c>
      <c r="M682" s="655"/>
      <c r="N682" s="653"/>
      <c r="O682" s="653"/>
      <c r="P682" s="653"/>
      <c r="Q682" s="653"/>
      <c r="R682" s="653"/>
      <c r="S682" s="653"/>
      <c r="T682" s="653"/>
      <c r="U682" s="653"/>
    </row>
    <row r="683" spans="1:21" ht="17.25" customHeight="1">
      <c r="A683" s="677"/>
      <c r="B683" s="678"/>
      <c r="C683" s="681"/>
      <c r="D683" s="680"/>
      <c r="E683" s="676"/>
      <c r="H683" s="653"/>
      <c r="I683" s="1749" t="s">
        <v>3924</v>
      </c>
      <c r="J683" s="715" t="s">
        <v>3371</v>
      </c>
      <c r="K683" s="716">
        <v>7.3999999999999996E-5</v>
      </c>
      <c r="L683" s="716">
        <v>4.6200000000000001E-4</v>
      </c>
      <c r="M683" s="655"/>
      <c r="N683" s="653"/>
      <c r="O683" s="653"/>
      <c r="P683" s="653"/>
      <c r="Q683" s="653"/>
      <c r="R683" s="653"/>
      <c r="S683" s="653"/>
      <c r="T683" s="653"/>
      <c r="U683" s="653"/>
    </row>
    <row r="684" spans="1:21" ht="17.25" customHeight="1">
      <c r="A684" s="677"/>
      <c r="B684" s="678"/>
      <c r="C684" s="681"/>
      <c r="D684" s="680"/>
      <c r="E684" s="676"/>
      <c r="H684" s="653"/>
      <c r="I684" s="1749" t="s">
        <v>3372</v>
      </c>
      <c r="J684" s="715" t="s">
        <v>3373</v>
      </c>
      <c r="K684" s="716">
        <v>3.9800000000000002E-4</v>
      </c>
      <c r="L684" s="716">
        <v>3.4200000000000002E-4</v>
      </c>
      <c r="M684" s="655"/>
      <c r="N684" s="653"/>
      <c r="O684" s="653"/>
      <c r="P684" s="653"/>
      <c r="Q684" s="653"/>
      <c r="R684" s="653"/>
      <c r="S684" s="653"/>
      <c r="T684" s="653"/>
      <c r="U684" s="653"/>
    </row>
    <row r="685" spans="1:21" ht="17.25" customHeight="1">
      <c r="A685" s="677"/>
      <c r="B685" s="678"/>
      <c r="C685" s="681"/>
      <c r="D685" s="680"/>
      <c r="E685" s="676"/>
      <c r="H685" s="653"/>
      <c r="I685" s="1749" t="s">
        <v>3374</v>
      </c>
      <c r="J685" s="715" t="s">
        <v>3375</v>
      </c>
      <c r="K685" s="716">
        <v>1.8000000000000001E-4</v>
      </c>
      <c r="L685" s="716">
        <v>4.0000000000000002E-4</v>
      </c>
      <c r="M685" s="655"/>
      <c r="N685" s="653"/>
      <c r="O685" s="653"/>
      <c r="P685" s="653"/>
      <c r="Q685" s="653"/>
      <c r="R685" s="653"/>
      <c r="S685" s="653"/>
      <c r="T685" s="653"/>
      <c r="U685" s="653"/>
    </row>
    <row r="686" spans="1:21" ht="17.25" customHeight="1">
      <c r="A686" s="677"/>
      <c r="B686" s="678"/>
      <c r="C686" s="681"/>
      <c r="D686" s="680"/>
      <c r="E686" s="676"/>
      <c r="H686" s="653"/>
      <c r="I686" s="1749" t="s">
        <v>3376</v>
      </c>
      <c r="J686" s="715" t="s">
        <v>3377</v>
      </c>
      <c r="K686" s="716">
        <v>4.64E-4</v>
      </c>
      <c r="L686" s="716">
        <v>4.08E-4</v>
      </c>
      <c r="M686" s="655"/>
      <c r="N686" s="653"/>
      <c r="O686" s="653"/>
      <c r="P686" s="653"/>
      <c r="Q686" s="653"/>
      <c r="R686" s="653"/>
      <c r="S686" s="653"/>
      <c r="T686" s="653"/>
      <c r="U686" s="653"/>
    </row>
    <row r="687" spans="1:21" ht="17.25" customHeight="1">
      <c r="A687" s="677"/>
      <c r="B687" s="693"/>
      <c r="C687" s="681"/>
      <c r="D687" s="680"/>
      <c r="E687" s="676"/>
      <c r="H687" s="653"/>
      <c r="I687" s="1749" t="s">
        <v>3378</v>
      </c>
      <c r="J687" s="715" t="s">
        <v>3379</v>
      </c>
      <c r="K687" s="716">
        <v>6.0000000000000002E-6</v>
      </c>
      <c r="L687" s="716">
        <v>0</v>
      </c>
      <c r="M687" s="655"/>
      <c r="N687" s="653"/>
      <c r="O687" s="653"/>
      <c r="P687" s="653"/>
      <c r="Q687" s="653"/>
      <c r="R687" s="653"/>
      <c r="S687" s="653"/>
      <c r="T687" s="653"/>
      <c r="U687" s="653"/>
    </row>
    <row r="688" spans="1:21" ht="17.25" customHeight="1">
      <c r="A688" s="677"/>
      <c r="B688" s="678"/>
      <c r="C688" s="681"/>
      <c r="D688" s="680"/>
      <c r="E688" s="676"/>
      <c r="H688" s="653"/>
      <c r="I688" s="1749" t="s">
        <v>3380</v>
      </c>
      <c r="J688" s="715" t="s">
        <v>3381</v>
      </c>
      <c r="K688" s="716">
        <v>4.64E-4</v>
      </c>
      <c r="L688" s="716">
        <v>4.1199999999999999E-4</v>
      </c>
      <c r="M688" s="655"/>
      <c r="N688" s="653"/>
      <c r="O688" s="653"/>
      <c r="P688" s="653"/>
      <c r="Q688" s="653"/>
      <c r="R688" s="653"/>
      <c r="S688" s="653"/>
      <c r="T688" s="653"/>
      <c r="U688" s="653"/>
    </row>
    <row r="689" spans="1:21" ht="17.25" customHeight="1">
      <c r="A689" s="677"/>
      <c r="B689" s="678"/>
      <c r="C689" s="681"/>
      <c r="D689" s="680"/>
      <c r="E689" s="676"/>
      <c r="H689" s="653"/>
      <c r="I689" s="1749" t="s">
        <v>3382</v>
      </c>
      <c r="J689" s="715" t="s">
        <v>3383</v>
      </c>
      <c r="K689" s="716">
        <v>4.5399999999999998E-4</v>
      </c>
      <c r="L689" s="716">
        <v>4.57E-4</v>
      </c>
      <c r="M689" s="655"/>
      <c r="N689" s="653"/>
      <c r="O689" s="653"/>
      <c r="P689" s="653"/>
      <c r="Q689" s="653"/>
      <c r="R689" s="653"/>
      <c r="S689" s="653"/>
      <c r="T689" s="653"/>
      <c r="U689" s="653"/>
    </row>
    <row r="690" spans="1:21" ht="17.25" customHeight="1">
      <c r="A690" s="677"/>
      <c r="B690" s="678"/>
      <c r="C690" s="681"/>
      <c r="D690" s="680"/>
      <c r="E690" s="676"/>
      <c r="H690" s="653"/>
      <c r="I690" s="1749" t="s">
        <v>3925</v>
      </c>
      <c r="J690" s="715" t="s">
        <v>3384</v>
      </c>
      <c r="K690" s="716">
        <v>5.53E-4</v>
      </c>
      <c r="L690" s="716">
        <v>0</v>
      </c>
      <c r="M690" s="655"/>
      <c r="N690" s="653"/>
      <c r="O690" s="653"/>
      <c r="P690" s="653"/>
      <c r="Q690" s="653"/>
      <c r="R690" s="653"/>
      <c r="S690" s="653"/>
      <c r="T690" s="653"/>
      <c r="U690" s="653"/>
    </row>
    <row r="691" spans="1:21" ht="17.25" customHeight="1">
      <c r="A691" s="677"/>
      <c r="B691" s="678"/>
      <c r="C691" s="681"/>
      <c r="D691" s="680"/>
      <c r="E691" s="676"/>
      <c r="H691" s="653"/>
      <c r="I691" s="1749" t="s">
        <v>3926</v>
      </c>
      <c r="J691" s="715" t="s">
        <v>3384</v>
      </c>
      <c r="K691" s="716">
        <v>5.53E-4</v>
      </c>
      <c r="L691" s="716">
        <v>4.73E-4</v>
      </c>
      <c r="M691" s="655"/>
      <c r="N691" s="653"/>
      <c r="O691" s="653"/>
      <c r="P691" s="653"/>
      <c r="Q691" s="653"/>
      <c r="R691" s="653"/>
      <c r="S691" s="653"/>
      <c r="T691" s="653"/>
      <c r="U691" s="653"/>
    </row>
    <row r="692" spans="1:21" ht="17.25" customHeight="1">
      <c r="A692" s="677"/>
      <c r="B692" s="678"/>
      <c r="C692" s="681"/>
      <c r="D692" s="680"/>
      <c r="E692" s="676"/>
      <c r="H692" s="653"/>
      <c r="I692" s="1749" t="s">
        <v>3385</v>
      </c>
      <c r="J692" s="715" t="s">
        <v>3386</v>
      </c>
      <c r="K692" s="716">
        <v>4.9799999999999996E-4</v>
      </c>
      <c r="L692" s="716">
        <v>5.2800000000000004E-4</v>
      </c>
      <c r="M692" s="655"/>
      <c r="N692" s="653"/>
      <c r="O692" s="653"/>
      <c r="P692" s="653"/>
      <c r="Q692" s="653"/>
      <c r="R692" s="653"/>
      <c r="S692" s="653"/>
      <c r="T692" s="653"/>
      <c r="U692" s="653"/>
    </row>
    <row r="693" spans="1:21" ht="15.75" customHeight="1">
      <c r="A693" s="690"/>
      <c r="B693" s="683"/>
      <c r="C693" s="670"/>
      <c r="D693" s="671"/>
      <c r="E693" s="676"/>
      <c r="H693" s="653"/>
      <c r="I693" s="1749" t="s">
        <v>3387</v>
      </c>
      <c r="J693" s="715" t="s">
        <v>3388</v>
      </c>
      <c r="K693" s="716">
        <v>4.3600000000000003E-4</v>
      </c>
      <c r="L693" s="716">
        <v>3.8000000000000002E-4</v>
      </c>
      <c r="M693" s="655"/>
      <c r="N693" s="653"/>
      <c r="O693" s="653"/>
      <c r="P693" s="653"/>
      <c r="Q693" s="653"/>
      <c r="R693" s="653"/>
      <c r="S693" s="653"/>
      <c r="T693" s="653"/>
      <c r="U693" s="653"/>
    </row>
    <row r="694" spans="1:21" ht="15.75" customHeight="1">
      <c r="A694" s="673"/>
      <c r="B694" s="674"/>
      <c r="C694" s="675"/>
      <c r="D694" s="671"/>
      <c r="E694" s="676"/>
      <c r="H694" s="653"/>
      <c r="I694" s="1749" t="s">
        <v>3389</v>
      </c>
      <c r="J694" s="715" t="s">
        <v>3390</v>
      </c>
      <c r="K694" s="716">
        <v>4.4000000000000002E-4</v>
      </c>
      <c r="L694" s="716">
        <v>3.8499999999999998E-4</v>
      </c>
      <c r="M694" s="655"/>
      <c r="N694" s="653"/>
      <c r="O694" s="653"/>
      <c r="P694" s="653"/>
      <c r="Q694" s="653"/>
      <c r="R694" s="653"/>
      <c r="S694" s="653"/>
      <c r="T694" s="653"/>
      <c r="U694" s="653"/>
    </row>
    <row r="695" spans="1:21" ht="17.25" customHeight="1">
      <c r="A695" s="677"/>
      <c r="B695" s="693"/>
      <c r="C695" s="681"/>
      <c r="D695" s="680"/>
      <c r="E695" s="676"/>
      <c r="H695" s="653"/>
      <c r="I695" s="1749" t="s">
        <v>3391</v>
      </c>
      <c r="J695" s="715" t="s">
        <v>3392</v>
      </c>
      <c r="K695" s="716">
        <v>4.8799999999999999E-4</v>
      </c>
      <c r="L695" s="716">
        <v>4.64E-4</v>
      </c>
      <c r="M695" s="655"/>
      <c r="N695" s="653"/>
      <c r="O695" s="653"/>
      <c r="P695" s="653"/>
      <c r="Q695" s="653"/>
      <c r="R695" s="653"/>
      <c r="S695" s="653"/>
      <c r="T695" s="653"/>
      <c r="U695" s="653"/>
    </row>
    <row r="696" spans="1:21" ht="17.25" customHeight="1">
      <c r="A696" s="677"/>
      <c r="B696" s="678"/>
      <c r="C696" s="681"/>
      <c r="D696" s="680"/>
      <c r="E696" s="676"/>
      <c r="H696" s="653"/>
      <c r="I696" s="1749" t="s">
        <v>3393</v>
      </c>
      <c r="J696" s="715" t="s">
        <v>3394</v>
      </c>
      <c r="K696" s="716">
        <v>4.6900000000000002E-4</v>
      </c>
      <c r="L696" s="716">
        <v>5.2599999999999999E-4</v>
      </c>
      <c r="M696" s="655"/>
      <c r="N696" s="653"/>
      <c r="O696" s="653"/>
      <c r="P696" s="653"/>
      <c r="Q696" s="653"/>
      <c r="R696" s="653"/>
      <c r="S696" s="653"/>
      <c r="T696" s="653"/>
      <c r="U696" s="653"/>
    </row>
    <row r="697" spans="1:21" ht="15.75" customHeight="1">
      <c r="A697" s="690"/>
      <c r="B697" s="683"/>
      <c r="C697" s="670"/>
      <c r="D697" s="671"/>
      <c r="E697" s="676"/>
      <c r="H697" s="653"/>
      <c r="I697" s="1749" t="s">
        <v>3395</v>
      </c>
      <c r="J697" s="715" t="s">
        <v>3396</v>
      </c>
      <c r="K697" s="716">
        <v>2.9700000000000001E-4</v>
      </c>
      <c r="L697" s="716">
        <v>2.7099999999999997E-4</v>
      </c>
      <c r="M697" s="655"/>
      <c r="N697" s="653"/>
      <c r="O697" s="653"/>
      <c r="P697" s="653"/>
      <c r="Q697" s="653"/>
      <c r="R697" s="653"/>
      <c r="S697" s="653"/>
      <c r="T697" s="653"/>
      <c r="U697" s="653"/>
    </row>
    <row r="698" spans="1:21" ht="15.75" customHeight="1">
      <c r="A698" s="673"/>
      <c r="B698" s="674"/>
      <c r="C698" s="675"/>
      <c r="D698" s="671"/>
      <c r="E698" s="676"/>
      <c r="H698" s="653"/>
      <c r="I698" s="1749" t="s">
        <v>3927</v>
      </c>
      <c r="J698" s="715" t="s">
        <v>3397</v>
      </c>
      <c r="K698" s="716">
        <v>4.3800000000000002E-4</v>
      </c>
      <c r="L698" s="716">
        <v>0</v>
      </c>
      <c r="M698" s="655"/>
      <c r="N698" s="653"/>
      <c r="O698" s="653"/>
      <c r="P698" s="653"/>
      <c r="Q698" s="653"/>
      <c r="R698" s="653"/>
      <c r="S698" s="653"/>
      <c r="T698" s="653"/>
      <c r="U698" s="653"/>
    </row>
    <row r="699" spans="1:21" ht="17.25" customHeight="1">
      <c r="A699" s="677"/>
      <c r="B699" s="678"/>
      <c r="C699" s="681"/>
      <c r="D699" s="680"/>
      <c r="E699" s="676"/>
      <c r="H699" s="653"/>
      <c r="I699" s="1749" t="s">
        <v>3928</v>
      </c>
      <c r="J699" s="715" t="s">
        <v>3397</v>
      </c>
      <c r="K699" s="716">
        <v>4.3800000000000002E-4</v>
      </c>
      <c r="L699" s="716">
        <v>3.8499999999999998E-4</v>
      </c>
      <c r="M699" s="655"/>
      <c r="N699" s="653"/>
      <c r="O699" s="653"/>
      <c r="P699" s="653"/>
      <c r="Q699" s="653"/>
      <c r="R699" s="653"/>
      <c r="S699" s="653"/>
      <c r="T699" s="653"/>
      <c r="U699" s="653"/>
    </row>
    <row r="700" spans="1:21" ht="17.25" customHeight="1">
      <c r="A700" s="677"/>
      <c r="B700" s="678"/>
      <c r="C700" s="681"/>
      <c r="D700" s="680"/>
      <c r="E700" s="676"/>
      <c r="H700" s="653"/>
      <c r="I700" s="1749" t="s">
        <v>3398</v>
      </c>
      <c r="J700" s="715" t="s">
        <v>3399</v>
      </c>
      <c r="K700" s="716">
        <v>4.4000000000000002E-4</v>
      </c>
      <c r="L700" s="716">
        <v>4.8000000000000001E-4</v>
      </c>
      <c r="M700" s="655"/>
      <c r="N700" s="653"/>
      <c r="O700" s="653"/>
      <c r="P700" s="653"/>
      <c r="Q700" s="653"/>
      <c r="R700" s="653"/>
      <c r="S700" s="653"/>
      <c r="T700" s="653"/>
      <c r="U700" s="653"/>
    </row>
    <row r="701" spans="1:21" ht="17.25" customHeight="1">
      <c r="A701" s="677"/>
      <c r="B701" s="678"/>
      <c r="C701" s="681"/>
      <c r="D701" s="680"/>
      <c r="E701" s="676"/>
      <c r="H701" s="653"/>
      <c r="I701" s="1749" t="s">
        <v>3400</v>
      </c>
      <c r="J701" s="715" t="s">
        <v>3401</v>
      </c>
      <c r="K701" s="716">
        <v>4.4099999999999999E-4</v>
      </c>
      <c r="L701" s="716">
        <v>4.4099999999999999E-4</v>
      </c>
      <c r="M701" s="655"/>
      <c r="N701" s="653"/>
      <c r="O701" s="653"/>
      <c r="P701" s="653"/>
      <c r="Q701" s="653"/>
      <c r="R701" s="653"/>
      <c r="S701" s="653"/>
      <c r="T701" s="653"/>
      <c r="U701" s="653"/>
    </row>
    <row r="702" spans="1:21" ht="17.25" customHeight="1">
      <c r="A702" s="677"/>
      <c r="B702" s="678"/>
      <c r="C702" s="681"/>
      <c r="D702" s="680"/>
      <c r="E702" s="676"/>
      <c r="H702" s="653"/>
      <c r="I702" s="1749" t="s">
        <v>3402</v>
      </c>
      <c r="J702" s="715" t="s">
        <v>3403</v>
      </c>
      <c r="K702" s="716">
        <v>4.7100000000000001E-4</v>
      </c>
      <c r="L702" s="716">
        <v>3.8299999999999999E-4</v>
      </c>
      <c r="M702" s="655"/>
      <c r="N702" s="653"/>
      <c r="O702" s="653"/>
      <c r="P702" s="653"/>
      <c r="Q702" s="653"/>
      <c r="R702" s="653"/>
      <c r="S702" s="653"/>
      <c r="T702" s="653"/>
      <c r="U702" s="653"/>
    </row>
    <row r="703" spans="1:21" ht="17.25" customHeight="1">
      <c r="A703" s="677"/>
      <c r="B703" s="693"/>
      <c r="C703" s="681"/>
      <c r="D703" s="680"/>
      <c r="E703" s="676"/>
      <c r="H703" s="653"/>
      <c r="I703" s="1749" t="s">
        <v>5563</v>
      </c>
      <c r="J703" s="715" t="s">
        <v>3404</v>
      </c>
      <c r="K703" s="716">
        <v>2.8200000000000002E-4</v>
      </c>
      <c r="L703" s="716">
        <v>0</v>
      </c>
      <c r="M703" s="655"/>
      <c r="N703" s="653"/>
      <c r="O703" s="653"/>
      <c r="P703" s="653"/>
      <c r="Q703" s="653"/>
      <c r="R703" s="653"/>
      <c r="S703" s="653"/>
      <c r="T703" s="653"/>
      <c r="U703" s="653"/>
    </row>
    <row r="704" spans="1:21" ht="17.25" customHeight="1">
      <c r="A704" s="677"/>
      <c r="B704" s="678"/>
      <c r="C704" s="681"/>
      <c r="D704" s="680"/>
      <c r="E704" s="676"/>
      <c r="H704" s="653"/>
      <c r="I704" s="1749" t="s">
        <v>5564</v>
      </c>
      <c r="J704" s="715" t="s">
        <v>3404</v>
      </c>
      <c r="K704" s="716">
        <v>2.8200000000000002E-4</v>
      </c>
      <c r="L704" s="716">
        <v>3.9199999999999999E-4</v>
      </c>
      <c r="M704" s="655"/>
      <c r="N704" s="653"/>
      <c r="O704" s="653"/>
      <c r="P704" s="653"/>
      <c r="Q704" s="653"/>
      <c r="R704" s="653"/>
      <c r="S704" s="653"/>
      <c r="T704" s="653"/>
      <c r="U704" s="653"/>
    </row>
    <row r="705" spans="1:21" ht="17.25" customHeight="1">
      <c r="A705" s="677"/>
      <c r="B705" s="678"/>
      <c r="C705" s="681"/>
      <c r="D705" s="680"/>
      <c r="E705" s="676"/>
      <c r="H705" s="653"/>
      <c r="I705" s="1749" t="s">
        <v>3405</v>
      </c>
      <c r="J705" s="715" t="s">
        <v>3406</v>
      </c>
      <c r="K705" s="716">
        <v>4.6700000000000002E-4</v>
      </c>
      <c r="L705" s="716">
        <v>4.8799999999999999E-4</v>
      </c>
      <c r="M705" s="655"/>
      <c r="N705" s="653"/>
      <c r="O705" s="653"/>
      <c r="P705" s="653"/>
      <c r="Q705" s="653"/>
      <c r="R705" s="653"/>
      <c r="S705" s="653"/>
      <c r="T705" s="653"/>
      <c r="U705" s="653"/>
    </row>
    <row r="706" spans="1:21" ht="17.25" customHeight="1">
      <c r="A706" s="677"/>
      <c r="B706" s="678"/>
      <c r="C706" s="681"/>
      <c r="D706" s="680"/>
      <c r="E706" s="676"/>
      <c r="H706" s="653"/>
      <c r="I706" s="1749" t="s">
        <v>3929</v>
      </c>
      <c r="J706" s="715" t="s">
        <v>3407</v>
      </c>
      <c r="K706" s="716">
        <v>4.57E-4</v>
      </c>
      <c r="L706" s="716">
        <v>1.5699999999999999E-4</v>
      </c>
      <c r="M706" s="655"/>
      <c r="N706" s="653"/>
      <c r="O706" s="653"/>
      <c r="P706" s="653"/>
      <c r="Q706" s="653"/>
      <c r="R706" s="653"/>
      <c r="S706" s="653"/>
      <c r="T706" s="653"/>
      <c r="U706" s="653"/>
    </row>
    <row r="707" spans="1:21" ht="15.75" customHeight="1">
      <c r="A707" s="690"/>
      <c r="B707" s="683"/>
      <c r="C707" s="670"/>
      <c r="D707" s="671"/>
      <c r="E707" s="676"/>
      <c r="H707" s="653"/>
      <c r="I707" s="1749" t="s">
        <v>3930</v>
      </c>
      <c r="J707" s="715" t="s">
        <v>3407</v>
      </c>
      <c r="K707" s="716">
        <v>4.57E-4</v>
      </c>
      <c r="L707" s="716">
        <v>5.1999999999999995E-4</v>
      </c>
      <c r="M707" s="655"/>
      <c r="N707" s="653"/>
      <c r="O707" s="653"/>
      <c r="P707" s="653"/>
      <c r="Q707" s="653"/>
      <c r="R707" s="653"/>
      <c r="S707" s="653"/>
      <c r="T707" s="653"/>
      <c r="U707" s="653"/>
    </row>
    <row r="708" spans="1:21" ht="15.75" customHeight="1">
      <c r="A708" s="673"/>
      <c r="B708" s="674"/>
      <c r="C708" s="675"/>
      <c r="D708" s="671"/>
      <c r="E708" s="676"/>
      <c r="H708" s="653"/>
      <c r="I708" s="1749" t="s">
        <v>3931</v>
      </c>
      <c r="J708" s="715" t="s">
        <v>3932</v>
      </c>
      <c r="K708" s="716">
        <v>4.55E-4</v>
      </c>
      <c r="L708" s="716">
        <v>5.8200000000000005E-4</v>
      </c>
      <c r="M708" s="655"/>
      <c r="N708" s="653"/>
      <c r="O708" s="653"/>
      <c r="P708" s="653"/>
      <c r="Q708" s="653"/>
      <c r="R708" s="653"/>
      <c r="S708" s="653"/>
      <c r="T708" s="653"/>
      <c r="U708" s="653"/>
    </row>
    <row r="709" spans="1:21" ht="17.25" customHeight="1">
      <c r="A709" s="677"/>
      <c r="B709" s="678"/>
      <c r="C709" s="681"/>
      <c r="D709" s="680"/>
      <c r="E709" s="676"/>
      <c r="H709" s="653"/>
      <c r="I709" s="1749" t="s">
        <v>3408</v>
      </c>
      <c r="J709" s="715" t="s">
        <v>5565</v>
      </c>
      <c r="K709" s="716">
        <v>4.5600000000000003E-4</v>
      </c>
      <c r="L709" s="716">
        <v>4.4799999999999999E-4</v>
      </c>
      <c r="M709" s="655"/>
      <c r="N709" s="653"/>
      <c r="O709" s="653"/>
      <c r="P709" s="653"/>
      <c r="Q709" s="653"/>
      <c r="R709" s="653"/>
      <c r="S709" s="653"/>
      <c r="T709" s="653"/>
      <c r="U709" s="653"/>
    </row>
    <row r="710" spans="1:21" ht="17.25" customHeight="1">
      <c r="A710" s="677"/>
      <c r="B710" s="678"/>
      <c r="C710" s="681"/>
      <c r="D710" s="680"/>
      <c r="E710" s="676"/>
      <c r="H710" s="653"/>
      <c r="I710" s="1749" t="s">
        <v>3409</v>
      </c>
      <c r="J710" s="715" t="s">
        <v>3933</v>
      </c>
      <c r="K710" s="716">
        <v>4.9700000000000005E-4</v>
      </c>
      <c r="L710" s="716">
        <v>0</v>
      </c>
      <c r="M710" s="655"/>
      <c r="N710" s="653"/>
      <c r="O710" s="653"/>
      <c r="P710" s="653"/>
      <c r="Q710" s="653"/>
      <c r="R710" s="653"/>
      <c r="S710" s="653"/>
      <c r="T710" s="653"/>
      <c r="U710" s="653"/>
    </row>
    <row r="711" spans="1:21" ht="17.25" customHeight="1">
      <c r="A711" s="677"/>
      <c r="B711" s="693"/>
      <c r="C711" s="681"/>
      <c r="D711" s="680"/>
      <c r="E711" s="676"/>
      <c r="H711" s="653"/>
      <c r="I711" s="1749" t="s">
        <v>5566</v>
      </c>
      <c r="J711" s="715" t="s">
        <v>3933</v>
      </c>
      <c r="K711" s="716">
        <v>4.9700000000000005E-4</v>
      </c>
      <c r="L711" s="716">
        <v>4.6700000000000002E-4</v>
      </c>
      <c r="M711" s="655"/>
      <c r="N711" s="653"/>
      <c r="O711" s="653"/>
      <c r="P711" s="653"/>
      <c r="Q711" s="653"/>
      <c r="R711" s="653"/>
      <c r="S711" s="653"/>
      <c r="T711" s="653"/>
      <c r="U711" s="653"/>
    </row>
    <row r="712" spans="1:21" ht="17.25" customHeight="1">
      <c r="A712" s="677"/>
      <c r="B712" s="693"/>
      <c r="C712" s="681"/>
      <c r="D712" s="680"/>
      <c r="E712" s="676"/>
      <c r="H712" s="653"/>
      <c r="I712" s="1749" t="s">
        <v>3410</v>
      </c>
      <c r="J712" s="715" t="s">
        <v>3934</v>
      </c>
      <c r="K712" s="716">
        <v>4.6200000000000001E-4</v>
      </c>
      <c r="L712" s="716">
        <v>4.06E-4</v>
      </c>
      <c r="M712" s="655"/>
      <c r="N712" s="653"/>
      <c r="O712" s="653"/>
      <c r="P712" s="653"/>
      <c r="Q712" s="653"/>
      <c r="R712" s="653"/>
      <c r="S712" s="653"/>
      <c r="T712" s="653"/>
      <c r="U712" s="653"/>
    </row>
    <row r="713" spans="1:21" ht="17.25" customHeight="1">
      <c r="A713" s="677"/>
      <c r="B713" s="678"/>
      <c r="C713" s="681"/>
      <c r="D713" s="680"/>
      <c r="E713" s="676"/>
      <c r="H713" s="653"/>
      <c r="I713" s="1749" t="s">
        <v>3411</v>
      </c>
      <c r="J713" s="715" t="s">
        <v>5567</v>
      </c>
      <c r="K713" s="716">
        <v>4.66E-4</v>
      </c>
      <c r="L713" s="716">
        <v>4.0999999999999999E-4</v>
      </c>
      <c r="M713" s="655"/>
      <c r="N713" s="653"/>
      <c r="O713" s="653"/>
      <c r="P713" s="653"/>
      <c r="Q713" s="653"/>
      <c r="R713" s="653"/>
      <c r="S713" s="653"/>
      <c r="T713" s="653"/>
      <c r="U713" s="653"/>
    </row>
    <row r="714" spans="1:21" ht="17.25" customHeight="1">
      <c r="A714" s="677"/>
      <c r="B714" s="678"/>
      <c r="C714" s="681"/>
      <c r="D714" s="680"/>
      <c r="E714" s="676"/>
      <c r="H714" s="653"/>
      <c r="I714" s="1749" t="s">
        <v>3412</v>
      </c>
      <c r="J714" s="715" t="s">
        <v>3413</v>
      </c>
      <c r="K714" s="716">
        <v>6.2500000000000001E-4</v>
      </c>
      <c r="L714" s="716">
        <v>5.6899999999999995E-4</v>
      </c>
      <c r="M714" s="655"/>
      <c r="N714" s="653"/>
      <c r="O714" s="653"/>
      <c r="P714" s="653"/>
      <c r="Q714" s="653"/>
      <c r="R714" s="653"/>
      <c r="S714" s="653"/>
      <c r="T714" s="653"/>
      <c r="U714" s="653"/>
    </row>
    <row r="715" spans="1:21" ht="17.25" customHeight="1">
      <c r="A715" s="677"/>
      <c r="B715" s="678"/>
      <c r="C715" s="681"/>
      <c r="D715" s="680"/>
      <c r="E715" s="676"/>
      <c r="H715" s="653"/>
      <c r="I715" s="1749" t="s">
        <v>3414</v>
      </c>
      <c r="J715" s="715" t="s">
        <v>3415</v>
      </c>
      <c r="K715" s="716">
        <v>4.6700000000000002E-4</v>
      </c>
      <c r="L715" s="716">
        <v>4.9899999999999999E-4</v>
      </c>
      <c r="M715" s="655"/>
      <c r="N715" s="653"/>
      <c r="O715" s="653"/>
      <c r="P715" s="653"/>
      <c r="Q715" s="653"/>
      <c r="R715" s="653"/>
      <c r="S715" s="653"/>
      <c r="T715" s="653"/>
      <c r="U715" s="653"/>
    </row>
    <row r="716" spans="1:21" ht="15.75" customHeight="1">
      <c r="A716" s="691"/>
      <c r="B716" s="685"/>
      <c r="C716" s="686"/>
      <c r="D716" s="671"/>
      <c r="E716" s="676"/>
      <c r="H716" s="653"/>
      <c r="I716" s="1749" t="s">
        <v>3416</v>
      </c>
      <c r="J716" s="715" t="s">
        <v>3417</v>
      </c>
      <c r="K716" s="716">
        <v>3.6900000000000002E-4</v>
      </c>
      <c r="L716" s="716">
        <v>4.3100000000000001E-4</v>
      </c>
      <c r="M716" s="655"/>
      <c r="N716" s="653"/>
      <c r="O716" s="653"/>
      <c r="P716" s="653"/>
      <c r="Q716" s="653"/>
      <c r="R716" s="653"/>
      <c r="S716" s="653"/>
      <c r="T716" s="653"/>
      <c r="U716" s="653"/>
    </row>
    <row r="717" spans="1:21" ht="15.75" customHeight="1">
      <c r="A717" s="687"/>
      <c r="B717" s="688"/>
      <c r="C717" s="689"/>
      <c r="D717" s="671"/>
      <c r="E717" s="676"/>
      <c r="H717" s="653"/>
      <c r="I717" s="1749" t="s">
        <v>3418</v>
      </c>
      <c r="J717" s="715" t="s">
        <v>3419</v>
      </c>
      <c r="K717" s="716">
        <v>7.0200000000000004E-4</v>
      </c>
      <c r="L717" s="716">
        <v>6.7199999999999996E-4</v>
      </c>
      <c r="M717" s="655"/>
      <c r="N717" s="653"/>
      <c r="O717" s="653"/>
      <c r="P717" s="653"/>
      <c r="Q717" s="653"/>
      <c r="R717" s="653"/>
      <c r="S717" s="653"/>
      <c r="T717" s="653"/>
      <c r="U717" s="653"/>
    </row>
    <row r="718" spans="1:21" ht="15.75" customHeight="1">
      <c r="A718" s="687"/>
      <c r="B718" s="688"/>
      <c r="C718" s="689"/>
      <c r="D718" s="671"/>
      <c r="E718" s="676"/>
      <c r="H718" s="653"/>
      <c r="I718" s="1749" t="s">
        <v>5568</v>
      </c>
      <c r="J718" s="715" t="s">
        <v>3420</v>
      </c>
      <c r="K718" s="716">
        <v>4.4499999999999997E-4</v>
      </c>
      <c r="L718" s="716">
        <v>3.77E-4</v>
      </c>
      <c r="M718" s="655"/>
      <c r="N718" s="653"/>
      <c r="O718" s="653"/>
      <c r="P718" s="653"/>
      <c r="Q718" s="653"/>
      <c r="R718" s="653"/>
      <c r="S718" s="653"/>
      <c r="T718" s="653"/>
      <c r="U718" s="653"/>
    </row>
    <row r="719" spans="1:21" ht="17.25" customHeight="1">
      <c r="A719" s="677"/>
      <c r="B719" s="678"/>
      <c r="C719" s="681"/>
      <c r="D719" s="680"/>
      <c r="E719" s="676"/>
      <c r="H719" s="653"/>
      <c r="I719" s="1749" t="s">
        <v>5569</v>
      </c>
      <c r="J719" s="715" t="s">
        <v>3420</v>
      </c>
      <c r="K719" s="716">
        <v>4.4499999999999997E-4</v>
      </c>
      <c r="L719" s="716">
        <v>4.5199999999999998E-4</v>
      </c>
      <c r="M719" s="655"/>
      <c r="N719" s="653"/>
      <c r="O719" s="653"/>
      <c r="P719" s="653"/>
      <c r="Q719" s="653"/>
      <c r="R719" s="653"/>
      <c r="S719" s="653"/>
      <c r="T719" s="653"/>
      <c r="U719" s="653"/>
    </row>
    <row r="720" spans="1:21" ht="17.25" customHeight="1">
      <c r="A720" s="677"/>
      <c r="B720" s="678"/>
      <c r="C720" s="679"/>
      <c r="D720" s="680"/>
      <c r="E720" s="676"/>
      <c r="H720" s="653"/>
      <c r="I720" s="1749" t="s">
        <v>3421</v>
      </c>
      <c r="J720" s="715" t="s">
        <v>3422</v>
      </c>
      <c r="K720" s="716">
        <v>4.4299999999999998E-4</v>
      </c>
      <c r="L720" s="716">
        <v>4.8000000000000001E-4</v>
      </c>
      <c r="M720" s="655"/>
      <c r="N720" s="653"/>
      <c r="O720" s="653"/>
      <c r="P720" s="653"/>
      <c r="Q720" s="653"/>
      <c r="R720" s="653"/>
      <c r="S720" s="653"/>
      <c r="T720" s="653"/>
      <c r="U720" s="653"/>
    </row>
    <row r="721" spans="1:21" ht="17.25" customHeight="1">
      <c r="A721" s="677"/>
      <c r="B721" s="678"/>
      <c r="C721" s="681"/>
      <c r="D721" s="680"/>
      <c r="E721" s="676"/>
      <c r="H721" s="653"/>
      <c r="I721" s="1749" t="s">
        <v>3935</v>
      </c>
      <c r="J721" s="715" t="s">
        <v>3936</v>
      </c>
      <c r="K721" s="716">
        <v>2.32E-4</v>
      </c>
      <c r="L721" s="716">
        <v>0</v>
      </c>
      <c r="M721" s="655"/>
      <c r="N721" s="653"/>
      <c r="O721" s="653"/>
      <c r="P721" s="653"/>
      <c r="Q721" s="653"/>
      <c r="R721" s="653"/>
      <c r="S721" s="653"/>
      <c r="T721" s="653"/>
      <c r="U721" s="653"/>
    </row>
    <row r="722" spans="1:21">
      <c r="A722" s="677"/>
      <c r="B722" s="678"/>
      <c r="C722" s="681"/>
      <c r="D722" s="682"/>
      <c r="E722" s="676"/>
      <c r="H722" s="653"/>
      <c r="I722" s="1749" t="s">
        <v>3937</v>
      </c>
      <c r="J722" s="715" t="s">
        <v>3936</v>
      </c>
      <c r="K722" s="716">
        <v>2.32E-4</v>
      </c>
      <c r="L722" s="716">
        <v>1.76E-4</v>
      </c>
      <c r="M722" s="655"/>
      <c r="N722" s="653"/>
      <c r="O722" s="653"/>
      <c r="P722" s="653"/>
      <c r="Q722" s="653"/>
      <c r="R722" s="653"/>
      <c r="S722" s="653"/>
      <c r="T722" s="653"/>
      <c r="U722" s="653"/>
    </row>
    <row r="723" spans="1:21" ht="17.25" customHeight="1">
      <c r="A723" s="677"/>
      <c r="B723" s="678"/>
      <c r="C723" s="681"/>
      <c r="D723" s="680"/>
      <c r="E723" s="676"/>
      <c r="H723" s="653"/>
      <c r="I723" s="1749" t="s">
        <v>3423</v>
      </c>
      <c r="J723" s="715" t="s">
        <v>3424</v>
      </c>
      <c r="K723" s="716">
        <v>4.2700000000000002E-4</v>
      </c>
      <c r="L723" s="716">
        <v>3.7800000000000003E-4</v>
      </c>
      <c r="M723" s="655"/>
      <c r="N723" s="653"/>
      <c r="O723" s="653"/>
      <c r="P723" s="653"/>
      <c r="Q723" s="653"/>
      <c r="R723" s="653"/>
      <c r="S723" s="653"/>
      <c r="T723" s="653"/>
      <c r="U723" s="653"/>
    </row>
    <row r="724" spans="1:21" ht="17.25" customHeight="1">
      <c r="A724" s="677"/>
      <c r="B724" s="678"/>
      <c r="C724" s="681"/>
      <c r="D724" s="680"/>
      <c r="E724" s="676"/>
      <c r="H724" s="653"/>
      <c r="I724" s="1749" t="s">
        <v>3425</v>
      </c>
      <c r="J724" s="715" t="s">
        <v>3426</v>
      </c>
      <c r="K724" s="716">
        <v>5.8900000000000001E-4</v>
      </c>
      <c r="L724" s="716">
        <v>5.3399999999999997E-4</v>
      </c>
      <c r="M724" s="655"/>
      <c r="N724" s="653"/>
      <c r="O724" s="653"/>
      <c r="P724" s="653"/>
      <c r="Q724" s="653"/>
      <c r="R724" s="653"/>
      <c r="S724" s="653"/>
      <c r="T724" s="653"/>
      <c r="U724" s="653"/>
    </row>
    <row r="725" spans="1:21" ht="17.25" customHeight="1">
      <c r="A725" s="677"/>
      <c r="B725" s="678"/>
      <c r="C725" s="681"/>
      <c r="D725" s="680"/>
      <c r="E725" s="676"/>
      <c r="H725" s="653"/>
      <c r="I725" s="1749" t="s">
        <v>3427</v>
      </c>
      <c r="J725" s="715" t="s">
        <v>3428</v>
      </c>
      <c r="K725" s="716">
        <v>1.0900000000000001E-4</v>
      </c>
      <c r="L725" s="716">
        <v>2.81E-4</v>
      </c>
      <c r="M725" s="655"/>
      <c r="N725" s="653"/>
      <c r="O725" s="653"/>
      <c r="P725" s="653"/>
      <c r="Q725" s="653"/>
      <c r="R725" s="653"/>
      <c r="S725" s="653"/>
      <c r="T725" s="653"/>
      <c r="U725" s="653"/>
    </row>
    <row r="726" spans="1:21" ht="17.25" customHeight="1">
      <c r="A726" s="677"/>
      <c r="B726" s="678"/>
      <c r="C726" s="681"/>
      <c r="D726" s="680"/>
      <c r="E726" s="676"/>
      <c r="H726" s="653"/>
      <c r="I726" s="1749" t="s">
        <v>5570</v>
      </c>
      <c r="J726" s="715" t="s">
        <v>3429</v>
      </c>
      <c r="K726" s="716">
        <v>2.05E-4</v>
      </c>
      <c r="L726" s="716">
        <v>0</v>
      </c>
      <c r="M726" s="655"/>
      <c r="N726" s="653"/>
      <c r="O726" s="653"/>
      <c r="P726" s="653"/>
      <c r="Q726" s="653"/>
      <c r="R726" s="653"/>
      <c r="S726" s="653"/>
      <c r="T726" s="653"/>
      <c r="U726" s="653"/>
    </row>
    <row r="727" spans="1:21" ht="17.25" customHeight="1">
      <c r="A727" s="677"/>
      <c r="B727" s="678"/>
      <c r="C727" s="681"/>
      <c r="D727" s="680"/>
      <c r="E727" s="676"/>
      <c r="H727" s="653"/>
      <c r="I727" s="1749" t="s">
        <v>5571</v>
      </c>
      <c r="J727" s="715" t="s">
        <v>3429</v>
      </c>
      <c r="K727" s="716">
        <v>2.05E-4</v>
      </c>
      <c r="L727" s="716">
        <v>4.7399999999999997E-4</v>
      </c>
      <c r="M727" s="655"/>
      <c r="N727" s="653"/>
      <c r="O727" s="653"/>
      <c r="P727" s="653"/>
      <c r="Q727" s="653"/>
      <c r="R727" s="653"/>
      <c r="S727" s="653"/>
      <c r="T727" s="653"/>
      <c r="U727" s="653"/>
    </row>
    <row r="728" spans="1:21" ht="17.25" customHeight="1">
      <c r="A728" s="677"/>
      <c r="B728" s="678"/>
      <c r="C728" s="681"/>
      <c r="D728" s="680"/>
      <c r="E728" s="676"/>
      <c r="H728" s="653"/>
      <c r="I728" s="1749" t="s">
        <v>3430</v>
      </c>
      <c r="J728" s="715" t="s">
        <v>3431</v>
      </c>
      <c r="K728" s="716">
        <v>2.7300000000000002E-4</v>
      </c>
      <c r="L728" s="716">
        <v>2.33E-4</v>
      </c>
      <c r="M728" s="655"/>
      <c r="N728" s="653"/>
      <c r="O728" s="653"/>
      <c r="P728" s="653"/>
      <c r="Q728" s="653"/>
      <c r="R728" s="653"/>
      <c r="S728" s="653"/>
      <c r="T728" s="653"/>
      <c r="U728" s="653"/>
    </row>
    <row r="729" spans="1:21" ht="15.75" customHeight="1">
      <c r="A729" s="691"/>
      <c r="B729" s="685"/>
      <c r="C729" s="686"/>
      <c r="D729" s="671"/>
      <c r="E729" s="676"/>
      <c r="H729" s="653"/>
      <c r="I729" s="1749" t="s">
        <v>3432</v>
      </c>
      <c r="J729" s="715" t="s">
        <v>3433</v>
      </c>
      <c r="K729" s="716">
        <v>2.2499999999999999E-4</v>
      </c>
      <c r="L729" s="716">
        <v>1.6899999999999999E-4</v>
      </c>
      <c r="M729" s="655"/>
      <c r="N729" s="653"/>
      <c r="O729" s="653"/>
      <c r="P729" s="653"/>
      <c r="Q729" s="653"/>
      <c r="R729" s="653"/>
      <c r="S729" s="653"/>
      <c r="T729" s="653"/>
      <c r="U729" s="653"/>
    </row>
    <row r="730" spans="1:21" ht="15.75" customHeight="1">
      <c r="A730" s="687"/>
      <c r="B730" s="688"/>
      <c r="C730" s="689"/>
      <c r="D730" s="671"/>
      <c r="E730" s="676"/>
      <c r="H730" s="653"/>
      <c r="I730" s="1749" t="s">
        <v>3938</v>
      </c>
      <c r="J730" s="715" t="s">
        <v>3434</v>
      </c>
      <c r="K730" s="716">
        <v>2.1000000000000001E-4</v>
      </c>
      <c r="L730" s="716">
        <v>0</v>
      </c>
      <c r="M730" s="655"/>
      <c r="N730" s="653"/>
      <c r="O730" s="653"/>
      <c r="P730" s="653"/>
      <c r="Q730" s="653"/>
      <c r="R730" s="653"/>
      <c r="S730" s="653"/>
      <c r="T730" s="653"/>
      <c r="U730" s="653"/>
    </row>
    <row r="731" spans="1:21" ht="15.75" customHeight="1">
      <c r="A731" s="687"/>
      <c r="B731" s="688"/>
      <c r="C731" s="689"/>
      <c r="D731" s="671"/>
      <c r="E731" s="676"/>
      <c r="H731" s="653"/>
      <c r="I731" s="1749" t="s">
        <v>3939</v>
      </c>
      <c r="J731" s="715" t="s">
        <v>3434</v>
      </c>
      <c r="K731" s="716">
        <v>2.1000000000000001E-4</v>
      </c>
      <c r="L731" s="716">
        <v>4.0000000000000002E-4</v>
      </c>
      <c r="M731" s="655"/>
      <c r="N731" s="653"/>
      <c r="O731" s="653"/>
      <c r="P731" s="653"/>
      <c r="Q731" s="653"/>
      <c r="R731" s="653"/>
      <c r="S731" s="653"/>
      <c r="T731" s="653"/>
      <c r="U731" s="653"/>
    </row>
    <row r="732" spans="1:21" ht="17.25" customHeight="1">
      <c r="A732" s="677"/>
      <c r="B732" s="678"/>
      <c r="C732" s="681"/>
      <c r="D732" s="680"/>
      <c r="E732" s="676"/>
      <c r="H732" s="653"/>
      <c r="I732" s="1749" t="s">
        <v>3435</v>
      </c>
      <c r="J732" s="715" t="s">
        <v>3436</v>
      </c>
      <c r="K732" s="716">
        <v>4.5100000000000001E-4</v>
      </c>
      <c r="L732" s="716">
        <v>4.35E-4</v>
      </c>
      <c r="M732" s="655"/>
      <c r="N732" s="653"/>
      <c r="O732" s="653"/>
      <c r="P732" s="653"/>
      <c r="Q732" s="653"/>
      <c r="R732" s="653"/>
      <c r="S732" s="653"/>
      <c r="T732" s="653"/>
      <c r="U732" s="653"/>
    </row>
    <row r="733" spans="1:21" ht="15.75" customHeight="1">
      <c r="A733" s="690"/>
      <c r="B733" s="683"/>
      <c r="C733" s="670"/>
      <c r="D733" s="671"/>
      <c r="E733" s="676"/>
      <c r="H733" s="653"/>
      <c r="I733" s="1749" t="s">
        <v>3437</v>
      </c>
      <c r="J733" s="715" t="s">
        <v>3438</v>
      </c>
      <c r="K733" s="716">
        <v>4.28E-4</v>
      </c>
      <c r="L733" s="716">
        <v>0</v>
      </c>
      <c r="M733" s="655"/>
      <c r="N733" s="653"/>
      <c r="O733" s="653"/>
      <c r="P733" s="653"/>
      <c r="Q733" s="653"/>
      <c r="R733" s="653"/>
      <c r="S733" s="653"/>
      <c r="T733" s="653"/>
      <c r="U733" s="653"/>
    </row>
    <row r="734" spans="1:21" ht="15.75" customHeight="1">
      <c r="A734" s="673"/>
      <c r="B734" s="674"/>
      <c r="C734" s="675"/>
      <c r="D734" s="671"/>
      <c r="E734" s="676"/>
      <c r="H734" s="653"/>
      <c r="I734" s="1749" t="s">
        <v>3940</v>
      </c>
      <c r="J734" s="715" t="s">
        <v>3438</v>
      </c>
      <c r="K734" s="716">
        <v>4.28E-4</v>
      </c>
      <c r="L734" s="716">
        <v>3.6299999999999999E-4</v>
      </c>
      <c r="M734" s="655"/>
      <c r="N734" s="653"/>
      <c r="O734" s="653"/>
      <c r="P734" s="653"/>
      <c r="Q734" s="653"/>
      <c r="R734" s="653"/>
      <c r="S734" s="653"/>
      <c r="T734" s="653"/>
      <c r="U734" s="653"/>
    </row>
    <row r="735" spans="1:21" ht="17.25" customHeight="1">
      <c r="A735" s="677"/>
      <c r="B735" s="678"/>
      <c r="C735" s="681"/>
      <c r="D735" s="680"/>
      <c r="E735" s="676"/>
      <c r="H735" s="653"/>
      <c r="I735" s="1749" t="s">
        <v>3941</v>
      </c>
      <c r="J735" s="715" t="s">
        <v>5572</v>
      </c>
      <c r="K735" s="716">
        <v>4.4799999999999999E-4</v>
      </c>
      <c r="L735" s="716">
        <v>0</v>
      </c>
      <c r="M735" s="655"/>
      <c r="N735" s="653"/>
      <c r="O735" s="653"/>
      <c r="P735" s="653"/>
      <c r="Q735" s="653"/>
      <c r="R735" s="653"/>
      <c r="S735" s="653"/>
      <c r="T735" s="653"/>
      <c r="U735" s="653"/>
    </row>
    <row r="736" spans="1:21" ht="17.25" customHeight="1">
      <c r="A736" s="677"/>
      <c r="B736" s="678"/>
      <c r="C736" s="681"/>
      <c r="D736" s="680"/>
      <c r="E736" s="676"/>
      <c r="H736" s="653"/>
      <c r="I736" s="1749" t="s">
        <v>3942</v>
      </c>
      <c r="J736" s="715" t="s">
        <v>5572</v>
      </c>
      <c r="K736" s="716">
        <v>4.4799999999999999E-4</v>
      </c>
      <c r="L736" s="716">
        <v>3.5E-4</v>
      </c>
      <c r="M736" s="655"/>
      <c r="N736" s="653"/>
      <c r="O736" s="653"/>
      <c r="P736" s="653"/>
      <c r="Q736" s="653"/>
      <c r="R736" s="653"/>
      <c r="S736" s="653"/>
      <c r="T736" s="653"/>
      <c r="U736" s="653"/>
    </row>
    <row r="737" spans="1:21" ht="17.25" customHeight="1">
      <c r="A737" s="677"/>
      <c r="B737" s="678"/>
      <c r="C737" s="681"/>
      <c r="D737" s="680"/>
      <c r="E737" s="676"/>
      <c r="H737" s="653"/>
      <c r="I737" s="1749" t="s">
        <v>3943</v>
      </c>
      <c r="J737" s="715" t="s">
        <v>5572</v>
      </c>
      <c r="K737" s="716">
        <v>4.4799999999999999E-4</v>
      </c>
      <c r="L737" s="716">
        <v>5.1199999999999998E-4</v>
      </c>
      <c r="M737" s="655"/>
      <c r="N737" s="653"/>
      <c r="O737" s="653"/>
      <c r="P737" s="653"/>
      <c r="Q737" s="653"/>
      <c r="R737" s="653"/>
      <c r="S737" s="653"/>
      <c r="T737" s="653"/>
      <c r="U737" s="653"/>
    </row>
    <row r="738" spans="1:21" ht="17.25" customHeight="1">
      <c r="A738" s="677"/>
      <c r="B738" s="678"/>
      <c r="C738" s="681"/>
      <c r="D738" s="680"/>
      <c r="E738" s="676"/>
      <c r="H738" s="653"/>
      <c r="I738" s="1749" t="s">
        <v>3439</v>
      </c>
      <c r="J738" s="715" t="s">
        <v>3440</v>
      </c>
      <c r="K738" s="716">
        <v>3.0299999999999999E-4</v>
      </c>
      <c r="L738" s="716">
        <v>3.28E-4</v>
      </c>
      <c r="M738" s="655"/>
      <c r="N738" s="653"/>
      <c r="O738" s="653"/>
      <c r="P738" s="653"/>
      <c r="Q738" s="653"/>
      <c r="R738" s="653"/>
      <c r="S738" s="653"/>
      <c r="T738" s="653"/>
      <c r="U738" s="653"/>
    </row>
    <row r="739" spans="1:21" ht="17.25" customHeight="1">
      <c r="A739" s="677"/>
      <c r="B739" s="678"/>
      <c r="C739" s="681"/>
      <c r="D739" s="680"/>
      <c r="E739" s="676"/>
      <c r="H739" s="653"/>
      <c r="I739" s="1749" t="s">
        <v>3441</v>
      </c>
      <c r="J739" s="715" t="s">
        <v>3442</v>
      </c>
      <c r="K739" s="716">
        <v>4.4700000000000002E-4</v>
      </c>
      <c r="L739" s="716">
        <v>3.9100000000000002E-4</v>
      </c>
      <c r="M739" s="655"/>
      <c r="N739" s="653"/>
      <c r="O739" s="653"/>
      <c r="P739" s="653"/>
      <c r="Q739" s="653"/>
      <c r="R739" s="653"/>
      <c r="S739" s="653"/>
      <c r="T739" s="653"/>
      <c r="U739" s="653"/>
    </row>
    <row r="740" spans="1:21">
      <c r="A740" s="677"/>
      <c r="B740" s="678"/>
      <c r="C740" s="681"/>
      <c r="D740" s="682"/>
      <c r="E740" s="676"/>
      <c r="H740" s="653"/>
      <c r="I740" s="1749" t="s">
        <v>3443</v>
      </c>
      <c r="J740" s="715" t="s">
        <v>3444</v>
      </c>
      <c r="K740" s="716">
        <v>5.3799999999999996E-4</v>
      </c>
      <c r="L740" s="716">
        <v>5.1099999999999995E-4</v>
      </c>
      <c r="M740" s="655"/>
      <c r="N740" s="653"/>
      <c r="O740" s="653"/>
      <c r="P740" s="653"/>
      <c r="Q740" s="653"/>
      <c r="R740" s="653"/>
      <c r="S740" s="653"/>
      <c r="T740" s="653"/>
      <c r="U740" s="653"/>
    </row>
    <row r="741" spans="1:21" ht="17.25" customHeight="1">
      <c r="A741" s="677"/>
      <c r="B741" s="678"/>
      <c r="C741" s="681"/>
      <c r="D741" s="680"/>
      <c r="E741" s="676"/>
      <c r="H741" s="653"/>
      <c r="I741" s="1749" t="s">
        <v>3944</v>
      </c>
      <c r="J741" s="715" t="s">
        <v>3445</v>
      </c>
      <c r="K741" s="716">
        <v>4.4999999999999999E-4</v>
      </c>
      <c r="L741" s="716">
        <v>0</v>
      </c>
      <c r="M741" s="655"/>
      <c r="N741" s="653"/>
      <c r="O741" s="653"/>
      <c r="P741" s="653"/>
      <c r="Q741" s="653"/>
      <c r="R741" s="653"/>
      <c r="S741" s="653"/>
      <c r="T741" s="653"/>
      <c r="U741" s="653"/>
    </row>
    <row r="742" spans="1:21" ht="15.75" customHeight="1">
      <c r="A742" s="690"/>
      <c r="B742" s="683"/>
      <c r="C742" s="694"/>
      <c r="D742" s="671"/>
      <c r="E742" s="676"/>
      <c r="H742" s="653"/>
      <c r="I742" s="1749" t="s">
        <v>3945</v>
      </c>
      <c r="J742" s="715" t="s">
        <v>3445</v>
      </c>
      <c r="K742" s="716">
        <v>4.4999999999999999E-4</v>
      </c>
      <c r="L742" s="716">
        <v>4.5600000000000003E-4</v>
      </c>
      <c r="M742" s="655"/>
      <c r="N742" s="653"/>
      <c r="O742" s="653"/>
      <c r="P742" s="653"/>
      <c r="Q742" s="653"/>
      <c r="R742" s="653"/>
      <c r="S742" s="653"/>
      <c r="T742" s="653"/>
      <c r="U742" s="653"/>
    </row>
    <row r="743" spans="1:21" ht="15.75" customHeight="1">
      <c r="A743" s="673"/>
      <c r="B743" s="674"/>
      <c r="C743" s="695"/>
      <c r="D743" s="671"/>
      <c r="E743" s="676"/>
      <c r="H743" s="653"/>
      <c r="I743" s="1749" t="s">
        <v>3446</v>
      </c>
      <c r="J743" s="715" t="s">
        <v>3447</v>
      </c>
      <c r="K743" s="716">
        <v>5.7700000000000004E-4</v>
      </c>
      <c r="L743" s="716">
        <v>5.2099999999999998E-4</v>
      </c>
      <c r="M743" s="655"/>
      <c r="N743" s="653"/>
      <c r="O743" s="653"/>
      <c r="P743" s="653"/>
      <c r="Q743" s="653"/>
      <c r="R743" s="653"/>
      <c r="S743" s="653"/>
      <c r="T743" s="653"/>
      <c r="U743" s="653"/>
    </row>
    <row r="744" spans="1:21" ht="15.75" customHeight="1">
      <c r="A744" s="673"/>
      <c r="B744" s="674"/>
      <c r="C744" s="695"/>
      <c r="D744" s="671"/>
      <c r="E744" s="676"/>
      <c r="H744" s="653"/>
      <c r="I744" s="1749" t="s">
        <v>3448</v>
      </c>
      <c r="J744" s="715" t="s">
        <v>3449</v>
      </c>
      <c r="K744" s="716">
        <v>4.5399999999999998E-4</v>
      </c>
      <c r="L744" s="716">
        <v>4.57E-4</v>
      </c>
      <c r="M744" s="655"/>
      <c r="N744" s="653"/>
      <c r="O744" s="653"/>
      <c r="P744" s="653"/>
      <c r="Q744" s="653"/>
      <c r="R744" s="653"/>
      <c r="S744" s="653"/>
      <c r="T744" s="653"/>
      <c r="U744" s="653"/>
    </row>
    <row r="745" spans="1:21" ht="15.75" customHeight="1">
      <c r="A745" s="673"/>
      <c r="B745" s="674"/>
      <c r="C745" s="695"/>
      <c r="D745" s="671"/>
      <c r="E745" s="676"/>
      <c r="H745" s="653"/>
      <c r="I745" s="1749" t="s">
        <v>3450</v>
      </c>
      <c r="J745" s="715" t="s">
        <v>3451</v>
      </c>
      <c r="K745" s="716">
        <v>4.64E-4</v>
      </c>
      <c r="L745" s="716">
        <v>4.4700000000000002E-4</v>
      </c>
      <c r="M745" s="655"/>
      <c r="N745" s="653"/>
      <c r="O745" s="653"/>
      <c r="P745" s="653"/>
      <c r="Q745" s="653"/>
      <c r="R745" s="653"/>
      <c r="S745" s="653"/>
      <c r="T745" s="653"/>
      <c r="U745" s="653"/>
    </row>
    <row r="746" spans="1:21" ht="17.25" customHeight="1">
      <c r="A746" s="677"/>
      <c r="B746" s="678"/>
      <c r="C746" s="681"/>
      <c r="D746" s="680"/>
      <c r="E746" s="676"/>
      <c r="H746" s="653"/>
      <c r="I746" s="1749" t="s">
        <v>3452</v>
      </c>
      <c r="J746" s="715" t="s">
        <v>3453</v>
      </c>
      <c r="K746" s="716">
        <v>4.4000000000000002E-4</v>
      </c>
      <c r="L746" s="716">
        <v>3.9800000000000002E-4</v>
      </c>
      <c r="M746" s="655"/>
      <c r="N746" s="653"/>
      <c r="O746" s="653"/>
      <c r="P746" s="653"/>
      <c r="Q746" s="653"/>
      <c r="R746" s="653"/>
      <c r="S746" s="653"/>
      <c r="T746" s="653"/>
      <c r="U746" s="653"/>
    </row>
    <row r="747" spans="1:21" ht="17.25" customHeight="1">
      <c r="A747" s="677"/>
      <c r="B747" s="678"/>
      <c r="C747" s="681"/>
      <c r="D747" s="680"/>
      <c r="E747" s="676"/>
      <c r="H747" s="653"/>
      <c r="I747" s="1749" t="s">
        <v>3454</v>
      </c>
      <c r="J747" s="715" t="s">
        <v>3455</v>
      </c>
      <c r="K747" s="716">
        <v>4.4099999999999999E-4</v>
      </c>
      <c r="L747" s="716">
        <v>0</v>
      </c>
      <c r="M747" s="655"/>
      <c r="N747" s="653"/>
      <c r="O747" s="653"/>
      <c r="P747" s="653"/>
      <c r="Q747" s="653"/>
      <c r="R747" s="653"/>
      <c r="S747" s="653"/>
      <c r="T747" s="653"/>
      <c r="U747" s="653"/>
    </row>
    <row r="748" spans="1:21" ht="17.25" customHeight="1">
      <c r="A748" s="677"/>
      <c r="B748" s="678"/>
      <c r="C748" s="681"/>
      <c r="D748" s="680"/>
      <c r="E748" s="676"/>
      <c r="H748" s="653"/>
      <c r="I748" s="1749" t="s">
        <v>3946</v>
      </c>
      <c r="J748" s="715" t="s">
        <v>3455</v>
      </c>
      <c r="K748" s="716">
        <v>4.4099999999999999E-4</v>
      </c>
      <c r="L748" s="716">
        <v>0</v>
      </c>
      <c r="M748" s="655"/>
      <c r="N748" s="653"/>
      <c r="O748" s="653"/>
      <c r="P748" s="653"/>
      <c r="Q748" s="653"/>
      <c r="R748" s="653"/>
      <c r="S748" s="653"/>
      <c r="T748" s="653"/>
      <c r="U748" s="653"/>
    </row>
    <row r="749" spans="1:21" ht="17.25" customHeight="1">
      <c r="A749" s="677"/>
      <c r="B749" s="678"/>
      <c r="C749" s="681"/>
      <c r="D749" s="680"/>
      <c r="E749" s="676"/>
      <c r="H749" s="653"/>
      <c r="I749" s="1749" t="s">
        <v>3947</v>
      </c>
      <c r="J749" s="715" t="s">
        <v>3455</v>
      </c>
      <c r="K749" s="716">
        <v>4.4099999999999999E-4</v>
      </c>
      <c r="L749" s="716">
        <v>0</v>
      </c>
      <c r="M749" s="655"/>
      <c r="N749" s="653"/>
      <c r="O749" s="653"/>
      <c r="P749" s="653"/>
      <c r="Q749" s="653"/>
      <c r="R749" s="653"/>
      <c r="S749" s="653"/>
      <c r="T749" s="653"/>
      <c r="U749" s="653"/>
    </row>
    <row r="750" spans="1:21" ht="17.25" customHeight="1">
      <c r="A750" s="677"/>
      <c r="B750" s="678"/>
      <c r="C750" s="681"/>
      <c r="D750" s="680"/>
      <c r="E750" s="676"/>
      <c r="H750" s="653"/>
      <c r="I750" s="1749" t="s">
        <v>3948</v>
      </c>
      <c r="J750" s="715" t="s">
        <v>3455</v>
      </c>
      <c r="K750" s="716">
        <v>4.4099999999999999E-4</v>
      </c>
      <c r="L750" s="716">
        <v>0</v>
      </c>
      <c r="M750" s="655"/>
      <c r="N750" s="653"/>
      <c r="O750" s="653"/>
      <c r="P750" s="653"/>
      <c r="Q750" s="653"/>
      <c r="R750" s="653"/>
      <c r="S750" s="653"/>
      <c r="T750" s="653"/>
      <c r="U750" s="653"/>
    </row>
    <row r="751" spans="1:21" ht="17.25" customHeight="1">
      <c r="A751" s="677"/>
      <c r="B751" s="678"/>
      <c r="C751" s="681"/>
      <c r="D751" s="680"/>
      <c r="E751" s="676"/>
      <c r="H751" s="653"/>
      <c r="I751" s="1749" t="s">
        <v>5573</v>
      </c>
      <c r="J751" s="715" t="s">
        <v>3455</v>
      </c>
      <c r="K751" s="716">
        <v>4.4099999999999999E-4</v>
      </c>
      <c r="L751" s="716">
        <v>0</v>
      </c>
      <c r="M751" s="655"/>
      <c r="N751" s="653"/>
      <c r="O751" s="653"/>
      <c r="P751" s="653"/>
      <c r="Q751" s="653"/>
      <c r="R751" s="653"/>
      <c r="S751" s="653"/>
      <c r="T751" s="653"/>
      <c r="U751" s="653"/>
    </row>
    <row r="752" spans="1:21" ht="17.25" customHeight="1">
      <c r="A752" s="677"/>
      <c r="B752" s="678"/>
      <c r="C752" s="681"/>
      <c r="D752" s="680"/>
      <c r="E752" s="676"/>
      <c r="H752" s="653"/>
      <c r="I752" s="1749" t="s">
        <v>5574</v>
      </c>
      <c r="J752" s="715" t="s">
        <v>3455</v>
      </c>
      <c r="K752" s="716">
        <v>4.4099999999999999E-4</v>
      </c>
      <c r="L752" s="716">
        <v>5.0900000000000001E-4</v>
      </c>
      <c r="M752" s="655"/>
      <c r="N752" s="653"/>
      <c r="O752" s="653"/>
      <c r="P752" s="653"/>
      <c r="Q752" s="653"/>
      <c r="R752" s="653"/>
      <c r="S752" s="653"/>
      <c r="T752" s="653"/>
      <c r="U752" s="653"/>
    </row>
    <row r="753" spans="1:21" ht="15.75" customHeight="1">
      <c r="A753" s="690"/>
      <c r="B753" s="683"/>
      <c r="C753" s="670"/>
      <c r="D753" s="671"/>
      <c r="E753" s="676"/>
      <c r="H753" s="653"/>
      <c r="I753" s="1749" t="s">
        <v>5575</v>
      </c>
      <c r="J753" s="715" t="s">
        <v>3456</v>
      </c>
      <c r="K753" s="716">
        <v>2.3800000000000001E-4</v>
      </c>
      <c r="L753" s="716">
        <v>0</v>
      </c>
      <c r="M753" s="655"/>
      <c r="N753" s="653"/>
      <c r="O753" s="653"/>
      <c r="P753" s="653"/>
      <c r="Q753" s="653"/>
      <c r="R753" s="653"/>
      <c r="S753" s="653"/>
      <c r="T753" s="653"/>
      <c r="U753" s="653"/>
    </row>
    <row r="754" spans="1:21" ht="15.75" customHeight="1">
      <c r="A754" s="673"/>
      <c r="B754" s="674"/>
      <c r="C754" s="675"/>
      <c r="D754" s="671"/>
      <c r="E754" s="676"/>
      <c r="H754" s="653"/>
      <c r="I754" s="1749" t="s">
        <v>5576</v>
      </c>
      <c r="J754" s="715" t="s">
        <v>3456</v>
      </c>
      <c r="K754" s="716">
        <v>2.3800000000000001E-4</v>
      </c>
      <c r="L754" s="716">
        <v>4.15E-4</v>
      </c>
      <c r="M754" s="655"/>
      <c r="N754" s="653"/>
      <c r="O754" s="653"/>
      <c r="P754" s="653"/>
      <c r="Q754" s="653"/>
      <c r="R754" s="653"/>
      <c r="S754" s="653"/>
      <c r="T754" s="653"/>
      <c r="U754" s="653"/>
    </row>
    <row r="755" spans="1:21" ht="17.25" customHeight="1">
      <c r="A755" s="677"/>
      <c r="B755" s="678"/>
      <c r="C755" s="681"/>
      <c r="D755" s="680"/>
      <c r="E755" s="676"/>
      <c r="H755" s="653"/>
      <c r="I755" s="1749" t="s">
        <v>3457</v>
      </c>
      <c r="J755" s="715" t="s">
        <v>3458</v>
      </c>
      <c r="K755" s="716">
        <v>4.64E-4</v>
      </c>
      <c r="L755" s="716">
        <v>4.08E-4</v>
      </c>
      <c r="M755" s="655"/>
      <c r="N755" s="653"/>
      <c r="O755" s="653"/>
      <c r="P755" s="653"/>
      <c r="Q755" s="653"/>
      <c r="R755" s="653"/>
      <c r="S755" s="653"/>
      <c r="T755" s="653"/>
      <c r="U755" s="653"/>
    </row>
    <row r="756" spans="1:21" ht="17.25" customHeight="1">
      <c r="A756" s="677"/>
      <c r="B756" s="678"/>
      <c r="C756" s="681"/>
      <c r="D756" s="680"/>
      <c r="E756" s="676"/>
      <c r="H756" s="653"/>
      <c r="I756" s="1749" t="s">
        <v>3459</v>
      </c>
      <c r="J756" s="715" t="s">
        <v>3460</v>
      </c>
      <c r="K756" s="716">
        <v>4.64E-4</v>
      </c>
      <c r="L756" s="716">
        <v>4.08E-4</v>
      </c>
      <c r="M756" s="655"/>
      <c r="N756" s="653"/>
      <c r="O756" s="653"/>
      <c r="P756" s="653"/>
      <c r="Q756" s="653"/>
      <c r="R756" s="653"/>
      <c r="S756" s="653"/>
      <c r="T756" s="653"/>
      <c r="U756" s="653"/>
    </row>
    <row r="757" spans="1:21" ht="17.25" customHeight="1">
      <c r="A757" s="677"/>
      <c r="B757" s="678"/>
      <c r="C757" s="681"/>
      <c r="D757" s="680"/>
      <c r="E757" s="676"/>
      <c r="H757" s="653"/>
      <c r="I757" s="1749" t="s">
        <v>3461</v>
      </c>
      <c r="J757" s="715" t="s">
        <v>3462</v>
      </c>
      <c r="K757" s="716">
        <v>4.64E-4</v>
      </c>
      <c r="L757" s="716">
        <v>4.08E-4</v>
      </c>
      <c r="M757" s="655"/>
      <c r="N757" s="653"/>
      <c r="O757" s="653"/>
      <c r="P757" s="653"/>
      <c r="Q757" s="653"/>
      <c r="R757" s="653"/>
      <c r="S757" s="653"/>
      <c r="T757" s="653"/>
      <c r="U757" s="653"/>
    </row>
    <row r="758" spans="1:21" ht="15.75" customHeight="1">
      <c r="A758" s="690"/>
      <c r="B758" s="683"/>
      <c r="C758" s="694"/>
      <c r="D758" s="671"/>
      <c r="E758" s="676"/>
      <c r="H758" s="653"/>
      <c r="I758" s="1749" t="s">
        <v>3463</v>
      </c>
      <c r="J758" s="715" t="s">
        <v>3464</v>
      </c>
      <c r="K758" s="716">
        <v>1.8200000000000001E-4</v>
      </c>
      <c r="L758" s="716">
        <v>6.3199999999999997E-4</v>
      </c>
      <c r="M758" s="655"/>
      <c r="N758" s="653"/>
      <c r="O758" s="653"/>
      <c r="P758" s="653"/>
      <c r="Q758" s="653"/>
      <c r="R758" s="653"/>
      <c r="S758" s="653"/>
      <c r="T758" s="653"/>
      <c r="U758" s="653"/>
    </row>
    <row r="759" spans="1:21" ht="15.75" customHeight="1">
      <c r="A759" s="673"/>
      <c r="B759" s="674"/>
      <c r="C759" s="695"/>
      <c r="D759" s="671"/>
      <c r="E759" s="676"/>
      <c r="H759" s="653"/>
      <c r="I759" s="1749" t="s">
        <v>3949</v>
      </c>
      <c r="J759" s="715" t="s">
        <v>3465</v>
      </c>
      <c r="K759" s="716">
        <v>4.8899999999999996E-4</v>
      </c>
      <c r="L759" s="716">
        <v>0</v>
      </c>
      <c r="M759" s="655"/>
      <c r="N759" s="653"/>
      <c r="O759" s="653"/>
      <c r="P759" s="653"/>
      <c r="Q759" s="653"/>
      <c r="R759" s="653"/>
      <c r="S759" s="653"/>
      <c r="T759" s="653"/>
      <c r="U759" s="653"/>
    </row>
    <row r="760" spans="1:21" ht="15.75" customHeight="1">
      <c r="A760" s="673"/>
      <c r="B760" s="674"/>
      <c r="C760" s="695"/>
      <c r="D760" s="671"/>
      <c r="E760" s="676"/>
      <c r="H760" s="653"/>
      <c r="I760" s="1749" t="s">
        <v>3950</v>
      </c>
      <c r="J760" s="715" t="s">
        <v>3465</v>
      </c>
      <c r="K760" s="716">
        <v>4.8899999999999996E-4</v>
      </c>
      <c r="L760" s="716">
        <v>4.3300000000000001E-4</v>
      </c>
      <c r="M760" s="655"/>
      <c r="N760" s="653"/>
      <c r="O760" s="653"/>
      <c r="P760" s="653"/>
      <c r="Q760" s="653"/>
      <c r="R760" s="653"/>
      <c r="S760" s="653"/>
      <c r="T760" s="653"/>
      <c r="U760" s="653"/>
    </row>
    <row r="761" spans="1:21" ht="15.75" customHeight="1">
      <c r="A761" s="673"/>
      <c r="B761" s="674"/>
      <c r="C761" s="695"/>
      <c r="D761" s="671"/>
      <c r="E761" s="676"/>
      <c r="H761" s="653"/>
      <c r="I761" s="1749" t="s">
        <v>3466</v>
      </c>
      <c r="J761" s="715" t="s">
        <v>3467</v>
      </c>
      <c r="K761" s="716">
        <v>4.5199999999999998E-4</v>
      </c>
      <c r="L761" s="716">
        <v>0</v>
      </c>
      <c r="M761" s="655"/>
      <c r="N761" s="653"/>
      <c r="O761" s="653"/>
      <c r="P761" s="653"/>
      <c r="Q761" s="653"/>
      <c r="R761" s="653"/>
      <c r="S761" s="653"/>
      <c r="T761" s="653"/>
      <c r="U761" s="653"/>
    </row>
    <row r="762" spans="1:21" ht="15.75" customHeight="1">
      <c r="A762" s="673"/>
      <c r="B762" s="674"/>
      <c r="C762" s="695"/>
      <c r="D762" s="671"/>
      <c r="E762" s="676"/>
      <c r="H762" s="653"/>
      <c r="I762" s="1749" t="s">
        <v>3951</v>
      </c>
      <c r="J762" s="715" t="s">
        <v>3467</v>
      </c>
      <c r="K762" s="716">
        <v>4.5199999999999998E-4</v>
      </c>
      <c r="L762" s="716">
        <v>3.9300000000000001E-4</v>
      </c>
      <c r="M762" s="655"/>
      <c r="N762" s="653"/>
      <c r="O762" s="653"/>
      <c r="P762" s="653"/>
      <c r="Q762" s="653"/>
      <c r="R762" s="653"/>
      <c r="S762" s="653"/>
      <c r="T762" s="653"/>
      <c r="U762" s="653"/>
    </row>
    <row r="763" spans="1:21" ht="17.25" customHeight="1">
      <c r="A763" s="677"/>
      <c r="B763" s="678"/>
      <c r="C763" s="681"/>
      <c r="D763" s="680"/>
      <c r="E763" s="676"/>
      <c r="H763" s="653"/>
      <c r="I763" s="1749" t="s">
        <v>3468</v>
      </c>
      <c r="J763" s="715" t="s">
        <v>3952</v>
      </c>
      <c r="K763" s="716">
        <v>4.6500000000000003E-4</v>
      </c>
      <c r="L763" s="716">
        <v>5.1500000000000005E-4</v>
      </c>
      <c r="M763" s="655"/>
      <c r="N763" s="653"/>
      <c r="O763" s="653"/>
      <c r="P763" s="653"/>
      <c r="Q763" s="653"/>
      <c r="R763" s="653"/>
      <c r="S763" s="653"/>
      <c r="T763" s="653"/>
      <c r="U763" s="653"/>
    </row>
    <row r="764" spans="1:21" ht="17.25" customHeight="1">
      <c r="A764" s="677"/>
      <c r="B764" s="678"/>
      <c r="C764" s="681"/>
      <c r="D764" s="680"/>
      <c r="E764" s="676"/>
      <c r="H764" s="653"/>
      <c r="I764" s="1749" t="s">
        <v>3469</v>
      </c>
      <c r="J764" s="715" t="s">
        <v>3470</v>
      </c>
      <c r="K764" s="716">
        <v>4.5399999999999998E-4</v>
      </c>
      <c r="L764" s="716">
        <v>4.57E-4</v>
      </c>
      <c r="M764" s="655"/>
      <c r="N764" s="653"/>
      <c r="O764" s="653"/>
      <c r="P764" s="653"/>
      <c r="Q764" s="653"/>
      <c r="R764" s="653"/>
      <c r="S764" s="653"/>
      <c r="T764" s="653"/>
      <c r="U764" s="653"/>
    </row>
    <row r="765" spans="1:21" ht="15.75" customHeight="1">
      <c r="A765" s="677"/>
      <c r="B765" s="693"/>
      <c r="C765" s="681"/>
      <c r="D765" s="680"/>
      <c r="E765" s="676"/>
      <c r="H765" s="653"/>
      <c r="I765" s="1749" t="s">
        <v>3471</v>
      </c>
      <c r="J765" s="715" t="s">
        <v>3472</v>
      </c>
      <c r="K765" s="716">
        <v>4.6200000000000001E-4</v>
      </c>
      <c r="L765" s="716">
        <v>0</v>
      </c>
      <c r="M765" s="655"/>
      <c r="N765" s="653"/>
      <c r="O765" s="653"/>
      <c r="P765" s="653"/>
      <c r="Q765" s="653"/>
      <c r="R765" s="653"/>
      <c r="S765" s="653"/>
      <c r="T765" s="653"/>
      <c r="U765" s="653"/>
    </row>
    <row r="766" spans="1:21" ht="17.25" customHeight="1">
      <c r="A766" s="677"/>
      <c r="B766" s="678"/>
      <c r="C766" s="681"/>
      <c r="D766" s="680"/>
      <c r="E766" s="676"/>
      <c r="H766" s="653"/>
      <c r="I766" s="1749" t="s">
        <v>3953</v>
      </c>
      <c r="J766" s="715" t="s">
        <v>3472</v>
      </c>
      <c r="K766" s="716">
        <v>4.6200000000000001E-4</v>
      </c>
      <c r="L766" s="716">
        <v>4.1599999999999997E-4</v>
      </c>
      <c r="M766" s="655"/>
      <c r="N766" s="653"/>
      <c r="O766" s="653"/>
      <c r="P766" s="653"/>
      <c r="Q766" s="653"/>
      <c r="R766" s="653"/>
      <c r="S766" s="653"/>
      <c r="T766" s="653"/>
      <c r="U766" s="653"/>
    </row>
    <row r="767" spans="1:21" ht="17.25" customHeight="1">
      <c r="A767" s="677"/>
      <c r="B767" s="678"/>
      <c r="C767" s="681"/>
      <c r="D767" s="680"/>
      <c r="E767" s="676"/>
      <c r="H767" s="653"/>
      <c r="I767" s="1749" t="s">
        <v>3473</v>
      </c>
      <c r="J767" s="715" t="s">
        <v>3474</v>
      </c>
      <c r="K767" s="716">
        <v>4.5399999999999998E-4</v>
      </c>
      <c r="L767" s="716">
        <v>4.57E-4</v>
      </c>
      <c r="M767" s="655"/>
      <c r="N767" s="653"/>
      <c r="O767" s="653"/>
      <c r="P767" s="653"/>
      <c r="Q767" s="653"/>
      <c r="R767" s="653"/>
      <c r="S767" s="653"/>
      <c r="T767" s="653"/>
      <c r="U767" s="653"/>
    </row>
    <row r="768" spans="1:21" ht="15.75" customHeight="1">
      <c r="A768" s="690"/>
      <c r="B768" s="699"/>
      <c r="C768" s="670"/>
      <c r="D768" s="671"/>
      <c r="E768" s="676"/>
      <c r="H768" s="653"/>
      <c r="I768" s="1749" t="s">
        <v>3475</v>
      </c>
      <c r="J768" s="715" t="s">
        <v>3476</v>
      </c>
      <c r="K768" s="716">
        <v>4.6299999999999998E-4</v>
      </c>
      <c r="L768" s="716">
        <v>4.6999999999999999E-4</v>
      </c>
      <c r="M768" s="655"/>
      <c r="N768" s="653"/>
      <c r="O768" s="653"/>
      <c r="P768" s="653"/>
      <c r="Q768" s="653"/>
      <c r="R768" s="653"/>
      <c r="S768" s="653"/>
      <c r="T768" s="653"/>
      <c r="U768" s="653"/>
    </row>
    <row r="769" spans="1:21" ht="15.75" customHeight="1">
      <c r="A769" s="673"/>
      <c r="B769" s="700"/>
      <c r="C769" s="675"/>
      <c r="D769" s="671"/>
      <c r="E769" s="676"/>
      <c r="H769" s="653"/>
      <c r="I769" s="1749" t="s">
        <v>3477</v>
      </c>
      <c r="J769" s="715" t="s">
        <v>3478</v>
      </c>
      <c r="K769" s="716">
        <v>5.8E-5</v>
      </c>
      <c r="L769" s="716">
        <v>2.8899999999999998E-4</v>
      </c>
      <c r="M769" s="655"/>
      <c r="N769" s="653"/>
      <c r="O769" s="653"/>
      <c r="P769" s="653"/>
      <c r="Q769" s="653"/>
      <c r="R769" s="653"/>
      <c r="S769" s="653"/>
      <c r="T769" s="653"/>
      <c r="U769" s="653"/>
    </row>
    <row r="770" spans="1:21" ht="17.25" customHeight="1">
      <c r="A770" s="677"/>
      <c r="B770" s="678"/>
      <c r="C770" s="681"/>
      <c r="D770" s="680"/>
      <c r="E770" s="676"/>
      <c r="H770" s="653"/>
      <c r="I770" s="1749" t="s">
        <v>3954</v>
      </c>
      <c r="J770" s="715" t="s">
        <v>3478</v>
      </c>
      <c r="K770" s="716">
        <v>5.8E-5</v>
      </c>
      <c r="L770" s="716">
        <v>0</v>
      </c>
      <c r="M770" s="655"/>
      <c r="N770" s="653"/>
      <c r="O770" s="653"/>
      <c r="P770" s="653"/>
      <c r="Q770" s="653"/>
      <c r="R770" s="653"/>
      <c r="S770" s="653"/>
      <c r="T770" s="653"/>
      <c r="U770" s="653"/>
    </row>
    <row r="771" spans="1:21" ht="17.25" customHeight="1">
      <c r="A771" s="677"/>
      <c r="B771" s="678"/>
      <c r="C771" s="681"/>
      <c r="D771" s="680"/>
      <c r="E771" s="676"/>
      <c r="H771" s="653"/>
      <c r="I771" s="1749" t="s">
        <v>3955</v>
      </c>
      <c r="J771" s="715" t="s">
        <v>3478</v>
      </c>
      <c r="K771" s="716">
        <v>5.8E-5</v>
      </c>
      <c r="L771" s="716">
        <v>2.9399999999999999E-4</v>
      </c>
      <c r="M771" s="655"/>
      <c r="N771" s="653"/>
      <c r="O771" s="653"/>
      <c r="P771" s="653"/>
      <c r="Q771" s="653"/>
      <c r="R771" s="653"/>
      <c r="S771" s="653"/>
      <c r="T771" s="653"/>
      <c r="U771" s="653"/>
    </row>
    <row r="772" spans="1:21" ht="17.25" customHeight="1">
      <c r="A772" s="677"/>
      <c r="B772" s="693"/>
      <c r="C772" s="681"/>
      <c r="D772" s="680"/>
      <c r="E772" s="676"/>
      <c r="H772" s="653"/>
      <c r="I772" s="1749" t="s">
        <v>3479</v>
      </c>
      <c r="J772" s="715" t="s">
        <v>3480</v>
      </c>
      <c r="K772" s="716">
        <v>4.5399999999999998E-4</v>
      </c>
      <c r="L772" s="716">
        <v>4.57E-4</v>
      </c>
      <c r="M772" s="655"/>
      <c r="N772" s="653"/>
      <c r="O772" s="653"/>
      <c r="P772" s="653"/>
      <c r="Q772" s="653"/>
      <c r="R772" s="653"/>
      <c r="S772" s="653"/>
      <c r="T772" s="653"/>
      <c r="U772" s="653"/>
    </row>
    <row r="773" spans="1:21" ht="17.25" customHeight="1">
      <c r="A773" s="677"/>
      <c r="B773" s="678"/>
      <c r="C773" s="681"/>
      <c r="D773" s="680"/>
      <c r="E773" s="676"/>
      <c r="H773" s="653"/>
      <c r="I773" s="1749" t="s">
        <v>3481</v>
      </c>
      <c r="J773" s="715" t="s">
        <v>3482</v>
      </c>
      <c r="K773" s="716">
        <v>4.4900000000000002E-4</v>
      </c>
      <c r="L773" s="716">
        <v>0</v>
      </c>
      <c r="M773" s="655"/>
      <c r="N773" s="653"/>
      <c r="O773" s="653"/>
      <c r="P773" s="653"/>
      <c r="Q773" s="653"/>
      <c r="R773" s="653"/>
      <c r="S773" s="653"/>
      <c r="T773" s="653"/>
      <c r="U773" s="653"/>
    </row>
    <row r="774" spans="1:21" ht="17.25" customHeight="1">
      <c r="A774" s="677"/>
      <c r="B774" s="678"/>
      <c r="C774" s="681"/>
      <c r="D774" s="680"/>
      <c r="E774" s="676"/>
      <c r="H774" s="653"/>
      <c r="I774" s="1749" t="s">
        <v>3483</v>
      </c>
      <c r="J774" s="715" t="s">
        <v>3482</v>
      </c>
      <c r="K774" s="716">
        <v>4.4900000000000002E-4</v>
      </c>
      <c r="L774" s="716">
        <v>2.7599999999999999E-4</v>
      </c>
      <c r="M774" s="655"/>
      <c r="N774" s="653"/>
      <c r="O774" s="653"/>
      <c r="P774" s="653"/>
      <c r="Q774" s="653"/>
      <c r="R774" s="653"/>
      <c r="S774" s="653"/>
      <c r="T774" s="653"/>
      <c r="U774" s="653"/>
    </row>
    <row r="775" spans="1:21" ht="17.25" customHeight="1">
      <c r="A775" s="677"/>
      <c r="B775" s="678"/>
      <c r="C775" s="681"/>
      <c r="D775" s="671"/>
      <c r="E775" s="676"/>
      <c r="H775" s="653"/>
      <c r="I775" s="1749" t="s">
        <v>3956</v>
      </c>
      <c r="J775" s="715" t="s">
        <v>3482</v>
      </c>
      <c r="K775" s="716">
        <v>4.4900000000000002E-4</v>
      </c>
      <c r="L775" s="716">
        <v>3.5799999999999997E-4</v>
      </c>
      <c r="M775" s="655"/>
      <c r="N775" s="653"/>
      <c r="O775" s="653"/>
      <c r="P775" s="653"/>
      <c r="Q775" s="653"/>
      <c r="R775" s="653"/>
      <c r="S775" s="653"/>
      <c r="T775" s="653"/>
      <c r="U775" s="653"/>
    </row>
    <row r="776" spans="1:21" ht="17.25" customHeight="1">
      <c r="A776" s="677"/>
      <c r="B776" s="678"/>
      <c r="C776" s="681"/>
      <c r="D776" s="680"/>
      <c r="E776" s="676"/>
      <c r="H776" s="653"/>
      <c r="I776" s="1749" t="s">
        <v>3484</v>
      </c>
      <c r="J776" s="715" t="s">
        <v>3485</v>
      </c>
      <c r="K776" s="716">
        <v>3.4999999999999997E-5</v>
      </c>
      <c r="L776" s="716">
        <v>3.4999999999999997E-5</v>
      </c>
      <c r="M776" s="655"/>
      <c r="N776" s="653"/>
      <c r="O776" s="653"/>
      <c r="P776" s="653"/>
      <c r="Q776" s="653"/>
      <c r="R776" s="653"/>
      <c r="S776" s="653"/>
      <c r="T776" s="653"/>
      <c r="U776" s="653"/>
    </row>
    <row r="777" spans="1:21" ht="17.25" customHeight="1">
      <c r="A777" s="677"/>
      <c r="B777" s="693"/>
      <c r="C777" s="681"/>
      <c r="D777" s="680"/>
      <c r="E777" s="676"/>
      <c r="H777" s="653"/>
      <c r="I777" s="1749" t="s">
        <v>3486</v>
      </c>
      <c r="J777" s="715" t="s">
        <v>3487</v>
      </c>
      <c r="K777" s="716">
        <v>3.5599999999999998E-4</v>
      </c>
      <c r="L777" s="716">
        <v>0</v>
      </c>
      <c r="M777" s="655"/>
      <c r="N777" s="653"/>
      <c r="O777" s="653"/>
      <c r="P777" s="653"/>
      <c r="Q777" s="653"/>
      <c r="R777" s="653"/>
      <c r="S777" s="653"/>
      <c r="T777" s="653"/>
      <c r="U777" s="653"/>
    </row>
    <row r="778" spans="1:21" ht="17.25" customHeight="1">
      <c r="A778" s="677"/>
      <c r="B778" s="678"/>
      <c r="C778" s="681"/>
      <c r="D778" s="680"/>
      <c r="E778" s="676"/>
      <c r="H778" s="653"/>
      <c r="I778" s="1749" t="s">
        <v>3488</v>
      </c>
      <c r="J778" s="715" t="s">
        <v>3487</v>
      </c>
      <c r="K778" s="716">
        <v>3.5599999999999998E-4</v>
      </c>
      <c r="L778" s="716">
        <v>2.99E-4</v>
      </c>
      <c r="M778" s="655"/>
      <c r="N778" s="653"/>
      <c r="O778" s="653"/>
      <c r="P778" s="653"/>
      <c r="Q778" s="653"/>
      <c r="R778" s="653"/>
      <c r="S778" s="653"/>
      <c r="T778" s="653"/>
      <c r="U778" s="653"/>
    </row>
    <row r="779" spans="1:21" ht="17.25" customHeight="1">
      <c r="A779" s="677"/>
      <c r="B779" s="678"/>
      <c r="C779" s="681"/>
      <c r="D779" s="680"/>
      <c r="E779" s="676"/>
      <c r="H779" s="653"/>
      <c r="I779" s="1749" t="s">
        <v>5577</v>
      </c>
      <c r="J779" s="715" t="s">
        <v>3487</v>
      </c>
      <c r="K779" s="716">
        <v>3.5599999999999998E-4</v>
      </c>
      <c r="L779" s="716">
        <v>3.9599999999999998E-4</v>
      </c>
      <c r="M779" s="655"/>
      <c r="N779" s="653"/>
      <c r="O779" s="653"/>
      <c r="P779" s="653"/>
      <c r="Q779" s="653"/>
      <c r="R779" s="653"/>
      <c r="S779" s="653"/>
      <c r="T779" s="653"/>
      <c r="U779" s="653"/>
    </row>
    <row r="780" spans="1:21" ht="17.25" customHeight="1">
      <c r="A780" s="677"/>
      <c r="B780" s="678"/>
      <c r="C780" s="681"/>
      <c r="D780" s="680"/>
      <c r="E780" s="676"/>
      <c r="H780" s="653"/>
      <c r="I780" s="1749" t="s">
        <v>3489</v>
      </c>
      <c r="J780" s="715" t="s">
        <v>3490</v>
      </c>
      <c r="K780" s="716">
        <v>2.5300000000000002E-4</v>
      </c>
      <c r="L780" s="716">
        <v>3.4000000000000002E-4</v>
      </c>
      <c r="M780" s="655"/>
      <c r="N780" s="653"/>
      <c r="O780" s="653"/>
      <c r="P780" s="653"/>
      <c r="Q780" s="653"/>
      <c r="R780" s="653"/>
      <c r="S780" s="653"/>
      <c r="T780" s="653"/>
      <c r="U780" s="653"/>
    </row>
    <row r="781" spans="1:21" ht="17.25" customHeight="1">
      <c r="A781" s="677"/>
      <c r="B781" s="678"/>
      <c r="C781" s="679"/>
      <c r="D781" s="680"/>
      <c r="E781" s="676"/>
      <c r="H781" s="653"/>
      <c r="I781" s="1749" t="s">
        <v>5578</v>
      </c>
      <c r="J781" s="715" t="s">
        <v>3491</v>
      </c>
      <c r="K781" s="716">
        <v>5.5099999999999995E-4</v>
      </c>
      <c r="L781" s="716">
        <v>0</v>
      </c>
      <c r="M781" s="655"/>
      <c r="N781" s="653"/>
      <c r="O781" s="653"/>
      <c r="P781" s="653"/>
      <c r="Q781" s="653"/>
      <c r="R781" s="653"/>
      <c r="S781" s="653"/>
      <c r="T781" s="653"/>
      <c r="U781" s="653"/>
    </row>
    <row r="782" spans="1:21" ht="17.25" customHeight="1">
      <c r="A782" s="677"/>
      <c r="B782" s="678"/>
      <c r="C782" s="681"/>
      <c r="D782" s="680"/>
      <c r="E782" s="676"/>
      <c r="H782" s="653"/>
      <c r="I782" s="1749" t="s">
        <v>5579</v>
      </c>
      <c r="J782" s="715" t="s">
        <v>3491</v>
      </c>
      <c r="K782" s="716">
        <v>5.5099999999999995E-4</v>
      </c>
      <c r="L782" s="716">
        <v>4.8299999999999998E-4</v>
      </c>
      <c r="M782" s="655"/>
      <c r="N782" s="653"/>
      <c r="O782" s="653"/>
      <c r="P782" s="653"/>
      <c r="Q782" s="653"/>
      <c r="R782" s="653"/>
      <c r="S782" s="653"/>
      <c r="T782" s="653"/>
      <c r="U782" s="653"/>
    </row>
    <row r="783" spans="1:21" ht="17.25" customHeight="1">
      <c r="A783" s="677"/>
      <c r="B783" s="678"/>
      <c r="C783" s="681"/>
      <c r="D783" s="680"/>
      <c r="E783" s="676"/>
      <c r="H783" s="653"/>
      <c r="I783" s="1749" t="s">
        <v>3957</v>
      </c>
      <c r="J783" s="715" t="s">
        <v>3958</v>
      </c>
      <c r="K783" s="716">
        <v>5.5400000000000002E-4</v>
      </c>
      <c r="L783" s="716">
        <v>0</v>
      </c>
      <c r="M783" s="655"/>
      <c r="N783" s="653"/>
      <c r="O783" s="653"/>
      <c r="P783" s="653"/>
      <c r="Q783" s="653"/>
      <c r="R783" s="653"/>
      <c r="S783" s="653"/>
      <c r="T783" s="653"/>
      <c r="U783" s="653"/>
    </row>
    <row r="784" spans="1:21" ht="17.25" customHeight="1">
      <c r="A784" s="677"/>
      <c r="B784" s="678"/>
      <c r="C784" s="681"/>
      <c r="D784" s="680"/>
      <c r="E784" s="676"/>
      <c r="H784" s="653"/>
      <c r="I784" s="1749" t="s">
        <v>3959</v>
      </c>
      <c r="J784" s="715" t="s">
        <v>3958</v>
      </c>
      <c r="K784" s="716">
        <v>5.5400000000000002E-4</v>
      </c>
      <c r="L784" s="716">
        <v>4.8700000000000002E-4</v>
      </c>
      <c r="M784" s="655"/>
      <c r="N784" s="653"/>
      <c r="O784" s="653"/>
      <c r="P784" s="653"/>
      <c r="Q784" s="653"/>
      <c r="R784" s="653"/>
      <c r="S784" s="653"/>
      <c r="T784" s="653"/>
      <c r="U784" s="653"/>
    </row>
    <row r="785" spans="1:21" ht="17.25" customHeight="1">
      <c r="A785" s="705"/>
      <c r="B785" s="693"/>
      <c r="C785" s="681"/>
      <c r="D785" s="680"/>
      <c r="E785" s="676"/>
      <c r="H785" s="653"/>
      <c r="I785" s="1749" t="s">
        <v>3492</v>
      </c>
      <c r="J785" s="715" t="s">
        <v>3493</v>
      </c>
      <c r="K785" s="716">
        <v>4.8000000000000001E-4</v>
      </c>
      <c r="L785" s="716">
        <v>5.4900000000000001E-4</v>
      </c>
      <c r="M785" s="655"/>
      <c r="N785" s="653"/>
      <c r="O785" s="653"/>
      <c r="P785" s="653"/>
      <c r="Q785" s="653"/>
      <c r="R785" s="653"/>
      <c r="S785" s="653"/>
      <c r="T785" s="653"/>
      <c r="U785" s="653"/>
    </row>
    <row r="786" spans="1:21" ht="17.25" customHeight="1">
      <c r="A786" s="705"/>
      <c r="B786" s="693"/>
      <c r="C786" s="681"/>
      <c r="D786" s="680"/>
      <c r="E786" s="676"/>
      <c r="H786" s="653"/>
      <c r="I786" s="1749" t="s">
        <v>3494</v>
      </c>
      <c r="J786" s="715" t="s">
        <v>3495</v>
      </c>
      <c r="K786" s="716">
        <v>1.0900000000000001E-4</v>
      </c>
      <c r="L786" s="716">
        <v>4.2000000000000002E-4</v>
      </c>
      <c r="M786" s="655"/>
      <c r="N786" s="653"/>
      <c r="O786" s="653"/>
      <c r="P786" s="653"/>
      <c r="Q786" s="653"/>
      <c r="R786" s="653"/>
      <c r="S786" s="653"/>
      <c r="T786" s="653"/>
      <c r="U786" s="653"/>
    </row>
    <row r="787" spans="1:21" ht="17.25" customHeight="1">
      <c r="A787" s="705"/>
      <c r="B787" s="678"/>
      <c r="C787" s="681"/>
      <c r="D787" s="680"/>
      <c r="E787" s="676"/>
      <c r="H787" s="653"/>
      <c r="I787" s="1749" t="s">
        <v>3496</v>
      </c>
      <c r="J787" s="715" t="s">
        <v>3497</v>
      </c>
      <c r="K787" s="716">
        <v>4.1999999999999998E-5</v>
      </c>
      <c r="L787" s="716">
        <v>4.9600000000000002E-4</v>
      </c>
      <c r="M787" s="655"/>
      <c r="N787" s="653"/>
      <c r="O787" s="653"/>
      <c r="P787" s="653"/>
      <c r="Q787" s="653"/>
      <c r="R787" s="653"/>
      <c r="S787" s="653"/>
      <c r="T787" s="653"/>
      <c r="U787" s="653"/>
    </row>
    <row r="788" spans="1:21" ht="17.25" customHeight="1">
      <c r="A788" s="705"/>
      <c r="B788" s="693"/>
      <c r="C788" s="681"/>
      <c r="D788" s="680"/>
      <c r="E788" s="676"/>
      <c r="H788" s="653"/>
      <c r="I788" s="1749" t="s">
        <v>3498</v>
      </c>
      <c r="J788" s="715" t="s">
        <v>3499</v>
      </c>
      <c r="K788" s="716">
        <v>4.35E-4</v>
      </c>
      <c r="L788" s="716">
        <v>4.0000000000000002E-4</v>
      </c>
      <c r="M788" s="655"/>
      <c r="N788" s="653"/>
      <c r="O788" s="653"/>
      <c r="P788" s="653"/>
      <c r="Q788" s="653"/>
      <c r="R788" s="653"/>
      <c r="S788" s="653"/>
      <c r="T788" s="653"/>
      <c r="U788" s="653"/>
    </row>
    <row r="789" spans="1:21" ht="17.25" customHeight="1">
      <c r="A789" s="705"/>
      <c r="B789" s="693"/>
      <c r="C789" s="681"/>
      <c r="D789" s="680"/>
      <c r="E789" s="676"/>
      <c r="H789" s="653"/>
      <c r="I789" s="1749" t="s">
        <v>3500</v>
      </c>
      <c r="J789" s="715" t="s">
        <v>3501</v>
      </c>
      <c r="K789" s="716">
        <v>5.7499999999999999E-4</v>
      </c>
      <c r="L789" s="716">
        <v>5.1900000000000004E-4</v>
      </c>
      <c r="M789" s="655"/>
      <c r="N789" s="653"/>
      <c r="O789" s="653"/>
      <c r="P789" s="653"/>
      <c r="Q789" s="653"/>
      <c r="R789" s="653"/>
      <c r="S789" s="653"/>
      <c r="T789" s="653"/>
      <c r="U789" s="653"/>
    </row>
    <row r="790" spans="1:21" ht="17.25" customHeight="1">
      <c r="A790" s="705"/>
      <c r="B790" s="693"/>
      <c r="C790" s="681"/>
      <c r="D790" s="680"/>
      <c r="E790" s="676"/>
      <c r="H790" s="653"/>
      <c r="I790" s="1749" t="s">
        <v>5580</v>
      </c>
      <c r="J790" s="715" t="s">
        <v>3502</v>
      </c>
      <c r="K790" s="716">
        <v>5.5400000000000002E-4</v>
      </c>
      <c r="L790" s="716">
        <v>0</v>
      </c>
      <c r="M790" s="655"/>
      <c r="N790" s="653"/>
      <c r="O790" s="653"/>
      <c r="P790" s="653"/>
      <c r="Q790" s="653"/>
      <c r="R790" s="653"/>
      <c r="S790" s="653"/>
      <c r="T790" s="653"/>
      <c r="U790" s="653"/>
    </row>
    <row r="791" spans="1:21" ht="17.25" customHeight="1">
      <c r="A791" s="705"/>
      <c r="B791" s="693"/>
      <c r="C791" s="681"/>
      <c r="D791" s="680"/>
      <c r="E791" s="676"/>
      <c r="H791" s="653"/>
      <c r="I791" s="1749" t="s">
        <v>5581</v>
      </c>
      <c r="J791" s="715" t="s">
        <v>3502</v>
      </c>
      <c r="K791" s="716">
        <v>5.5400000000000002E-4</v>
      </c>
      <c r="L791" s="716">
        <v>4.86E-4</v>
      </c>
      <c r="M791" s="655"/>
      <c r="N791" s="653"/>
      <c r="O791" s="653"/>
      <c r="P791" s="653"/>
      <c r="Q791" s="653"/>
      <c r="R791" s="653"/>
      <c r="S791" s="653"/>
      <c r="T791" s="653"/>
      <c r="U791" s="653"/>
    </row>
    <row r="792" spans="1:21" ht="17.25" customHeight="1">
      <c r="A792" s="705"/>
      <c r="B792" s="693"/>
      <c r="C792" s="681"/>
      <c r="D792" s="680"/>
      <c r="E792" s="676"/>
      <c r="H792" s="653"/>
      <c r="I792" s="1749" t="s">
        <v>3503</v>
      </c>
      <c r="J792" s="715" t="s">
        <v>3960</v>
      </c>
      <c r="K792" s="716">
        <v>4.44E-4</v>
      </c>
      <c r="L792" s="716">
        <v>4.5300000000000001E-4</v>
      </c>
      <c r="M792" s="655"/>
      <c r="N792" s="653"/>
      <c r="O792" s="653"/>
      <c r="P792" s="653"/>
      <c r="Q792" s="653"/>
      <c r="R792" s="653"/>
      <c r="S792" s="653"/>
      <c r="T792" s="653"/>
      <c r="U792" s="653"/>
    </row>
    <row r="793" spans="1:21" ht="17.25" customHeight="1">
      <c r="A793" s="705"/>
      <c r="B793" s="693"/>
      <c r="C793" s="681"/>
      <c r="D793" s="680"/>
      <c r="E793" s="676"/>
      <c r="H793" s="653"/>
      <c r="I793" s="1749" t="s">
        <v>3961</v>
      </c>
      <c r="J793" s="715" t="s">
        <v>3962</v>
      </c>
      <c r="K793" s="716">
        <v>4.4000000000000002E-4</v>
      </c>
      <c r="L793" s="716">
        <v>3.8400000000000001E-4</v>
      </c>
      <c r="M793" s="655"/>
      <c r="N793" s="653"/>
      <c r="O793" s="653"/>
      <c r="P793" s="653"/>
      <c r="Q793" s="653"/>
      <c r="R793" s="653"/>
      <c r="S793" s="653"/>
      <c r="T793" s="653"/>
      <c r="U793" s="653"/>
    </row>
    <row r="794" spans="1:21" ht="17.25" customHeight="1">
      <c r="A794" s="705"/>
      <c r="B794" s="693"/>
      <c r="C794" s="681"/>
      <c r="D794" s="706"/>
      <c r="E794" s="707"/>
      <c r="H794" s="653"/>
      <c r="I794" s="1749" t="s">
        <v>3963</v>
      </c>
      <c r="J794" s="715" t="s">
        <v>3504</v>
      </c>
      <c r="K794" s="716">
        <v>3.1E-4</v>
      </c>
      <c r="L794" s="716">
        <v>0</v>
      </c>
      <c r="M794" s="655"/>
      <c r="N794" s="653"/>
      <c r="O794" s="653"/>
      <c r="P794" s="653"/>
      <c r="Q794" s="653"/>
      <c r="R794" s="653"/>
      <c r="S794" s="653"/>
      <c r="T794" s="653"/>
      <c r="U794" s="653"/>
    </row>
    <row r="795" spans="1:21" ht="17.25" customHeight="1">
      <c r="A795" s="693"/>
      <c r="B795" s="693"/>
      <c r="C795" s="708"/>
      <c r="D795" s="709"/>
      <c r="E795" s="710"/>
      <c r="H795" s="653"/>
      <c r="I795" s="1749" t="s">
        <v>5582</v>
      </c>
      <c r="J795" s="715" t="s">
        <v>3504</v>
      </c>
      <c r="K795" s="716">
        <v>3.1E-4</v>
      </c>
      <c r="L795" s="716">
        <v>3.3799999999999998E-4</v>
      </c>
      <c r="M795" s="655"/>
      <c r="N795" s="653"/>
      <c r="O795" s="653"/>
      <c r="P795" s="653"/>
      <c r="Q795" s="653"/>
      <c r="R795" s="653"/>
      <c r="S795" s="653"/>
      <c r="T795" s="653"/>
      <c r="U795" s="653"/>
    </row>
    <row r="796" spans="1:21">
      <c r="H796" s="653"/>
      <c r="I796" s="1749" t="s">
        <v>5583</v>
      </c>
      <c r="J796" s="715" t="s">
        <v>3504</v>
      </c>
      <c r="K796" s="716">
        <v>3.1E-4</v>
      </c>
      <c r="L796" s="716">
        <v>3.5399999999999999E-4</v>
      </c>
      <c r="M796" s="655"/>
      <c r="N796" s="653"/>
      <c r="O796" s="653"/>
      <c r="P796" s="653"/>
      <c r="Q796" s="653"/>
      <c r="R796" s="653"/>
      <c r="S796" s="653"/>
      <c r="T796" s="653"/>
      <c r="U796" s="653"/>
    </row>
    <row r="797" spans="1:21">
      <c r="H797" s="653"/>
      <c r="I797" s="1749" t="s">
        <v>3505</v>
      </c>
      <c r="J797" s="715" t="s">
        <v>3506</v>
      </c>
      <c r="K797" s="716">
        <v>4.5399999999999998E-4</v>
      </c>
      <c r="L797" s="716">
        <v>4.57E-4</v>
      </c>
      <c r="M797" s="655"/>
      <c r="N797" s="653"/>
      <c r="O797" s="653"/>
      <c r="P797" s="653"/>
      <c r="Q797" s="653"/>
      <c r="R797" s="653"/>
      <c r="S797" s="653"/>
      <c r="T797" s="653"/>
      <c r="U797" s="653"/>
    </row>
    <row r="798" spans="1:21">
      <c r="H798" s="653"/>
      <c r="I798" s="1749" t="s">
        <v>3507</v>
      </c>
      <c r="J798" s="715" t="s">
        <v>3508</v>
      </c>
      <c r="K798" s="716">
        <v>4.4099999999999999E-4</v>
      </c>
      <c r="L798" s="716">
        <v>4.0000000000000002E-4</v>
      </c>
      <c r="M798" s="655"/>
      <c r="N798" s="653"/>
      <c r="O798" s="653"/>
      <c r="P798" s="653"/>
      <c r="Q798" s="653"/>
      <c r="R798" s="653"/>
      <c r="S798" s="653"/>
      <c r="T798" s="653"/>
      <c r="U798" s="653"/>
    </row>
    <row r="799" spans="1:21">
      <c r="H799" s="653"/>
      <c r="I799" s="1749" t="s">
        <v>5584</v>
      </c>
      <c r="J799" s="715" t="s">
        <v>3508</v>
      </c>
      <c r="K799" s="716">
        <v>4.4099999999999999E-4</v>
      </c>
      <c r="L799" s="716">
        <v>4.4099999999999999E-4</v>
      </c>
      <c r="M799" s="655"/>
      <c r="N799" s="653"/>
      <c r="O799" s="653"/>
      <c r="P799" s="653"/>
      <c r="Q799" s="653"/>
      <c r="R799" s="653"/>
      <c r="S799" s="653"/>
      <c r="T799" s="653"/>
      <c r="U799" s="653"/>
    </row>
    <row r="800" spans="1:21">
      <c r="H800" s="653"/>
      <c r="I800" s="1749" t="s">
        <v>3509</v>
      </c>
      <c r="J800" s="715" t="s">
        <v>3510</v>
      </c>
      <c r="K800" s="716">
        <v>4.4099999999999999E-4</v>
      </c>
      <c r="L800" s="716">
        <v>4.4099999999999999E-4</v>
      </c>
      <c r="M800" s="655"/>
      <c r="N800" s="653"/>
      <c r="O800" s="653"/>
      <c r="P800" s="653"/>
      <c r="Q800" s="653"/>
      <c r="R800" s="653"/>
      <c r="S800" s="653"/>
      <c r="T800" s="653"/>
      <c r="U800" s="653"/>
    </row>
    <row r="801" spans="9:13">
      <c r="I801" s="1749" t="s">
        <v>3964</v>
      </c>
      <c r="J801" s="715" t="s">
        <v>3511</v>
      </c>
      <c r="K801" s="716">
        <v>3.8299999999999999E-4</v>
      </c>
      <c r="L801" s="716">
        <v>0</v>
      </c>
      <c r="M801" s="655"/>
    </row>
    <row r="802" spans="9:13">
      <c r="I802" s="1749" t="s">
        <v>3965</v>
      </c>
      <c r="J802" s="715" t="s">
        <v>3511</v>
      </c>
      <c r="K802" s="716">
        <v>3.8299999999999999E-4</v>
      </c>
      <c r="L802" s="716">
        <v>1.9599999999999999E-4</v>
      </c>
      <c r="M802" s="655"/>
    </row>
    <row r="803" spans="9:13">
      <c r="I803" s="1749" t="s">
        <v>3512</v>
      </c>
      <c r="J803" s="715" t="s">
        <v>3513</v>
      </c>
      <c r="K803" s="716">
        <v>4.6999999999999999E-4</v>
      </c>
      <c r="L803" s="716">
        <v>4.1399999999999998E-4</v>
      </c>
      <c r="M803" s="655"/>
    </row>
    <row r="804" spans="9:13">
      <c r="I804" s="1749" t="s">
        <v>3514</v>
      </c>
      <c r="J804" s="715" t="s">
        <v>3515</v>
      </c>
      <c r="K804" s="716">
        <v>4.1800000000000002E-4</v>
      </c>
      <c r="L804" s="716">
        <v>3.6200000000000002E-4</v>
      </c>
      <c r="M804" s="655"/>
    </row>
    <row r="805" spans="9:13">
      <c r="I805" s="1749" t="s">
        <v>3516</v>
      </c>
      <c r="J805" s="715" t="s">
        <v>3517</v>
      </c>
      <c r="K805" s="716">
        <v>4.3899999999999999E-4</v>
      </c>
      <c r="L805" s="716">
        <v>3.8299999999999999E-4</v>
      </c>
      <c r="M805" s="655"/>
    </row>
    <row r="806" spans="9:13">
      <c r="I806" s="1749" t="s">
        <v>3518</v>
      </c>
      <c r="J806" s="715" t="s">
        <v>3519</v>
      </c>
      <c r="K806" s="716">
        <v>3.5500000000000001E-4</v>
      </c>
      <c r="L806" s="716">
        <v>3.2000000000000003E-4</v>
      </c>
      <c r="M806" s="655"/>
    </row>
    <row r="807" spans="9:13">
      <c r="I807" s="1749" t="s">
        <v>3520</v>
      </c>
      <c r="J807" s="715" t="s">
        <v>3521</v>
      </c>
      <c r="K807" s="716">
        <v>4.4099999999999999E-4</v>
      </c>
      <c r="L807" s="716">
        <v>5.0100000000000003E-4</v>
      </c>
      <c r="M807" s="655"/>
    </row>
    <row r="808" spans="9:13">
      <c r="I808" s="1749" t="s">
        <v>3522</v>
      </c>
      <c r="J808" s="715" t="s">
        <v>3523</v>
      </c>
      <c r="K808" s="716">
        <v>5.0500000000000002E-4</v>
      </c>
      <c r="L808" s="716">
        <v>5.0500000000000002E-4</v>
      </c>
      <c r="M808" s="655"/>
    </row>
    <row r="809" spans="9:13">
      <c r="I809" s="1749" t="s">
        <v>3524</v>
      </c>
      <c r="J809" s="715" t="s">
        <v>3525</v>
      </c>
      <c r="K809" s="716">
        <v>4.08E-4</v>
      </c>
      <c r="L809" s="716">
        <v>3.5199999999999999E-4</v>
      </c>
      <c r="M809" s="655"/>
    </row>
    <row r="810" spans="9:13">
      <c r="I810" s="1749" t="s">
        <v>3526</v>
      </c>
      <c r="J810" s="715" t="s">
        <v>3527</v>
      </c>
      <c r="K810" s="716">
        <v>4.5399999999999998E-4</v>
      </c>
      <c r="L810" s="716">
        <v>4.57E-4</v>
      </c>
      <c r="M810" s="655"/>
    </row>
    <row r="811" spans="9:13">
      <c r="I811" s="1749" t="s">
        <v>3966</v>
      </c>
      <c r="J811" s="715" t="s">
        <v>3528</v>
      </c>
      <c r="K811" s="716">
        <v>3.5599999999999998E-4</v>
      </c>
      <c r="L811" s="716">
        <v>0</v>
      </c>
      <c r="M811" s="655"/>
    </row>
    <row r="812" spans="9:13">
      <c r="I812" s="1749" t="s">
        <v>3967</v>
      </c>
      <c r="J812" s="715" t="s">
        <v>3528</v>
      </c>
      <c r="K812" s="716">
        <v>3.5599999999999998E-4</v>
      </c>
      <c r="L812" s="716">
        <v>0</v>
      </c>
      <c r="M812" s="655"/>
    </row>
    <row r="813" spans="9:13">
      <c r="I813" s="1749" t="s">
        <v>3968</v>
      </c>
      <c r="J813" s="715" t="s">
        <v>3528</v>
      </c>
      <c r="K813" s="716">
        <v>3.5599999999999998E-4</v>
      </c>
      <c r="L813" s="716">
        <v>0</v>
      </c>
      <c r="M813" s="655"/>
    </row>
    <row r="814" spans="9:13">
      <c r="I814" s="1749" t="s">
        <v>3529</v>
      </c>
      <c r="J814" s="715" t="s">
        <v>3530</v>
      </c>
      <c r="K814" s="716">
        <v>4.7399999999999997E-4</v>
      </c>
      <c r="L814" s="716">
        <v>5.31E-4</v>
      </c>
      <c r="M814" s="655"/>
    </row>
    <row r="815" spans="9:13">
      <c r="I815" s="1749" t="s">
        <v>3969</v>
      </c>
      <c r="J815" s="715" t="s">
        <v>3970</v>
      </c>
      <c r="K815" s="716">
        <v>7.8399999999999997E-4</v>
      </c>
      <c r="L815" s="716">
        <v>2.6600000000000001E-4</v>
      </c>
      <c r="M815" s="655"/>
    </row>
    <row r="816" spans="9:13">
      <c r="I816" s="1749" t="s">
        <v>3531</v>
      </c>
      <c r="J816" s="715" t="s">
        <v>5585</v>
      </c>
      <c r="K816" s="716">
        <v>7.76E-4</v>
      </c>
      <c r="L816" s="716">
        <v>7.2199999999999999E-4</v>
      </c>
      <c r="M816" s="655"/>
    </row>
    <row r="817" spans="9:13">
      <c r="I817" s="1749" t="s">
        <v>3532</v>
      </c>
      <c r="J817" s="715" t="s">
        <v>3533</v>
      </c>
      <c r="K817" s="716">
        <v>1.5899999999999999E-4</v>
      </c>
      <c r="L817" s="716">
        <v>0</v>
      </c>
      <c r="M817" s="655"/>
    </row>
    <row r="818" spans="9:13">
      <c r="I818" s="1749" t="s">
        <v>3971</v>
      </c>
      <c r="J818" s="715" t="s">
        <v>3533</v>
      </c>
      <c r="K818" s="716">
        <v>1.5899999999999999E-4</v>
      </c>
      <c r="L818" s="716">
        <v>3.0800000000000001E-4</v>
      </c>
      <c r="M818" s="655"/>
    </row>
    <row r="819" spans="9:13">
      <c r="I819" s="1749" t="s">
        <v>3534</v>
      </c>
      <c r="J819" s="715" t="s">
        <v>3535</v>
      </c>
      <c r="K819" s="716">
        <v>4.4499999999999997E-4</v>
      </c>
      <c r="L819" s="716">
        <v>4.8299999999999998E-4</v>
      </c>
      <c r="M819" s="655"/>
    </row>
    <row r="820" spans="9:13">
      <c r="I820" s="1749" t="s">
        <v>3536</v>
      </c>
      <c r="J820" s="715" t="s">
        <v>5586</v>
      </c>
      <c r="K820" s="716">
        <v>3.3799999999999998E-4</v>
      </c>
      <c r="L820" s="716">
        <v>0</v>
      </c>
      <c r="M820" s="655"/>
    </row>
    <row r="821" spans="9:13">
      <c r="I821" s="1749" t="s">
        <v>3972</v>
      </c>
      <c r="J821" s="715" t="s">
        <v>5586</v>
      </c>
      <c r="K821" s="716">
        <v>3.3799999999999998E-4</v>
      </c>
      <c r="L821" s="716">
        <v>0</v>
      </c>
      <c r="M821" s="655"/>
    </row>
    <row r="822" spans="9:13">
      <c r="I822" s="1749" t="s">
        <v>3973</v>
      </c>
      <c r="J822" s="715" t="s">
        <v>5586</v>
      </c>
      <c r="K822" s="716">
        <v>3.3799999999999998E-4</v>
      </c>
      <c r="L822" s="716">
        <v>4.3600000000000003E-4</v>
      </c>
      <c r="M822" s="655"/>
    </row>
    <row r="823" spans="9:13">
      <c r="I823" s="1749" t="s">
        <v>3537</v>
      </c>
      <c r="J823" s="715" t="s">
        <v>5587</v>
      </c>
      <c r="K823" s="716">
        <v>4.44E-4</v>
      </c>
      <c r="L823" s="716">
        <v>3.8900000000000002E-4</v>
      </c>
      <c r="M823" s="655"/>
    </row>
    <row r="824" spans="9:13">
      <c r="I824" s="1749" t="s">
        <v>3538</v>
      </c>
      <c r="J824" s="715" t="s">
        <v>3974</v>
      </c>
      <c r="K824" s="716">
        <v>4.6799999999999999E-4</v>
      </c>
      <c r="L824" s="716">
        <v>5.3300000000000005E-4</v>
      </c>
      <c r="M824" s="655"/>
    </row>
    <row r="825" spans="9:13">
      <c r="I825" s="1749" t="s">
        <v>3975</v>
      </c>
      <c r="J825" s="715" t="s">
        <v>5588</v>
      </c>
      <c r="K825" s="716">
        <v>3.0899999999999998E-4</v>
      </c>
      <c r="L825" s="716">
        <v>0</v>
      </c>
      <c r="M825" s="655"/>
    </row>
    <row r="826" spans="9:13">
      <c r="I826" s="1749" t="s">
        <v>5589</v>
      </c>
      <c r="J826" s="715" t="s">
        <v>5588</v>
      </c>
      <c r="K826" s="716">
        <v>3.0899999999999998E-4</v>
      </c>
      <c r="L826" s="716">
        <v>1.55E-4</v>
      </c>
      <c r="M826" s="655"/>
    </row>
    <row r="827" spans="9:13">
      <c r="I827" s="1749" t="s">
        <v>3539</v>
      </c>
      <c r="J827" s="715" t="s">
        <v>3540</v>
      </c>
      <c r="K827" s="716">
        <v>4.46E-4</v>
      </c>
      <c r="L827" s="716">
        <v>5.0799999999999999E-4</v>
      </c>
      <c r="M827" s="655"/>
    </row>
    <row r="828" spans="9:13">
      <c r="I828" s="1749" t="s">
        <v>3541</v>
      </c>
      <c r="J828" s="715" t="s">
        <v>3542</v>
      </c>
      <c r="K828" s="716">
        <v>4.5399999999999998E-4</v>
      </c>
      <c r="L828" s="716">
        <v>4.57E-4</v>
      </c>
      <c r="M828" s="655"/>
    </row>
    <row r="829" spans="9:13">
      <c r="I829" s="1749" t="s">
        <v>3543</v>
      </c>
      <c r="J829" s="715" t="s">
        <v>3544</v>
      </c>
      <c r="K829" s="716">
        <v>4.3999999999999999E-5</v>
      </c>
      <c r="L829" s="716">
        <v>0</v>
      </c>
      <c r="M829" s="655"/>
    </row>
    <row r="830" spans="9:13">
      <c r="I830" s="1749" t="s">
        <v>3545</v>
      </c>
      <c r="J830" s="715" t="s">
        <v>3546</v>
      </c>
      <c r="K830" s="716">
        <v>2.0000000000000001E-4</v>
      </c>
      <c r="L830" s="716">
        <v>3.1300000000000002E-4</v>
      </c>
      <c r="M830" s="655"/>
    </row>
    <row r="831" spans="9:13">
      <c r="I831" s="1749" t="s">
        <v>3976</v>
      </c>
      <c r="J831" s="715" t="s">
        <v>3547</v>
      </c>
      <c r="K831" s="716">
        <v>4.3600000000000003E-4</v>
      </c>
      <c r="L831" s="716">
        <v>0</v>
      </c>
      <c r="M831" s="655"/>
    </row>
    <row r="832" spans="9:13">
      <c r="I832" s="1749" t="s">
        <v>3977</v>
      </c>
      <c r="J832" s="715" t="s">
        <v>3547</v>
      </c>
      <c r="K832" s="716">
        <v>4.3600000000000003E-4</v>
      </c>
      <c r="L832" s="716">
        <v>4.5800000000000002E-4</v>
      </c>
      <c r="M832" s="655"/>
    </row>
    <row r="833" spans="9:13">
      <c r="I833" s="1749" t="s">
        <v>3978</v>
      </c>
      <c r="J833" s="715" t="s">
        <v>3548</v>
      </c>
      <c r="K833" s="716">
        <v>3.5E-4</v>
      </c>
      <c r="L833" s="716">
        <v>0</v>
      </c>
      <c r="M833" s="655"/>
    </row>
    <row r="834" spans="9:13">
      <c r="I834" s="1749" t="s">
        <v>3979</v>
      </c>
      <c r="J834" s="715" t="s">
        <v>3548</v>
      </c>
      <c r="K834" s="716">
        <v>3.5E-4</v>
      </c>
      <c r="L834" s="716">
        <v>0</v>
      </c>
      <c r="M834" s="655"/>
    </row>
    <row r="835" spans="9:13">
      <c r="I835" s="1749" t="s">
        <v>3980</v>
      </c>
      <c r="J835" s="715" t="s">
        <v>3548</v>
      </c>
      <c r="K835" s="716">
        <v>3.5E-4</v>
      </c>
      <c r="L835" s="716">
        <v>4.4499999999999997E-4</v>
      </c>
      <c r="M835" s="655"/>
    </row>
    <row r="836" spans="9:13">
      <c r="I836" s="1749" t="s">
        <v>3549</v>
      </c>
      <c r="J836" s="715" t="s">
        <v>3550</v>
      </c>
      <c r="K836" s="716">
        <v>4.1800000000000002E-4</v>
      </c>
      <c r="L836" s="716">
        <v>3.6200000000000002E-4</v>
      </c>
      <c r="M836" s="655"/>
    </row>
    <row r="837" spans="9:13">
      <c r="I837" s="1749" t="s">
        <v>3551</v>
      </c>
      <c r="J837" s="715" t="s">
        <v>3552</v>
      </c>
      <c r="K837" s="716">
        <v>4.6299999999999998E-4</v>
      </c>
      <c r="L837" s="716">
        <v>5.2700000000000002E-4</v>
      </c>
      <c r="M837" s="655"/>
    </row>
    <row r="838" spans="9:13">
      <c r="I838" s="1749" t="s">
        <v>3553</v>
      </c>
      <c r="J838" s="715" t="s">
        <v>3554</v>
      </c>
      <c r="K838" s="716">
        <v>4.55E-4</v>
      </c>
      <c r="L838" s="716">
        <v>3.9899999999999999E-4</v>
      </c>
      <c r="M838" s="655"/>
    </row>
    <row r="839" spans="9:13">
      <c r="I839" s="1749" t="s">
        <v>5590</v>
      </c>
      <c r="J839" s="715" t="s">
        <v>3555</v>
      </c>
      <c r="K839" s="716">
        <v>4.4099999999999999E-4</v>
      </c>
      <c r="L839" s="716">
        <v>0</v>
      </c>
      <c r="M839" s="655"/>
    </row>
    <row r="840" spans="9:13">
      <c r="I840" s="1749" t="s">
        <v>5591</v>
      </c>
      <c r="J840" s="715" t="s">
        <v>3555</v>
      </c>
      <c r="K840" s="716">
        <v>4.4099999999999999E-4</v>
      </c>
      <c r="L840" s="716">
        <v>4.75E-4</v>
      </c>
      <c r="M840" s="655"/>
    </row>
    <row r="841" spans="9:13">
      <c r="I841" s="1749" t="s">
        <v>3981</v>
      </c>
      <c r="J841" s="715" t="s">
        <v>3982</v>
      </c>
      <c r="K841" s="716">
        <v>4.9399999999999997E-4</v>
      </c>
      <c r="L841" s="716">
        <v>4.3800000000000002E-4</v>
      </c>
      <c r="M841" s="655"/>
    </row>
    <row r="842" spans="9:13">
      <c r="I842" s="1749" t="s">
        <v>3556</v>
      </c>
      <c r="J842" s="715" t="s">
        <v>3557</v>
      </c>
      <c r="K842" s="716">
        <v>4.75E-4</v>
      </c>
      <c r="L842" s="716">
        <v>5.4000000000000001E-4</v>
      </c>
      <c r="M842" s="655"/>
    </row>
    <row r="843" spans="9:13">
      <c r="I843" s="1749" t="s">
        <v>3558</v>
      </c>
      <c r="J843" s="715" t="s">
        <v>3559</v>
      </c>
      <c r="K843" s="716">
        <v>4.3600000000000003E-4</v>
      </c>
      <c r="L843" s="716">
        <v>3.8000000000000002E-4</v>
      </c>
      <c r="M843" s="655"/>
    </row>
    <row r="844" spans="9:13">
      <c r="I844" s="1749" t="s">
        <v>3560</v>
      </c>
      <c r="J844" s="715" t="s">
        <v>3561</v>
      </c>
      <c r="K844" s="716">
        <v>4.3399999999999998E-4</v>
      </c>
      <c r="L844" s="716">
        <v>3.7800000000000003E-4</v>
      </c>
      <c r="M844" s="655"/>
    </row>
    <row r="845" spans="9:13">
      <c r="I845" s="1749" t="s">
        <v>3562</v>
      </c>
      <c r="J845" s="715" t="s">
        <v>3563</v>
      </c>
      <c r="K845" s="716">
        <v>4.4200000000000001E-4</v>
      </c>
      <c r="L845" s="716">
        <v>4.8299999999999998E-4</v>
      </c>
      <c r="M845" s="655"/>
    </row>
    <row r="846" spans="9:13">
      <c r="I846" s="1749" t="s">
        <v>3564</v>
      </c>
      <c r="J846" s="715" t="s">
        <v>3565</v>
      </c>
      <c r="K846" s="716">
        <v>4.8200000000000001E-4</v>
      </c>
      <c r="L846" s="716">
        <v>4.26E-4</v>
      </c>
      <c r="M846" s="655"/>
    </row>
    <row r="847" spans="9:13">
      <c r="I847" s="1749" t="s">
        <v>3566</v>
      </c>
      <c r="J847" s="715" t="s">
        <v>5592</v>
      </c>
      <c r="K847" s="716">
        <v>4.75E-4</v>
      </c>
      <c r="L847" s="716">
        <v>0</v>
      </c>
      <c r="M847" s="655"/>
    </row>
    <row r="848" spans="9:13">
      <c r="I848" s="1749" t="s">
        <v>5593</v>
      </c>
      <c r="J848" s="715" t="s">
        <v>5592</v>
      </c>
      <c r="K848" s="716">
        <v>4.75E-4</v>
      </c>
      <c r="L848" s="716">
        <v>2.8499999999999999E-4</v>
      </c>
      <c r="M848" s="655"/>
    </row>
    <row r="849" spans="9:13">
      <c r="I849" s="1749" t="s">
        <v>5594</v>
      </c>
      <c r="J849" s="715" t="s">
        <v>5592</v>
      </c>
      <c r="K849" s="716">
        <v>4.75E-4</v>
      </c>
      <c r="L849" s="716">
        <v>0</v>
      </c>
      <c r="M849" s="655"/>
    </row>
    <row r="850" spans="9:13">
      <c r="I850" s="1749" t="s">
        <v>5595</v>
      </c>
      <c r="J850" s="715" t="s">
        <v>5596</v>
      </c>
      <c r="K850" s="716">
        <v>4.8899999999999996E-4</v>
      </c>
      <c r="L850" s="716">
        <v>4.3300000000000001E-4</v>
      </c>
      <c r="M850" s="655"/>
    </row>
    <row r="851" spans="9:13">
      <c r="I851" s="1749" t="s">
        <v>3567</v>
      </c>
      <c r="J851" s="715" t="s">
        <v>3568</v>
      </c>
      <c r="K851" s="716">
        <v>4.4000000000000002E-4</v>
      </c>
      <c r="L851" s="716">
        <v>4.0900000000000002E-4</v>
      </c>
      <c r="M851" s="655"/>
    </row>
    <row r="852" spans="9:13">
      <c r="I852" s="1749" t="s">
        <v>3569</v>
      </c>
      <c r="J852" s="715" t="s">
        <v>3570</v>
      </c>
      <c r="K852" s="716">
        <v>4.6299999999999998E-4</v>
      </c>
      <c r="L852" s="716">
        <v>0</v>
      </c>
      <c r="M852" s="655"/>
    </row>
    <row r="853" spans="9:13">
      <c r="I853" s="1749" t="s">
        <v>3983</v>
      </c>
      <c r="J853" s="715" t="s">
        <v>3570</v>
      </c>
      <c r="K853" s="716">
        <v>4.6299999999999998E-4</v>
      </c>
      <c r="L853" s="716">
        <v>0</v>
      </c>
      <c r="M853" s="655"/>
    </row>
    <row r="854" spans="9:13">
      <c r="I854" s="1749" t="s">
        <v>3984</v>
      </c>
      <c r="J854" s="715" t="s">
        <v>3570</v>
      </c>
      <c r="K854" s="716">
        <v>4.6299999999999998E-4</v>
      </c>
      <c r="L854" s="716">
        <v>4.4700000000000002E-4</v>
      </c>
      <c r="M854" s="655"/>
    </row>
    <row r="855" spans="9:13">
      <c r="I855" s="1749" t="s">
        <v>3571</v>
      </c>
      <c r="J855" s="715" t="s">
        <v>3985</v>
      </c>
      <c r="K855" s="716">
        <v>4.66E-4</v>
      </c>
      <c r="L855" s="716">
        <v>5.3200000000000003E-4</v>
      </c>
      <c r="M855" s="655"/>
    </row>
    <row r="856" spans="9:13">
      <c r="I856" s="1749" t="s">
        <v>3572</v>
      </c>
      <c r="J856" s="715" t="s">
        <v>3986</v>
      </c>
      <c r="K856" s="716">
        <v>4.6999999999999999E-4</v>
      </c>
      <c r="L856" s="716">
        <v>3.8999999999999999E-4</v>
      </c>
      <c r="M856" s="655"/>
    </row>
    <row r="857" spans="9:13">
      <c r="I857" s="1749" t="s">
        <v>5597</v>
      </c>
      <c r="J857" s="715" t="s">
        <v>3987</v>
      </c>
      <c r="K857" s="716">
        <v>4.5300000000000001E-4</v>
      </c>
      <c r="L857" s="716">
        <v>0</v>
      </c>
      <c r="M857" s="655"/>
    </row>
    <row r="858" spans="9:13">
      <c r="I858" s="1749" t="s">
        <v>5598</v>
      </c>
      <c r="J858" s="715" t="s">
        <v>3987</v>
      </c>
      <c r="K858" s="716">
        <v>4.5300000000000001E-4</v>
      </c>
      <c r="L858" s="716">
        <v>4.5600000000000003E-4</v>
      </c>
      <c r="M858" s="655"/>
    </row>
    <row r="859" spans="9:13">
      <c r="I859" s="1749" t="s">
        <v>3573</v>
      </c>
      <c r="J859" s="715" t="s">
        <v>3574</v>
      </c>
      <c r="K859" s="716">
        <v>4.4000000000000002E-4</v>
      </c>
      <c r="L859" s="716">
        <v>4.8200000000000001E-4</v>
      </c>
      <c r="M859" s="655"/>
    </row>
    <row r="860" spans="9:13">
      <c r="I860" s="1749" t="s">
        <v>3575</v>
      </c>
      <c r="J860" s="715" t="s">
        <v>3576</v>
      </c>
      <c r="K860" s="716">
        <v>4.8799999999999999E-4</v>
      </c>
      <c r="L860" s="716">
        <v>4.3300000000000001E-4</v>
      </c>
      <c r="M860" s="655"/>
    </row>
    <row r="861" spans="9:13">
      <c r="I861" s="1749" t="s">
        <v>5599</v>
      </c>
      <c r="J861" s="715" t="s">
        <v>5600</v>
      </c>
      <c r="K861" s="716">
        <v>5.5999999999999999E-5</v>
      </c>
      <c r="L861" s="716">
        <v>0</v>
      </c>
      <c r="M861" s="655"/>
    </row>
    <row r="862" spans="9:13">
      <c r="I862" s="1749" t="s">
        <v>5601</v>
      </c>
      <c r="J862" s="715" t="s">
        <v>5600</v>
      </c>
      <c r="K862" s="716">
        <v>5.5999999999999999E-5</v>
      </c>
      <c r="L862" s="716">
        <v>4.6999999999999999E-4</v>
      </c>
      <c r="M862" s="655"/>
    </row>
    <row r="863" spans="9:13">
      <c r="I863" s="1749" t="s">
        <v>3988</v>
      </c>
      <c r="J863" s="715" t="s">
        <v>3577</v>
      </c>
      <c r="K863" s="716">
        <v>2.99E-4</v>
      </c>
      <c r="L863" s="716">
        <v>0</v>
      </c>
      <c r="M863" s="655"/>
    </row>
    <row r="864" spans="9:13">
      <c r="I864" s="1749" t="s">
        <v>3989</v>
      </c>
      <c r="J864" s="715" t="s">
        <v>3577</v>
      </c>
      <c r="K864" s="716">
        <v>2.99E-4</v>
      </c>
      <c r="L864" s="716">
        <v>4.7100000000000001E-4</v>
      </c>
      <c r="M864" s="655"/>
    </row>
    <row r="865" spans="9:13">
      <c r="I865" s="1749" t="s">
        <v>3578</v>
      </c>
      <c r="J865" s="715" t="s">
        <v>3579</v>
      </c>
      <c r="K865" s="716">
        <v>2.7E-4</v>
      </c>
      <c r="L865" s="716">
        <v>0</v>
      </c>
      <c r="M865" s="655"/>
    </row>
    <row r="866" spans="9:13">
      <c r="I866" s="1749" t="s">
        <v>3580</v>
      </c>
      <c r="J866" s="715" t="s">
        <v>3581</v>
      </c>
      <c r="K866" s="716">
        <v>4.6299999999999998E-4</v>
      </c>
      <c r="L866" s="716">
        <v>4.0700000000000003E-4</v>
      </c>
      <c r="M866" s="655"/>
    </row>
    <row r="867" spans="9:13">
      <c r="I867" s="1749" t="s">
        <v>3582</v>
      </c>
      <c r="J867" s="715" t="s">
        <v>3583</v>
      </c>
      <c r="K867" s="716">
        <v>4.64E-4</v>
      </c>
      <c r="L867" s="716">
        <v>4.46E-4</v>
      </c>
      <c r="M867" s="655"/>
    </row>
    <row r="868" spans="9:13">
      <c r="I868" s="1749" t="s">
        <v>3584</v>
      </c>
      <c r="J868" s="715" t="s">
        <v>3585</v>
      </c>
      <c r="K868" s="716">
        <v>4.5399999999999998E-4</v>
      </c>
      <c r="L868" s="716">
        <v>4.57E-4</v>
      </c>
      <c r="M868" s="655"/>
    </row>
    <row r="869" spans="9:13">
      <c r="I869" s="1749" t="s">
        <v>3586</v>
      </c>
      <c r="J869" s="715" t="s">
        <v>3587</v>
      </c>
      <c r="K869" s="716">
        <v>4.7699999999999999E-4</v>
      </c>
      <c r="L869" s="716">
        <v>5.4299999999999997E-4</v>
      </c>
      <c r="M869" s="655"/>
    </row>
    <row r="870" spans="9:13">
      <c r="I870" s="1749" t="s">
        <v>3588</v>
      </c>
      <c r="J870" s="715" t="s">
        <v>3589</v>
      </c>
      <c r="K870" s="716">
        <v>4.5399999999999998E-4</v>
      </c>
      <c r="L870" s="716">
        <v>4.57E-4</v>
      </c>
      <c r="M870" s="655"/>
    </row>
    <row r="871" spans="9:13">
      <c r="I871" s="1749" t="s">
        <v>3590</v>
      </c>
      <c r="J871" s="715" t="s">
        <v>3591</v>
      </c>
      <c r="K871" s="716">
        <v>1.02E-4</v>
      </c>
      <c r="L871" s="716">
        <v>0</v>
      </c>
      <c r="M871" s="655"/>
    </row>
    <row r="872" spans="9:13">
      <c r="I872" s="1749" t="s">
        <v>3592</v>
      </c>
      <c r="J872" s="715" t="s">
        <v>3591</v>
      </c>
      <c r="K872" s="716">
        <v>1.02E-4</v>
      </c>
      <c r="L872" s="716">
        <v>2.9E-4</v>
      </c>
      <c r="M872" s="655"/>
    </row>
    <row r="873" spans="9:13">
      <c r="I873" s="1749" t="s">
        <v>3990</v>
      </c>
      <c r="J873" s="715" t="s">
        <v>3591</v>
      </c>
      <c r="K873" s="716">
        <v>1.02E-4</v>
      </c>
      <c r="L873" s="716">
        <v>2.7599999999999999E-4</v>
      </c>
      <c r="M873" s="655"/>
    </row>
    <row r="874" spans="9:13">
      <c r="I874" s="1749" t="s">
        <v>3991</v>
      </c>
      <c r="J874" s="715" t="s">
        <v>3591</v>
      </c>
      <c r="K874" s="716">
        <v>1.02E-4</v>
      </c>
      <c r="L874" s="716">
        <v>2.8699999999999998E-4</v>
      </c>
      <c r="M874" s="655"/>
    </row>
    <row r="875" spans="9:13">
      <c r="I875" s="1749" t="s">
        <v>3593</v>
      </c>
      <c r="J875" s="715" t="s">
        <v>3594</v>
      </c>
      <c r="K875" s="716">
        <v>2.23E-4</v>
      </c>
      <c r="L875" s="716">
        <v>5.0699999999999996E-4</v>
      </c>
      <c r="M875" s="655"/>
    </row>
    <row r="876" spans="9:13">
      <c r="I876" s="1749" t="s">
        <v>3992</v>
      </c>
      <c r="J876" s="715" t="s">
        <v>3993</v>
      </c>
      <c r="K876" s="716">
        <v>2.1800000000000001E-4</v>
      </c>
      <c r="L876" s="716">
        <v>4.4999999999999999E-4</v>
      </c>
      <c r="M876" s="655"/>
    </row>
    <row r="877" spans="9:13">
      <c r="I877" s="1749" t="s">
        <v>3595</v>
      </c>
      <c r="J877" s="715" t="s">
        <v>3596</v>
      </c>
      <c r="K877" s="716">
        <v>4.4099999999999999E-4</v>
      </c>
      <c r="L877" s="716">
        <v>4.35E-4</v>
      </c>
      <c r="M877" s="655"/>
    </row>
    <row r="878" spans="9:13">
      <c r="I878" s="1749" t="s">
        <v>3597</v>
      </c>
      <c r="J878" s="715" t="s">
        <v>3598</v>
      </c>
      <c r="K878" s="716">
        <v>3.7300000000000001E-4</v>
      </c>
      <c r="L878" s="716">
        <v>3.4000000000000002E-4</v>
      </c>
      <c r="M878" s="655"/>
    </row>
    <row r="879" spans="9:13">
      <c r="I879" s="1749" t="s">
        <v>5602</v>
      </c>
      <c r="J879" s="715" t="s">
        <v>3599</v>
      </c>
      <c r="K879" s="716">
        <v>4.7100000000000001E-4</v>
      </c>
      <c r="L879" s="716">
        <v>8.2000000000000001E-5</v>
      </c>
      <c r="M879" s="655"/>
    </row>
    <row r="880" spans="9:13">
      <c r="I880" s="1749" t="s">
        <v>5603</v>
      </c>
      <c r="J880" s="715" t="s">
        <v>3599</v>
      </c>
      <c r="K880" s="716">
        <v>4.7100000000000001E-4</v>
      </c>
      <c r="L880" s="716">
        <v>5.5099999999999995E-4</v>
      </c>
      <c r="M880" s="655"/>
    </row>
    <row r="881" spans="9:13">
      <c r="I881" s="1749" t="s">
        <v>3600</v>
      </c>
      <c r="J881" s="715" t="s">
        <v>3601</v>
      </c>
      <c r="K881" s="716">
        <v>3.5E-4</v>
      </c>
      <c r="L881" s="716">
        <v>2.9399999999999999E-4</v>
      </c>
      <c r="M881" s="655"/>
    </row>
    <row r="882" spans="9:13">
      <c r="I882" s="1749" t="s">
        <v>3994</v>
      </c>
      <c r="J882" s="715" t="s">
        <v>5604</v>
      </c>
      <c r="K882" s="716">
        <v>4.73E-4</v>
      </c>
      <c r="L882" s="716">
        <v>0</v>
      </c>
      <c r="M882" s="655"/>
    </row>
    <row r="883" spans="9:13">
      <c r="I883" s="1749" t="s">
        <v>3995</v>
      </c>
      <c r="J883" s="715" t="s">
        <v>5604</v>
      </c>
      <c r="K883" s="716">
        <v>4.73E-4</v>
      </c>
      <c r="L883" s="716">
        <v>5.2999999999999998E-4</v>
      </c>
      <c r="M883" s="655"/>
    </row>
    <row r="884" spans="9:13">
      <c r="I884" s="1749" t="s">
        <v>3996</v>
      </c>
      <c r="J884" s="715" t="s">
        <v>3997</v>
      </c>
      <c r="K884" s="716">
        <v>3.4900000000000003E-4</v>
      </c>
      <c r="L884" s="716">
        <v>1.1329999999999999E-3</v>
      </c>
      <c r="M884" s="655"/>
    </row>
    <row r="885" spans="9:13">
      <c r="I885" s="1749" t="s">
        <v>3602</v>
      </c>
      <c r="J885" s="715" t="s">
        <v>3603</v>
      </c>
      <c r="K885" s="716">
        <v>4.7199999999999998E-4</v>
      </c>
      <c r="L885" s="716">
        <v>4.1599999999999997E-4</v>
      </c>
      <c r="M885" s="655"/>
    </row>
    <row r="886" spans="9:13">
      <c r="I886" s="1749" t="s">
        <v>3998</v>
      </c>
      <c r="J886" s="715" t="s">
        <v>3604</v>
      </c>
      <c r="K886" s="716">
        <v>4.8899999999999996E-4</v>
      </c>
      <c r="L886" s="716">
        <v>0</v>
      </c>
      <c r="M886" s="655"/>
    </row>
    <row r="887" spans="9:13">
      <c r="I887" s="1749" t="s">
        <v>5605</v>
      </c>
      <c r="J887" s="715" t="s">
        <v>3604</v>
      </c>
      <c r="K887" s="716">
        <v>4.8899999999999996E-4</v>
      </c>
      <c r="L887" s="716">
        <v>3.4400000000000001E-4</v>
      </c>
      <c r="M887" s="655"/>
    </row>
    <row r="888" spans="9:13">
      <c r="I888" s="1749" t="s">
        <v>5606</v>
      </c>
      <c r="J888" s="715" t="s">
        <v>3604</v>
      </c>
      <c r="K888" s="716">
        <v>4.8899999999999996E-4</v>
      </c>
      <c r="L888" s="716">
        <v>4.3300000000000001E-4</v>
      </c>
      <c r="M888" s="655"/>
    </row>
    <row r="889" spans="9:13">
      <c r="I889" s="1749" t="s">
        <v>3605</v>
      </c>
      <c r="J889" s="715" t="s">
        <v>5607</v>
      </c>
      <c r="K889" s="716">
        <v>1.15E-4</v>
      </c>
      <c r="L889" s="716">
        <v>4.0299999999999998E-4</v>
      </c>
      <c r="M889" s="655"/>
    </row>
    <row r="890" spans="9:13">
      <c r="I890" s="1749" t="s">
        <v>3606</v>
      </c>
      <c r="J890" s="715" t="s">
        <v>3999</v>
      </c>
      <c r="K890" s="716">
        <v>4.5300000000000001E-4</v>
      </c>
      <c r="L890" s="716">
        <v>4.5300000000000001E-4</v>
      </c>
      <c r="M890" s="655"/>
    </row>
    <row r="891" spans="9:13">
      <c r="I891" s="1749" t="s">
        <v>3607</v>
      </c>
      <c r="J891" s="715" t="s">
        <v>4000</v>
      </c>
      <c r="K891" s="716">
        <v>4.5600000000000003E-4</v>
      </c>
      <c r="L891" s="716">
        <v>4.0000000000000002E-4</v>
      </c>
      <c r="M891" s="655"/>
    </row>
    <row r="892" spans="9:13">
      <c r="I892" s="1749" t="s">
        <v>4001</v>
      </c>
      <c r="J892" s="715" t="s">
        <v>4002</v>
      </c>
      <c r="K892" s="716">
        <v>4.0499999999999998E-4</v>
      </c>
      <c r="L892" s="716">
        <v>3.4900000000000003E-4</v>
      </c>
      <c r="M892" s="655"/>
    </row>
    <row r="893" spans="9:13">
      <c r="I893" s="1749" t="s">
        <v>3608</v>
      </c>
      <c r="J893" s="715" t="s">
        <v>3609</v>
      </c>
      <c r="K893" s="716">
        <v>3.5E-4</v>
      </c>
      <c r="L893" s="716">
        <v>0</v>
      </c>
      <c r="M893" s="655"/>
    </row>
    <row r="894" spans="9:13">
      <c r="I894" s="1749" t="s">
        <v>3610</v>
      </c>
      <c r="J894" s="715" t="s">
        <v>3609</v>
      </c>
      <c r="K894" s="716">
        <v>3.5E-4</v>
      </c>
      <c r="L894" s="716">
        <v>1.94E-4</v>
      </c>
      <c r="M894" s="655"/>
    </row>
    <row r="895" spans="9:13">
      <c r="I895" s="1749" t="s">
        <v>4003</v>
      </c>
      <c r="J895" s="715" t="s">
        <v>3609</v>
      </c>
      <c r="K895" s="716">
        <v>3.5E-4</v>
      </c>
      <c r="L895" s="716">
        <v>2.6699999999999998E-4</v>
      </c>
      <c r="M895" s="655"/>
    </row>
    <row r="896" spans="9:13">
      <c r="I896" s="1749" t="s">
        <v>5608</v>
      </c>
      <c r="J896" s="715" t="s">
        <v>3609</v>
      </c>
      <c r="K896" s="716">
        <v>3.5E-4</v>
      </c>
      <c r="L896" s="716">
        <v>2.9300000000000002E-4</v>
      </c>
      <c r="M896" s="655"/>
    </row>
    <row r="897" spans="9:13">
      <c r="I897" s="1749" t="s">
        <v>5609</v>
      </c>
      <c r="J897" s="715" t="s">
        <v>3609</v>
      </c>
      <c r="K897" s="716">
        <v>3.5E-4</v>
      </c>
      <c r="L897" s="716">
        <v>3.2600000000000001E-4</v>
      </c>
      <c r="M897" s="655"/>
    </row>
    <row r="898" spans="9:13">
      <c r="I898" s="1749" t="s">
        <v>5610</v>
      </c>
      <c r="J898" s="715" t="s">
        <v>3609</v>
      </c>
      <c r="K898" s="716">
        <v>3.5E-4</v>
      </c>
      <c r="L898" s="716">
        <v>4.6099999999999998E-4</v>
      </c>
      <c r="M898" s="655"/>
    </row>
    <row r="899" spans="9:13">
      <c r="I899" s="1749" t="s">
        <v>5611</v>
      </c>
      <c r="J899" s="715" t="s">
        <v>3611</v>
      </c>
      <c r="K899" s="716">
        <v>3.5E-4</v>
      </c>
      <c r="L899" s="716">
        <v>0</v>
      </c>
      <c r="M899" s="655"/>
    </row>
    <row r="900" spans="9:13">
      <c r="I900" s="1749" t="s">
        <v>5612</v>
      </c>
      <c r="J900" s="715" t="s">
        <v>3611</v>
      </c>
      <c r="K900" s="716">
        <v>3.5E-4</v>
      </c>
      <c r="L900" s="716">
        <v>3.9300000000000001E-4</v>
      </c>
      <c r="M900" s="655"/>
    </row>
    <row r="901" spans="9:13">
      <c r="I901" s="1749" t="s">
        <v>3612</v>
      </c>
      <c r="J901" s="715" t="s">
        <v>3613</v>
      </c>
      <c r="K901" s="716">
        <v>1.13E-4</v>
      </c>
      <c r="L901" s="716">
        <v>0</v>
      </c>
      <c r="M901" s="655"/>
    </row>
    <row r="902" spans="9:13">
      <c r="I902" s="1749" t="s">
        <v>4004</v>
      </c>
      <c r="J902" s="715" t="s">
        <v>3613</v>
      </c>
      <c r="K902" s="716">
        <v>1.13E-4</v>
      </c>
      <c r="L902" s="716">
        <v>2.2100000000000001E-4</v>
      </c>
      <c r="M902" s="655"/>
    </row>
    <row r="903" spans="9:13">
      <c r="I903" s="1749" t="s">
        <v>3614</v>
      </c>
      <c r="J903" s="715" t="s">
        <v>4005</v>
      </c>
      <c r="K903" s="716">
        <v>4.6E-5</v>
      </c>
      <c r="L903" s="716">
        <v>0</v>
      </c>
      <c r="M903" s="655"/>
    </row>
    <row r="904" spans="9:13">
      <c r="I904" s="1749" t="s">
        <v>3615</v>
      </c>
      <c r="J904" s="715" t="s">
        <v>3616</v>
      </c>
      <c r="K904" s="716">
        <v>4.4099999999999999E-4</v>
      </c>
      <c r="L904" s="716">
        <v>4.4099999999999999E-4</v>
      </c>
      <c r="M904" s="655"/>
    </row>
    <row r="905" spans="9:13">
      <c r="I905" s="1749" t="s">
        <v>3617</v>
      </c>
      <c r="J905" s="715" t="s">
        <v>3618</v>
      </c>
      <c r="K905" s="716">
        <v>2.3900000000000001E-4</v>
      </c>
      <c r="L905" s="716">
        <v>1.84E-4</v>
      </c>
      <c r="M905" s="655"/>
    </row>
    <row r="906" spans="9:13">
      <c r="I906" s="1749" t="s">
        <v>3619</v>
      </c>
      <c r="J906" s="715" t="s">
        <v>3620</v>
      </c>
      <c r="K906" s="716">
        <v>4.4000000000000002E-4</v>
      </c>
      <c r="L906" s="716">
        <v>3.8400000000000001E-4</v>
      </c>
      <c r="M906" s="655"/>
    </row>
    <row r="907" spans="9:13">
      <c r="I907" s="1749" t="s">
        <v>3621</v>
      </c>
      <c r="J907" s="715" t="s">
        <v>3622</v>
      </c>
      <c r="K907" s="716">
        <v>4.73E-4</v>
      </c>
      <c r="L907" s="716">
        <v>5.4000000000000001E-4</v>
      </c>
      <c r="M907" s="655"/>
    </row>
    <row r="908" spans="9:13">
      <c r="I908" s="1749" t="s">
        <v>3623</v>
      </c>
      <c r="J908" s="715" t="s">
        <v>4006</v>
      </c>
      <c r="K908" s="716">
        <v>4.8999999999999998E-4</v>
      </c>
      <c r="L908" s="716">
        <v>5.1599999999999997E-4</v>
      </c>
      <c r="M908" s="655"/>
    </row>
    <row r="909" spans="9:13">
      <c r="I909" s="1749" t="s">
        <v>3624</v>
      </c>
      <c r="J909" s="715" t="s">
        <v>3625</v>
      </c>
      <c r="K909" s="716">
        <v>4.8700000000000002E-4</v>
      </c>
      <c r="L909" s="716">
        <v>4.4099999999999999E-4</v>
      </c>
      <c r="M909" s="655"/>
    </row>
    <row r="910" spans="9:13">
      <c r="I910" s="1749" t="s">
        <v>3626</v>
      </c>
      <c r="J910" s="715" t="s">
        <v>3627</v>
      </c>
      <c r="K910" s="716">
        <v>3.88E-4</v>
      </c>
      <c r="L910" s="716">
        <v>0</v>
      </c>
      <c r="M910" s="655"/>
    </row>
    <row r="911" spans="9:13">
      <c r="I911" s="1749" t="s">
        <v>3628</v>
      </c>
      <c r="J911" s="715" t="s">
        <v>3627</v>
      </c>
      <c r="K911" s="716">
        <v>3.88E-4</v>
      </c>
      <c r="L911" s="716">
        <v>1.8900000000000001E-4</v>
      </c>
      <c r="M911" s="655"/>
    </row>
    <row r="912" spans="9:13">
      <c r="I912" s="1749" t="s">
        <v>3629</v>
      </c>
      <c r="J912" s="715" t="s">
        <v>3627</v>
      </c>
      <c r="K912" s="716">
        <v>3.88E-4</v>
      </c>
      <c r="L912" s="716">
        <v>2.6499999999999999E-4</v>
      </c>
      <c r="M912" s="655"/>
    </row>
    <row r="913" spans="9:13">
      <c r="I913" s="1749" t="s">
        <v>3630</v>
      </c>
      <c r="J913" s="715" t="s">
        <v>3627</v>
      </c>
      <c r="K913" s="716">
        <v>3.88E-4</v>
      </c>
      <c r="L913" s="716">
        <v>3.0299999999999999E-4</v>
      </c>
      <c r="M913" s="655"/>
    </row>
    <row r="914" spans="9:13">
      <c r="I914" s="1749" t="s">
        <v>4007</v>
      </c>
      <c r="J914" s="715" t="s">
        <v>3627</v>
      </c>
      <c r="K914" s="716">
        <v>3.88E-4</v>
      </c>
      <c r="L914" s="716">
        <v>3.4099999999999999E-4</v>
      </c>
      <c r="M914" s="655"/>
    </row>
    <row r="915" spans="9:13">
      <c r="I915" s="1749" t="s">
        <v>5613</v>
      </c>
      <c r="J915" s="715" t="s">
        <v>3627</v>
      </c>
      <c r="K915" s="716">
        <v>3.88E-4</v>
      </c>
      <c r="L915" s="716">
        <v>3.4499999999999998E-4</v>
      </c>
      <c r="M915" s="655"/>
    </row>
    <row r="916" spans="9:13">
      <c r="I916" s="1749" t="s">
        <v>3631</v>
      </c>
      <c r="J916" s="715" t="s">
        <v>4008</v>
      </c>
      <c r="K916" s="716">
        <v>5.7700000000000004E-4</v>
      </c>
      <c r="L916" s="716">
        <v>5.2099999999999998E-4</v>
      </c>
      <c r="M916" s="655"/>
    </row>
    <row r="917" spans="9:13">
      <c r="I917" s="1749" t="s">
        <v>4009</v>
      </c>
      <c r="J917" s="715" t="s">
        <v>4010</v>
      </c>
      <c r="K917" s="716">
        <v>2.3E-5</v>
      </c>
      <c r="L917" s="716">
        <v>3.0400000000000002E-4</v>
      </c>
      <c r="M917" s="655"/>
    </row>
    <row r="918" spans="9:13">
      <c r="I918" s="1749" t="s">
        <v>3632</v>
      </c>
      <c r="J918" s="715" t="s">
        <v>3633</v>
      </c>
      <c r="K918" s="716">
        <v>2.7900000000000001E-4</v>
      </c>
      <c r="L918" s="716">
        <v>5.2499999999999997E-4</v>
      </c>
      <c r="M918" s="655"/>
    </row>
    <row r="919" spans="9:13">
      <c r="I919" s="1749" t="s">
        <v>4011</v>
      </c>
      <c r="J919" s="715" t="s">
        <v>4012</v>
      </c>
      <c r="K919" s="716">
        <v>4.8999999999999998E-4</v>
      </c>
      <c r="L919" s="716">
        <v>4.3399999999999998E-4</v>
      </c>
      <c r="M919" s="655"/>
    </row>
    <row r="920" spans="9:13">
      <c r="I920" s="1749" t="s">
        <v>3634</v>
      </c>
      <c r="J920" s="715" t="s">
        <v>3635</v>
      </c>
      <c r="K920" s="716">
        <v>4.5300000000000001E-4</v>
      </c>
      <c r="L920" s="716">
        <v>4.0099999999999999E-4</v>
      </c>
      <c r="M920" s="655"/>
    </row>
    <row r="921" spans="9:13">
      <c r="I921" s="1749" t="s">
        <v>3636</v>
      </c>
      <c r="J921" s="715" t="s">
        <v>3637</v>
      </c>
      <c r="K921" s="716">
        <v>4.46E-4</v>
      </c>
      <c r="L921" s="716">
        <v>4.9200000000000003E-4</v>
      </c>
      <c r="M921" s="655"/>
    </row>
    <row r="922" spans="9:13">
      <c r="I922" s="1749" t="s">
        <v>4013</v>
      </c>
      <c r="J922" s="715" t="s">
        <v>3638</v>
      </c>
      <c r="K922" s="716">
        <v>4.6000000000000001E-4</v>
      </c>
      <c r="L922" s="716">
        <v>0</v>
      </c>
      <c r="M922" s="655"/>
    </row>
    <row r="923" spans="9:13">
      <c r="I923" s="1749" t="s">
        <v>4014</v>
      </c>
      <c r="J923" s="715" t="s">
        <v>3638</v>
      </c>
      <c r="K923" s="716">
        <v>4.6000000000000001E-4</v>
      </c>
      <c r="L923" s="716">
        <v>5.0699999999999996E-4</v>
      </c>
      <c r="M923" s="655"/>
    </row>
    <row r="924" spans="9:13">
      <c r="I924" s="1749" t="s">
        <v>3639</v>
      </c>
      <c r="J924" s="715" t="s">
        <v>3640</v>
      </c>
      <c r="K924" s="716">
        <v>4.8200000000000001E-4</v>
      </c>
      <c r="L924" s="716">
        <v>4.26E-4</v>
      </c>
      <c r="M924" s="655"/>
    </row>
    <row r="925" spans="9:13">
      <c r="I925" s="1749" t="s">
        <v>3641</v>
      </c>
      <c r="J925" s="715" t="s">
        <v>3642</v>
      </c>
      <c r="K925" s="716">
        <v>4.0499999999999998E-4</v>
      </c>
      <c r="L925" s="716">
        <v>3.2400000000000001E-4</v>
      </c>
      <c r="M925" s="655"/>
    </row>
    <row r="926" spans="9:13">
      <c r="I926" s="1749" t="s">
        <v>3643</v>
      </c>
      <c r="J926" s="715" t="s">
        <v>3642</v>
      </c>
      <c r="K926" s="716">
        <v>4.0499999999999998E-4</v>
      </c>
      <c r="L926" s="716">
        <v>3.7800000000000003E-4</v>
      </c>
      <c r="M926" s="655"/>
    </row>
    <row r="927" spans="9:13">
      <c r="I927" s="1749" t="s">
        <v>4015</v>
      </c>
      <c r="J927" s="715" t="s">
        <v>3642</v>
      </c>
      <c r="K927" s="716">
        <v>4.0499999999999998E-4</v>
      </c>
      <c r="L927" s="716">
        <v>3.8699999999999997E-4</v>
      </c>
      <c r="M927" s="655"/>
    </row>
    <row r="928" spans="9:13">
      <c r="I928" s="1749" t="s">
        <v>4016</v>
      </c>
      <c r="J928" s="715" t="s">
        <v>3642</v>
      </c>
      <c r="K928" s="716">
        <v>4.0499999999999998E-4</v>
      </c>
      <c r="L928" s="716">
        <v>3.1300000000000002E-4</v>
      </c>
      <c r="M928" s="655"/>
    </row>
    <row r="929" spans="9:13">
      <c r="I929" s="1749" t="s">
        <v>4017</v>
      </c>
      <c r="J929" s="715" t="s">
        <v>3642</v>
      </c>
      <c r="K929" s="716">
        <v>4.0499999999999998E-4</v>
      </c>
      <c r="L929" s="716">
        <v>3.21E-4</v>
      </c>
      <c r="M929" s="655"/>
    </row>
    <row r="930" spans="9:13">
      <c r="I930" s="1749" t="s">
        <v>4018</v>
      </c>
      <c r="J930" s="715" t="s">
        <v>3642</v>
      </c>
      <c r="K930" s="716">
        <v>4.0499999999999998E-4</v>
      </c>
      <c r="L930" s="716">
        <v>0</v>
      </c>
      <c r="M930" s="655"/>
    </row>
    <row r="931" spans="9:13">
      <c r="I931" s="1749" t="s">
        <v>3644</v>
      </c>
      <c r="J931" s="715" t="s">
        <v>3645</v>
      </c>
      <c r="K931" s="716">
        <v>4.6099999999999998E-4</v>
      </c>
      <c r="L931" s="716">
        <v>4.0499999999999998E-4</v>
      </c>
      <c r="M931" s="655"/>
    </row>
    <row r="932" spans="9:13">
      <c r="I932" s="1749" t="s">
        <v>3646</v>
      </c>
      <c r="J932" s="715" t="s">
        <v>5614</v>
      </c>
      <c r="K932" s="716">
        <v>3.88E-4</v>
      </c>
      <c r="L932" s="716">
        <v>3.9100000000000002E-4</v>
      </c>
      <c r="M932" s="655"/>
    </row>
    <row r="933" spans="9:13">
      <c r="I933" s="1749" t="s">
        <v>3647</v>
      </c>
      <c r="J933" s="715" t="s">
        <v>3648</v>
      </c>
      <c r="K933" s="716">
        <v>4.44E-4</v>
      </c>
      <c r="L933" s="716">
        <v>3.88E-4</v>
      </c>
      <c r="M933" s="655"/>
    </row>
    <row r="934" spans="9:13">
      <c r="I934" s="1749" t="s">
        <v>3649</v>
      </c>
      <c r="J934" s="715" t="s">
        <v>3650</v>
      </c>
      <c r="K934" s="716">
        <v>4.4099999999999999E-4</v>
      </c>
      <c r="L934" s="716">
        <v>0</v>
      </c>
      <c r="M934" s="655"/>
    </row>
    <row r="935" spans="9:13">
      <c r="I935" s="1749" t="s">
        <v>3651</v>
      </c>
      <c r="J935" s="715" t="s">
        <v>3650</v>
      </c>
      <c r="K935" s="716">
        <v>4.4099999999999999E-4</v>
      </c>
      <c r="L935" s="716">
        <v>2.3900000000000001E-4</v>
      </c>
      <c r="M935" s="655"/>
    </row>
    <row r="936" spans="9:13">
      <c r="I936" s="1749" t="s">
        <v>3652</v>
      </c>
      <c r="J936" s="715" t="s">
        <v>3650</v>
      </c>
      <c r="K936" s="716">
        <v>4.4099999999999999E-4</v>
      </c>
      <c r="L936" s="716">
        <v>2.9599999999999998E-4</v>
      </c>
      <c r="M936" s="655"/>
    </row>
    <row r="937" spans="9:13">
      <c r="I937" s="1749" t="s">
        <v>3653</v>
      </c>
      <c r="J937" s="715" t="s">
        <v>3650</v>
      </c>
      <c r="K937" s="716">
        <v>4.4099999999999999E-4</v>
      </c>
      <c r="L937" s="716">
        <v>3.3100000000000002E-4</v>
      </c>
      <c r="M937" s="655"/>
    </row>
    <row r="938" spans="9:13">
      <c r="I938" s="1749" t="s">
        <v>3654</v>
      </c>
      <c r="J938" s="715" t="s">
        <v>3650</v>
      </c>
      <c r="K938" s="716">
        <v>4.4099999999999999E-4</v>
      </c>
      <c r="L938" s="716">
        <v>3.3500000000000001E-4</v>
      </c>
      <c r="M938" s="655"/>
    </row>
    <row r="939" spans="9:13">
      <c r="I939" s="1749" t="s">
        <v>3655</v>
      </c>
      <c r="J939" s="715" t="s">
        <v>3656</v>
      </c>
      <c r="K939" s="716">
        <v>2.0000000000000001E-4</v>
      </c>
      <c r="L939" s="716">
        <v>3.1E-4</v>
      </c>
      <c r="M939" s="655"/>
    </row>
    <row r="940" spans="9:13">
      <c r="I940" s="1749" t="s">
        <v>3657</v>
      </c>
      <c r="J940" s="715" t="s">
        <v>3658</v>
      </c>
      <c r="K940" s="716">
        <v>4.4299999999999998E-4</v>
      </c>
      <c r="L940" s="716">
        <v>4.7800000000000002E-4</v>
      </c>
      <c r="M940" s="655"/>
    </row>
    <row r="941" spans="9:13">
      <c r="I941" s="1749" t="s">
        <v>4019</v>
      </c>
      <c r="J941" s="715" t="s">
        <v>4020</v>
      </c>
      <c r="K941" s="716">
        <v>4.4099999999999999E-4</v>
      </c>
      <c r="L941" s="716">
        <v>2.0100000000000001E-4</v>
      </c>
      <c r="M941" s="655"/>
    </row>
    <row r="942" spans="9:13">
      <c r="I942" s="1749" t="s">
        <v>3659</v>
      </c>
      <c r="J942" s="715" t="s">
        <v>4021</v>
      </c>
      <c r="K942" s="716">
        <v>6.1499999999999999E-4</v>
      </c>
      <c r="L942" s="716">
        <v>5.8900000000000001E-4</v>
      </c>
      <c r="M942" s="655"/>
    </row>
    <row r="943" spans="9:13">
      <c r="I943" s="1749" t="s">
        <v>3660</v>
      </c>
      <c r="J943" s="715" t="s">
        <v>3661</v>
      </c>
      <c r="K943" s="716">
        <v>4.4099999999999999E-4</v>
      </c>
      <c r="L943" s="716">
        <v>4.4099999999999999E-4</v>
      </c>
      <c r="M943" s="655"/>
    </row>
    <row r="944" spans="9:13">
      <c r="I944" s="1749" t="s">
        <v>3662</v>
      </c>
      <c r="J944" s="715" t="s">
        <v>4022</v>
      </c>
      <c r="K944" s="716">
        <v>7.7099999999999998E-4</v>
      </c>
      <c r="L944" s="716">
        <v>7.1599999999999995E-4</v>
      </c>
      <c r="M944" s="655"/>
    </row>
    <row r="945" spans="9:13">
      <c r="I945" s="1749" t="s">
        <v>3664</v>
      </c>
      <c r="J945" s="715" t="s">
        <v>3663</v>
      </c>
      <c r="K945" s="716">
        <v>4.6200000000000001E-4</v>
      </c>
      <c r="L945" s="716">
        <v>3.7800000000000003E-4</v>
      </c>
      <c r="M945" s="655"/>
    </row>
    <row r="946" spans="9:13">
      <c r="I946" s="1749" t="s">
        <v>4023</v>
      </c>
      <c r="J946" s="715" t="s">
        <v>3663</v>
      </c>
      <c r="K946" s="716">
        <v>4.6200000000000001E-4</v>
      </c>
      <c r="L946" s="716">
        <v>4.15E-4</v>
      </c>
      <c r="M946" s="655"/>
    </row>
    <row r="947" spans="9:13">
      <c r="I947" s="1749" t="s">
        <v>3665</v>
      </c>
      <c r="J947" s="715" t="s">
        <v>4024</v>
      </c>
      <c r="K947" s="716">
        <v>4.7600000000000002E-4</v>
      </c>
      <c r="L947" s="716">
        <v>5.3600000000000002E-4</v>
      </c>
      <c r="M947" s="655"/>
    </row>
    <row r="948" spans="9:13">
      <c r="I948" s="1749" t="s">
        <v>3666</v>
      </c>
      <c r="J948" s="715" t="s">
        <v>3667</v>
      </c>
      <c r="K948" s="716">
        <v>5.2899999999999996E-4</v>
      </c>
      <c r="L948" s="716">
        <v>0</v>
      </c>
      <c r="M948" s="655"/>
    </row>
    <row r="949" spans="9:13">
      <c r="I949" s="1749" t="s">
        <v>3668</v>
      </c>
      <c r="J949" s="715" t="s">
        <v>3669</v>
      </c>
      <c r="K949" s="716">
        <v>3.6999999999999999E-4</v>
      </c>
      <c r="L949" s="716">
        <v>4.0999999999999999E-4</v>
      </c>
      <c r="M949" s="655"/>
    </row>
    <row r="950" spans="9:13">
      <c r="I950" s="1749" t="s">
        <v>3670</v>
      </c>
      <c r="J950" s="715" t="s">
        <v>3671</v>
      </c>
      <c r="K950" s="716">
        <v>6.2299999999999996E-4</v>
      </c>
      <c r="L950" s="716">
        <v>5.6700000000000001E-4</v>
      </c>
      <c r="M950" s="655"/>
    </row>
    <row r="951" spans="9:13">
      <c r="I951" s="1749" t="s">
        <v>3672</v>
      </c>
      <c r="J951" s="715" t="s">
        <v>3673</v>
      </c>
      <c r="K951" s="716">
        <v>4.64E-4</v>
      </c>
      <c r="L951" s="716">
        <v>5.2400000000000005E-4</v>
      </c>
      <c r="M951" s="655"/>
    </row>
    <row r="952" spans="9:13">
      <c r="I952" s="1749" t="s">
        <v>4025</v>
      </c>
      <c r="J952" s="715" t="s">
        <v>4026</v>
      </c>
      <c r="K952" s="716">
        <v>5.4699999999999996E-4</v>
      </c>
      <c r="L952" s="716">
        <v>4.9200000000000003E-4</v>
      </c>
      <c r="M952" s="655"/>
    </row>
    <row r="953" spans="9:13">
      <c r="I953" s="1749" t="s">
        <v>4027</v>
      </c>
      <c r="J953" s="715" t="s">
        <v>4028</v>
      </c>
      <c r="K953" s="716">
        <v>4.1199999999999999E-4</v>
      </c>
      <c r="L953" s="716">
        <v>3.5599999999999998E-4</v>
      </c>
      <c r="M953" s="655"/>
    </row>
    <row r="954" spans="9:13">
      <c r="I954" s="1749" t="s">
        <v>3674</v>
      </c>
      <c r="J954" s="715" t="s">
        <v>3675</v>
      </c>
      <c r="K954" s="716">
        <v>4.5100000000000001E-4</v>
      </c>
      <c r="L954" s="716">
        <v>0</v>
      </c>
      <c r="M954" s="655"/>
    </row>
    <row r="955" spans="9:13">
      <c r="I955" s="1749" t="s">
        <v>3676</v>
      </c>
      <c r="J955" s="715" t="s">
        <v>3677</v>
      </c>
      <c r="K955" s="716">
        <v>4.7399999999999997E-4</v>
      </c>
      <c r="L955" s="716">
        <v>4.75E-4</v>
      </c>
      <c r="M955" s="655"/>
    </row>
    <row r="956" spans="9:13">
      <c r="I956" s="1749" t="s">
        <v>3678</v>
      </c>
      <c r="J956" s="715" t="s">
        <v>3679</v>
      </c>
      <c r="K956" s="716">
        <v>4.4499999999999997E-4</v>
      </c>
      <c r="L956" s="716">
        <v>3.8999999999999999E-4</v>
      </c>
      <c r="M956" s="655"/>
    </row>
    <row r="957" spans="9:13">
      <c r="I957" s="1749" t="s">
        <v>4029</v>
      </c>
      <c r="J957" s="715" t="s">
        <v>4030</v>
      </c>
      <c r="K957" s="716">
        <v>4.4499999999999997E-4</v>
      </c>
      <c r="L957" s="716">
        <v>0</v>
      </c>
      <c r="M957" s="655"/>
    </row>
    <row r="958" spans="9:13">
      <c r="I958" s="1749" t="s">
        <v>3680</v>
      </c>
      <c r="J958" s="715" t="s">
        <v>3681</v>
      </c>
      <c r="K958" s="716">
        <v>4.9200000000000003E-4</v>
      </c>
      <c r="L958" s="716">
        <v>5.8799999999999998E-4</v>
      </c>
      <c r="M958" s="655"/>
    </row>
    <row r="959" spans="9:13">
      <c r="I959" s="1749" t="s">
        <v>4031</v>
      </c>
      <c r="J959" s="715" t="s">
        <v>4032</v>
      </c>
      <c r="K959" s="716">
        <v>4.3600000000000003E-4</v>
      </c>
      <c r="L959" s="716">
        <v>3.8000000000000002E-4</v>
      </c>
      <c r="M959" s="655"/>
    </row>
    <row r="960" spans="9:13">
      <c r="I960" s="1749" t="s">
        <v>3682</v>
      </c>
      <c r="J960" s="715" t="s">
        <v>3683</v>
      </c>
      <c r="K960" s="716">
        <v>1.3100000000000001E-4</v>
      </c>
      <c r="L960" s="716">
        <v>0</v>
      </c>
      <c r="M960" s="655"/>
    </row>
    <row r="961" spans="9:13">
      <c r="I961" s="1749" t="s">
        <v>5615</v>
      </c>
      <c r="J961" s="715" t="s">
        <v>5616</v>
      </c>
      <c r="K961" s="716">
        <v>3.1700000000000001E-4</v>
      </c>
      <c r="L961" s="716">
        <v>3.2000000000000003E-4</v>
      </c>
      <c r="M961" s="655"/>
    </row>
    <row r="962" spans="9:13">
      <c r="I962" s="1749" t="s">
        <v>4033</v>
      </c>
      <c r="J962" s="715" t="s">
        <v>4034</v>
      </c>
      <c r="K962" s="716">
        <v>4.0299999999999998E-4</v>
      </c>
      <c r="L962" s="716">
        <v>3.4699999999999998E-4</v>
      </c>
      <c r="M962" s="655"/>
    </row>
    <row r="963" spans="9:13">
      <c r="I963" s="1749" t="s">
        <v>5617</v>
      </c>
      <c r="J963" s="715" t="s">
        <v>5618</v>
      </c>
      <c r="K963" s="716">
        <v>4.3399999999999998E-4</v>
      </c>
      <c r="L963" s="716">
        <v>0</v>
      </c>
      <c r="M963" s="655"/>
    </row>
    <row r="964" spans="9:13">
      <c r="I964" s="1749" t="s">
        <v>5619</v>
      </c>
      <c r="J964" s="715" t="s">
        <v>5618</v>
      </c>
      <c r="K964" s="716">
        <v>4.3399999999999998E-4</v>
      </c>
      <c r="L964" s="716">
        <v>2.6400000000000002E-4</v>
      </c>
      <c r="M964" s="655"/>
    </row>
    <row r="965" spans="9:13">
      <c r="I965" s="1749" t="s">
        <v>5620</v>
      </c>
      <c r="J965" s="715" t="s">
        <v>5618</v>
      </c>
      <c r="K965" s="716">
        <v>4.3399999999999998E-4</v>
      </c>
      <c r="L965" s="716">
        <v>4.1399999999999998E-4</v>
      </c>
      <c r="M965" s="655"/>
    </row>
    <row r="966" spans="9:13">
      <c r="I966" s="1749" t="s">
        <v>4035</v>
      </c>
      <c r="J966" s="715" t="s">
        <v>4036</v>
      </c>
      <c r="K966" s="716">
        <v>5.0299999999999997E-4</v>
      </c>
      <c r="L966" s="716">
        <v>5.4000000000000001E-4</v>
      </c>
      <c r="M966" s="655"/>
    </row>
    <row r="967" spans="9:13">
      <c r="I967" s="1749" t="s">
        <v>3684</v>
      </c>
      <c r="J967" s="715" t="s">
        <v>3685</v>
      </c>
      <c r="K967" s="716">
        <v>4.6799999999999999E-4</v>
      </c>
      <c r="L967" s="716">
        <v>4.64E-4</v>
      </c>
      <c r="M967" s="655"/>
    </row>
    <row r="968" spans="9:13">
      <c r="I968" s="1749" t="s">
        <v>3686</v>
      </c>
      <c r="J968" s="715" t="s">
        <v>3687</v>
      </c>
      <c r="K968" s="716">
        <v>4.4099999999999999E-4</v>
      </c>
      <c r="L968" s="716">
        <v>3.8499999999999998E-4</v>
      </c>
      <c r="M968" s="655"/>
    </row>
    <row r="969" spans="9:13">
      <c r="I969" s="1749" t="s">
        <v>3688</v>
      </c>
      <c r="J969" s="715" t="s">
        <v>5621</v>
      </c>
      <c r="K969" s="716">
        <v>3.9100000000000002E-4</v>
      </c>
      <c r="L969" s="716">
        <v>4.15E-4</v>
      </c>
      <c r="M969" s="655"/>
    </row>
    <row r="970" spans="9:13">
      <c r="I970" s="1749" t="s">
        <v>4037</v>
      </c>
      <c r="J970" s="715" t="s">
        <v>4038</v>
      </c>
      <c r="K970" s="716">
        <v>3.8999999999999999E-4</v>
      </c>
      <c r="L970" s="716">
        <v>4.0999999999999999E-4</v>
      </c>
      <c r="M970" s="655"/>
    </row>
    <row r="971" spans="9:13">
      <c r="I971" s="1749" t="s">
        <v>3689</v>
      </c>
      <c r="J971" s="715" t="s">
        <v>4039</v>
      </c>
      <c r="K971" s="716">
        <v>5.3899999999999998E-4</v>
      </c>
      <c r="L971" s="716">
        <v>4.8299999999999998E-4</v>
      </c>
      <c r="M971" s="655"/>
    </row>
    <row r="972" spans="9:13">
      <c r="I972" s="1749" t="s">
        <v>4040</v>
      </c>
      <c r="J972" s="715" t="s">
        <v>4041</v>
      </c>
      <c r="K972" s="716">
        <v>4.8500000000000003E-4</v>
      </c>
      <c r="L972" s="716">
        <v>0</v>
      </c>
      <c r="M972" s="655"/>
    </row>
    <row r="973" spans="9:13">
      <c r="I973" s="1749" t="s">
        <v>5622</v>
      </c>
      <c r="J973" s="715" t="s">
        <v>4041</v>
      </c>
      <c r="K973" s="716">
        <v>4.8500000000000003E-4</v>
      </c>
      <c r="L973" s="716">
        <v>4.2900000000000002E-4</v>
      </c>
      <c r="M973" s="655"/>
    </row>
    <row r="974" spans="9:13">
      <c r="I974" s="1749" t="s">
        <v>4042</v>
      </c>
      <c r="J974" s="715" t="s">
        <v>4043</v>
      </c>
      <c r="K974" s="716">
        <v>3.7199999999999999E-4</v>
      </c>
      <c r="L974" s="716">
        <v>3.6000000000000001E-5</v>
      </c>
      <c r="M974" s="655"/>
    </row>
    <row r="975" spans="9:13">
      <c r="I975" s="1749" t="s">
        <v>4044</v>
      </c>
      <c r="J975" s="715" t="s">
        <v>4045</v>
      </c>
      <c r="K975" s="716">
        <v>4.64E-4</v>
      </c>
      <c r="L975" s="716">
        <v>5.13E-4</v>
      </c>
      <c r="M975" s="655"/>
    </row>
    <row r="976" spans="9:13">
      <c r="I976" s="1749" t="s">
        <v>3690</v>
      </c>
      <c r="J976" s="715" t="s">
        <v>3691</v>
      </c>
      <c r="K976" s="716">
        <v>1.55E-4</v>
      </c>
      <c r="L976" s="716">
        <v>3.1100000000000002E-4</v>
      </c>
      <c r="M976" s="655"/>
    </row>
    <row r="977" spans="9:13">
      <c r="I977" s="1749" t="s">
        <v>4046</v>
      </c>
      <c r="J977" s="715" t="s">
        <v>4047</v>
      </c>
      <c r="K977" s="716">
        <v>8.0199999999999998E-4</v>
      </c>
      <c r="L977" s="716">
        <v>7.4600000000000003E-4</v>
      </c>
      <c r="M977" s="655"/>
    </row>
    <row r="978" spans="9:13">
      <c r="I978" s="1749" t="s">
        <v>4048</v>
      </c>
      <c r="J978" s="715" t="s">
        <v>4049</v>
      </c>
      <c r="K978" s="716">
        <v>4.8500000000000003E-4</v>
      </c>
      <c r="L978" s="716">
        <v>4.2999999999999999E-4</v>
      </c>
      <c r="M978" s="655"/>
    </row>
    <row r="979" spans="9:13">
      <c r="I979" s="1749" t="s">
        <v>4050</v>
      </c>
      <c r="J979" s="715" t="s">
        <v>4051</v>
      </c>
      <c r="K979" s="716">
        <v>3.2000000000000003E-4</v>
      </c>
      <c r="L979" s="716">
        <v>4.9399999999999997E-4</v>
      </c>
      <c r="M979" s="655"/>
    </row>
    <row r="980" spans="9:13">
      <c r="I980" s="1749" t="s">
        <v>5623</v>
      </c>
      <c r="J980" s="715" t="s">
        <v>5624</v>
      </c>
      <c r="K980" s="716">
        <v>5.1900000000000004E-4</v>
      </c>
      <c r="L980" s="716">
        <v>5.44E-4</v>
      </c>
      <c r="M980" s="655"/>
    </row>
    <row r="981" spans="9:13">
      <c r="I981" s="1749" t="s">
        <v>4052</v>
      </c>
      <c r="J981" s="715" t="s">
        <v>4053</v>
      </c>
      <c r="K981" s="716">
        <v>4.4200000000000001E-4</v>
      </c>
      <c r="L981" s="716">
        <v>4.9399999999999997E-4</v>
      </c>
      <c r="M981" s="655"/>
    </row>
    <row r="982" spans="9:13">
      <c r="I982" s="1749" t="s">
        <v>4054</v>
      </c>
      <c r="J982" s="715" t="s">
        <v>4055</v>
      </c>
      <c r="K982" s="716">
        <v>3.2299999999999999E-4</v>
      </c>
      <c r="L982" s="716">
        <v>4.7699999999999999E-4</v>
      </c>
      <c r="M982" s="655"/>
    </row>
    <row r="983" spans="9:13">
      <c r="I983" s="1749" t="s">
        <v>4056</v>
      </c>
      <c r="J983" s="715" t="s">
        <v>4057</v>
      </c>
      <c r="K983" s="716">
        <v>5.0000000000000001E-4</v>
      </c>
      <c r="L983" s="716">
        <v>4.44E-4</v>
      </c>
      <c r="M983" s="655"/>
    </row>
    <row r="984" spans="9:13">
      <c r="I984" s="1749" t="s">
        <v>4058</v>
      </c>
      <c r="J984" s="715" t="s">
        <v>4059</v>
      </c>
      <c r="K984" s="716">
        <v>4.35E-4</v>
      </c>
      <c r="L984" s="716">
        <v>3.8000000000000002E-4</v>
      </c>
      <c r="M984" s="655"/>
    </row>
    <row r="985" spans="9:13">
      <c r="I985" s="1749" t="s">
        <v>4060</v>
      </c>
      <c r="J985" s="715" t="s">
        <v>4061</v>
      </c>
      <c r="K985" s="716">
        <v>4.2700000000000002E-4</v>
      </c>
      <c r="L985" s="716">
        <v>4.6700000000000002E-4</v>
      </c>
      <c r="M985" s="655"/>
    </row>
    <row r="986" spans="9:13">
      <c r="I986" s="1749" t="s">
        <v>4062</v>
      </c>
      <c r="J986" s="715" t="s">
        <v>4063</v>
      </c>
      <c r="K986" s="716">
        <v>5.1000000000000004E-4</v>
      </c>
      <c r="L986" s="716">
        <v>5.9800000000000001E-4</v>
      </c>
      <c r="M986" s="655"/>
    </row>
    <row r="987" spans="9:13">
      <c r="I987" s="1749" t="s">
        <v>5625</v>
      </c>
      <c r="J987" s="715" t="s">
        <v>4064</v>
      </c>
      <c r="K987" s="716">
        <v>3.6999999999999999E-4</v>
      </c>
      <c r="L987" s="716">
        <v>5.4600000000000004E-4</v>
      </c>
      <c r="M987" s="655"/>
    </row>
    <row r="988" spans="9:13">
      <c r="I988" s="1749" t="s">
        <v>4065</v>
      </c>
      <c r="J988" s="715" t="s">
        <v>4066</v>
      </c>
      <c r="K988" s="716">
        <v>7.2400000000000003E-4</v>
      </c>
      <c r="L988" s="716">
        <v>6.69E-4</v>
      </c>
      <c r="M988" s="655"/>
    </row>
    <row r="989" spans="9:13">
      <c r="I989" s="1749" t="s">
        <v>4067</v>
      </c>
      <c r="J989" s="715" t="s">
        <v>4068</v>
      </c>
      <c r="K989" s="716">
        <v>4.5199999999999998E-4</v>
      </c>
      <c r="L989" s="716">
        <v>4.3899999999999999E-4</v>
      </c>
      <c r="M989" s="655"/>
    </row>
    <row r="990" spans="9:13">
      <c r="I990" s="1749" t="s">
        <v>5626</v>
      </c>
      <c r="J990" s="715" t="s">
        <v>5627</v>
      </c>
      <c r="K990" s="716">
        <v>3.4200000000000002E-4</v>
      </c>
      <c r="L990" s="716">
        <v>2.8600000000000001E-4</v>
      </c>
      <c r="M990" s="655"/>
    </row>
    <row r="991" spans="9:13">
      <c r="I991" s="1749" t="s">
        <v>4069</v>
      </c>
      <c r="J991" s="715" t="s">
        <v>4070</v>
      </c>
      <c r="K991" s="716">
        <v>4.9200000000000003E-4</v>
      </c>
      <c r="L991" s="716">
        <v>4.66E-4</v>
      </c>
      <c r="M991" s="655"/>
    </row>
    <row r="992" spans="9:13">
      <c r="I992" s="1749" t="s">
        <v>4071</v>
      </c>
      <c r="J992" s="715" t="s">
        <v>4072</v>
      </c>
      <c r="K992" s="716">
        <v>5.71E-4</v>
      </c>
      <c r="L992" s="716">
        <v>5.1500000000000005E-4</v>
      </c>
      <c r="M992" s="655"/>
    </row>
    <row r="993" spans="9:13">
      <c r="I993" s="1749" t="s">
        <v>4073</v>
      </c>
      <c r="J993" s="715" t="s">
        <v>4074</v>
      </c>
      <c r="K993" s="716">
        <v>4.2999999999999999E-4</v>
      </c>
      <c r="L993" s="716">
        <v>4.84E-4</v>
      </c>
      <c r="M993" s="655"/>
    </row>
    <row r="994" spans="9:13">
      <c r="I994" s="1749" t="s">
        <v>4075</v>
      </c>
      <c r="J994" s="715" t="s">
        <v>4076</v>
      </c>
      <c r="K994" s="716">
        <v>4.0299999999999998E-4</v>
      </c>
      <c r="L994" s="716">
        <v>3.48E-4</v>
      </c>
      <c r="M994" s="655"/>
    </row>
    <row r="995" spans="9:13">
      <c r="I995" s="1749" t="s">
        <v>4077</v>
      </c>
      <c r="J995" s="715" t="s">
        <v>4078</v>
      </c>
      <c r="K995" s="716">
        <v>4.84E-4</v>
      </c>
      <c r="L995" s="716">
        <v>4.28E-4</v>
      </c>
      <c r="M995" s="655"/>
    </row>
    <row r="996" spans="9:13">
      <c r="I996" s="1749" t="s">
        <v>4079</v>
      </c>
      <c r="J996" s="715" t="s">
        <v>4080</v>
      </c>
      <c r="K996" s="716">
        <v>4.4900000000000002E-4</v>
      </c>
      <c r="L996" s="716">
        <v>3.9300000000000001E-4</v>
      </c>
      <c r="M996" s="655"/>
    </row>
    <row r="997" spans="9:13">
      <c r="I997" s="1749" t="s">
        <v>4081</v>
      </c>
      <c r="J997" s="715" t="s">
        <v>4082</v>
      </c>
      <c r="K997" s="716">
        <v>5.3499999999999999E-4</v>
      </c>
      <c r="L997" s="716">
        <v>4.7899999999999999E-4</v>
      </c>
      <c r="M997" s="655"/>
    </row>
    <row r="998" spans="9:13">
      <c r="I998" s="1749" t="s">
        <v>5628</v>
      </c>
      <c r="J998" s="715" t="s">
        <v>5629</v>
      </c>
      <c r="K998" s="716">
        <v>4.4499999999999997E-4</v>
      </c>
      <c r="L998" s="716">
        <v>5.0100000000000003E-4</v>
      </c>
      <c r="M998" s="655"/>
    </row>
    <row r="999" spans="9:13">
      <c r="I999" s="1749" t="s">
        <v>4083</v>
      </c>
      <c r="J999" s="715" t="s">
        <v>4084</v>
      </c>
      <c r="K999" s="716">
        <v>4.6900000000000002E-4</v>
      </c>
      <c r="L999" s="716">
        <v>0</v>
      </c>
      <c r="M999" s="655"/>
    </row>
    <row r="1000" spans="9:13">
      <c r="I1000" s="1749" t="s">
        <v>4085</v>
      </c>
      <c r="J1000" s="715" t="s">
        <v>4084</v>
      </c>
      <c r="K1000" s="716">
        <v>4.6900000000000002E-4</v>
      </c>
      <c r="L1000" s="716">
        <v>2.0599999999999999E-4</v>
      </c>
      <c r="M1000" s="655"/>
    </row>
    <row r="1001" spans="9:13">
      <c r="I1001" s="1749" t="s">
        <v>4086</v>
      </c>
      <c r="J1001" s="715" t="s">
        <v>4087</v>
      </c>
      <c r="K1001" s="716">
        <v>5.5699999999999999E-4</v>
      </c>
      <c r="L1001" s="716">
        <v>5.0100000000000003E-4</v>
      </c>
      <c r="M1001" s="655"/>
    </row>
    <row r="1002" spans="9:13">
      <c r="I1002" s="1749" t="s">
        <v>4088</v>
      </c>
      <c r="J1002" s="715" t="s">
        <v>4089</v>
      </c>
      <c r="K1002" s="716">
        <v>6.5899999999999997E-4</v>
      </c>
      <c r="L1002" s="716">
        <v>6.0400000000000004E-4</v>
      </c>
      <c r="M1002" s="655"/>
    </row>
    <row r="1003" spans="9:13">
      <c r="I1003" s="1749" t="s">
        <v>5630</v>
      </c>
      <c r="J1003" s="715" t="s">
        <v>5631</v>
      </c>
      <c r="K1003" s="716">
        <v>4.9899999999999999E-4</v>
      </c>
      <c r="L1003" s="716">
        <v>0</v>
      </c>
      <c r="M1003" s="655"/>
    </row>
    <row r="1004" spans="9:13">
      <c r="I1004" s="1749" t="s">
        <v>4090</v>
      </c>
      <c r="J1004" s="715" t="s">
        <v>4091</v>
      </c>
      <c r="K1004" s="716">
        <v>5.0699999999999996E-4</v>
      </c>
      <c r="L1004" s="716">
        <v>6.0400000000000004E-4</v>
      </c>
      <c r="M1004" s="655"/>
    </row>
    <row r="1005" spans="9:13">
      <c r="I1005" s="1749" t="s">
        <v>5632</v>
      </c>
      <c r="J1005" s="715" t="s">
        <v>4092</v>
      </c>
      <c r="K1005" s="716">
        <v>1.1900000000000001E-4</v>
      </c>
      <c r="L1005" s="716">
        <v>2.8600000000000001E-4</v>
      </c>
      <c r="M1005" s="655"/>
    </row>
    <row r="1006" spans="9:13">
      <c r="I1006" s="1749" t="s">
        <v>5633</v>
      </c>
      <c r="J1006" s="715" t="s">
        <v>5634</v>
      </c>
      <c r="K1006" s="716">
        <v>4.73E-4</v>
      </c>
      <c r="L1006" s="716">
        <v>0</v>
      </c>
      <c r="M1006" s="655"/>
    </row>
    <row r="1007" spans="9:13">
      <c r="I1007" s="1749" t="s">
        <v>5635</v>
      </c>
      <c r="J1007" s="715" t="s">
        <v>5634</v>
      </c>
      <c r="K1007" s="716">
        <v>4.73E-4</v>
      </c>
      <c r="L1007" s="716">
        <v>4.4000000000000002E-4</v>
      </c>
      <c r="M1007" s="655"/>
    </row>
    <row r="1008" spans="9:13">
      <c r="I1008" s="1749" t="s">
        <v>4093</v>
      </c>
      <c r="J1008" s="715" t="s">
        <v>4094</v>
      </c>
      <c r="K1008" s="716">
        <v>3.3700000000000001E-4</v>
      </c>
      <c r="L1008" s="716">
        <v>3.4099999999999999E-4</v>
      </c>
      <c r="M1008" s="655"/>
    </row>
    <row r="1009" spans="9:13">
      <c r="I1009" s="1749" t="s">
        <v>5636</v>
      </c>
      <c r="J1009" s="715" t="s">
        <v>5637</v>
      </c>
      <c r="K1009" s="716">
        <v>5.3700000000000004E-4</v>
      </c>
      <c r="L1009" s="716">
        <v>4.8099999999999998E-4</v>
      </c>
      <c r="M1009" s="655"/>
    </row>
    <row r="1010" spans="9:13">
      <c r="I1010" s="1749" t="s">
        <v>5638</v>
      </c>
      <c r="J1010" s="715" t="s">
        <v>5639</v>
      </c>
      <c r="K1010" s="716">
        <v>8.1800000000000004E-4</v>
      </c>
      <c r="L1010" s="716">
        <v>7.6300000000000001E-4</v>
      </c>
      <c r="M1010" s="655"/>
    </row>
    <row r="1011" spans="9:13">
      <c r="I1011" s="1749" t="s">
        <v>5640</v>
      </c>
      <c r="J1011" s="715" t="s">
        <v>5641</v>
      </c>
      <c r="K1011" s="716">
        <v>0</v>
      </c>
      <c r="L1011" s="716">
        <v>0</v>
      </c>
      <c r="M1011" s="655"/>
    </row>
    <row r="1012" spans="9:13">
      <c r="I1012" s="1749" t="s">
        <v>5642</v>
      </c>
      <c r="J1012" s="715" t="s">
        <v>5643</v>
      </c>
      <c r="K1012" s="716">
        <v>2.5999999999999998E-5</v>
      </c>
      <c r="L1012" s="716">
        <v>0</v>
      </c>
      <c r="M1012" s="655"/>
    </row>
    <row r="1013" spans="9:13">
      <c r="I1013" s="1749" t="s">
        <v>5644</v>
      </c>
      <c r="J1013" s="715" t="s">
        <v>5643</v>
      </c>
      <c r="K1013" s="716">
        <v>2.5999999999999998E-5</v>
      </c>
      <c r="L1013" s="716">
        <v>0</v>
      </c>
      <c r="M1013" s="655"/>
    </row>
    <row r="1014" spans="9:13">
      <c r="I1014" s="1749" t="s">
        <v>5645</v>
      </c>
      <c r="J1014" s="715" t="s">
        <v>5646</v>
      </c>
      <c r="K1014" s="716">
        <v>3.2000000000000003E-4</v>
      </c>
      <c r="L1014" s="716">
        <v>0</v>
      </c>
      <c r="M1014" s="655"/>
    </row>
    <row r="1015" spans="9:13">
      <c r="I1015" s="1749" t="s">
        <v>5647</v>
      </c>
      <c r="J1015" s="715" t="s">
        <v>5648</v>
      </c>
      <c r="K1015" s="716">
        <v>3.9100000000000002E-4</v>
      </c>
      <c r="L1015" s="716">
        <v>0</v>
      </c>
      <c r="M1015" s="655"/>
    </row>
    <row r="1016" spans="9:13">
      <c r="I1016" s="1749" t="s">
        <v>5649</v>
      </c>
      <c r="J1016" s="715" t="s">
        <v>5648</v>
      </c>
      <c r="K1016" s="716">
        <v>3.9100000000000002E-4</v>
      </c>
      <c r="L1016" s="716">
        <v>4.35E-4</v>
      </c>
      <c r="M1016" s="655"/>
    </row>
    <row r="1017" spans="9:13">
      <c r="I1017" s="1749" t="s">
        <v>5650</v>
      </c>
      <c r="J1017" s="715" t="s">
        <v>5651</v>
      </c>
      <c r="K1017" s="716">
        <v>4.8500000000000003E-4</v>
      </c>
      <c r="L1017" s="716">
        <v>4.2900000000000002E-4</v>
      </c>
      <c r="M1017" s="655"/>
    </row>
    <row r="1018" spans="9:13">
      <c r="I1018" s="1749" t="s">
        <v>5652</v>
      </c>
      <c r="J1018" s="715" t="s">
        <v>5653</v>
      </c>
      <c r="K1018" s="716">
        <v>5.5000000000000003E-4</v>
      </c>
      <c r="L1018" s="716">
        <v>4.95E-4</v>
      </c>
      <c r="M1018" s="655"/>
    </row>
    <row r="1019" spans="9:13">
      <c r="I1019" s="1749" t="s">
        <v>5654</v>
      </c>
      <c r="J1019" s="715" t="s">
        <v>5655</v>
      </c>
      <c r="K1019" s="716">
        <v>1.9599999999999999E-4</v>
      </c>
      <c r="L1019" s="716">
        <v>0</v>
      </c>
      <c r="M1019" s="655"/>
    </row>
    <row r="1020" spans="9:13">
      <c r="I1020" s="1749" t="s">
        <v>5656</v>
      </c>
      <c r="J1020" s="715" t="s">
        <v>5655</v>
      </c>
      <c r="K1020" s="716">
        <v>1.9599999999999999E-4</v>
      </c>
      <c r="L1020" s="716">
        <v>4.7199999999999998E-4</v>
      </c>
      <c r="M1020" s="655"/>
    </row>
    <row r="1021" spans="9:13">
      <c r="I1021" s="1749" t="s">
        <v>5657</v>
      </c>
      <c r="J1021" s="715" t="s">
        <v>5658</v>
      </c>
      <c r="K1021" s="716">
        <v>4.9100000000000001E-4</v>
      </c>
      <c r="L1021" s="716">
        <v>4.35E-4</v>
      </c>
      <c r="M1021" s="655"/>
    </row>
    <row r="1022" spans="9:13">
      <c r="I1022" s="1749" t="s">
        <v>5659</v>
      </c>
      <c r="J1022" s="715" t="s">
        <v>5660</v>
      </c>
      <c r="K1022" s="716">
        <v>5.2300000000000003E-4</v>
      </c>
      <c r="L1022" s="716">
        <v>0</v>
      </c>
      <c r="M1022" s="655"/>
    </row>
    <row r="1023" spans="9:13">
      <c r="I1023" s="1749" t="s">
        <v>3709</v>
      </c>
      <c r="J1023" s="715" t="s">
        <v>3692</v>
      </c>
      <c r="K1023" s="716">
        <v>4.3800000000000002E-4</v>
      </c>
      <c r="L1023" s="716">
        <v>4.3800000000000002E-4</v>
      </c>
      <c r="M1023" s="655"/>
    </row>
    <row r="1024" spans="9:13">
      <c r="I1024" s="1749" t="s">
        <v>4095</v>
      </c>
      <c r="J1024" s="715" t="s">
        <v>3693</v>
      </c>
      <c r="K1024" s="716">
        <v>4.3800000000000002E-4</v>
      </c>
      <c r="L1024" s="716">
        <v>4.3800000000000002E-4</v>
      </c>
      <c r="M1024" s="655"/>
    </row>
    <row r="1025" spans="9:13">
      <c r="I1025" s="1749" t="s">
        <v>5661</v>
      </c>
      <c r="J1025" s="715" t="s">
        <v>3694</v>
      </c>
      <c r="K1025" s="716">
        <v>4.3800000000000002E-4</v>
      </c>
      <c r="L1025" s="716">
        <v>4.3800000000000002E-4</v>
      </c>
      <c r="M1025" s="655"/>
    </row>
    <row r="1026" spans="9:13">
      <c r="I1026" s="1749" t="s">
        <v>3696</v>
      </c>
      <c r="J1026" s="715" t="s">
        <v>3695</v>
      </c>
      <c r="K1026" s="716">
        <v>4.3800000000000002E-4</v>
      </c>
      <c r="L1026" s="716">
        <v>4.3800000000000002E-4</v>
      </c>
      <c r="M1026" s="655"/>
    </row>
    <row r="1027" spans="9:13">
      <c r="I1027" s="1749" t="s">
        <v>3698</v>
      </c>
      <c r="J1027" s="715" t="s">
        <v>3697</v>
      </c>
      <c r="K1027" s="716">
        <v>4.3800000000000002E-4</v>
      </c>
      <c r="L1027" s="716">
        <v>4.3800000000000002E-4</v>
      </c>
      <c r="M1027" s="655"/>
    </row>
    <row r="1028" spans="9:13">
      <c r="I1028" s="1749" t="s">
        <v>3700</v>
      </c>
      <c r="J1028" s="715" t="s">
        <v>3699</v>
      </c>
      <c r="K1028" s="716">
        <v>4.3800000000000002E-4</v>
      </c>
      <c r="L1028" s="716">
        <v>4.3800000000000002E-4</v>
      </c>
      <c r="M1028" s="655"/>
    </row>
    <row r="1029" spans="9:13">
      <c r="I1029" s="1749" t="s">
        <v>3702</v>
      </c>
      <c r="J1029" s="715" t="s">
        <v>3701</v>
      </c>
      <c r="K1029" s="716">
        <v>4.3800000000000002E-4</v>
      </c>
      <c r="L1029" s="716">
        <v>4.3800000000000002E-4</v>
      </c>
      <c r="M1029" s="655"/>
    </row>
    <row r="1030" spans="9:13">
      <c r="I1030" s="1749" t="s">
        <v>3704</v>
      </c>
      <c r="J1030" s="715" t="s">
        <v>3703</v>
      </c>
      <c r="K1030" s="716">
        <v>4.3800000000000002E-4</v>
      </c>
      <c r="L1030" s="716">
        <v>4.3800000000000002E-4</v>
      </c>
      <c r="M1030" s="655"/>
    </row>
    <row r="1031" spans="9:13">
      <c r="I1031" s="1749" t="s">
        <v>3706</v>
      </c>
      <c r="J1031" s="715" t="s">
        <v>3705</v>
      </c>
      <c r="K1031" s="716">
        <v>4.3800000000000002E-4</v>
      </c>
      <c r="L1031" s="716">
        <v>4.3800000000000002E-4</v>
      </c>
      <c r="M1031" s="655"/>
    </row>
    <row r="1032" spans="9:13">
      <c r="I1032" s="1749" t="s">
        <v>3707</v>
      </c>
      <c r="J1032" s="715" t="s">
        <v>3200</v>
      </c>
      <c r="K1032" s="716">
        <v>7.0899999999999999E-4</v>
      </c>
      <c r="L1032" s="716">
        <v>6.7199999999999996E-4</v>
      </c>
      <c r="M1032" s="655"/>
    </row>
    <row r="1033" spans="9:13">
      <c r="I1033" s="1749" t="s">
        <v>3708</v>
      </c>
      <c r="J1033" s="715" t="s">
        <v>3708</v>
      </c>
      <c r="K1033" s="716">
        <v>4.2900000000000002E-4</v>
      </c>
      <c r="L1033" s="716">
        <v>4.2900000000000002E-4</v>
      </c>
      <c r="M1033" s="655"/>
    </row>
    <row r="1034" spans="9:13">
      <c r="I1034" s="1736"/>
      <c r="J1034" s="1737"/>
      <c r="K1034" s="1738"/>
      <c r="L1034" s="1738"/>
      <c r="M1034" s="1739"/>
    </row>
    <row r="1035" spans="9:13">
      <c r="I1035" s="1736"/>
      <c r="J1035" s="1737"/>
      <c r="K1035" s="1738"/>
      <c r="L1035" s="1738"/>
      <c r="M1035" s="1739"/>
    </row>
    <row r="1036" spans="9:13">
      <c r="I1036" s="1736"/>
      <c r="J1036" s="1737"/>
      <c r="K1036" s="1738"/>
      <c r="L1036" s="1738"/>
      <c r="M1036" s="1739"/>
    </row>
    <row r="1037" spans="9:13">
      <c r="I1037" s="1736"/>
      <c r="J1037" s="1737"/>
      <c r="K1037" s="1738"/>
      <c r="L1037" s="1738"/>
      <c r="M1037" s="1739"/>
    </row>
    <row r="1038" spans="9:13">
      <c r="I1038" s="1736"/>
      <c r="J1038" s="1737"/>
      <c r="K1038" s="1738"/>
      <c r="L1038" s="1738"/>
      <c r="M1038" s="1739"/>
    </row>
    <row r="1039" spans="9:13">
      <c r="I1039" s="1736"/>
      <c r="J1039" s="1737"/>
      <c r="K1039" s="1738"/>
      <c r="L1039" s="1738"/>
      <c r="M1039" s="1739"/>
    </row>
    <row r="1040" spans="9:13">
      <c r="I1040" s="1736"/>
      <c r="J1040" s="1737"/>
      <c r="K1040" s="1738"/>
      <c r="L1040" s="1738"/>
      <c r="M1040" s="1739"/>
    </row>
    <row r="1041" spans="9:13">
      <c r="I1041" s="1736"/>
      <c r="J1041" s="1737"/>
      <c r="K1041" s="1738"/>
      <c r="L1041" s="1738"/>
      <c r="M1041" s="1739"/>
    </row>
    <row r="1042" spans="9:13">
      <c r="I1042" s="1736"/>
      <c r="J1042" s="1737"/>
      <c r="K1042" s="1738"/>
      <c r="L1042" s="1738"/>
      <c r="M1042" s="1739"/>
    </row>
    <row r="1043" spans="9:13">
      <c r="I1043" s="1736"/>
      <c r="J1043" s="1737"/>
      <c r="K1043" s="1738"/>
      <c r="L1043" s="1738"/>
      <c r="M1043" s="1739"/>
    </row>
    <row r="1044" spans="9:13">
      <c r="I1044" s="1736"/>
      <c r="J1044" s="1737"/>
      <c r="K1044" s="1738"/>
      <c r="L1044" s="1738"/>
      <c r="M1044" s="1739"/>
    </row>
    <row r="1045" spans="9:13">
      <c r="I1045" s="1736"/>
      <c r="J1045" s="1737"/>
      <c r="K1045" s="1738"/>
      <c r="L1045" s="1738"/>
      <c r="M1045" s="1739"/>
    </row>
    <row r="1046" spans="9:13">
      <c r="I1046" s="1736"/>
      <c r="J1046" s="1737"/>
      <c r="K1046" s="1738"/>
      <c r="L1046" s="1738"/>
      <c r="M1046" s="1739"/>
    </row>
    <row r="1047" spans="9:13">
      <c r="I1047" s="1736"/>
      <c r="J1047" s="1737"/>
      <c r="K1047" s="1738"/>
      <c r="L1047" s="1738"/>
      <c r="M1047" s="1739"/>
    </row>
    <row r="1048" spans="9:13">
      <c r="I1048" s="1736"/>
      <c r="J1048" s="1737"/>
      <c r="K1048" s="1738"/>
      <c r="L1048" s="1738"/>
      <c r="M1048" s="1739"/>
    </row>
    <row r="1049" spans="9:13">
      <c r="I1049" s="1736"/>
      <c r="J1049" s="1737"/>
      <c r="K1049" s="1738"/>
      <c r="L1049" s="1738"/>
      <c r="M1049" s="1739"/>
    </row>
    <row r="1050" spans="9:13">
      <c r="I1050" s="1736"/>
      <c r="J1050" s="1737"/>
      <c r="K1050" s="1738"/>
      <c r="L1050" s="1738"/>
      <c r="M1050" s="1739"/>
    </row>
    <row r="1051" spans="9:13">
      <c r="I1051" s="1736"/>
      <c r="J1051" s="1737"/>
      <c r="K1051" s="1738"/>
      <c r="L1051" s="1738"/>
      <c r="M1051" s="1739"/>
    </row>
    <row r="1052" spans="9:13">
      <c r="I1052" s="1736"/>
      <c r="J1052" s="1737"/>
      <c r="K1052" s="1738"/>
      <c r="L1052" s="1738"/>
      <c r="M1052" s="1739"/>
    </row>
    <row r="1053" spans="9:13">
      <c r="I1053" s="1736"/>
      <c r="J1053" s="1737"/>
      <c r="K1053" s="1738"/>
      <c r="L1053" s="1738"/>
      <c r="M1053" s="1739"/>
    </row>
    <row r="1054" spans="9:13">
      <c r="I1054" s="1736"/>
      <c r="J1054" s="1737"/>
      <c r="K1054" s="1738"/>
      <c r="L1054" s="1738"/>
      <c r="M1054" s="1739"/>
    </row>
    <row r="1055" spans="9:13">
      <c r="I1055" s="1736"/>
      <c r="J1055" s="1737"/>
      <c r="K1055" s="1738"/>
      <c r="L1055" s="1738"/>
      <c r="M1055" s="1739"/>
    </row>
    <row r="1056" spans="9:13">
      <c r="I1056" s="1736"/>
      <c r="J1056" s="1737"/>
      <c r="K1056" s="1738"/>
      <c r="L1056" s="1738"/>
      <c r="M1056" s="1739"/>
    </row>
    <row r="1057" spans="9:13">
      <c r="I1057" s="1736"/>
      <c r="J1057" s="1737"/>
      <c r="K1057" s="1738"/>
      <c r="L1057" s="1738"/>
      <c r="M1057" s="1739"/>
    </row>
    <row r="1058" spans="9:13">
      <c r="I1058" s="1736"/>
      <c r="J1058" s="1737"/>
      <c r="K1058" s="1738"/>
      <c r="L1058" s="1738"/>
      <c r="M1058" s="1739"/>
    </row>
    <row r="1059" spans="9:13">
      <c r="I1059" s="1736"/>
      <c r="J1059" s="1737"/>
      <c r="K1059" s="1738"/>
      <c r="L1059" s="1738"/>
      <c r="M1059" s="1739"/>
    </row>
    <row r="1060" spans="9:13">
      <c r="I1060" s="1736"/>
      <c r="J1060" s="1737"/>
      <c r="K1060" s="1738"/>
      <c r="L1060" s="1738"/>
      <c r="M1060" s="1739"/>
    </row>
    <row r="1061" spans="9:13">
      <c r="I1061" s="1736"/>
      <c r="J1061" s="1737"/>
      <c r="K1061" s="1738"/>
      <c r="L1061" s="1738"/>
      <c r="M1061" s="1739"/>
    </row>
    <row r="1062" spans="9:13">
      <c r="I1062" s="1736"/>
      <c r="J1062" s="1737"/>
      <c r="K1062" s="1738"/>
      <c r="L1062" s="1738"/>
      <c r="M1062" s="1739"/>
    </row>
    <row r="1063" spans="9:13">
      <c r="I1063" s="1736"/>
      <c r="J1063" s="1737"/>
      <c r="K1063" s="1738"/>
      <c r="L1063" s="1738"/>
      <c r="M1063" s="1739"/>
    </row>
    <row r="1064" spans="9:13">
      <c r="I1064" s="1736"/>
      <c r="J1064" s="1737"/>
      <c r="K1064" s="1738"/>
      <c r="L1064" s="1738"/>
      <c r="M1064" s="1739"/>
    </row>
    <row r="1065" spans="9:13">
      <c r="I1065" s="1736"/>
      <c r="J1065" s="1737"/>
      <c r="K1065" s="1738"/>
      <c r="L1065" s="1738"/>
      <c r="M1065" s="1739"/>
    </row>
    <row r="1066" spans="9:13">
      <c r="I1066" s="1736"/>
      <c r="J1066" s="1737"/>
      <c r="K1066" s="1738"/>
      <c r="L1066" s="1738"/>
      <c r="M1066" s="1739"/>
    </row>
    <row r="1067" spans="9:13">
      <c r="I1067" s="1736"/>
      <c r="J1067" s="1737"/>
      <c r="K1067" s="1738"/>
      <c r="L1067" s="1738"/>
      <c r="M1067" s="1739"/>
    </row>
    <row r="1068" spans="9:13">
      <c r="I1068" s="1736"/>
      <c r="J1068" s="1737"/>
      <c r="K1068" s="1738"/>
      <c r="L1068" s="1738"/>
      <c r="M1068" s="1739"/>
    </row>
    <row r="1069" spans="9:13">
      <c r="I1069" s="1736"/>
      <c r="J1069" s="1737"/>
      <c r="K1069" s="1738"/>
      <c r="L1069" s="1738"/>
      <c r="M1069" s="1739"/>
    </row>
    <row r="1070" spans="9:13">
      <c r="I1070" s="1736"/>
      <c r="J1070" s="1737"/>
      <c r="K1070" s="1738"/>
      <c r="L1070" s="1738"/>
      <c r="M1070" s="1739"/>
    </row>
    <row r="1071" spans="9:13">
      <c r="I1071" s="1736"/>
      <c r="J1071" s="1737"/>
      <c r="K1071" s="1738"/>
      <c r="L1071" s="1738"/>
      <c r="M1071" s="1739"/>
    </row>
    <row r="1072" spans="9:13">
      <c r="I1072" s="1736"/>
      <c r="J1072" s="1737"/>
      <c r="K1072" s="1738"/>
      <c r="L1072" s="1738"/>
      <c r="M1072" s="1739"/>
    </row>
    <row r="1073" spans="9:13">
      <c r="I1073" s="1736"/>
      <c r="J1073" s="1737"/>
      <c r="K1073" s="1738"/>
      <c r="L1073" s="1738"/>
      <c r="M1073" s="1739"/>
    </row>
    <row r="1074" spans="9:13">
      <c r="I1074" s="1736"/>
      <c r="J1074" s="1737"/>
      <c r="K1074" s="1738"/>
      <c r="L1074" s="1738"/>
      <c r="M1074" s="1739"/>
    </row>
    <row r="1075" spans="9:13">
      <c r="I1075" s="1736"/>
      <c r="J1075" s="1737"/>
      <c r="K1075" s="1738"/>
      <c r="L1075" s="1738"/>
      <c r="M1075" s="1739"/>
    </row>
    <row r="1076" spans="9:13">
      <c r="I1076" s="1736"/>
      <c r="J1076" s="1737"/>
      <c r="K1076" s="1738"/>
      <c r="L1076" s="1738"/>
      <c r="M1076" s="1739"/>
    </row>
    <row r="1077" spans="9:13">
      <c r="I1077" s="1736"/>
      <c r="J1077" s="1737"/>
      <c r="K1077" s="1738"/>
      <c r="L1077" s="1738"/>
      <c r="M1077" s="1739"/>
    </row>
    <row r="1078" spans="9:13">
      <c r="I1078" s="1736"/>
      <c r="J1078" s="1737"/>
      <c r="K1078" s="1738"/>
      <c r="L1078" s="1738"/>
      <c r="M1078" s="1739"/>
    </row>
    <row r="1079" spans="9:13">
      <c r="I1079" s="1736"/>
      <c r="J1079" s="1737"/>
      <c r="K1079" s="1738"/>
      <c r="L1079" s="1738"/>
      <c r="M1079" s="1739"/>
    </row>
    <row r="1080" spans="9:13">
      <c r="I1080" s="1736"/>
      <c r="J1080" s="1737"/>
      <c r="K1080" s="1738"/>
      <c r="L1080" s="1738"/>
      <c r="M1080" s="1739"/>
    </row>
    <row r="1081" spans="9:13">
      <c r="I1081" s="1736"/>
      <c r="J1081" s="1737"/>
      <c r="K1081" s="1738"/>
      <c r="L1081" s="1738"/>
      <c r="M1081" s="1739"/>
    </row>
    <row r="1082" spans="9:13">
      <c r="I1082" s="1736"/>
      <c r="J1082" s="1737"/>
      <c r="K1082" s="1738"/>
      <c r="L1082" s="1738"/>
      <c r="M1082" s="1739"/>
    </row>
    <row r="1083" spans="9:13">
      <c r="I1083" s="1736"/>
      <c r="J1083" s="1737"/>
      <c r="K1083" s="1738"/>
      <c r="L1083" s="1738"/>
      <c r="M1083" s="1739"/>
    </row>
    <row r="1084" spans="9:13">
      <c r="I1084" s="1736"/>
      <c r="J1084" s="1737"/>
      <c r="K1084" s="1738"/>
      <c r="L1084" s="1738"/>
      <c r="M1084" s="1739"/>
    </row>
    <row r="1085" spans="9:13">
      <c r="I1085" s="1736"/>
      <c r="J1085" s="1737"/>
      <c r="K1085" s="1738"/>
      <c r="L1085" s="1738"/>
      <c r="M1085" s="1739"/>
    </row>
    <row r="1086" spans="9:13">
      <c r="I1086" s="1736"/>
      <c r="J1086" s="1737"/>
      <c r="K1086" s="1738"/>
      <c r="L1086" s="1738"/>
      <c r="M1086" s="1739"/>
    </row>
    <row r="1087" spans="9:13">
      <c r="I1087" s="1736"/>
      <c r="J1087" s="1737"/>
      <c r="K1087" s="1738"/>
      <c r="L1087" s="1738"/>
      <c r="M1087" s="1739"/>
    </row>
    <row r="1088" spans="9:13">
      <c r="I1088" s="1736"/>
      <c r="J1088" s="1737"/>
      <c r="K1088" s="1738"/>
      <c r="L1088" s="1738"/>
      <c r="M1088" s="1739"/>
    </row>
    <row r="1089" spans="9:13">
      <c r="I1089" s="1736"/>
      <c r="J1089" s="1737"/>
      <c r="K1089" s="1738"/>
      <c r="L1089" s="1738"/>
      <c r="M1089" s="1739"/>
    </row>
    <row r="1090" spans="9:13">
      <c r="I1090" s="1736"/>
      <c r="J1090" s="1737"/>
      <c r="K1090" s="1738"/>
      <c r="L1090" s="1738"/>
      <c r="M1090" s="1739"/>
    </row>
    <row r="1091" spans="9:13">
      <c r="I1091" s="1736"/>
      <c r="J1091" s="1737"/>
      <c r="K1091" s="1738"/>
      <c r="L1091" s="1738"/>
      <c r="M1091" s="1739"/>
    </row>
    <row r="1092" spans="9:13">
      <c r="I1092" s="1736"/>
      <c r="J1092" s="1737"/>
      <c r="K1092" s="1738"/>
      <c r="L1092" s="1738"/>
      <c r="M1092" s="1739"/>
    </row>
    <row r="1093" spans="9:13">
      <c r="I1093" s="1736"/>
      <c r="J1093" s="1737"/>
      <c r="K1093" s="1738"/>
      <c r="L1093" s="1738"/>
      <c r="M1093" s="1739"/>
    </row>
    <row r="1094" spans="9:13">
      <c r="I1094" s="1736"/>
      <c r="J1094" s="1737"/>
      <c r="K1094" s="1738"/>
      <c r="L1094" s="1738"/>
      <c r="M1094" s="1739"/>
    </row>
    <row r="1095" spans="9:13">
      <c r="I1095" s="1736"/>
      <c r="J1095" s="1737"/>
      <c r="K1095" s="1738"/>
      <c r="L1095" s="1738"/>
      <c r="M1095" s="1739"/>
    </row>
    <row r="1096" spans="9:13">
      <c r="I1096" s="1736"/>
      <c r="J1096" s="1737"/>
      <c r="K1096" s="1738"/>
      <c r="L1096" s="1738"/>
      <c r="M1096" s="1739"/>
    </row>
    <row r="1097" spans="9:13">
      <c r="I1097" s="1736"/>
      <c r="J1097" s="1737"/>
      <c r="K1097" s="1738"/>
      <c r="L1097" s="1738"/>
      <c r="M1097" s="1739"/>
    </row>
    <row r="1098" spans="9:13">
      <c r="I1098" s="1736"/>
      <c r="J1098" s="1737"/>
      <c r="K1098" s="1738"/>
      <c r="L1098" s="1738"/>
      <c r="M1098" s="1739"/>
    </row>
    <row r="1099" spans="9:13">
      <c r="I1099" s="1736"/>
      <c r="J1099" s="1737"/>
      <c r="K1099" s="1738"/>
      <c r="L1099" s="1738"/>
      <c r="M1099" s="1739"/>
    </row>
    <row r="1100" spans="9:13">
      <c r="I1100" s="1736"/>
      <c r="J1100" s="1737"/>
      <c r="K1100" s="1738"/>
      <c r="L1100" s="1738"/>
      <c r="M1100" s="1739"/>
    </row>
    <row r="1101" spans="9:13">
      <c r="I1101" s="1736"/>
      <c r="J1101" s="1737"/>
      <c r="K1101" s="1738"/>
      <c r="L1101" s="1738"/>
      <c r="M1101" s="1739"/>
    </row>
    <row r="1102" spans="9:13">
      <c r="I1102" s="1736"/>
      <c r="J1102" s="1737"/>
      <c r="K1102" s="1738"/>
      <c r="L1102" s="1738"/>
      <c r="M1102" s="1739"/>
    </row>
    <row r="1103" spans="9:13">
      <c r="I1103" s="1736"/>
      <c r="J1103" s="1737"/>
      <c r="K1103" s="1738"/>
      <c r="L1103" s="1738"/>
      <c r="M1103" s="1739"/>
    </row>
    <row r="1104" spans="9:13">
      <c r="I1104" s="1736"/>
      <c r="J1104" s="1737"/>
      <c r="K1104" s="1738"/>
      <c r="L1104" s="1738"/>
      <c r="M1104" s="1739"/>
    </row>
    <row r="1105" spans="9:13">
      <c r="I1105" s="1736"/>
      <c r="J1105" s="1737"/>
      <c r="K1105" s="1738"/>
      <c r="L1105" s="1738"/>
      <c r="M1105" s="1739"/>
    </row>
    <row r="1106" spans="9:13">
      <c r="I1106" s="1736"/>
      <c r="J1106" s="1737"/>
      <c r="K1106" s="1738"/>
      <c r="L1106" s="1738"/>
      <c r="M1106" s="1739"/>
    </row>
    <row r="1107" spans="9:13">
      <c r="I1107" s="1736"/>
      <c r="J1107" s="1737"/>
      <c r="K1107" s="1738"/>
      <c r="L1107" s="1738"/>
      <c r="M1107" s="1739"/>
    </row>
    <row r="1108" spans="9:13">
      <c r="I1108" s="1736"/>
      <c r="J1108" s="1737"/>
      <c r="K1108" s="1738"/>
      <c r="L1108" s="1738"/>
      <c r="M1108" s="1739"/>
    </row>
    <row r="1109" spans="9:13">
      <c r="I1109" s="1736"/>
      <c r="J1109" s="1737"/>
      <c r="K1109" s="1738"/>
      <c r="L1109" s="1738"/>
      <c r="M1109" s="1739"/>
    </row>
    <row r="1110" spans="9:13">
      <c r="I1110" s="1736"/>
      <c r="J1110" s="1737"/>
      <c r="K1110" s="1738"/>
      <c r="L1110" s="1738"/>
      <c r="M1110" s="1739"/>
    </row>
    <row r="1111" spans="9:13">
      <c r="I1111" s="1736"/>
      <c r="J1111" s="1737"/>
      <c r="K1111" s="1738"/>
      <c r="L1111" s="1738"/>
      <c r="M1111" s="1739"/>
    </row>
    <row r="1112" spans="9:13">
      <c r="I1112" s="1736"/>
      <c r="J1112" s="1737"/>
      <c r="K1112" s="1738"/>
      <c r="L1112" s="1738"/>
      <c r="M1112" s="1739"/>
    </row>
    <row r="1113" spans="9:13">
      <c r="I1113" s="1736"/>
      <c r="J1113" s="1737"/>
      <c r="K1113" s="1738"/>
      <c r="L1113" s="1738"/>
      <c r="M1113" s="1739"/>
    </row>
    <row r="1114" spans="9:13">
      <c r="I1114" s="1736"/>
      <c r="J1114" s="1737"/>
      <c r="K1114" s="1738"/>
      <c r="L1114" s="1738"/>
      <c r="M1114" s="1739"/>
    </row>
    <row r="1115" spans="9:13">
      <c r="I1115" s="1736"/>
      <c r="J1115" s="1737"/>
      <c r="K1115" s="1738"/>
      <c r="L1115" s="1738"/>
      <c r="M1115" s="1739"/>
    </row>
    <row r="1116" spans="9:13">
      <c r="I1116" s="1736"/>
      <c r="J1116" s="1737"/>
      <c r="K1116" s="1738"/>
      <c r="L1116" s="1738"/>
      <c r="M1116" s="1739"/>
    </row>
    <row r="1117" spans="9:13">
      <c r="I1117" s="1736"/>
      <c r="J1117" s="1737"/>
      <c r="K1117" s="1738"/>
      <c r="L1117" s="1738"/>
      <c r="M1117" s="1739"/>
    </row>
    <row r="1118" spans="9:13">
      <c r="I1118" s="1736"/>
      <c r="J1118" s="1737"/>
      <c r="K1118" s="1738"/>
      <c r="L1118" s="1738"/>
      <c r="M1118" s="1739"/>
    </row>
    <row r="1119" spans="9:13">
      <c r="I1119" s="1736"/>
      <c r="J1119" s="1737"/>
      <c r="K1119" s="1738"/>
      <c r="L1119" s="1738"/>
      <c r="M1119" s="1739"/>
    </row>
    <row r="1120" spans="9:13">
      <c r="I1120" s="1736"/>
      <c r="J1120" s="1737"/>
      <c r="K1120" s="1738"/>
      <c r="L1120" s="1738"/>
      <c r="M1120" s="1739"/>
    </row>
    <row r="1121" spans="9:13">
      <c r="I1121" s="1736"/>
      <c r="J1121" s="1737"/>
      <c r="K1121" s="1738"/>
      <c r="L1121" s="1738"/>
      <c r="M1121" s="1739"/>
    </row>
    <row r="1122" spans="9:13">
      <c r="I1122" s="1736"/>
      <c r="J1122" s="1737"/>
      <c r="K1122" s="1738"/>
      <c r="L1122" s="1738"/>
      <c r="M1122" s="1739"/>
    </row>
    <row r="1123" spans="9:13">
      <c r="I1123" s="1736"/>
      <c r="J1123" s="1737"/>
      <c r="K1123" s="1738"/>
      <c r="L1123" s="1738"/>
      <c r="M1123" s="1739"/>
    </row>
    <row r="1124" spans="9:13">
      <c r="I1124" s="1736"/>
      <c r="J1124" s="1737"/>
      <c r="K1124" s="1738"/>
      <c r="L1124" s="1738"/>
      <c r="M1124" s="1739"/>
    </row>
    <row r="1125" spans="9:13">
      <c r="I1125" s="1736"/>
      <c r="J1125" s="1737"/>
      <c r="K1125" s="1738"/>
      <c r="L1125" s="1738"/>
      <c r="M1125" s="1739"/>
    </row>
    <row r="1126" spans="9:13">
      <c r="I1126" s="1736"/>
      <c r="J1126" s="1737"/>
      <c r="K1126" s="1738"/>
      <c r="L1126" s="1738"/>
      <c r="M1126" s="1739"/>
    </row>
    <row r="1127" spans="9:13">
      <c r="I1127" s="1736"/>
      <c r="J1127" s="1737"/>
      <c r="K1127" s="1738"/>
      <c r="L1127" s="1738"/>
      <c r="M1127" s="1739"/>
    </row>
    <row r="1128" spans="9:13">
      <c r="I1128" s="1736"/>
      <c r="J1128" s="1737"/>
      <c r="K1128" s="1738"/>
      <c r="L1128" s="1738"/>
      <c r="M1128" s="1739"/>
    </row>
    <row r="1129" spans="9:13">
      <c r="I1129" s="1736"/>
      <c r="J1129" s="1737"/>
      <c r="K1129" s="1738"/>
      <c r="L1129" s="1738"/>
      <c r="M1129" s="1739"/>
    </row>
    <row r="1130" spans="9:13">
      <c r="I1130" s="1736"/>
      <c r="J1130" s="1737"/>
      <c r="K1130" s="1738"/>
      <c r="L1130" s="1738"/>
      <c r="M1130" s="1739"/>
    </row>
    <row r="1131" spans="9:13">
      <c r="I1131" s="1736"/>
      <c r="J1131" s="1737"/>
      <c r="K1131" s="1738"/>
      <c r="L1131" s="1738"/>
      <c r="M1131" s="1739"/>
    </row>
    <row r="1132" spans="9:13">
      <c r="I1132" s="1736"/>
      <c r="J1132" s="1737"/>
      <c r="K1132" s="1738"/>
      <c r="L1132" s="1738"/>
      <c r="M1132" s="1739"/>
    </row>
    <row r="1133" spans="9:13">
      <c r="I1133" s="1736"/>
      <c r="J1133" s="1737"/>
      <c r="K1133" s="1738"/>
      <c r="L1133" s="1738"/>
      <c r="M1133" s="1739"/>
    </row>
    <row r="1134" spans="9:13">
      <c r="I1134" s="1736"/>
      <c r="J1134" s="1737"/>
      <c r="K1134" s="1738"/>
      <c r="L1134" s="1738"/>
      <c r="M1134" s="1739"/>
    </row>
    <row r="1135" spans="9:13">
      <c r="I1135" s="1736"/>
      <c r="J1135" s="1737"/>
      <c r="K1135" s="1738"/>
      <c r="L1135" s="1738"/>
      <c r="M1135" s="1739"/>
    </row>
    <row r="1136" spans="9:13">
      <c r="I1136" s="1736"/>
      <c r="J1136" s="1737"/>
      <c r="K1136" s="1738"/>
      <c r="L1136" s="1738"/>
      <c r="M1136" s="1739"/>
    </row>
    <row r="1137" spans="9:13">
      <c r="I1137" s="1736"/>
      <c r="J1137" s="1737"/>
      <c r="K1137" s="1738"/>
      <c r="L1137" s="1738"/>
      <c r="M1137" s="1739"/>
    </row>
    <row r="1138" spans="9:13">
      <c r="I1138" s="1736"/>
      <c r="J1138" s="1737"/>
      <c r="K1138" s="1738"/>
      <c r="L1138" s="1738"/>
      <c r="M1138" s="1739"/>
    </row>
    <row r="1139" spans="9:13">
      <c r="I1139" s="1736"/>
      <c r="J1139" s="1737"/>
      <c r="K1139" s="1738"/>
      <c r="L1139" s="1738"/>
      <c r="M1139" s="1739"/>
    </row>
    <row r="1140" spans="9:13">
      <c r="I1140" s="1736"/>
      <c r="J1140" s="1737"/>
      <c r="K1140" s="1738"/>
      <c r="L1140" s="1738"/>
      <c r="M1140" s="1739"/>
    </row>
    <row r="1141" spans="9:13">
      <c r="I1141" s="1736"/>
      <c r="J1141" s="1737"/>
      <c r="K1141" s="1738"/>
      <c r="L1141" s="1738"/>
      <c r="M1141" s="1739"/>
    </row>
    <row r="1142" spans="9:13">
      <c r="I1142" s="1736"/>
      <c r="J1142" s="1737"/>
      <c r="K1142" s="1738"/>
      <c r="L1142" s="1738"/>
      <c r="M1142" s="1739"/>
    </row>
    <row r="1143" spans="9:13">
      <c r="I1143" s="1736"/>
      <c r="J1143" s="1737"/>
      <c r="K1143" s="1738"/>
      <c r="L1143" s="1738"/>
      <c r="M1143" s="1739"/>
    </row>
    <row r="1144" spans="9:13">
      <c r="I1144" s="1736"/>
      <c r="J1144" s="1737"/>
      <c r="K1144" s="1738"/>
      <c r="L1144" s="1738"/>
      <c r="M1144" s="1739"/>
    </row>
    <row r="1145" spans="9:13">
      <c r="I1145" s="1736"/>
      <c r="J1145" s="1737"/>
      <c r="K1145" s="1738"/>
      <c r="L1145" s="1738"/>
      <c r="M1145" s="1739"/>
    </row>
    <row r="1146" spans="9:13">
      <c r="I1146" s="1736"/>
      <c r="J1146" s="1737"/>
      <c r="K1146" s="1738"/>
      <c r="L1146" s="1738"/>
      <c r="M1146" s="1739"/>
    </row>
    <row r="1147" spans="9:13">
      <c r="I1147" s="1736"/>
      <c r="J1147" s="1737"/>
      <c r="K1147" s="1738"/>
      <c r="L1147" s="1738"/>
      <c r="M1147" s="1739"/>
    </row>
    <row r="1148" spans="9:13">
      <c r="I1148" s="1736"/>
      <c r="J1148" s="1737"/>
      <c r="K1148" s="1738"/>
      <c r="L1148" s="1738"/>
      <c r="M1148" s="1739"/>
    </row>
    <row r="1149" spans="9:13">
      <c r="I1149" s="1736"/>
      <c r="J1149" s="1737"/>
      <c r="K1149" s="1738"/>
      <c r="L1149" s="1738"/>
      <c r="M1149" s="1739"/>
    </row>
    <row r="1150" spans="9:13">
      <c r="I1150" s="1736"/>
      <c r="J1150" s="1737"/>
      <c r="K1150" s="1738"/>
      <c r="L1150" s="1738"/>
      <c r="M1150" s="1739"/>
    </row>
    <row r="1151" spans="9:13">
      <c r="I1151" s="1736"/>
      <c r="J1151" s="1737"/>
      <c r="K1151" s="1738"/>
      <c r="L1151" s="1738"/>
      <c r="M1151" s="1739"/>
    </row>
    <row r="1152" spans="9:13">
      <c r="I1152" s="1736"/>
      <c r="J1152" s="1737"/>
      <c r="K1152" s="1738"/>
      <c r="L1152" s="1738"/>
      <c r="M1152" s="1739"/>
    </row>
    <row r="1153" spans="9:13">
      <c r="I1153" s="1736"/>
      <c r="J1153" s="1737"/>
      <c r="K1153" s="1738"/>
      <c r="L1153" s="1738"/>
      <c r="M1153" s="1739"/>
    </row>
    <row r="1154" spans="9:13">
      <c r="I1154" s="1736"/>
      <c r="J1154" s="1737"/>
      <c r="K1154" s="1738"/>
      <c r="L1154" s="1738"/>
      <c r="M1154" s="1739"/>
    </row>
    <row r="1155" spans="9:13">
      <c r="I1155" s="1736"/>
      <c r="J1155" s="1737"/>
      <c r="K1155" s="1738"/>
      <c r="L1155" s="1738"/>
      <c r="M1155" s="1739"/>
    </row>
    <row r="1156" spans="9:13">
      <c r="I1156" s="1736"/>
      <c r="J1156" s="1737"/>
      <c r="K1156" s="1738"/>
      <c r="L1156" s="1738"/>
      <c r="M1156" s="1739"/>
    </row>
    <row r="1157" spans="9:13">
      <c r="I1157" s="1736"/>
      <c r="J1157" s="1737"/>
      <c r="K1157" s="1738"/>
      <c r="L1157" s="1738"/>
      <c r="M1157" s="1739"/>
    </row>
    <row r="1158" spans="9:13">
      <c r="I1158" s="1736"/>
      <c r="J1158" s="1737"/>
      <c r="K1158" s="1738"/>
      <c r="L1158" s="1738"/>
      <c r="M1158" s="1739"/>
    </row>
    <row r="1159" spans="9:13">
      <c r="I1159" s="1736"/>
      <c r="J1159" s="1737"/>
      <c r="K1159" s="1738"/>
      <c r="L1159" s="1738"/>
      <c r="M1159" s="1739"/>
    </row>
    <row r="1160" spans="9:13">
      <c r="I1160" s="1736"/>
      <c r="J1160" s="1737"/>
      <c r="K1160" s="1738"/>
      <c r="L1160" s="1738"/>
      <c r="M1160" s="1739"/>
    </row>
    <row r="1161" spans="9:13">
      <c r="I1161" s="1736"/>
      <c r="J1161" s="1737"/>
      <c r="K1161" s="1738"/>
      <c r="L1161" s="1738"/>
      <c r="M1161" s="1739"/>
    </row>
    <row r="1162" spans="9:13">
      <c r="I1162" s="1736"/>
      <c r="J1162" s="1737"/>
      <c r="K1162" s="1738"/>
      <c r="L1162" s="1738"/>
      <c r="M1162" s="1739"/>
    </row>
    <row r="1163" spans="9:13">
      <c r="I1163" s="1736"/>
      <c r="J1163" s="1737"/>
      <c r="K1163" s="1738"/>
      <c r="L1163" s="1738"/>
      <c r="M1163" s="1739"/>
    </row>
    <row r="1164" spans="9:13">
      <c r="I1164" s="1736"/>
      <c r="J1164" s="1737"/>
      <c r="K1164" s="1738"/>
      <c r="L1164" s="1738"/>
      <c r="M1164" s="1739"/>
    </row>
    <row r="1165" spans="9:13">
      <c r="I1165" s="1736"/>
      <c r="J1165" s="1737"/>
      <c r="K1165" s="1738"/>
      <c r="L1165" s="1738"/>
      <c r="M1165" s="1739"/>
    </row>
    <row r="1166" spans="9:13">
      <c r="I1166" s="1736"/>
      <c r="J1166" s="1737"/>
      <c r="K1166" s="1738"/>
      <c r="L1166" s="1738"/>
      <c r="M1166" s="1739"/>
    </row>
    <row r="1167" spans="9:13">
      <c r="I1167" s="1736"/>
      <c r="J1167" s="1737"/>
      <c r="K1167" s="1738"/>
      <c r="L1167" s="1738"/>
      <c r="M1167" s="1739"/>
    </row>
    <row r="1168" spans="9:13">
      <c r="I1168" s="1736"/>
      <c r="J1168" s="1737"/>
      <c r="K1168" s="1738"/>
      <c r="L1168" s="1738"/>
      <c r="M1168" s="1739"/>
    </row>
    <row r="1169" spans="9:13">
      <c r="I1169" s="1736"/>
      <c r="J1169" s="1737"/>
      <c r="K1169" s="1738"/>
      <c r="L1169" s="1738"/>
      <c r="M1169" s="1739"/>
    </row>
    <row r="1170" spans="9:13">
      <c r="I1170" s="1736"/>
      <c r="J1170" s="1737"/>
      <c r="K1170" s="1738"/>
      <c r="L1170" s="1738"/>
      <c r="M1170" s="1739"/>
    </row>
    <row r="1171" spans="9:13">
      <c r="I1171" s="1736"/>
      <c r="J1171" s="1737"/>
      <c r="K1171" s="1738"/>
      <c r="L1171" s="1738"/>
      <c r="M1171" s="1739"/>
    </row>
    <row r="1172" spans="9:13">
      <c r="I1172" s="1736"/>
      <c r="J1172" s="1737"/>
      <c r="K1172" s="1738"/>
      <c r="L1172" s="1738"/>
      <c r="M1172" s="1739"/>
    </row>
    <row r="1173" spans="9:13">
      <c r="I1173" s="1736"/>
      <c r="J1173" s="1737"/>
      <c r="K1173" s="1738"/>
      <c r="L1173" s="1738"/>
      <c r="M1173" s="1739"/>
    </row>
    <row r="1174" spans="9:13">
      <c r="I1174" s="1736"/>
      <c r="J1174" s="1737"/>
      <c r="K1174" s="1738"/>
      <c r="L1174" s="1738"/>
      <c r="M1174" s="1739"/>
    </row>
    <row r="1175" spans="9:13">
      <c r="I1175" s="1736"/>
      <c r="J1175" s="1737"/>
      <c r="K1175" s="1738"/>
      <c r="L1175" s="1738"/>
      <c r="M1175" s="1739"/>
    </row>
    <row r="1176" spans="9:13">
      <c r="I1176" s="1736"/>
      <c r="J1176" s="1737"/>
      <c r="K1176" s="1738"/>
      <c r="L1176" s="1738"/>
      <c r="M1176" s="1739"/>
    </row>
    <row r="1177" spans="9:13">
      <c r="I1177" s="1736"/>
      <c r="J1177" s="1737"/>
      <c r="K1177" s="1738"/>
      <c r="L1177" s="1738"/>
      <c r="M1177" s="1739"/>
    </row>
    <row r="1178" spans="9:13">
      <c r="I1178" s="1736"/>
      <c r="J1178" s="1737"/>
      <c r="K1178" s="1738"/>
      <c r="L1178" s="1738"/>
      <c r="M1178" s="1739"/>
    </row>
    <row r="1179" spans="9:13">
      <c r="I1179" s="1736"/>
      <c r="J1179" s="1737"/>
      <c r="K1179" s="1738"/>
      <c r="L1179" s="1738"/>
      <c r="M1179" s="1739"/>
    </row>
    <row r="1180" spans="9:13">
      <c r="I1180" s="1736"/>
      <c r="J1180" s="1737"/>
      <c r="K1180" s="1738"/>
      <c r="L1180" s="1738"/>
      <c r="M1180" s="1739"/>
    </row>
    <row r="1181" spans="9:13">
      <c r="I1181" s="1736"/>
      <c r="J1181" s="1737"/>
      <c r="K1181" s="1738"/>
      <c r="L1181" s="1738"/>
      <c r="M1181" s="1739"/>
    </row>
    <row r="1182" spans="9:13">
      <c r="I1182" s="1736"/>
      <c r="J1182" s="1737"/>
      <c r="K1182" s="1738"/>
      <c r="L1182" s="1738"/>
      <c r="M1182" s="1739"/>
    </row>
    <row r="1183" spans="9:13">
      <c r="I1183" s="1736"/>
      <c r="J1183" s="1737"/>
      <c r="K1183" s="1738"/>
      <c r="L1183" s="1738"/>
      <c r="M1183" s="1739"/>
    </row>
    <row r="1184" spans="9:13">
      <c r="I1184" s="1736"/>
      <c r="J1184" s="1737"/>
      <c r="K1184" s="1738"/>
      <c r="L1184" s="1738"/>
      <c r="M1184" s="1739"/>
    </row>
    <row r="1185" spans="9:13">
      <c r="I1185" s="1736"/>
      <c r="J1185" s="1737"/>
      <c r="K1185" s="1738"/>
      <c r="L1185" s="1738"/>
      <c r="M1185" s="1739"/>
    </row>
    <row r="1186" spans="9:13">
      <c r="I1186" s="1736"/>
      <c r="J1186" s="1737"/>
      <c r="K1186" s="1738"/>
      <c r="L1186" s="1738"/>
      <c r="M1186" s="1739"/>
    </row>
    <row r="1187" spans="9:13">
      <c r="I1187" s="1736"/>
      <c r="J1187" s="1737"/>
      <c r="K1187" s="1738"/>
      <c r="L1187" s="1738"/>
      <c r="M1187" s="1739"/>
    </row>
    <row r="1188" spans="9:13">
      <c r="I1188" s="1736"/>
      <c r="J1188" s="1737"/>
      <c r="K1188" s="1738"/>
      <c r="L1188" s="1738"/>
      <c r="M1188" s="1739"/>
    </row>
    <row r="1189" spans="9:13">
      <c r="I1189" s="1736"/>
      <c r="J1189" s="1737"/>
      <c r="K1189" s="1738"/>
      <c r="L1189" s="1738"/>
      <c r="M1189" s="1739"/>
    </row>
    <row r="1190" spans="9:13">
      <c r="I1190" s="1736"/>
      <c r="J1190" s="1737"/>
      <c r="K1190" s="1738"/>
      <c r="L1190" s="1738"/>
      <c r="M1190" s="1739"/>
    </row>
    <row r="1191" spans="9:13">
      <c r="I1191" s="1736"/>
      <c r="J1191" s="1737"/>
      <c r="K1191" s="1738"/>
      <c r="L1191" s="1738"/>
      <c r="M1191" s="1739"/>
    </row>
    <row r="1192" spans="9:13">
      <c r="I1192" s="1736"/>
      <c r="J1192" s="1737"/>
      <c r="K1192" s="1738"/>
      <c r="L1192" s="1738"/>
      <c r="M1192" s="1739"/>
    </row>
    <row r="1193" spans="9:13">
      <c r="I1193" s="1736"/>
      <c r="J1193" s="1737"/>
      <c r="K1193" s="1738"/>
      <c r="L1193" s="1738"/>
      <c r="M1193" s="1739"/>
    </row>
    <row r="1194" spans="9:13">
      <c r="I1194" s="1736"/>
      <c r="J1194" s="1737"/>
      <c r="K1194" s="1738"/>
      <c r="L1194" s="1738"/>
      <c r="M1194" s="1739"/>
    </row>
    <row r="1195" spans="9:13">
      <c r="I1195" s="1736"/>
      <c r="J1195" s="1737"/>
      <c r="K1195" s="1738"/>
      <c r="L1195" s="1738"/>
      <c r="M1195" s="1739"/>
    </row>
    <row r="1196" spans="9:13">
      <c r="I1196" s="1736"/>
      <c r="J1196" s="1737"/>
      <c r="K1196" s="1738"/>
      <c r="L1196" s="1738"/>
      <c r="M1196" s="1739"/>
    </row>
    <row r="1197" spans="9:13">
      <c r="I1197" s="1736"/>
      <c r="J1197" s="1737"/>
      <c r="K1197" s="1738"/>
      <c r="L1197" s="1738"/>
      <c r="M1197" s="1739"/>
    </row>
    <row r="1198" spans="9:13">
      <c r="I1198" s="1736"/>
      <c r="J1198" s="1737"/>
      <c r="K1198" s="1738"/>
      <c r="L1198" s="1738"/>
      <c r="M1198" s="1739"/>
    </row>
    <row r="1199" spans="9:13">
      <c r="I1199" s="1736"/>
      <c r="J1199" s="1737"/>
      <c r="K1199" s="1738"/>
      <c r="L1199" s="1738"/>
      <c r="M1199" s="1739"/>
    </row>
    <row r="1200" spans="9:13">
      <c r="I1200" s="1736"/>
      <c r="J1200" s="1737"/>
      <c r="K1200" s="1738"/>
      <c r="L1200" s="1738"/>
      <c r="M1200" s="1739"/>
    </row>
    <row r="1201" spans="9:13">
      <c r="I1201" s="1736"/>
      <c r="J1201" s="1737"/>
      <c r="K1201" s="1738"/>
      <c r="L1201" s="1738"/>
      <c r="M1201" s="1739"/>
    </row>
    <row r="1202" spans="9:13">
      <c r="I1202" s="1736"/>
      <c r="J1202" s="1737"/>
      <c r="K1202" s="1738"/>
      <c r="L1202" s="1738"/>
      <c r="M1202" s="1739"/>
    </row>
    <row r="1203" spans="9:13">
      <c r="I1203" s="1736"/>
      <c r="J1203" s="1737"/>
      <c r="K1203" s="1738"/>
      <c r="L1203" s="1738"/>
      <c r="M1203" s="1739"/>
    </row>
    <row r="1204" spans="9:13">
      <c r="I1204" s="1736"/>
      <c r="J1204" s="1737"/>
      <c r="K1204" s="1738"/>
      <c r="L1204" s="1738"/>
      <c r="M1204" s="1739"/>
    </row>
    <row r="1205" spans="9:13">
      <c r="I1205" s="1736"/>
      <c r="J1205" s="1737"/>
      <c r="K1205" s="1738"/>
      <c r="L1205" s="1738"/>
      <c r="M1205" s="1739"/>
    </row>
    <row r="1206" spans="9:13">
      <c r="I1206" s="1736"/>
      <c r="J1206" s="1737"/>
      <c r="K1206" s="1738"/>
      <c r="L1206" s="1738"/>
      <c r="M1206" s="1739"/>
    </row>
    <row r="1207" spans="9:13">
      <c r="I1207" s="1736"/>
      <c r="J1207" s="1737"/>
      <c r="K1207" s="1738"/>
      <c r="L1207" s="1738"/>
      <c r="M1207" s="1739"/>
    </row>
    <row r="1208" spans="9:13">
      <c r="I1208" s="1736"/>
      <c r="J1208" s="1737"/>
      <c r="K1208" s="1738"/>
      <c r="L1208" s="1738"/>
      <c r="M1208" s="1739"/>
    </row>
    <row r="1209" spans="9:13">
      <c r="I1209" s="1736"/>
      <c r="J1209" s="1737"/>
      <c r="K1209" s="1738"/>
      <c r="L1209" s="1738"/>
      <c r="M1209" s="1739"/>
    </row>
    <row r="1210" spans="9:13">
      <c r="I1210" s="1736"/>
      <c r="J1210" s="1737"/>
      <c r="K1210" s="1738"/>
      <c r="L1210" s="1738"/>
      <c r="M1210" s="1739"/>
    </row>
    <row r="1211" spans="9:13">
      <c r="I1211" s="1736"/>
      <c r="J1211" s="1737"/>
      <c r="K1211" s="1738"/>
      <c r="L1211" s="1738"/>
      <c r="M1211" s="1739"/>
    </row>
    <row r="1212" spans="9:13">
      <c r="I1212" s="1736"/>
      <c r="J1212" s="1737"/>
      <c r="K1212" s="1738"/>
      <c r="L1212" s="1738"/>
      <c r="M1212" s="1739"/>
    </row>
    <row r="1213" spans="9:13">
      <c r="I1213" s="1736"/>
      <c r="J1213" s="1737"/>
      <c r="K1213" s="1738"/>
      <c r="L1213" s="1738"/>
      <c r="M1213" s="1739"/>
    </row>
    <row r="1214" spans="9:13">
      <c r="I1214" s="1736"/>
      <c r="J1214" s="1737"/>
      <c r="K1214" s="1738"/>
      <c r="L1214" s="1738"/>
      <c r="M1214" s="1739"/>
    </row>
    <row r="1215" spans="9:13">
      <c r="I1215" s="1736"/>
      <c r="J1215" s="1737"/>
      <c r="K1215" s="1738"/>
      <c r="L1215" s="1738"/>
      <c r="M1215" s="1739"/>
    </row>
    <row r="1216" spans="9:13">
      <c r="I1216" s="1736"/>
      <c r="J1216" s="1737"/>
      <c r="K1216" s="1738"/>
      <c r="L1216" s="1738"/>
      <c r="M1216" s="1739"/>
    </row>
    <row r="1217" spans="9:13">
      <c r="I1217" s="1736"/>
      <c r="J1217" s="1737"/>
      <c r="K1217" s="1738"/>
      <c r="L1217" s="1738"/>
      <c r="M1217" s="1739"/>
    </row>
    <row r="1218" spans="9:13">
      <c r="I1218" s="1736"/>
      <c r="J1218" s="1737"/>
      <c r="K1218" s="1738"/>
      <c r="L1218" s="1738"/>
      <c r="M1218" s="1739"/>
    </row>
    <row r="1219" spans="9:13">
      <c r="I1219" s="1736"/>
      <c r="J1219" s="1737"/>
      <c r="K1219" s="1738"/>
      <c r="L1219" s="1738"/>
      <c r="M1219" s="1739"/>
    </row>
    <row r="1220" spans="9:13">
      <c r="I1220" s="1736"/>
      <c r="J1220" s="1737"/>
      <c r="K1220" s="1738"/>
      <c r="L1220" s="1738"/>
      <c r="M1220" s="1739"/>
    </row>
    <row r="1221" spans="9:13">
      <c r="I1221" s="1736"/>
      <c r="J1221" s="1737"/>
      <c r="K1221" s="1738"/>
      <c r="L1221" s="1738"/>
      <c r="M1221" s="1739"/>
    </row>
    <row r="1222" spans="9:13">
      <c r="I1222" s="1736"/>
      <c r="J1222" s="1737"/>
      <c r="K1222" s="1738"/>
      <c r="L1222" s="1738"/>
      <c r="M1222" s="1739"/>
    </row>
    <row r="1223" spans="9:13">
      <c r="I1223" s="1736"/>
      <c r="J1223" s="1737"/>
      <c r="K1223" s="1738"/>
      <c r="L1223" s="1738"/>
      <c r="M1223" s="1739"/>
    </row>
    <row r="1224" spans="9:13">
      <c r="I1224" s="1736"/>
      <c r="J1224" s="1737"/>
      <c r="K1224" s="1738"/>
      <c r="L1224" s="1738"/>
      <c r="M1224" s="1739"/>
    </row>
    <row r="1225" spans="9:13">
      <c r="I1225" s="1736"/>
      <c r="J1225" s="1737"/>
      <c r="K1225" s="1738"/>
      <c r="L1225" s="1738"/>
      <c r="M1225" s="1739"/>
    </row>
    <row r="1226" spans="9:13">
      <c r="I1226" s="1736"/>
      <c r="J1226" s="1737"/>
      <c r="K1226" s="1738"/>
      <c r="L1226" s="1738"/>
      <c r="M1226" s="1739"/>
    </row>
    <row r="1227" spans="9:13">
      <c r="I1227" s="1736"/>
      <c r="J1227" s="1737"/>
      <c r="K1227" s="1738"/>
      <c r="L1227" s="1738"/>
      <c r="M1227" s="1739"/>
    </row>
    <row r="1228" spans="9:13">
      <c r="I1228" s="1736"/>
      <c r="J1228" s="1737"/>
      <c r="K1228" s="1738"/>
      <c r="L1228" s="1738"/>
      <c r="M1228" s="1739"/>
    </row>
    <row r="1229" spans="9:13">
      <c r="I1229" s="1736"/>
      <c r="J1229" s="1737"/>
      <c r="K1229" s="1738"/>
      <c r="L1229" s="1738"/>
      <c r="M1229" s="1739"/>
    </row>
    <row r="1230" spans="9:13">
      <c r="I1230" s="1736"/>
      <c r="J1230" s="1737"/>
      <c r="K1230" s="1738"/>
      <c r="L1230" s="1738"/>
      <c r="M1230" s="1739"/>
    </row>
    <row r="1231" spans="9:13">
      <c r="I1231" s="1736"/>
      <c r="J1231" s="1737"/>
      <c r="K1231" s="1738"/>
      <c r="L1231" s="1738"/>
      <c r="M1231" s="1739"/>
    </row>
    <row r="1232" spans="9:13">
      <c r="I1232" s="1736"/>
      <c r="J1232" s="1737"/>
      <c r="K1232" s="1738"/>
      <c r="L1232" s="1738"/>
      <c r="M1232" s="1739"/>
    </row>
    <row r="1233" spans="9:13">
      <c r="I1233" s="1736"/>
      <c r="J1233" s="1737"/>
      <c r="K1233" s="1738"/>
      <c r="L1233" s="1738"/>
      <c r="M1233" s="1739"/>
    </row>
    <row r="1234" spans="9:13">
      <c r="I1234" s="1736"/>
      <c r="J1234" s="1737"/>
      <c r="K1234" s="1738"/>
      <c r="L1234" s="1738"/>
      <c r="M1234" s="1739"/>
    </row>
    <row r="1235" spans="9:13">
      <c r="I1235" s="1736"/>
      <c r="J1235" s="1737"/>
      <c r="K1235" s="1738"/>
      <c r="L1235" s="1738"/>
      <c r="M1235" s="1739"/>
    </row>
    <row r="1236" spans="9:13">
      <c r="I1236" s="1736"/>
      <c r="J1236" s="1737"/>
      <c r="K1236" s="1738"/>
      <c r="L1236" s="1738"/>
      <c r="M1236" s="1739"/>
    </row>
    <row r="1237" spans="9:13">
      <c r="I1237" s="1736"/>
      <c r="J1237" s="1737"/>
      <c r="K1237" s="1738"/>
      <c r="L1237" s="1738"/>
      <c r="M1237" s="1739"/>
    </row>
    <row r="1238" spans="9:13">
      <c r="I1238" s="1736"/>
      <c r="J1238" s="1737"/>
      <c r="K1238" s="1738"/>
      <c r="L1238" s="1738"/>
      <c r="M1238" s="1739"/>
    </row>
    <row r="1239" spans="9:13">
      <c r="I1239" s="1736"/>
      <c r="J1239" s="1737"/>
      <c r="K1239" s="1738"/>
      <c r="L1239" s="1738"/>
      <c r="M1239" s="1739"/>
    </row>
    <row r="1240" spans="9:13">
      <c r="I1240" s="1736"/>
      <c r="J1240" s="1737"/>
      <c r="K1240" s="1738"/>
      <c r="L1240" s="1738"/>
      <c r="M1240" s="1739"/>
    </row>
    <row r="1241" spans="9:13">
      <c r="I1241" s="1736"/>
      <c r="J1241" s="1737"/>
      <c r="K1241" s="1738"/>
      <c r="L1241" s="1738"/>
      <c r="M1241" s="1739"/>
    </row>
    <row r="1242" spans="9:13">
      <c r="I1242" s="1736"/>
      <c r="J1242" s="1737"/>
      <c r="K1242" s="1738"/>
      <c r="L1242" s="1738"/>
      <c r="M1242" s="1739"/>
    </row>
    <row r="1243" spans="9:13">
      <c r="I1243" s="1736"/>
      <c r="J1243" s="1737"/>
      <c r="K1243" s="1738"/>
      <c r="L1243" s="1738"/>
      <c r="M1243" s="1739"/>
    </row>
    <row r="1244" spans="9:13">
      <c r="I1244" s="1736"/>
      <c r="J1244" s="1737"/>
      <c r="K1244" s="1738"/>
      <c r="L1244" s="1738"/>
      <c r="M1244" s="1739"/>
    </row>
    <row r="1245" spans="9:13">
      <c r="I1245" s="1736"/>
      <c r="J1245" s="1737"/>
      <c r="K1245" s="1738"/>
      <c r="L1245" s="1738"/>
      <c r="M1245" s="1739"/>
    </row>
    <row r="1246" spans="9:13">
      <c r="I1246" s="1736"/>
      <c r="J1246" s="1737"/>
      <c r="K1246" s="1738"/>
      <c r="L1246" s="1738"/>
      <c r="M1246" s="1739"/>
    </row>
    <row r="1247" spans="9:13">
      <c r="I1247" s="1736"/>
      <c r="J1247" s="1737"/>
      <c r="K1247" s="1738"/>
      <c r="L1247" s="1738"/>
      <c r="M1247" s="1739"/>
    </row>
    <row r="1248" spans="9:13">
      <c r="I1248" s="1736"/>
      <c r="J1248" s="1737"/>
      <c r="K1248" s="1738"/>
      <c r="L1248" s="1738"/>
      <c r="M1248" s="1739"/>
    </row>
    <row r="1249" spans="9:13">
      <c r="I1249" s="1736"/>
      <c r="J1249" s="1737"/>
      <c r="K1249" s="1738"/>
      <c r="L1249" s="1738"/>
      <c r="M1249" s="1739"/>
    </row>
    <row r="1250" spans="9:13">
      <c r="I1250" s="1736"/>
      <c r="J1250" s="1737"/>
      <c r="K1250" s="1738"/>
      <c r="L1250" s="1738"/>
      <c r="M1250" s="1739"/>
    </row>
    <row r="1251" spans="9:13">
      <c r="I1251" s="1736"/>
      <c r="J1251" s="1737"/>
      <c r="K1251" s="1738"/>
      <c r="L1251" s="1738"/>
      <c r="M1251" s="1739"/>
    </row>
    <row r="1252" spans="9:13">
      <c r="I1252" s="1736"/>
      <c r="J1252" s="1737"/>
      <c r="K1252" s="1738"/>
      <c r="L1252" s="1738"/>
      <c r="M1252" s="1739"/>
    </row>
    <row r="1253" spans="9:13">
      <c r="I1253" s="1736"/>
      <c r="J1253" s="1737"/>
      <c r="K1253" s="1738"/>
      <c r="L1253" s="1738"/>
      <c r="M1253" s="1739"/>
    </row>
    <row r="1254" spans="9:13">
      <c r="I1254" s="1736"/>
      <c r="J1254" s="1737"/>
      <c r="K1254" s="1738"/>
      <c r="L1254" s="1738"/>
      <c r="M1254" s="1739"/>
    </row>
    <row r="1255" spans="9:13">
      <c r="I1255" s="1736"/>
      <c r="J1255" s="1737"/>
      <c r="K1255" s="1738"/>
      <c r="L1255" s="1738"/>
      <c r="M1255" s="1739"/>
    </row>
    <row r="1256" spans="9:13">
      <c r="I1256" s="1736"/>
      <c r="J1256" s="1737"/>
      <c r="K1256" s="1738"/>
      <c r="L1256" s="1738"/>
      <c r="M1256" s="1739"/>
    </row>
    <row r="1257" spans="9:13">
      <c r="I1257" s="1736"/>
      <c r="J1257" s="1737"/>
      <c r="K1257" s="1738"/>
      <c r="L1257" s="1738"/>
      <c r="M1257" s="1739"/>
    </row>
    <row r="1258" spans="9:13">
      <c r="I1258" s="1736"/>
      <c r="J1258" s="1737"/>
      <c r="K1258" s="1738"/>
      <c r="L1258" s="1738"/>
      <c r="M1258" s="1739"/>
    </row>
    <row r="1259" spans="9:13">
      <c r="I1259" s="1736"/>
      <c r="J1259" s="1737"/>
      <c r="K1259" s="1738"/>
      <c r="L1259" s="1738"/>
      <c r="M1259" s="1739"/>
    </row>
    <row r="1260" spans="9:13">
      <c r="I1260" s="1736"/>
      <c r="J1260" s="1737"/>
      <c r="K1260" s="1738"/>
      <c r="L1260" s="1738"/>
      <c r="M1260" s="1739"/>
    </row>
    <row r="1261" spans="9:13">
      <c r="I1261" s="1736"/>
      <c r="J1261" s="1737"/>
      <c r="K1261" s="1738"/>
      <c r="L1261" s="1738"/>
      <c r="M1261" s="1739"/>
    </row>
    <row r="1262" spans="9:13">
      <c r="I1262" s="1736"/>
      <c r="J1262" s="1737"/>
      <c r="K1262" s="1738"/>
      <c r="L1262" s="1738"/>
      <c r="M1262" s="1739"/>
    </row>
    <row r="1263" spans="9:13">
      <c r="I1263" s="1736"/>
      <c r="J1263" s="1737"/>
      <c r="K1263" s="1738"/>
      <c r="L1263" s="1738"/>
      <c r="M1263" s="1739"/>
    </row>
    <row r="1264" spans="9:13">
      <c r="I1264" s="1736"/>
      <c r="J1264" s="1737"/>
      <c r="K1264" s="1738"/>
      <c r="L1264" s="1738"/>
      <c r="M1264" s="1739"/>
    </row>
    <row r="1265" spans="9:13">
      <c r="I1265" s="1736"/>
      <c r="J1265" s="1737"/>
      <c r="K1265" s="1738"/>
      <c r="L1265" s="1738"/>
      <c r="M1265" s="1739"/>
    </row>
    <row r="1266" spans="9:13">
      <c r="I1266" s="1736"/>
      <c r="J1266" s="1737"/>
      <c r="K1266" s="1738"/>
      <c r="L1266" s="1738"/>
      <c r="M1266" s="1739"/>
    </row>
    <row r="1267" spans="9:13">
      <c r="I1267" s="1736"/>
      <c r="J1267" s="1737"/>
      <c r="K1267" s="1738"/>
      <c r="L1267" s="1738"/>
      <c r="M1267" s="1739"/>
    </row>
    <row r="1268" spans="9:13">
      <c r="I1268" s="1736"/>
      <c r="J1268" s="1737"/>
      <c r="K1268" s="1738"/>
      <c r="L1268" s="1738"/>
      <c r="M1268" s="1739"/>
    </row>
    <row r="1269" spans="9:13">
      <c r="I1269" s="1736"/>
      <c r="J1269" s="1737"/>
      <c r="K1269" s="1738"/>
      <c r="L1269" s="1738"/>
      <c r="M1269" s="1739"/>
    </row>
    <row r="1270" spans="9:13">
      <c r="I1270" s="1736"/>
      <c r="J1270" s="1737"/>
      <c r="K1270" s="1738"/>
      <c r="L1270" s="1738"/>
      <c r="M1270" s="1739"/>
    </row>
    <row r="1271" spans="9:13">
      <c r="I1271" s="1736"/>
      <c r="J1271" s="1737"/>
      <c r="K1271" s="1738"/>
      <c r="L1271" s="1738"/>
      <c r="M1271" s="1739"/>
    </row>
    <row r="1272" spans="9:13">
      <c r="I1272" s="1736"/>
      <c r="J1272" s="1737"/>
      <c r="K1272" s="1738"/>
      <c r="L1272" s="1738"/>
      <c r="M1272" s="1739"/>
    </row>
    <row r="1273" spans="9:13">
      <c r="I1273" s="1736"/>
      <c r="J1273" s="1737"/>
      <c r="K1273" s="1738"/>
      <c r="L1273" s="1738"/>
      <c r="M1273" s="1739"/>
    </row>
    <row r="1274" spans="9:13">
      <c r="I1274" s="1736"/>
      <c r="J1274" s="1737"/>
      <c r="K1274" s="1738"/>
      <c r="L1274" s="1738"/>
      <c r="M1274" s="1739"/>
    </row>
    <row r="1275" spans="9:13">
      <c r="I1275" s="1736"/>
      <c r="J1275" s="1737"/>
      <c r="K1275" s="1738"/>
      <c r="L1275" s="1738"/>
      <c r="M1275" s="1739"/>
    </row>
    <row r="1276" spans="9:13">
      <c r="I1276" s="1736"/>
      <c r="J1276" s="1737"/>
      <c r="K1276" s="1738"/>
      <c r="L1276" s="1738"/>
      <c r="M1276" s="1739"/>
    </row>
    <row r="1277" spans="9:13">
      <c r="I1277" s="1736"/>
      <c r="J1277" s="1737"/>
      <c r="K1277" s="1738"/>
      <c r="L1277" s="1738"/>
      <c r="M1277" s="1739"/>
    </row>
    <row r="1278" spans="9:13">
      <c r="I1278" s="1736"/>
      <c r="J1278" s="1737"/>
      <c r="K1278" s="1738"/>
      <c r="L1278" s="1738"/>
      <c r="M1278" s="1739"/>
    </row>
    <row r="1279" spans="9:13">
      <c r="I1279" s="1736"/>
      <c r="J1279" s="1737"/>
      <c r="K1279" s="1738"/>
      <c r="L1279" s="1738"/>
      <c r="M1279" s="1739"/>
    </row>
    <row r="1280" spans="9:13">
      <c r="I1280" s="1736"/>
      <c r="J1280" s="1737"/>
      <c r="K1280" s="1738"/>
      <c r="L1280" s="1738"/>
      <c r="M1280" s="1739"/>
    </row>
    <row r="1281" spans="9:13">
      <c r="I1281" s="1736"/>
      <c r="J1281" s="1737"/>
      <c r="K1281" s="1738"/>
      <c r="L1281" s="1738"/>
      <c r="M1281" s="1739"/>
    </row>
    <row r="1282" spans="9:13">
      <c r="I1282" s="1736"/>
      <c r="J1282" s="1737"/>
      <c r="K1282" s="1738"/>
      <c r="L1282" s="1738"/>
      <c r="M1282" s="1739"/>
    </row>
    <row r="1283" spans="9:13">
      <c r="I1283" s="1736"/>
      <c r="J1283" s="1737"/>
      <c r="K1283" s="1738"/>
      <c r="L1283" s="1738"/>
      <c r="M1283" s="1739"/>
    </row>
    <row r="1284" spans="9:13">
      <c r="I1284" s="1736"/>
      <c r="J1284" s="1737"/>
      <c r="K1284" s="1738"/>
      <c r="L1284" s="1738"/>
      <c r="M1284" s="1739"/>
    </row>
    <row r="1285" spans="9:13">
      <c r="I1285" s="1736"/>
      <c r="J1285" s="1737"/>
      <c r="K1285" s="1738"/>
      <c r="L1285" s="1738"/>
      <c r="M1285" s="1739"/>
    </row>
    <row r="1286" spans="9:13">
      <c r="I1286" s="1736"/>
      <c r="J1286" s="1737"/>
      <c r="K1286" s="1738"/>
      <c r="L1286" s="1738"/>
      <c r="M1286" s="1739"/>
    </row>
    <row r="1287" spans="9:13">
      <c r="I1287" s="1736"/>
      <c r="J1287" s="1737"/>
      <c r="K1287" s="1738"/>
      <c r="L1287" s="1738"/>
      <c r="M1287" s="1739"/>
    </row>
    <row r="1288" spans="9:13">
      <c r="I1288" s="1736"/>
      <c r="J1288" s="1737"/>
      <c r="K1288" s="1738"/>
      <c r="L1288" s="1738"/>
      <c r="M1288" s="1739"/>
    </row>
    <row r="1289" spans="9:13">
      <c r="I1289" s="1736"/>
      <c r="J1289" s="1737"/>
      <c r="K1289" s="1738"/>
      <c r="L1289" s="1738"/>
      <c r="M1289" s="1739"/>
    </row>
    <row r="1290" spans="9:13">
      <c r="I1290" s="1736"/>
      <c r="J1290" s="1737"/>
      <c r="K1290" s="1738"/>
      <c r="L1290" s="1738"/>
      <c r="M1290" s="1739"/>
    </row>
    <row r="1291" spans="9:13">
      <c r="I1291" s="1736"/>
      <c r="J1291" s="1737"/>
      <c r="K1291" s="1738"/>
      <c r="L1291" s="1738"/>
      <c r="M1291" s="1739"/>
    </row>
    <row r="1292" spans="9:13">
      <c r="I1292" s="1736"/>
      <c r="J1292" s="1737"/>
      <c r="K1292" s="1738"/>
      <c r="L1292" s="1738"/>
      <c r="M1292" s="1739"/>
    </row>
  </sheetData>
  <sheetProtection algorithmName="SHA-512" hashValue="u7Ecv2EN5w+ZweEDzNrovs3nsCzMNXF+W0ZdnAbulwujocr6NveuWUfuu0Nmz+9PpxYUxchi4n/usKramLDWFw==" saltValue="IFsyvvdotjJEPTPCBMKixw==" spinCount="100000" sheet="1" autoFilter="0"/>
  <autoFilter ref="I3:L965" xr:uid="{00000000-0009-0000-0000-000009000000}"/>
  <mergeCells count="1">
    <mergeCell ref="A1:B1"/>
  </mergeCells>
  <phoneticPr fontId="15"/>
  <pageMargins left="0.7" right="0.7" top="0.75" bottom="0.75" header="0.3" footer="0.3"/>
  <pageSetup paperSize="9" scale="51" fitToHeight="0"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9">
    <outlinePr summaryBelow="0" summaryRight="0"/>
    <pageSetUpPr fitToPage="1"/>
  </sheetPr>
  <dimension ref="B1:BM111"/>
  <sheetViews>
    <sheetView showGridLines="0" zoomScaleNormal="100" workbookViewId="0">
      <selection activeCell="B6" sqref="B6"/>
    </sheetView>
  </sheetViews>
  <sheetFormatPr defaultColWidth="8.875" defaultRowHeight="13.5" outlineLevelRow="1"/>
  <cols>
    <col min="1" max="1" width="2.125" style="561" customWidth="1"/>
    <col min="2" max="2" width="5.25" style="561" customWidth="1"/>
    <col min="3" max="3" width="8.875" style="561"/>
    <col min="4" max="4" width="5.75" style="561" customWidth="1"/>
    <col min="5" max="5" width="12.25" style="561" customWidth="1"/>
    <col min="6" max="7" width="7.5" style="561" customWidth="1"/>
    <col min="8" max="9" width="5.625" style="561" customWidth="1"/>
    <col min="10" max="10" width="10.5" style="561" customWidth="1"/>
    <col min="11" max="62" width="8.875" style="561"/>
    <col min="63" max="64" width="8.875" style="561" hidden="1" customWidth="1"/>
    <col min="65" max="16384" width="8.875" style="561"/>
  </cols>
  <sheetData>
    <row r="1" spans="2:17" ht="19.149999999999999" customHeight="1">
      <c r="B1" s="640" t="s">
        <v>4298</v>
      </c>
      <c r="Q1" s="1173" t="str">
        <f>はじめに!P1</f>
        <v>2024年度提出用（2023年度実績値）</v>
      </c>
    </row>
    <row r="2" spans="2:17" collapsed="1"/>
    <row r="3" spans="2:17" ht="13.15" hidden="1" customHeight="1" outlineLevel="1"/>
    <row r="4" spans="2:17" ht="14.45" hidden="1" customHeight="1" outlineLevel="1"/>
    <row r="5" spans="2:17" ht="13.15" hidden="1" customHeight="1" outlineLevel="1"/>
    <row r="6" spans="2:17" ht="13.15" hidden="1" customHeight="1" outlineLevel="1"/>
    <row r="7" spans="2:17" ht="13.15" hidden="1" customHeight="1" outlineLevel="1"/>
    <row r="8" spans="2:17" ht="14.45" hidden="1" customHeight="1" outlineLevel="1"/>
    <row r="9" spans="2:17" ht="13.15" hidden="1" customHeight="1" outlineLevel="1"/>
    <row r="10" spans="2:17" ht="13.15" hidden="1" customHeight="1" outlineLevel="1"/>
    <row r="11" spans="2:17" ht="13.15" hidden="1" customHeight="1" outlineLevel="1"/>
    <row r="12" spans="2:17" ht="14.45" hidden="1" customHeight="1" outlineLevel="1"/>
    <row r="13" spans="2:17" ht="13.15" hidden="1" customHeight="1" outlineLevel="1"/>
    <row r="14" spans="2:17" ht="13.15" hidden="1" customHeight="1" outlineLevel="1"/>
    <row r="15" spans="2:17" ht="13.15" hidden="1" customHeight="1" outlineLevel="1"/>
    <row r="16" spans="2:17" ht="13.15" customHeight="1" collapsed="1"/>
    <row r="17" spans="2:65" ht="13.15" customHeight="1"/>
    <row r="18" spans="2:65" ht="14.25">
      <c r="B18" s="2250" t="s">
        <v>4096</v>
      </c>
      <c r="C18" s="2251"/>
      <c r="D18" s="2251"/>
      <c r="E18" s="2251"/>
      <c r="F18" s="2252"/>
      <c r="G18" s="641">
        <f>'使用量_1,2'!H18</f>
        <v>0</v>
      </c>
      <c r="H18" s="642" t="s">
        <v>2680</v>
      </c>
    </row>
    <row r="19" spans="2:65" ht="14.25">
      <c r="B19" s="1973" t="s">
        <v>2679</v>
      </c>
      <c r="C19" s="1973"/>
      <c r="D19" s="1973"/>
      <c r="E19" s="1973"/>
      <c r="F19" s="1973"/>
      <c r="G19" s="641">
        <f>'使用量_1,2'!H19</f>
        <v>0</v>
      </c>
      <c r="H19" s="642" t="s">
        <v>2680</v>
      </c>
    </row>
    <row r="21" spans="2:65" ht="13.15" hidden="1" customHeight="1">
      <c r="B21" s="1973" t="s">
        <v>2747</v>
      </c>
      <c r="C21" s="1973"/>
      <c r="D21" s="1973"/>
      <c r="E21" s="1973"/>
      <c r="F21" s="1973"/>
      <c r="G21" s="641" t="b">
        <f>IF('使用量_1,2'!I14=1,0,IF('使用量_1,2'!I14=2,1,IF('使用量_1,2'!I14=3,2)))</f>
        <v>0</v>
      </c>
      <c r="H21" s="643" t="s">
        <v>2734</v>
      </c>
    </row>
    <row r="22" spans="2:65" hidden="1"/>
    <row r="23" spans="2:65" hidden="1"/>
    <row r="25" spans="2:65" ht="13.15" customHeight="1"/>
    <row r="26" spans="2:65" ht="20.45" customHeight="1">
      <c r="B26" s="1980" t="s">
        <v>4415</v>
      </c>
      <c r="C26" s="1980"/>
      <c r="D26" s="1980"/>
      <c r="E26" s="1980"/>
      <c r="F26" s="1980"/>
      <c r="G26" s="1980"/>
      <c r="H26" s="1980"/>
      <c r="I26" s="1980"/>
      <c r="J26" s="1980"/>
      <c r="K26" s="1980"/>
      <c r="L26" s="1980"/>
      <c r="M26" s="1980"/>
      <c r="N26" s="1980"/>
      <c r="O26" s="1980"/>
      <c r="P26" s="1980"/>
      <c r="Q26" s="619"/>
      <c r="R26" s="619"/>
      <c r="S26" s="619"/>
      <c r="T26" s="619"/>
      <c r="U26" s="619"/>
      <c r="V26" s="619"/>
      <c r="W26" s="619"/>
      <c r="X26" s="619"/>
      <c r="Y26" s="619"/>
      <c r="Z26" s="619"/>
      <c r="AA26" s="619"/>
      <c r="AB26" s="619"/>
      <c r="AC26" s="619"/>
      <c r="AD26" s="619"/>
      <c r="AE26" s="619"/>
      <c r="AF26" s="619"/>
      <c r="AG26" s="619"/>
      <c r="AH26" s="619"/>
      <c r="AI26" s="619"/>
      <c r="AJ26" s="619"/>
      <c r="AK26" s="619"/>
      <c r="AL26" s="619"/>
      <c r="AM26" s="619"/>
      <c r="AN26" s="619"/>
      <c r="AO26" s="619"/>
      <c r="AP26" s="619"/>
      <c r="AQ26" s="619"/>
      <c r="AR26" s="619"/>
      <c r="AS26" s="619"/>
      <c r="AT26" s="619"/>
      <c r="AU26" s="619"/>
      <c r="AV26" s="619"/>
      <c r="AW26" s="619"/>
      <c r="AX26" s="619"/>
      <c r="AY26" s="619"/>
      <c r="AZ26" s="619"/>
      <c r="BA26" s="619"/>
      <c r="BB26" s="612"/>
      <c r="BD26" s="563"/>
      <c r="BE26" s="560"/>
      <c r="BF26" s="560"/>
      <c r="BH26" s="563"/>
      <c r="BI26" s="560"/>
      <c r="BJ26" s="560"/>
      <c r="BK26" s="617">
        <v>8</v>
      </c>
      <c r="BL26" s="561" t="e">
        <f>IF(#REF!="",IF($O$15&lt;BK26,"OK","NG"),IF($O$15&gt;=BK26,"OK","NG"))</f>
        <v>#REF!</v>
      </c>
      <c r="BM26" s="616"/>
    </row>
    <row r="28" spans="2:65" ht="19.899999999999999" hidden="1" customHeight="1">
      <c r="J28" s="1154"/>
      <c r="K28" s="1132">
        <v>1</v>
      </c>
      <c r="L28" s="1133">
        <v>2</v>
      </c>
      <c r="M28" s="1134">
        <v>3</v>
      </c>
      <c r="N28" s="1104">
        <v>4</v>
      </c>
      <c r="O28" s="1104">
        <v>5</v>
      </c>
      <c r="P28" s="1104">
        <v>6</v>
      </c>
      <c r="Q28" s="1104">
        <v>7</v>
      </c>
      <c r="R28" s="1104">
        <v>8</v>
      </c>
      <c r="S28" s="1104">
        <v>9</v>
      </c>
      <c r="T28" s="1104">
        <v>10</v>
      </c>
      <c r="U28" s="1104">
        <v>11</v>
      </c>
      <c r="V28" s="1104">
        <v>12</v>
      </c>
      <c r="W28" s="1104">
        <v>13</v>
      </c>
      <c r="X28" s="1104">
        <v>14</v>
      </c>
      <c r="Y28" s="1104">
        <v>15</v>
      </c>
      <c r="Z28" s="1104">
        <v>16</v>
      </c>
      <c r="AA28" s="1104">
        <v>17</v>
      </c>
      <c r="AB28" s="1104">
        <v>18</v>
      </c>
      <c r="AC28" s="1104">
        <v>19</v>
      </c>
      <c r="AD28" s="1104">
        <v>20</v>
      </c>
      <c r="AE28" s="1104">
        <v>21</v>
      </c>
      <c r="AF28" s="1104">
        <v>22</v>
      </c>
      <c r="AG28" s="1104">
        <v>23</v>
      </c>
      <c r="AH28" s="1104">
        <v>24</v>
      </c>
      <c r="AI28" s="1104">
        <v>25</v>
      </c>
      <c r="AJ28" s="1104">
        <v>26</v>
      </c>
      <c r="AK28" s="1104">
        <v>27</v>
      </c>
      <c r="AL28" s="1104">
        <v>28</v>
      </c>
      <c r="AM28" s="1104">
        <v>29</v>
      </c>
      <c r="AN28" s="1104">
        <v>30</v>
      </c>
      <c r="AO28" s="1104">
        <v>31</v>
      </c>
      <c r="AP28" s="1104">
        <v>32</v>
      </c>
      <c r="AQ28" s="1104">
        <v>33</v>
      </c>
      <c r="AR28" s="1104">
        <v>34</v>
      </c>
      <c r="AS28" s="1104">
        <v>35</v>
      </c>
      <c r="AT28" s="1104">
        <v>36</v>
      </c>
      <c r="AU28" s="1104">
        <v>37</v>
      </c>
      <c r="AV28" s="1104">
        <v>38</v>
      </c>
      <c r="AW28" s="1104">
        <v>39</v>
      </c>
      <c r="AX28" s="1104">
        <v>40</v>
      </c>
      <c r="AY28" s="1104">
        <v>41</v>
      </c>
      <c r="AZ28" s="1104">
        <v>42</v>
      </c>
      <c r="BA28" s="1104">
        <v>43</v>
      </c>
    </row>
    <row r="29" spans="2:65" ht="19.899999999999999" customHeight="1">
      <c r="B29" s="1191"/>
      <c r="C29" s="1192"/>
      <c r="D29" s="1192"/>
      <c r="E29" s="1192"/>
      <c r="F29" s="1192"/>
      <c r="G29" s="1192"/>
      <c r="H29" s="1187"/>
      <c r="I29" s="1185"/>
      <c r="J29" s="2253" t="s">
        <v>4299</v>
      </c>
      <c r="K29" s="1957" t="s">
        <v>4491</v>
      </c>
      <c r="L29" s="1958"/>
      <c r="M29" s="1959"/>
      <c r="N29" s="1140" t="s">
        <v>2736</v>
      </c>
      <c r="O29" s="1141"/>
      <c r="P29" s="1141"/>
      <c r="Q29" s="1141"/>
      <c r="R29" s="1141"/>
      <c r="S29" s="1141"/>
      <c r="T29" s="1141"/>
      <c r="U29" s="1141"/>
      <c r="V29" s="1142"/>
      <c r="W29" s="1141"/>
      <c r="X29" s="1142"/>
      <c r="Y29" s="1141"/>
      <c r="Z29" s="1142"/>
      <c r="AA29" s="1141"/>
      <c r="AB29" s="1142"/>
      <c r="AC29" s="1141"/>
      <c r="AD29" s="1142"/>
      <c r="AE29" s="1141"/>
      <c r="AF29" s="1142"/>
      <c r="AG29" s="1141"/>
      <c r="AH29" s="1142"/>
      <c r="AI29" s="1141"/>
      <c r="AJ29" s="1142"/>
      <c r="AK29" s="1141"/>
      <c r="AL29" s="1142"/>
      <c r="AM29" s="1141"/>
      <c r="AN29" s="1142"/>
      <c r="AO29" s="1141"/>
      <c r="AP29" s="1142"/>
      <c r="AQ29" s="1141"/>
      <c r="AR29" s="1142"/>
      <c r="AS29" s="1141"/>
      <c r="AT29" s="1142"/>
      <c r="AU29" s="1141"/>
      <c r="AV29" s="1142"/>
      <c r="AW29" s="1141"/>
      <c r="AX29" s="1142"/>
      <c r="AY29" s="1141"/>
      <c r="AZ29" s="1142"/>
      <c r="BA29" s="1141"/>
    </row>
    <row r="30" spans="2:65" ht="45" customHeight="1">
      <c r="B30" s="1193"/>
      <c r="C30" s="1194"/>
      <c r="D30" s="1194"/>
      <c r="E30" s="1194"/>
      <c r="F30" s="1194"/>
      <c r="G30" s="1194"/>
      <c r="H30" s="1195"/>
      <c r="I30" s="1196"/>
      <c r="J30" s="2254"/>
      <c r="K30" s="1960"/>
      <c r="L30" s="1961"/>
      <c r="M30" s="1962"/>
      <c r="N30" s="1135" t="str">
        <f>'使用量_1,2'!N30&amp;""</f>
        <v>事業所名を入力1</v>
      </c>
      <c r="O30" s="1135" t="str">
        <f>'使用量_1,2'!O30&amp;""</f>
        <v>事業所名を入力2</v>
      </c>
      <c r="P30" s="1135" t="str">
        <f>'使用量_1,2'!P30&amp;""</f>
        <v>事業所名を入力3</v>
      </c>
      <c r="Q30" s="1135" t="str">
        <f>'使用量_1,2'!Q30&amp;""</f>
        <v>事業所名を入力4</v>
      </c>
      <c r="R30" s="1135" t="str">
        <f>'使用量_1,2'!R30&amp;""</f>
        <v>事業所名を入力5</v>
      </c>
      <c r="S30" s="1135" t="str">
        <f>'使用量_1,2'!S30&amp;""</f>
        <v>事業所名を入力6</v>
      </c>
      <c r="T30" s="1135" t="str">
        <f>'使用量_1,2'!T30&amp;""</f>
        <v>事業所名を入力7</v>
      </c>
      <c r="U30" s="1135" t="str">
        <f>'使用量_1,2'!U30&amp;""</f>
        <v>事業所名を入力8</v>
      </c>
      <c r="V30" s="1135" t="str">
        <f>'使用量_1,2'!V30&amp;""</f>
        <v>事業所名を入力9</v>
      </c>
      <c r="W30" s="1135" t="str">
        <f>'使用量_1,2'!W30&amp;""</f>
        <v>事業所名を入力10</v>
      </c>
      <c r="X30" s="1135" t="str">
        <f>'使用量_1,2'!X30&amp;""</f>
        <v>事業所名を入力11</v>
      </c>
      <c r="Y30" s="1135" t="str">
        <f>'使用量_1,2'!Y30&amp;""</f>
        <v>事業所名を入力12</v>
      </c>
      <c r="Z30" s="1135" t="str">
        <f>'使用量_1,2'!Z30&amp;""</f>
        <v>事業所名を入力13</v>
      </c>
      <c r="AA30" s="1135" t="str">
        <f>'使用量_1,2'!AA30&amp;""</f>
        <v>事業所名を入力14</v>
      </c>
      <c r="AB30" s="1135" t="str">
        <f>'使用量_1,2'!AB30&amp;""</f>
        <v>事業所名を入力15</v>
      </c>
      <c r="AC30" s="1135" t="str">
        <f>'使用量_1,2'!AC30&amp;""</f>
        <v>事業所名を入力16</v>
      </c>
      <c r="AD30" s="1135" t="str">
        <f>'使用量_1,2'!AD30&amp;""</f>
        <v>事業所名を入力17</v>
      </c>
      <c r="AE30" s="1135" t="str">
        <f>'使用量_1,2'!AE30&amp;""</f>
        <v>事業所名を入力18</v>
      </c>
      <c r="AF30" s="1135" t="str">
        <f>'使用量_1,2'!AF30&amp;""</f>
        <v>事業所名を入力19</v>
      </c>
      <c r="AG30" s="1135" t="str">
        <f>'使用量_1,2'!AG30&amp;""</f>
        <v>事業所名を入力20</v>
      </c>
      <c r="AH30" s="1135" t="str">
        <f>'使用量_1,2'!AH30&amp;""</f>
        <v>事業所名を入力21</v>
      </c>
      <c r="AI30" s="1135" t="str">
        <f>'使用量_1,2'!AI30&amp;""</f>
        <v>事業所名を入力22</v>
      </c>
      <c r="AJ30" s="1135" t="str">
        <f>'使用量_1,2'!AJ30&amp;""</f>
        <v>事業所名を入力23</v>
      </c>
      <c r="AK30" s="1135" t="str">
        <f>'使用量_1,2'!AK30&amp;""</f>
        <v>事業所名を入力24</v>
      </c>
      <c r="AL30" s="1135" t="str">
        <f>'使用量_1,2'!AL30&amp;""</f>
        <v>事業所名を入力25</v>
      </c>
      <c r="AM30" s="1135" t="str">
        <f>'使用量_1,2'!AM30&amp;""</f>
        <v>事業所名を入力26</v>
      </c>
      <c r="AN30" s="1135" t="str">
        <f>'使用量_1,2'!AN30&amp;""</f>
        <v>事業所名を入力27</v>
      </c>
      <c r="AO30" s="1135" t="str">
        <f>'使用量_1,2'!AO30&amp;""</f>
        <v>事業所名を入力28</v>
      </c>
      <c r="AP30" s="1135" t="str">
        <f>'使用量_1,2'!AP30&amp;""</f>
        <v>事業所名を入力29</v>
      </c>
      <c r="AQ30" s="1135" t="str">
        <f>'使用量_1,2'!AQ30&amp;""</f>
        <v>事業所名を入力30</v>
      </c>
      <c r="AR30" s="1135" t="str">
        <f>'使用量_1,2'!AR30&amp;""</f>
        <v>事業所名を入力31</v>
      </c>
      <c r="AS30" s="1135" t="str">
        <f>'使用量_1,2'!AS30&amp;""</f>
        <v>事業所名を入力32</v>
      </c>
      <c r="AT30" s="1135" t="str">
        <f>'使用量_1,2'!AT30&amp;""</f>
        <v>事業所名を入力33</v>
      </c>
      <c r="AU30" s="1135" t="str">
        <f>'使用量_1,2'!AU30&amp;""</f>
        <v>事業所名を入力34</v>
      </c>
      <c r="AV30" s="1135" t="str">
        <f>'使用量_1,2'!AV30&amp;""</f>
        <v>事業所名を入力35</v>
      </c>
      <c r="AW30" s="1135" t="str">
        <f>'使用量_1,2'!AW30&amp;""</f>
        <v>事業所名を入力36</v>
      </c>
      <c r="AX30" s="1135" t="str">
        <f>'使用量_1,2'!AX30&amp;""</f>
        <v>事業所名を入力37</v>
      </c>
      <c r="AY30" s="1135" t="str">
        <f>'使用量_1,2'!AY30&amp;""</f>
        <v>事業所名を入力38</v>
      </c>
      <c r="AZ30" s="1135" t="str">
        <f>'使用量_1,2'!AZ30&amp;""</f>
        <v>事業所名を入力39</v>
      </c>
      <c r="BA30" s="1135" t="str">
        <f>'使用量_1,2'!BA30&amp;""</f>
        <v>事業所名を入力40</v>
      </c>
    </row>
    <row r="31" spans="2:65" ht="15" thickBot="1">
      <c r="B31" s="2255" t="s">
        <v>2737</v>
      </c>
      <c r="C31" s="2255"/>
      <c r="D31" s="2255"/>
      <c r="E31" s="2255"/>
      <c r="F31" s="2255"/>
      <c r="G31" s="2255"/>
      <c r="H31" s="2255"/>
      <c r="I31" s="1197" t="s">
        <v>2738</v>
      </c>
      <c r="J31" s="1199" t="s">
        <v>2739</v>
      </c>
      <c r="K31" s="1963"/>
      <c r="L31" s="1964"/>
      <c r="M31" s="1965"/>
      <c r="N31" s="1145" t="s">
        <v>4474</v>
      </c>
      <c r="O31" s="1143"/>
      <c r="P31" s="1143"/>
      <c r="Q31" s="1143"/>
      <c r="R31" s="1143"/>
      <c r="S31" s="1143"/>
      <c r="T31" s="1143"/>
      <c r="U31" s="1143"/>
      <c r="V31" s="1144"/>
      <c r="W31" s="1143"/>
      <c r="X31" s="1144"/>
      <c r="Y31" s="1143"/>
      <c r="Z31" s="1144"/>
      <c r="AA31" s="1143"/>
      <c r="AB31" s="1144"/>
      <c r="AC31" s="1143"/>
      <c r="AD31" s="1144"/>
      <c r="AE31" s="1143"/>
      <c r="AF31" s="1144"/>
      <c r="AG31" s="1143"/>
      <c r="AH31" s="1144"/>
      <c r="AI31" s="1143"/>
      <c r="AJ31" s="1144"/>
      <c r="AK31" s="1143"/>
      <c r="AL31" s="1144"/>
      <c r="AM31" s="1143"/>
      <c r="AN31" s="1144"/>
      <c r="AO31" s="1143"/>
      <c r="AP31" s="1144"/>
      <c r="AQ31" s="1143"/>
      <c r="AR31" s="1144"/>
      <c r="AS31" s="1143"/>
      <c r="AT31" s="1144"/>
      <c r="AU31" s="1143"/>
      <c r="AV31" s="1144"/>
      <c r="AW31" s="1143"/>
      <c r="AX31" s="1144"/>
      <c r="AY31" s="1143"/>
      <c r="AZ31" s="1144"/>
      <c r="BA31" s="1143"/>
    </row>
    <row r="32" spans="2:65" ht="15" thickTop="1">
      <c r="B32" s="1944" t="s">
        <v>2686</v>
      </c>
      <c r="C32" s="1966" t="s">
        <v>2687</v>
      </c>
      <c r="D32" s="1967"/>
      <c r="E32" s="1967"/>
      <c r="F32" s="1967"/>
      <c r="G32" s="1967"/>
      <c r="H32" s="1968"/>
      <c r="I32" s="623" t="str">
        <f>係数!I32</f>
        <v>kL</v>
      </c>
      <c r="J32" s="881"/>
      <c r="K32" s="720"/>
      <c r="L32" s="624"/>
      <c r="M32" s="625"/>
      <c r="N32" s="1146"/>
      <c r="O32" s="627"/>
      <c r="P32" s="627"/>
      <c r="Q32" s="627"/>
      <c r="R32" s="627"/>
      <c r="S32" s="627"/>
      <c r="T32" s="627"/>
      <c r="U32" s="627"/>
      <c r="V32" s="627"/>
      <c r="W32" s="627"/>
      <c r="X32" s="627"/>
      <c r="Y32" s="627"/>
      <c r="Z32" s="627"/>
      <c r="AA32" s="627"/>
      <c r="AB32" s="627"/>
      <c r="AC32" s="627"/>
      <c r="AD32" s="627"/>
      <c r="AE32" s="627"/>
      <c r="AF32" s="627"/>
      <c r="AG32" s="627"/>
      <c r="AH32" s="627"/>
      <c r="AI32" s="627"/>
      <c r="AJ32" s="627"/>
      <c r="AK32" s="627"/>
      <c r="AL32" s="627"/>
      <c r="AM32" s="627"/>
      <c r="AN32" s="627"/>
      <c r="AO32" s="627"/>
      <c r="AP32" s="627"/>
      <c r="AQ32" s="627"/>
      <c r="AR32" s="627"/>
      <c r="AS32" s="627"/>
      <c r="AT32" s="627"/>
      <c r="AU32" s="627"/>
      <c r="AV32" s="627"/>
      <c r="AW32" s="627"/>
      <c r="AX32" s="627"/>
      <c r="AY32" s="627"/>
      <c r="AZ32" s="627"/>
      <c r="BA32" s="627"/>
    </row>
    <row r="33" spans="2:53" ht="14.25">
      <c r="B33" s="1940"/>
      <c r="C33" s="1966" t="s">
        <v>2691</v>
      </c>
      <c r="D33" s="1967"/>
      <c r="E33" s="1967"/>
      <c r="F33" s="1967"/>
      <c r="G33" s="1967"/>
      <c r="H33" s="1968"/>
      <c r="I33" s="623" t="str">
        <f>係数!I33</f>
        <v>kL</v>
      </c>
      <c r="J33" s="881"/>
      <c r="K33" s="721"/>
      <c r="L33" s="629"/>
      <c r="M33" s="630"/>
      <c r="N33" s="1147"/>
      <c r="O33" s="632"/>
      <c r="P33" s="632"/>
      <c r="Q33" s="632"/>
      <c r="R33" s="632"/>
      <c r="S33" s="632"/>
      <c r="T33" s="632"/>
      <c r="U33" s="632"/>
      <c r="V33" s="632"/>
      <c r="W33" s="632"/>
      <c r="X33" s="632"/>
      <c r="Y33" s="632"/>
      <c r="Z33" s="632"/>
      <c r="AA33" s="632"/>
      <c r="AB33" s="632"/>
      <c r="AC33" s="632"/>
      <c r="AD33" s="632"/>
      <c r="AE33" s="632"/>
      <c r="AF33" s="632"/>
      <c r="AG33" s="632"/>
      <c r="AH33" s="632"/>
      <c r="AI33" s="632"/>
      <c r="AJ33" s="632"/>
      <c r="AK33" s="632"/>
      <c r="AL33" s="632"/>
      <c r="AM33" s="632"/>
      <c r="AN33" s="632"/>
      <c r="AO33" s="632"/>
      <c r="AP33" s="632"/>
      <c r="AQ33" s="632"/>
      <c r="AR33" s="632"/>
      <c r="AS33" s="632"/>
      <c r="AT33" s="632"/>
      <c r="AU33" s="632"/>
      <c r="AV33" s="632"/>
      <c r="AW33" s="632"/>
      <c r="AX33" s="632"/>
      <c r="AY33" s="632"/>
      <c r="AZ33" s="632"/>
      <c r="BA33" s="632"/>
    </row>
    <row r="34" spans="2:53" ht="14.25">
      <c r="B34" s="1940"/>
      <c r="C34" s="1966" t="s">
        <v>2692</v>
      </c>
      <c r="D34" s="1967"/>
      <c r="E34" s="1967"/>
      <c r="F34" s="1967"/>
      <c r="G34" s="1967"/>
      <c r="H34" s="1968"/>
      <c r="I34" s="623" t="str">
        <f>係数!I34</f>
        <v>kL</v>
      </c>
      <c r="J34" s="881"/>
      <c r="K34" s="721"/>
      <c r="L34" s="629"/>
      <c r="M34" s="630"/>
      <c r="N34" s="1147"/>
      <c r="O34" s="632"/>
      <c r="P34" s="632"/>
      <c r="Q34" s="632"/>
      <c r="R34" s="632"/>
      <c r="S34" s="632"/>
      <c r="T34" s="632"/>
      <c r="U34" s="632"/>
      <c r="V34" s="632"/>
      <c r="W34" s="632"/>
      <c r="X34" s="632"/>
      <c r="Y34" s="632"/>
      <c r="Z34" s="632"/>
      <c r="AA34" s="632"/>
      <c r="AB34" s="632"/>
      <c r="AC34" s="632"/>
      <c r="AD34" s="632"/>
      <c r="AE34" s="632"/>
      <c r="AF34" s="632"/>
      <c r="AG34" s="632"/>
      <c r="AH34" s="632"/>
      <c r="AI34" s="632"/>
      <c r="AJ34" s="632"/>
      <c r="AK34" s="632"/>
      <c r="AL34" s="632"/>
      <c r="AM34" s="632"/>
      <c r="AN34" s="632"/>
      <c r="AO34" s="632"/>
      <c r="AP34" s="632"/>
      <c r="AQ34" s="632"/>
      <c r="AR34" s="632"/>
      <c r="AS34" s="632"/>
      <c r="AT34" s="632"/>
      <c r="AU34" s="632"/>
      <c r="AV34" s="632"/>
      <c r="AW34" s="632"/>
      <c r="AX34" s="632"/>
      <c r="AY34" s="632"/>
      <c r="AZ34" s="632"/>
      <c r="BA34" s="632"/>
    </row>
    <row r="35" spans="2:53" ht="14.25">
      <c r="B35" s="1940"/>
      <c r="C35" s="1966" t="s">
        <v>2693</v>
      </c>
      <c r="D35" s="1967"/>
      <c r="E35" s="1967"/>
      <c r="F35" s="1967"/>
      <c r="G35" s="1967"/>
      <c r="H35" s="1968"/>
      <c r="I35" s="623" t="str">
        <f>係数!I35</f>
        <v>kL</v>
      </c>
      <c r="J35" s="881"/>
      <c r="K35" s="721"/>
      <c r="L35" s="629"/>
      <c r="M35" s="630"/>
      <c r="N35" s="1147"/>
      <c r="O35" s="632"/>
      <c r="P35" s="632"/>
      <c r="Q35" s="632"/>
      <c r="R35" s="632"/>
      <c r="S35" s="632"/>
      <c r="T35" s="632"/>
      <c r="U35" s="632"/>
      <c r="V35" s="632"/>
      <c r="W35" s="632"/>
      <c r="X35" s="632"/>
      <c r="Y35" s="632"/>
      <c r="Z35" s="632"/>
      <c r="AA35" s="632"/>
      <c r="AB35" s="632"/>
      <c r="AC35" s="632"/>
      <c r="AD35" s="632"/>
      <c r="AE35" s="632"/>
      <c r="AF35" s="632"/>
      <c r="AG35" s="632"/>
      <c r="AH35" s="632"/>
      <c r="AI35" s="632"/>
      <c r="AJ35" s="632"/>
      <c r="AK35" s="632"/>
      <c r="AL35" s="632"/>
      <c r="AM35" s="632"/>
      <c r="AN35" s="632"/>
      <c r="AO35" s="632"/>
      <c r="AP35" s="632"/>
      <c r="AQ35" s="632"/>
      <c r="AR35" s="632"/>
      <c r="AS35" s="632"/>
      <c r="AT35" s="632"/>
      <c r="AU35" s="632"/>
      <c r="AV35" s="632"/>
      <c r="AW35" s="632"/>
      <c r="AX35" s="632"/>
      <c r="AY35" s="632"/>
      <c r="AZ35" s="632"/>
      <c r="BA35" s="632"/>
    </row>
    <row r="36" spans="2:53" ht="14.25">
      <c r="B36" s="1940"/>
      <c r="C36" s="1945" t="s">
        <v>2694</v>
      </c>
      <c r="D36" s="1946"/>
      <c r="E36" s="1946"/>
      <c r="F36" s="1946"/>
      <c r="G36" s="1946"/>
      <c r="H36" s="1947"/>
      <c r="I36" s="623" t="str">
        <f>係数!I36</f>
        <v>kL</v>
      </c>
      <c r="J36" s="882"/>
      <c r="K36" s="721"/>
      <c r="L36" s="629"/>
      <c r="M36" s="630"/>
      <c r="N36" s="1147"/>
      <c r="O36" s="632"/>
      <c r="P36" s="632"/>
      <c r="Q36" s="632"/>
      <c r="R36" s="632"/>
      <c r="S36" s="632"/>
      <c r="T36" s="632"/>
      <c r="U36" s="632"/>
      <c r="V36" s="632"/>
      <c r="W36" s="632"/>
      <c r="X36" s="632"/>
      <c r="Y36" s="632"/>
      <c r="Z36" s="632"/>
      <c r="AA36" s="632"/>
      <c r="AB36" s="632"/>
      <c r="AC36" s="632"/>
      <c r="AD36" s="632"/>
      <c r="AE36" s="632"/>
      <c r="AF36" s="632"/>
      <c r="AG36" s="632"/>
      <c r="AH36" s="632"/>
      <c r="AI36" s="632"/>
      <c r="AJ36" s="632"/>
      <c r="AK36" s="632"/>
      <c r="AL36" s="632"/>
      <c r="AM36" s="632"/>
      <c r="AN36" s="632"/>
      <c r="AO36" s="632"/>
      <c r="AP36" s="632"/>
      <c r="AQ36" s="632"/>
      <c r="AR36" s="632"/>
      <c r="AS36" s="632"/>
      <c r="AT36" s="632"/>
      <c r="AU36" s="632"/>
      <c r="AV36" s="632"/>
      <c r="AW36" s="632"/>
      <c r="AX36" s="632"/>
      <c r="AY36" s="632"/>
      <c r="AZ36" s="632"/>
      <c r="BA36" s="632"/>
    </row>
    <row r="37" spans="2:53" ht="14.25">
      <c r="B37" s="1940"/>
      <c r="C37" s="1945" t="s">
        <v>2695</v>
      </c>
      <c r="D37" s="1946"/>
      <c r="E37" s="1946"/>
      <c r="F37" s="1946"/>
      <c r="G37" s="1946"/>
      <c r="H37" s="1947"/>
      <c r="I37" s="623" t="str">
        <f>係数!I37</f>
        <v>kL</v>
      </c>
      <c r="J37" s="882"/>
      <c r="K37" s="721"/>
      <c r="L37" s="629"/>
      <c r="M37" s="630"/>
      <c r="N37" s="1147"/>
      <c r="O37" s="632"/>
      <c r="P37" s="632"/>
      <c r="Q37" s="632"/>
      <c r="R37" s="632"/>
      <c r="S37" s="632"/>
      <c r="T37" s="632"/>
      <c r="U37" s="632"/>
      <c r="V37" s="632"/>
      <c r="W37" s="632"/>
      <c r="X37" s="632"/>
      <c r="Y37" s="632"/>
      <c r="Z37" s="632"/>
      <c r="AA37" s="632"/>
      <c r="AB37" s="632"/>
      <c r="AC37" s="632"/>
      <c r="AD37" s="632"/>
      <c r="AE37" s="632"/>
      <c r="AF37" s="632"/>
      <c r="AG37" s="632"/>
      <c r="AH37" s="632"/>
      <c r="AI37" s="632"/>
      <c r="AJ37" s="632"/>
      <c r="AK37" s="632"/>
      <c r="AL37" s="632"/>
      <c r="AM37" s="632"/>
      <c r="AN37" s="632"/>
      <c r="AO37" s="632"/>
      <c r="AP37" s="632"/>
      <c r="AQ37" s="632"/>
      <c r="AR37" s="632"/>
      <c r="AS37" s="632"/>
      <c r="AT37" s="632"/>
      <c r="AU37" s="632"/>
      <c r="AV37" s="632"/>
      <c r="AW37" s="632"/>
      <c r="AX37" s="632"/>
      <c r="AY37" s="632"/>
      <c r="AZ37" s="632"/>
      <c r="BA37" s="632"/>
    </row>
    <row r="38" spans="2:53" ht="14.25">
      <c r="B38" s="1940"/>
      <c r="C38" s="1945" t="s">
        <v>2696</v>
      </c>
      <c r="D38" s="1946"/>
      <c r="E38" s="1946"/>
      <c r="F38" s="1946"/>
      <c r="G38" s="1946"/>
      <c r="H38" s="1947"/>
      <c r="I38" s="623" t="str">
        <f>係数!I38</f>
        <v>kL</v>
      </c>
      <c r="J38" s="882"/>
      <c r="K38" s="721"/>
      <c r="L38" s="629"/>
      <c r="M38" s="630"/>
      <c r="N38" s="1147"/>
      <c r="O38" s="632"/>
      <c r="P38" s="632"/>
      <c r="Q38" s="632"/>
      <c r="R38" s="632"/>
      <c r="S38" s="632"/>
      <c r="T38" s="632"/>
      <c r="U38" s="632"/>
      <c r="V38" s="632"/>
      <c r="W38" s="632"/>
      <c r="X38" s="632"/>
      <c r="Y38" s="632"/>
      <c r="Z38" s="632"/>
      <c r="AA38" s="632"/>
      <c r="AB38" s="632"/>
      <c r="AC38" s="632"/>
      <c r="AD38" s="632"/>
      <c r="AE38" s="632"/>
      <c r="AF38" s="632"/>
      <c r="AG38" s="632"/>
      <c r="AH38" s="632"/>
      <c r="AI38" s="632"/>
      <c r="AJ38" s="632"/>
      <c r="AK38" s="632"/>
      <c r="AL38" s="632"/>
      <c r="AM38" s="632"/>
      <c r="AN38" s="632"/>
      <c r="AO38" s="632"/>
      <c r="AP38" s="632"/>
      <c r="AQ38" s="632"/>
      <c r="AR38" s="632"/>
      <c r="AS38" s="632"/>
      <c r="AT38" s="632"/>
      <c r="AU38" s="632"/>
      <c r="AV38" s="632"/>
      <c r="AW38" s="632"/>
      <c r="AX38" s="632"/>
      <c r="AY38" s="632"/>
      <c r="AZ38" s="632"/>
      <c r="BA38" s="632"/>
    </row>
    <row r="39" spans="2:53" ht="14.25">
      <c r="B39" s="1940"/>
      <c r="C39" s="1945" t="s">
        <v>2697</v>
      </c>
      <c r="D39" s="1946"/>
      <c r="E39" s="1946"/>
      <c r="F39" s="1946"/>
      <c r="G39" s="1946"/>
      <c r="H39" s="1947"/>
      <c r="I39" s="623" t="str">
        <f>係数!I39</f>
        <v>kL</v>
      </c>
      <c r="J39" s="882"/>
      <c r="K39" s="721"/>
      <c r="L39" s="629"/>
      <c r="M39" s="630"/>
      <c r="N39" s="1147"/>
      <c r="O39" s="632"/>
      <c r="P39" s="632"/>
      <c r="Q39" s="632"/>
      <c r="R39" s="63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32"/>
      <c r="AP39" s="632"/>
      <c r="AQ39" s="632"/>
      <c r="AR39" s="632"/>
      <c r="AS39" s="632"/>
      <c r="AT39" s="632"/>
      <c r="AU39" s="632"/>
      <c r="AV39" s="632"/>
      <c r="AW39" s="632"/>
      <c r="AX39" s="632"/>
      <c r="AY39" s="632"/>
      <c r="AZ39" s="632"/>
      <c r="BA39" s="632"/>
    </row>
    <row r="40" spans="2:53" ht="14.25">
      <c r="B40" s="1940"/>
      <c r="C40" s="1945" t="s">
        <v>2698</v>
      </c>
      <c r="D40" s="1946"/>
      <c r="E40" s="1946"/>
      <c r="F40" s="1946"/>
      <c r="G40" s="1946"/>
      <c r="H40" s="1947"/>
      <c r="I40" s="623" t="str">
        <f>係数!I40</f>
        <v>t</v>
      </c>
      <c r="J40" s="882"/>
      <c r="K40" s="721"/>
      <c r="L40" s="629"/>
      <c r="M40" s="630"/>
      <c r="N40" s="1147"/>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row>
    <row r="41" spans="2:53" ht="14.25">
      <c r="B41" s="1940"/>
      <c r="C41" s="1945" t="s">
        <v>2700</v>
      </c>
      <c r="D41" s="1946"/>
      <c r="E41" s="1946"/>
      <c r="F41" s="1946"/>
      <c r="G41" s="1946"/>
      <c r="H41" s="1947"/>
      <c r="I41" s="623" t="str">
        <f>係数!I41</f>
        <v>t</v>
      </c>
      <c r="J41" s="882"/>
      <c r="K41" s="721"/>
      <c r="L41" s="629"/>
      <c r="M41" s="630"/>
      <c r="N41" s="1147"/>
      <c r="O41" s="632"/>
      <c r="P41" s="632"/>
      <c r="Q41" s="632"/>
      <c r="R41" s="632"/>
      <c r="S41" s="632"/>
      <c r="T41" s="632"/>
      <c r="U41" s="632"/>
      <c r="V41" s="632"/>
      <c r="W41" s="632"/>
      <c r="X41" s="632"/>
      <c r="Y41" s="632"/>
      <c r="Z41" s="632"/>
      <c r="AA41" s="632"/>
      <c r="AB41" s="632"/>
      <c r="AC41" s="632"/>
      <c r="AD41" s="632"/>
      <c r="AE41" s="632"/>
      <c r="AF41" s="632"/>
      <c r="AG41" s="632"/>
      <c r="AH41" s="632"/>
      <c r="AI41" s="632"/>
      <c r="AJ41" s="632"/>
      <c r="AK41" s="632"/>
      <c r="AL41" s="632"/>
      <c r="AM41" s="632"/>
      <c r="AN41" s="632"/>
      <c r="AO41" s="632"/>
      <c r="AP41" s="632"/>
      <c r="AQ41" s="632"/>
      <c r="AR41" s="632"/>
      <c r="AS41" s="632"/>
      <c r="AT41" s="632"/>
      <c r="AU41" s="632"/>
      <c r="AV41" s="632"/>
      <c r="AW41" s="632"/>
      <c r="AX41" s="632"/>
      <c r="AY41" s="632"/>
      <c r="AZ41" s="632"/>
      <c r="BA41" s="632"/>
    </row>
    <row r="42" spans="2:53" ht="14.25">
      <c r="B42" s="1940"/>
      <c r="C42" s="1971" t="s">
        <v>2701</v>
      </c>
      <c r="D42" s="1973" t="s">
        <v>2702</v>
      </c>
      <c r="E42" s="1973"/>
      <c r="F42" s="1973"/>
      <c r="G42" s="1973"/>
      <c r="H42" s="1973"/>
      <c r="I42" s="623" t="str">
        <f>係数!I42</f>
        <v>t</v>
      </c>
      <c r="J42" s="881"/>
      <c r="K42" s="721"/>
      <c r="L42" s="629"/>
      <c r="M42" s="630"/>
      <c r="N42" s="1147"/>
      <c r="O42" s="632"/>
      <c r="P42" s="632"/>
      <c r="Q42" s="632"/>
      <c r="R42" s="632"/>
      <c r="S42" s="632"/>
      <c r="T42" s="632"/>
      <c r="U42" s="632"/>
      <c r="V42" s="632"/>
      <c r="W42" s="632"/>
      <c r="X42" s="632"/>
      <c r="Y42" s="632"/>
      <c r="Z42" s="632"/>
      <c r="AA42" s="632"/>
      <c r="AB42" s="632"/>
      <c r="AC42" s="632"/>
      <c r="AD42" s="632"/>
      <c r="AE42" s="632"/>
      <c r="AF42" s="632"/>
      <c r="AG42" s="632"/>
      <c r="AH42" s="632"/>
      <c r="AI42" s="632"/>
      <c r="AJ42" s="632"/>
      <c r="AK42" s="632"/>
      <c r="AL42" s="632"/>
      <c r="AM42" s="632"/>
      <c r="AN42" s="632"/>
      <c r="AO42" s="632"/>
      <c r="AP42" s="632"/>
      <c r="AQ42" s="632"/>
      <c r="AR42" s="632"/>
      <c r="AS42" s="632"/>
      <c r="AT42" s="632"/>
      <c r="AU42" s="632"/>
      <c r="AV42" s="632"/>
      <c r="AW42" s="632"/>
      <c r="AX42" s="632"/>
      <c r="AY42" s="632"/>
      <c r="AZ42" s="632"/>
      <c r="BA42" s="632"/>
    </row>
    <row r="43" spans="2:53" ht="14.25">
      <c r="B43" s="1940"/>
      <c r="C43" s="1972"/>
      <c r="D43" s="1973" t="s">
        <v>2703</v>
      </c>
      <c r="E43" s="1973"/>
      <c r="F43" s="1973"/>
      <c r="G43" s="1973"/>
      <c r="H43" s="1973"/>
      <c r="I43" s="623" t="str">
        <f>係数!I43</f>
        <v>千㎥</v>
      </c>
      <c r="J43" s="881"/>
      <c r="K43" s="721"/>
      <c r="L43" s="629"/>
      <c r="M43" s="630"/>
      <c r="N43" s="1147"/>
      <c r="O43" s="632"/>
      <c r="P43" s="632"/>
      <c r="Q43" s="632"/>
      <c r="R43" s="632"/>
      <c r="S43" s="632"/>
      <c r="T43" s="632"/>
      <c r="U43" s="632"/>
      <c r="V43" s="632"/>
      <c r="W43" s="632"/>
      <c r="X43" s="632"/>
      <c r="Y43" s="632"/>
      <c r="Z43" s="632"/>
      <c r="AA43" s="632"/>
      <c r="AB43" s="632"/>
      <c r="AC43" s="632"/>
      <c r="AD43" s="632"/>
      <c r="AE43" s="632"/>
      <c r="AF43" s="632"/>
      <c r="AG43" s="632"/>
      <c r="AH43" s="632"/>
      <c r="AI43" s="632"/>
      <c r="AJ43" s="632"/>
      <c r="AK43" s="632"/>
      <c r="AL43" s="632"/>
      <c r="AM43" s="632"/>
      <c r="AN43" s="632"/>
      <c r="AO43" s="632"/>
      <c r="AP43" s="632"/>
      <c r="AQ43" s="632"/>
      <c r="AR43" s="632"/>
      <c r="AS43" s="632"/>
      <c r="AT43" s="632"/>
      <c r="AU43" s="632"/>
      <c r="AV43" s="632"/>
      <c r="AW43" s="632"/>
      <c r="AX43" s="632"/>
      <c r="AY43" s="632"/>
      <c r="AZ43" s="632"/>
      <c r="BA43" s="632"/>
    </row>
    <row r="44" spans="2:53" ht="14.25">
      <c r="B44" s="1940"/>
      <c r="C44" s="1987" t="s">
        <v>2705</v>
      </c>
      <c r="D44" s="1973" t="s">
        <v>2706</v>
      </c>
      <c r="E44" s="1973"/>
      <c r="F44" s="1973"/>
      <c r="G44" s="1973"/>
      <c r="H44" s="1973"/>
      <c r="I44" s="623" t="str">
        <f>係数!I44</f>
        <v>t</v>
      </c>
      <c r="J44" s="881"/>
      <c r="K44" s="721"/>
      <c r="L44" s="629"/>
      <c r="M44" s="630"/>
      <c r="N44" s="1147"/>
      <c r="O44" s="632"/>
      <c r="P44" s="632"/>
      <c r="Q44" s="632"/>
      <c r="R44" s="632"/>
      <c r="S44" s="632"/>
      <c r="T44" s="632"/>
      <c r="U44" s="632"/>
      <c r="V44" s="632"/>
      <c r="W44" s="632"/>
      <c r="X44" s="632"/>
      <c r="Y44" s="632"/>
      <c r="Z44" s="632"/>
      <c r="AA44" s="632"/>
      <c r="AB44" s="632"/>
      <c r="AC44" s="632"/>
      <c r="AD44" s="632"/>
      <c r="AE44" s="632"/>
      <c r="AF44" s="632"/>
      <c r="AG44" s="632"/>
      <c r="AH44" s="632"/>
      <c r="AI44" s="632"/>
      <c r="AJ44" s="632"/>
      <c r="AK44" s="632"/>
      <c r="AL44" s="632"/>
      <c r="AM44" s="632"/>
      <c r="AN44" s="632"/>
      <c r="AO44" s="632"/>
      <c r="AP44" s="632"/>
      <c r="AQ44" s="632"/>
      <c r="AR44" s="632"/>
      <c r="AS44" s="632"/>
      <c r="AT44" s="632"/>
      <c r="AU44" s="632"/>
      <c r="AV44" s="632"/>
      <c r="AW44" s="632"/>
      <c r="AX44" s="632"/>
      <c r="AY44" s="632"/>
      <c r="AZ44" s="632"/>
      <c r="BA44" s="632"/>
    </row>
    <row r="45" spans="2:53" ht="14.25">
      <c r="B45" s="1940"/>
      <c r="C45" s="1972"/>
      <c r="D45" s="1973" t="s">
        <v>2707</v>
      </c>
      <c r="E45" s="1973"/>
      <c r="F45" s="1973"/>
      <c r="G45" s="1973"/>
      <c r="H45" s="1973"/>
      <c r="I45" s="623" t="str">
        <f>係数!I45</f>
        <v>千㎥</v>
      </c>
      <c r="J45" s="881"/>
      <c r="K45" s="721"/>
      <c r="L45" s="629"/>
      <c r="M45" s="630"/>
      <c r="N45" s="1147"/>
      <c r="O45" s="632"/>
      <c r="P45" s="632"/>
      <c r="Q45" s="632"/>
      <c r="R45" s="632"/>
      <c r="S45" s="632"/>
      <c r="T45" s="632"/>
      <c r="U45" s="632"/>
      <c r="V45" s="632"/>
      <c r="W45" s="632"/>
      <c r="X45" s="632"/>
      <c r="Y45" s="632"/>
      <c r="Z45" s="632"/>
      <c r="AA45" s="632"/>
      <c r="AB45" s="632"/>
      <c r="AC45" s="632"/>
      <c r="AD45" s="632"/>
      <c r="AE45" s="632"/>
      <c r="AF45" s="632"/>
      <c r="AG45" s="632"/>
      <c r="AH45" s="632"/>
      <c r="AI45" s="632"/>
      <c r="AJ45" s="632"/>
      <c r="AK45" s="632"/>
      <c r="AL45" s="632"/>
      <c r="AM45" s="632"/>
      <c r="AN45" s="632"/>
      <c r="AO45" s="632"/>
      <c r="AP45" s="632"/>
      <c r="AQ45" s="632"/>
      <c r="AR45" s="632"/>
      <c r="AS45" s="632"/>
      <c r="AT45" s="632"/>
      <c r="AU45" s="632"/>
      <c r="AV45" s="632"/>
      <c r="AW45" s="632"/>
      <c r="AX45" s="632"/>
      <c r="AY45" s="632"/>
      <c r="AZ45" s="632"/>
      <c r="BA45" s="632"/>
    </row>
    <row r="46" spans="2:53" ht="14.25">
      <c r="B46" s="1940"/>
      <c r="C46" s="1988" t="s">
        <v>2708</v>
      </c>
      <c r="D46" s="1973" t="s">
        <v>2709</v>
      </c>
      <c r="E46" s="1973"/>
      <c r="F46" s="1973"/>
      <c r="G46" s="1973"/>
      <c r="H46" s="1973"/>
      <c r="I46" s="623" t="str">
        <f>係数!I46</f>
        <v>t</v>
      </c>
      <c r="J46" s="881"/>
      <c r="K46" s="721"/>
      <c r="L46" s="629"/>
      <c r="M46" s="630"/>
      <c r="N46" s="1147"/>
      <c r="O46" s="632"/>
      <c r="P46" s="632"/>
      <c r="Q46" s="632"/>
      <c r="R46" s="632"/>
      <c r="S46" s="632"/>
      <c r="T46" s="632"/>
      <c r="U46" s="632"/>
      <c r="V46" s="632"/>
      <c r="W46" s="632"/>
      <c r="X46" s="632"/>
      <c r="Y46" s="632"/>
      <c r="Z46" s="632"/>
      <c r="AA46" s="632"/>
      <c r="AB46" s="632"/>
      <c r="AC46" s="632"/>
      <c r="AD46" s="632"/>
      <c r="AE46" s="632"/>
      <c r="AF46" s="632"/>
      <c r="AG46" s="632"/>
      <c r="AH46" s="632"/>
      <c r="AI46" s="632"/>
      <c r="AJ46" s="632"/>
      <c r="AK46" s="632"/>
      <c r="AL46" s="632"/>
      <c r="AM46" s="632"/>
      <c r="AN46" s="632"/>
      <c r="AO46" s="632"/>
      <c r="AP46" s="632"/>
      <c r="AQ46" s="632"/>
      <c r="AR46" s="632"/>
      <c r="AS46" s="632"/>
      <c r="AT46" s="632"/>
      <c r="AU46" s="632"/>
      <c r="AV46" s="632"/>
      <c r="AW46" s="632"/>
      <c r="AX46" s="632"/>
      <c r="AY46" s="632"/>
      <c r="AZ46" s="632"/>
      <c r="BA46" s="632"/>
    </row>
    <row r="47" spans="2:53" ht="14.25">
      <c r="B47" s="1940"/>
      <c r="C47" s="1989"/>
      <c r="D47" s="1973" t="s">
        <v>2710</v>
      </c>
      <c r="E47" s="1973"/>
      <c r="F47" s="1973"/>
      <c r="G47" s="1973"/>
      <c r="H47" s="1973"/>
      <c r="I47" s="623" t="str">
        <f>係数!I47</f>
        <v>t</v>
      </c>
      <c r="J47" s="881"/>
      <c r="K47" s="721"/>
      <c r="L47" s="629"/>
      <c r="M47" s="630"/>
      <c r="N47" s="1147"/>
      <c r="O47" s="632"/>
      <c r="P47" s="632"/>
      <c r="Q47" s="632"/>
      <c r="R47" s="632"/>
      <c r="S47" s="632"/>
      <c r="T47" s="632"/>
      <c r="U47" s="632"/>
      <c r="V47" s="632"/>
      <c r="W47" s="632"/>
      <c r="X47" s="632"/>
      <c r="Y47" s="632"/>
      <c r="Z47" s="632"/>
      <c r="AA47" s="632"/>
      <c r="AB47" s="632"/>
      <c r="AC47" s="632"/>
      <c r="AD47" s="632"/>
      <c r="AE47" s="632"/>
      <c r="AF47" s="632"/>
      <c r="AG47" s="632"/>
      <c r="AH47" s="632"/>
      <c r="AI47" s="632"/>
      <c r="AJ47" s="632"/>
      <c r="AK47" s="632"/>
      <c r="AL47" s="632"/>
      <c r="AM47" s="632"/>
      <c r="AN47" s="632"/>
      <c r="AO47" s="632"/>
      <c r="AP47" s="632"/>
      <c r="AQ47" s="632"/>
      <c r="AR47" s="632"/>
      <c r="AS47" s="632"/>
      <c r="AT47" s="632"/>
      <c r="AU47" s="632"/>
      <c r="AV47" s="632"/>
      <c r="AW47" s="632"/>
      <c r="AX47" s="632"/>
      <c r="AY47" s="632"/>
      <c r="AZ47" s="632"/>
      <c r="BA47" s="632"/>
    </row>
    <row r="48" spans="2:53" ht="14.25">
      <c r="B48" s="1940"/>
      <c r="C48" s="1990"/>
      <c r="D48" s="1973" t="s">
        <v>2711</v>
      </c>
      <c r="E48" s="1973"/>
      <c r="F48" s="1973"/>
      <c r="G48" s="1973"/>
      <c r="H48" s="1973"/>
      <c r="I48" s="623" t="str">
        <f>係数!I48</f>
        <v>t</v>
      </c>
      <c r="J48" s="881"/>
      <c r="K48" s="721"/>
      <c r="L48" s="629"/>
      <c r="M48" s="630"/>
      <c r="N48" s="1147"/>
      <c r="O48" s="632"/>
      <c r="P48" s="632"/>
      <c r="Q48" s="632"/>
      <c r="R48" s="632"/>
      <c r="S48" s="632"/>
      <c r="T48" s="632"/>
      <c r="U48" s="632"/>
      <c r="V48" s="632"/>
      <c r="W48" s="632"/>
      <c r="X48" s="632"/>
      <c r="Y48" s="632"/>
      <c r="Z48" s="632"/>
      <c r="AA48" s="632"/>
      <c r="AB48" s="632"/>
      <c r="AC48" s="632"/>
      <c r="AD48" s="632"/>
      <c r="AE48" s="632"/>
      <c r="AF48" s="632"/>
      <c r="AG48" s="632"/>
      <c r="AH48" s="632"/>
      <c r="AI48" s="632"/>
      <c r="AJ48" s="632"/>
      <c r="AK48" s="632"/>
      <c r="AL48" s="632"/>
      <c r="AM48" s="632"/>
      <c r="AN48" s="632"/>
      <c r="AO48" s="632"/>
      <c r="AP48" s="632"/>
      <c r="AQ48" s="632"/>
      <c r="AR48" s="632"/>
      <c r="AS48" s="632"/>
      <c r="AT48" s="632"/>
      <c r="AU48" s="632"/>
      <c r="AV48" s="632"/>
      <c r="AW48" s="632"/>
      <c r="AX48" s="632"/>
      <c r="AY48" s="632"/>
      <c r="AZ48" s="632"/>
      <c r="BA48" s="632"/>
    </row>
    <row r="49" spans="2:53" ht="14.25">
      <c r="B49" s="1940"/>
      <c r="C49" s="1945" t="s">
        <v>2712</v>
      </c>
      <c r="D49" s="1946"/>
      <c r="E49" s="1946"/>
      <c r="F49" s="1946"/>
      <c r="G49" s="1946"/>
      <c r="H49" s="1947"/>
      <c r="I49" s="623" t="str">
        <f>係数!I49</f>
        <v>t</v>
      </c>
      <c r="J49" s="882"/>
      <c r="K49" s="721"/>
      <c r="L49" s="629"/>
      <c r="M49" s="630"/>
      <c r="N49" s="1147"/>
      <c r="O49" s="632"/>
      <c r="P49" s="632"/>
      <c r="Q49" s="632"/>
      <c r="R49" s="632"/>
      <c r="S49" s="632"/>
      <c r="T49" s="632"/>
      <c r="U49" s="632"/>
      <c r="V49" s="632"/>
      <c r="W49" s="632"/>
      <c r="X49" s="632"/>
      <c r="Y49" s="632"/>
      <c r="Z49" s="632"/>
      <c r="AA49" s="632"/>
      <c r="AB49" s="632"/>
      <c r="AC49" s="632"/>
      <c r="AD49" s="632"/>
      <c r="AE49" s="632"/>
      <c r="AF49" s="632"/>
      <c r="AG49" s="632"/>
      <c r="AH49" s="632"/>
      <c r="AI49" s="632"/>
      <c r="AJ49" s="632"/>
      <c r="AK49" s="632"/>
      <c r="AL49" s="632"/>
      <c r="AM49" s="632"/>
      <c r="AN49" s="632"/>
      <c r="AO49" s="632"/>
      <c r="AP49" s="632"/>
      <c r="AQ49" s="632"/>
      <c r="AR49" s="632"/>
      <c r="AS49" s="632"/>
      <c r="AT49" s="632"/>
      <c r="AU49" s="632"/>
      <c r="AV49" s="632"/>
      <c r="AW49" s="632"/>
      <c r="AX49" s="632"/>
      <c r="AY49" s="632"/>
      <c r="AZ49" s="632"/>
      <c r="BA49" s="632"/>
    </row>
    <row r="50" spans="2:53" ht="14.25">
      <c r="B50" s="1940"/>
      <c r="C50" s="1945" t="s">
        <v>2713</v>
      </c>
      <c r="D50" s="1946"/>
      <c r="E50" s="1946"/>
      <c r="F50" s="1946"/>
      <c r="G50" s="1946"/>
      <c r="H50" s="1947"/>
      <c r="I50" s="623" t="str">
        <f>係数!I50</f>
        <v>t</v>
      </c>
      <c r="J50" s="882"/>
      <c r="K50" s="721"/>
      <c r="L50" s="629"/>
      <c r="M50" s="630"/>
      <c r="N50" s="1147"/>
      <c r="O50" s="632"/>
      <c r="P50" s="632"/>
      <c r="Q50" s="632"/>
      <c r="R50" s="632"/>
      <c r="S50" s="632"/>
      <c r="T50" s="632"/>
      <c r="U50" s="632"/>
      <c r="V50" s="632"/>
      <c r="W50" s="632"/>
      <c r="X50" s="632"/>
      <c r="Y50" s="632"/>
      <c r="Z50" s="632"/>
      <c r="AA50" s="632"/>
      <c r="AB50" s="632"/>
      <c r="AC50" s="632"/>
      <c r="AD50" s="632"/>
      <c r="AE50" s="632"/>
      <c r="AF50" s="632"/>
      <c r="AG50" s="632"/>
      <c r="AH50" s="632"/>
      <c r="AI50" s="632"/>
      <c r="AJ50" s="632"/>
      <c r="AK50" s="632"/>
      <c r="AL50" s="632"/>
      <c r="AM50" s="632"/>
      <c r="AN50" s="632"/>
      <c r="AO50" s="632"/>
      <c r="AP50" s="632"/>
      <c r="AQ50" s="632"/>
      <c r="AR50" s="632"/>
      <c r="AS50" s="632"/>
      <c r="AT50" s="632"/>
      <c r="AU50" s="632"/>
      <c r="AV50" s="632"/>
      <c r="AW50" s="632"/>
      <c r="AX50" s="632"/>
      <c r="AY50" s="632"/>
      <c r="AZ50" s="632"/>
      <c r="BA50" s="632"/>
    </row>
    <row r="51" spans="2:53" ht="14.25">
      <c r="B51" s="1940"/>
      <c r="C51" s="1945" t="s">
        <v>2714</v>
      </c>
      <c r="D51" s="1946"/>
      <c r="E51" s="1946"/>
      <c r="F51" s="1946"/>
      <c r="G51" s="1946"/>
      <c r="H51" s="1947"/>
      <c r="I51" s="623" t="str">
        <f>係数!I51</f>
        <v>千㎥</v>
      </c>
      <c r="J51" s="881"/>
      <c r="K51" s="721"/>
      <c r="L51" s="629"/>
      <c r="M51" s="630"/>
      <c r="N51" s="1147"/>
      <c r="O51" s="632"/>
      <c r="P51" s="632"/>
      <c r="Q51" s="632"/>
      <c r="R51" s="632"/>
      <c r="S51" s="632"/>
      <c r="T51" s="632"/>
      <c r="U51" s="632"/>
      <c r="V51" s="632"/>
      <c r="W51" s="632"/>
      <c r="X51" s="632"/>
      <c r="Y51" s="632"/>
      <c r="Z51" s="632"/>
      <c r="AA51" s="632"/>
      <c r="AB51" s="632"/>
      <c r="AC51" s="632"/>
      <c r="AD51" s="632"/>
      <c r="AE51" s="632"/>
      <c r="AF51" s="632"/>
      <c r="AG51" s="632"/>
      <c r="AH51" s="632"/>
      <c r="AI51" s="632"/>
      <c r="AJ51" s="632"/>
      <c r="AK51" s="632"/>
      <c r="AL51" s="632"/>
      <c r="AM51" s="632"/>
      <c r="AN51" s="632"/>
      <c r="AO51" s="632"/>
      <c r="AP51" s="632"/>
      <c r="AQ51" s="632"/>
      <c r="AR51" s="632"/>
      <c r="AS51" s="632"/>
      <c r="AT51" s="632"/>
      <c r="AU51" s="632"/>
      <c r="AV51" s="632"/>
      <c r="AW51" s="632"/>
      <c r="AX51" s="632"/>
      <c r="AY51" s="632"/>
      <c r="AZ51" s="632"/>
      <c r="BA51" s="632"/>
    </row>
    <row r="52" spans="2:53" ht="14.25">
      <c r="B52" s="1940"/>
      <c r="C52" s="1945" t="s">
        <v>2715</v>
      </c>
      <c r="D52" s="1946"/>
      <c r="E52" s="1946"/>
      <c r="F52" s="1946"/>
      <c r="G52" s="1946"/>
      <c r="H52" s="1947"/>
      <c r="I52" s="623" t="str">
        <f>係数!I52</f>
        <v>千㎥</v>
      </c>
      <c r="J52" s="881"/>
      <c r="K52" s="721"/>
      <c r="L52" s="629"/>
      <c r="M52" s="630"/>
      <c r="N52" s="1147"/>
      <c r="O52" s="632"/>
      <c r="P52" s="632"/>
      <c r="Q52" s="632"/>
      <c r="R52" s="632"/>
      <c r="S52" s="632"/>
      <c r="T52" s="632"/>
      <c r="U52" s="632"/>
      <c r="V52" s="632"/>
      <c r="W52" s="632"/>
      <c r="X52" s="632"/>
      <c r="Y52" s="632"/>
      <c r="Z52" s="632"/>
      <c r="AA52" s="632"/>
      <c r="AB52" s="632"/>
      <c r="AC52" s="632"/>
      <c r="AD52" s="632"/>
      <c r="AE52" s="632"/>
      <c r="AF52" s="632"/>
      <c r="AG52" s="632"/>
      <c r="AH52" s="632"/>
      <c r="AI52" s="632"/>
      <c r="AJ52" s="632"/>
      <c r="AK52" s="632"/>
      <c r="AL52" s="632"/>
      <c r="AM52" s="632"/>
      <c r="AN52" s="632"/>
      <c r="AO52" s="632"/>
      <c r="AP52" s="632"/>
      <c r="AQ52" s="632"/>
      <c r="AR52" s="632"/>
      <c r="AS52" s="632"/>
      <c r="AT52" s="632"/>
      <c r="AU52" s="632"/>
      <c r="AV52" s="632"/>
      <c r="AW52" s="632"/>
      <c r="AX52" s="632"/>
      <c r="AY52" s="632"/>
      <c r="AZ52" s="632"/>
      <c r="BA52" s="632"/>
    </row>
    <row r="53" spans="2:53" ht="15" thickBot="1">
      <c r="B53" s="1940"/>
      <c r="C53" s="1945" t="s">
        <v>2716</v>
      </c>
      <c r="D53" s="1946"/>
      <c r="E53" s="1946"/>
      <c r="F53" s="1946"/>
      <c r="G53" s="1981"/>
      <c r="H53" s="1982"/>
      <c r="I53" s="623" t="str">
        <f>係数!I53</f>
        <v>千㎥</v>
      </c>
      <c r="J53" s="881"/>
      <c r="K53" s="721"/>
      <c r="L53" s="629"/>
      <c r="M53" s="630"/>
      <c r="N53" s="1147"/>
      <c r="O53" s="632"/>
      <c r="P53" s="632"/>
      <c r="Q53" s="632"/>
      <c r="R53" s="632"/>
      <c r="S53" s="632"/>
      <c r="T53" s="632"/>
      <c r="U53" s="632"/>
      <c r="V53" s="632"/>
      <c r="W53" s="632"/>
      <c r="X53" s="632"/>
      <c r="Y53" s="632"/>
      <c r="Z53" s="632"/>
      <c r="AA53" s="632"/>
      <c r="AB53" s="632"/>
      <c r="AC53" s="632"/>
      <c r="AD53" s="632"/>
      <c r="AE53" s="632"/>
      <c r="AF53" s="632"/>
      <c r="AG53" s="632"/>
      <c r="AH53" s="632"/>
      <c r="AI53" s="632"/>
      <c r="AJ53" s="632"/>
      <c r="AK53" s="632"/>
      <c r="AL53" s="632"/>
      <c r="AM53" s="632"/>
      <c r="AN53" s="632"/>
      <c r="AO53" s="632"/>
      <c r="AP53" s="632"/>
      <c r="AQ53" s="632"/>
      <c r="AR53" s="632"/>
      <c r="AS53" s="632"/>
      <c r="AT53" s="632"/>
      <c r="AU53" s="632"/>
      <c r="AV53" s="632"/>
      <c r="AW53" s="632"/>
      <c r="AX53" s="632"/>
      <c r="AY53" s="632"/>
      <c r="AZ53" s="632"/>
      <c r="BA53" s="632"/>
    </row>
    <row r="54" spans="2:53" ht="15.75" thickTop="1" thickBot="1">
      <c r="B54" s="1940"/>
      <c r="C54" s="634" t="s">
        <v>2717</v>
      </c>
      <c r="D54" s="1983" t="s">
        <v>2718</v>
      </c>
      <c r="E54" s="1984"/>
      <c r="F54" s="1984"/>
      <c r="G54" s="2248">
        <f>係数!G54</f>
        <v>44.8</v>
      </c>
      <c r="H54" s="2249"/>
      <c r="I54" s="623" t="str">
        <f>係数!I54</f>
        <v>千㎥</v>
      </c>
      <c r="J54" s="881"/>
      <c r="K54" s="721"/>
      <c r="L54" s="629"/>
      <c r="M54" s="630"/>
      <c r="N54" s="1147"/>
      <c r="O54" s="632"/>
      <c r="P54" s="632"/>
      <c r="Q54" s="632"/>
      <c r="R54" s="632"/>
      <c r="S54" s="632"/>
      <c r="T54" s="632"/>
      <c r="U54" s="632"/>
      <c r="V54" s="632"/>
      <c r="W54" s="632"/>
      <c r="X54" s="632"/>
      <c r="Y54" s="632"/>
      <c r="Z54" s="632"/>
      <c r="AA54" s="632"/>
      <c r="AB54" s="632"/>
      <c r="AC54" s="632"/>
      <c r="AD54" s="632"/>
      <c r="AE54" s="632"/>
      <c r="AF54" s="632"/>
      <c r="AG54" s="632"/>
      <c r="AH54" s="632"/>
      <c r="AI54" s="632"/>
      <c r="AJ54" s="632"/>
      <c r="AK54" s="632"/>
      <c r="AL54" s="632"/>
      <c r="AM54" s="632"/>
      <c r="AN54" s="632"/>
      <c r="AO54" s="632"/>
      <c r="AP54" s="632"/>
      <c r="AQ54" s="632"/>
      <c r="AR54" s="632"/>
      <c r="AS54" s="632"/>
      <c r="AT54" s="632"/>
      <c r="AU54" s="632"/>
      <c r="AV54" s="632"/>
      <c r="AW54" s="632"/>
      <c r="AX54" s="632"/>
      <c r="AY54" s="632"/>
      <c r="AZ54" s="632"/>
      <c r="BA54" s="632"/>
    </row>
    <row r="55" spans="2:53" ht="15" thickTop="1">
      <c r="B55" s="1940"/>
      <c r="C55" s="1991" t="s">
        <v>123</v>
      </c>
      <c r="D55" s="1942" t="str">
        <f>係数!D55&amp;""</f>
        <v/>
      </c>
      <c r="E55" s="1942"/>
      <c r="F55" s="1942"/>
      <c r="G55" s="1942"/>
      <c r="H55" s="1942"/>
      <c r="I55" s="623" t="str">
        <f>係数!I55&amp;""</f>
        <v/>
      </c>
      <c r="J55" s="881"/>
      <c r="K55" s="721"/>
      <c r="L55" s="629"/>
      <c r="M55" s="630"/>
      <c r="N55" s="1147"/>
      <c r="O55" s="632"/>
      <c r="P55" s="632"/>
      <c r="Q55" s="632"/>
      <c r="R55" s="632"/>
      <c r="S55" s="632"/>
      <c r="T55" s="632"/>
      <c r="U55" s="632"/>
      <c r="V55" s="632"/>
      <c r="W55" s="632"/>
      <c r="X55" s="632"/>
      <c r="Y55" s="632"/>
      <c r="Z55" s="632"/>
      <c r="AA55" s="632"/>
      <c r="AB55" s="632"/>
      <c r="AC55" s="632"/>
      <c r="AD55" s="632"/>
      <c r="AE55" s="632"/>
      <c r="AF55" s="632"/>
      <c r="AG55" s="632"/>
      <c r="AH55" s="632"/>
      <c r="AI55" s="632"/>
      <c r="AJ55" s="632"/>
      <c r="AK55" s="632"/>
      <c r="AL55" s="632"/>
      <c r="AM55" s="632"/>
      <c r="AN55" s="632"/>
      <c r="AO55" s="632"/>
      <c r="AP55" s="632"/>
      <c r="AQ55" s="632"/>
      <c r="AR55" s="632"/>
      <c r="AS55" s="632"/>
      <c r="AT55" s="632"/>
      <c r="AU55" s="632"/>
      <c r="AV55" s="632"/>
      <c r="AW55" s="632"/>
      <c r="AX55" s="632"/>
      <c r="AY55" s="632"/>
      <c r="AZ55" s="632"/>
      <c r="BA55" s="632"/>
    </row>
    <row r="56" spans="2:53" ht="14.25">
      <c r="B56" s="1940"/>
      <c r="C56" s="1992"/>
      <c r="D56" s="1942" t="str">
        <f>係数!D56&amp;""</f>
        <v/>
      </c>
      <c r="E56" s="1942"/>
      <c r="F56" s="1942"/>
      <c r="G56" s="1942"/>
      <c r="H56" s="1942"/>
      <c r="I56" s="623" t="str">
        <f>係数!I56&amp;""</f>
        <v/>
      </c>
      <c r="J56" s="881"/>
      <c r="K56" s="721"/>
      <c r="L56" s="629"/>
      <c r="M56" s="630"/>
      <c r="N56" s="1147"/>
      <c r="O56" s="632"/>
      <c r="P56" s="632"/>
      <c r="Q56" s="632"/>
      <c r="R56" s="632"/>
      <c r="S56" s="632"/>
      <c r="T56" s="632"/>
      <c r="U56" s="632"/>
      <c r="V56" s="632"/>
      <c r="W56" s="632"/>
      <c r="X56" s="632"/>
      <c r="Y56" s="632"/>
      <c r="Z56" s="632"/>
      <c r="AA56" s="632"/>
      <c r="AB56" s="632"/>
      <c r="AC56" s="632"/>
      <c r="AD56" s="632"/>
      <c r="AE56" s="632"/>
      <c r="AF56" s="632"/>
      <c r="AG56" s="632"/>
      <c r="AH56" s="632"/>
      <c r="AI56" s="632"/>
      <c r="AJ56" s="632"/>
      <c r="AK56" s="632"/>
      <c r="AL56" s="632"/>
      <c r="AM56" s="632"/>
      <c r="AN56" s="632"/>
      <c r="AO56" s="632"/>
      <c r="AP56" s="632"/>
      <c r="AQ56" s="632"/>
      <c r="AR56" s="632"/>
      <c r="AS56" s="632"/>
      <c r="AT56" s="632"/>
      <c r="AU56" s="632"/>
      <c r="AV56" s="632"/>
      <c r="AW56" s="632"/>
      <c r="AX56" s="632"/>
      <c r="AY56" s="632"/>
      <c r="AZ56" s="632"/>
      <c r="BA56" s="632"/>
    </row>
    <row r="57" spans="2:53" ht="14.25">
      <c r="B57" s="1940"/>
      <c r="C57" s="1993"/>
      <c r="D57" s="1942" t="str">
        <f>係数!D57&amp;""</f>
        <v/>
      </c>
      <c r="E57" s="1942"/>
      <c r="F57" s="1942"/>
      <c r="G57" s="1942"/>
      <c r="H57" s="1942"/>
      <c r="I57" s="623" t="str">
        <f>係数!I57&amp;""</f>
        <v/>
      </c>
      <c r="J57" s="881"/>
      <c r="K57" s="721"/>
      <c r="L57" s="629"/>
      <c r="M57" s="630"/>
      <c r="N57" s="1147"/>
      <c r="O57" s="632"/>
      <c r="P57" s="632"/>
      <c r="Q57" s="632"/>
      <c r="R57" s="632"/>
      <c r="S57" s="632"/>
      <c r="T57" s="632"/>
      <c r="U57" s="632"/>
      <c r="V57" s="632"/>
      <c r="W57" s="632"/>
      <c r="X57" s="632"/>
      <c r="Y57" s="632"/>
      <c r="Z57" s="632"/>
      <c r="AA57" s="632"/>
      <c r="AB57" s="632"/>
      <c r="AC57" s="632"/>
      <c r="AD57" s="632"/>
      <c r="AE57" s="632"/>
      <c r="AF57" s="632"/>
      <c r="AG57" s="632"/>
      <c r="AH57" s="632"/>
      <c r="AI57" s="632"/>
      <c r="AJ57" s="632"/>
      <c r="AK57" s="632"/>
      <c r="AL57" s="632"/>
      <c r="AM57" s="632"/>
      <c r="AN57" s="632"/>
      <c r="AO57" s="632"/>
      <c r="AP57" s="632"/>
      <c r="AQ57" s="632"/>
      <c r="AR57" s="632"/>
      <c r="AS57" s="632"/>
      <c r="AT57" s="632"/>
      <c r="AU57" s="632"/>
      <c r="AV57" s="632"/>
      <c r="AW57" s="632"/>
      <c r="AX57" s="632"/>
      <c r="AY57" s="632"/>
      <c r="AZ57" s="632"/>
      <c r="BA57" s="632"/>
    </row>
    <row r="58" spans="2:53">
      <c r="B58" s="1940"/>
      <c r="C58" s="2245" t="s">
        <v>2721</v>
      </c>
      <c r="D58" s="2246"/>
      <c r="E58" s="2246"/>
      <c r="F58" s="2246"/>
      <c r="G58" s="2247"/>
      <c r="H58" s="1951"/>
      <c r="I58" s="1190"/>
      <c r="J58" s="1201"/>
      <c r="K58" s="1202"/>
      <c r="L58" s="1203"/>
      <c r="M58" s="1204"/>
      <c r="N58" s="1205"/>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row>
    <row r="59" spans="2:53" ht="14.25">
      <c r="B59" s="1944" t="s">
        <v>220</v>
      </c>
      <c r="C59" s="1945" t="s">
        <v>2722</v>
      </c>
      <c r="D59" s="1946"/>
      <c r="E59" s="1946"/>
      <c r="F59" s="1946"/>
      <c r="G59" s="1946"/>
      <c r="H59" s="1947"/>
      <c r="I59" s="623" t="str">
        <f>係数!I59</f>
        <v>GJ</v>
      </c>
      <c r="J59" s="882"/>
      <c r="K59" s="721"/>
      <c r="L59" s="629"/>
      <c r="M59" s="630"/>
      <c r="N59" s="1147"/>
      <c r="O59" s="632"/>
      <c r="P59" s="632"/>
      <c r="Q59" s="632"/>
      <c r="R59" s="632"/>
      <c r="S59" s="632"/>
      <c r="T59" s="632"/>
      <c r="U59" s="632"/>
      <c r="V59" s="632"/>
      <c r="W59" s="632"/>
      <c r="X59" s="632"/>
      <c r="Y59" s="632"/>
      <c r="Z59" s="632"/>
      <c r="AA59" s="632"/>
      <c r="AB59" s="632"/>
      <c r="AC59" s="632"/>
      <c r="AD59" s="632"/>
      <c r="AE59" s="632"/>
      <c r="AF59" s="632"/>
      <c r="AG59" s="632"/>
      <c r="AH59" s="632"/>
      <c r="AI59" s="632"/>
      <c r="AJ59" s="632"/>
      <c r="AK59" s="632"/>
      <c r="AL59" s="632"/>
      <c r="AM59" s="632"/>
      <c r="AN59" s="632"/>
      <c r="AO59" s="632"/>
      <c r="AP59" s="632"/>
      <c r="AQ59" s="632"/>
      <c r="AR59" s="632"/>
      <c r="AS59" s="632"/>
      <c r="AT59" s="632"/>
      <c r="AU59" s="632"/>
      <c r="AV59" s="632"/>
      <c r="AW59" s="632"/>
      <c r="AX59" s="632"/>
      <c r="AY59" s="632"/>
      <c r="AZ59" s="632"/>
      <c r="BA59" s="632"/>
    </row>
    <row r="60" spans="2:53" ht="14.25">
      <c r="B60" s="1940"/>
      <c r="C60" s="1945" t="s">
        <v>2724</v>
      </c>
      <c r="D60" s="1946"/>
      <c r="E60" s="1946"/>
      <c r="F60" s="1946"/>
      <c r="G60" s="1946"/>
      <c r="H60" s="1947"/>
      <c r="I60" s="623" t="str">
        <f>係数!I60</f>
        <v>GJ</v>
      </c>
      <c r="J60" s="882"/>
      <c r="K60" s="721"/>
      <c r="L60" s="629"/>
      <c r="M60" s="630"/>
      <c r="N60" s="1147"/>
      <c r="O60" s="632"/>
      <c r="P60" s="632"/>
      <c r="Q60" s="632"/>
      <c r="R60" s="632"/>
      <c r="S60" s="632"/>
      <c r="T60" s="632"/>
      <c r="U60" s="632"/>
      <c r="V60" s="632"/>
      <c r="W60" s="632"/>
      <c r="X60" s="632"/>
      <c r="Y60" s="632"/>
      <c r="Z60" s="632"/>
      <c r="AA60" s="632"/>
      <c r="AB60" s="632"/>
      <c r="AC60" s="632"/>
      <c r="AD60" s="632"/>
      <c r="AE60" s="632"/>
      <c r="AF60" s="632"/>
      <c r="AG60" s="632"/>
      <c r="AH60" s="632"/>
      <c r="AI60" s="632"/>
      <c r="AJ60" s="632"/>
      <c r="AK60" s="632"/>
      <c r="AL60" s="632"/>
      <c r="AM60" s="632"/>
      <c r="AN60" s="632"/>
      <c r="AO60" s="632"/>
      <c r="AP60" s="632"/>
      <c r="AQ60" s="632"/>
      <c r="AR60" s="632"/>
      <c r="AS60" s="632"/>
      <c r="AT60" s="632"/>
      <c r="AU60" s="632"/>
      <c r="AV60" s="632"/>
      <c r="AW60" s="632"/>
      <c r="AX60" s="632"/>
      <c r="AY60" s="632"/>
      <c r="AZ60" s="632"/>
      <c r="BA60" s="632"/>
    </row>
    <row r="61" spans="2:53" ht="14.25">
      <c r="B61" s="1940"/>
      <c r="C61" s="1945" t="s">
        <v>2725</v>
      </c>
      <c r="D61" s="1946"/>
      <c r="E61" s="1946"/>
      <c r="F61" s="1946"/>
      <c r="G61" s="1946"/>
      <c r="H61" s="1947"/>
      <c r="I61" s="623" t="str">
        <f>係数!I61</f>
        <v>GJ</v>
      </c>
      <c r="J61" s="882"/>
      <c r="K61" s="721"/>
      <c r="L61" s="629"/>
      <c r="M61" s="630"/>
      <c r="N61" s="1147"/>
      <c r="O61" s="632"/>
      <c r="P61" s="632"/>
      <c r="Q61" s="632"/>
      <c r="R61" s="632"/>
      <c r="S61" s="632"/>
      <c r="T61" s="632"/>
      <c r="U61" s="632"/>
      <c r="V61" s="632"/>
      <c r="W61" s="632"/>
      <c r="X61" s="632"/>
      <c r="Y61" s="632"/>
      <c r="Z61" s="632"/>
      <c r="AA61" s="632"/>
      <c r="AB61" s="632"/>
      <c r="AC61" s="632"/>
      <c r="AD61" s="632"/>
      <c r="AE61" s="632"/>
      <c r="AF61" s="632"/>
      <c r="AG61" s="632"/>
      <c r="AH61" s="632"/>
      <c r="AI61" s="632"/>
      <c r="AJ61" s="632"/>
      <c r="AK61" s="632"/>
      <c r="AL61" s="632"/>
      <c r="AM61" s="632"/>
      <c r="AN61" s="632"/>
      <c r="AO61" s="632"/>
      <c r="AP61" s="632"/>
      <c r="AQ61" s="632"/>
      <c r="AR61" s="632"/>
      <c r="AS61" s="632"/>
      <c r="AT61" s="632"/>
      <c r="AU61" s="632"/>
      <c r="AV61" s="632"/>
      <c r="AW61" s="632"/>
      <c r="AX61" s="632"/>
      <c r="AY61" s="632"/>
      <c r="AZ61" s="632"/>
      <c r="BA61" s="632"/>
    </row>
    <row r="62" spans="2:53" ht="14.25">
      <c r="B62" s="1940"/>
      <c r="C62" s="1945" t="s">
        <v>2726</v>
      </c>
      <c r="D62" s="1946"/>
      <c r="E62" s="1946"/>
      <c r="F62" s="1946"/>
      <c r="G62" s="1946"/>
      <c r="H62" s="1947"/>
      <c r="I62" s="623" t="str">
        <f>係数!I62</f>
        <v>GJ</v>
      </c>
      <c r="J62" s="882"/>
      <c r="K62" s="721"/>
      <c r="L62" s="629"/>
      <c r="M62" s="630"/>
      <c r="N62" s="1147"/>
      <c r="O62" s="632"/>
      <c r="P62" s="632"/>
      <c r="Q62" s="632"/>
      <c r="R62" s="632"/>
      <c r="S62" s="632"/>
      <c r="T62" s="632"/>
      <c r="U62" s="632"/>
      <c r="V62" s="632"/>
      <c r="W62" s="632"/>
      <c r="X62" s="632"/>
      <c r="Y62" s="632"/>
      <c r="Z62" s="632"/>
      <c r="AA62" s="632"/>
      <c r="AB62" s="632"/>
      <c r="AC62" s="632"/>
      <c r="AD62" s="632"/>
      <c r="AE62" s="632"/>
      <c r="AF62" s="632"/>
      <c r="AG62" s="632"/>
      <c r="AH62" s="632"/>
      <c r="AI62" s="632"/>
      <c r="AJ62" s="632"/>
      <c r="AK62" s="632"/>
      <c r="AL62" s="632"/>
      <c r="AM62" s="632"/>
      <c r="AN62" s="632"/>
      <c r="AO62" s="632"/>
      <c r="AP62" s="632"/>
      <c r="AQ62" s="632"/>
      <c r="AR62" s="632"/>
      <c r="AS62" s="632"/>
      <c r="AT62" s="632"/>
      <c r="AU62" s="632"/>
      <c r="AV62" s="632"/>
      <c r="AW62" s="632"/>
      <c r="AX62" s="632"/>
      <c r="AY62" s="632"/>
      <c r="AZ62" s="632"/>
      <c r="BA62" s="632"/>
    </row>
    <row r="63" spans="2:53">
      <c r="B63" s="2244"/>
      <c r="C63" s="1948" t="s">
        <v>2721</v>
      </c>
      <c r="D63" s="1949"/>
      <c r="E63" s="1949"/>
      <c r="F63" s="1949"/>
      <c r="G63" s="1949"/>
      <c r="H63" s="1951"/>
      <c r="I63" s="1190" t="s">
        <v>2740</v>
      </c>
      <c r="J63" s="1207"/>
      <c r="K63" s="1179">
        <f>SUM(K59:K62)</f>
        <v>0</v>
      </c>
      <c r="L63" s="1180">
        <f t="shared" ref="L63:V63" si="0">SUM(L59:L62)</f>
        <v>0</v>
      </c>
      <c r="M63" s="1181">
        <f t="shared" si="0"/>
        <v>0</v>
      </c>
      <c r="N63" s="1179">
        <f t="shared" si="0"/>
        <v>0</v>
      </c>
      <c r="O63" s="1180">
        <f t="shared" si="0"/>
        <v>0</v>
      </c>
      <c r="P63" s="1180">
        <f t="shared" si="0"/>
        <v>0</v>
      </c>
      <c r="Q63" s="1180">
        <f t="shared" si="0"/>
        <v>0</v>
      </c>
      <c r="R63" s="1180">
        <f t="shared" si="0"/>
        <v>0</v>
      </c>
      <c r="S63" s="1180">
        <f t="shared" si="0"/>
        <v>0</v>
      </c>
      <c r="T63" s="1180">
        <f t="shared" si="0"/>
        <v>0</v>
      </c>
      <c r="U63" s="1180">
        <f t="shared" si="0"/>
        <v>0</v>
      </c>
      <c r="V63" s="1180">
        <f t="shared" si="0"/>
        <v>0</v>
      </c>
      <c r="W63" s="1180">
        <f t="shared" ref="W63:BA63" si="1">SUM(W59:W62)</f>
        <v>0</v>
      </c>
      <c r="X63" s="1180">
        <f t="shared" si="1"/>
        <v>0</v>
      </c>
      <c r="Y63" s="1180">
        <f t="shared" si="1"/>
        <v>0</v>
      </c>
      <c r="Z63" s="1180">
        <f t="shared" si="1"/>
        <v>0</v>
      </c>
      <c r="AA63" s="1180">
        <f t="shared" si="1"/>
        <v>0</v>
      </c>
      <c r="AB63" s="1180">
        <f t="shared" si="1"/>
        <v>0</v>
      </c>
      <c r="AC63" s="1180">
        <f t="shared" si="1"/>
        <v>0</v>
      </c>
      <c r="AD63" s="1180">
        <f t="shared" si="1"/>
        <v>0</v>
      </c>
      <c r="AE63" s="1180">
        <f t="shared" si="1"/>
        <v>0</v>
      </c>
      <c r="AF63" s="1180">
        <f t="shared" si="1"/>
        <v>0</v>
      </c>
      <c r="AG63" s="1180">
        <f t="shared" si="1"/>
        <v>0</v>
      </c>
      <c r="AH63" s="1180">
        <f t="shared" si="1"/>
        <v>0</v>
      </c>
      <c r="AI63" s="1180">
        <f t="shared" si="1"/>
        <v>0</v>
      </c>
      <c r="AJ63" s="1180">
        <f t="shared" si="1"/>
        <v>0</v>
      </c>
      <c r="AK63" s="1180">
        <f t="shared" si="1"/>
        <v>0</v>
      </c>
      <c r="AL63" s="1180">
        <f t="shared" si="1"/>
        <v>0</v>
      </c>
      <c r="AM63" s="1180">
        <f t="shared" si="1"/>
        <v>0</v>
      </c>
      <c r="AN63" s="1180">
        <f t="shared" si="1"/>
        <v>0</v>
      </c>
      <c r="AO63" s="1180">
        <f t="shared" si="1"/>
        <v>0</v>
      </c>
      <c r="AP63" s="1180">
        <f t="shared" si="1"/>
        <v>0</v>
      </c>
      <c r="AQ63" s="1180">
        <f t="shared" si="1"/>
        <v>0</v>
      </c>
      <c r="AR63" s="1180">
        <f t="shared" si="1"/>
        <v>0</v>
      </c>
      <c r="AS63" s="1180">
        <f t="shared" si="1"/>
        <v>0</v>
      </c>
      <c r="AT63" s="1180">
        <f t="shared" si="1"/>
        <v>0</v>
      </c>
      <c r="AU63" s="1180">
        <f t="shared" si="1"/>
        <v>0</v>
      </c>
      <c r="AV63" s="1180">
        <f t="shared" si="1"/>
        <v>0</v>
      </c>
      <c r="AW63" s="1180">
        <f t="shared" si="1"/>
        <v>0</v>
      </c>
      <c r="AX63" s="1180">
        <f t="shared" si="1"/>
        <v>0</v>
      </c>
      <c r="AY63" s="1180">
        <f t="shared" si="1"/>
        <v>0</v>
      </c>
      <c r="AZ63" s="1180">
        <f t="shared" si="1"/>
        <v>0</v>
      </c>
      <c r="BA63" s="1180">
        <f t="shared" si="1"/>
        <v>0</v>
      </c>
    </row>
    <row r="64" spans="2:53" ht="14.25" hidden="1" thickBot="1">
      <c r="B64" s="1200"/>
      <c r="C64" s="723"/>
      <c r="D64" s="723"/>
      <c r="E64" s="723"/>
      <c r="F64" s="723"/>
      <c r="G64" s="723"/>
      <c r="H64" s="1124"/>
      <c r="I64" s="644"/>
      <c r="J64" s="1155"/>
      <c r="K64" s="645"/>
      <c r="L64" s="646"/>
      <c r="M64" s="647"/>
      <c r="N64" s="645"/>
      <c r="O64" s="646"/>
      <c r="P64" s="646"/>
      <c r="Q64" s="646"/>
      <c r="R64" s="646"/>
      <c r="S64" s="646"/>
      <c r="T64" s="646"/>
      <c r="U64" s="646"/>
      <c r="V64" s="646"/>
      <c r="W64" s="646"/>
      <c r="X64" s="646"/>
      <c r="Y64" s="646"/>
      <c r="Z64" s="646"/>
      <c r="AA64" s="646"/>
      <c r="AB64" s="646"/>
      <c r="AC64" s="646"/>
      <c r="AD64" s="646"/>
      <c r="AE64" s="646"/>
      <c r="AF64" s="646"/>
      <c r="AG64" s="646"/>
      <c r="AH64" s="646"/>
      <c r="AI64" s="646"/>
      <c r="AJ64" s="646"/>
      <c r="AK64" s="646"/>
      <c r="AL64" s="646"/>
      <c r="AM64" s="646"/>
      <c r="AN64" s="646"/>
      <c r="AO64" s="646"/>
      <c r="AP64" s="646"/>
      <c r="AQ64" s="646"/>
      <c r="AR64" s="646"/>
      <c r="AS64" s="646"/>
      <c r="AT64" s="646"/>
      <c r="AU64" s="646"/>
      <c r="AV64" s="646"/>
      <c r="AW64" s="646"/>
      <c r="AX64" s="646"/>
      <c r="AY64" s="646"/>
      <c r="AZ64" s="646"/>
      <c r="BA64" s="646"/>
    </row>
    <row r="65" spans="2:53" ht="19.149999999999999" customHeight="1">
      <c r="B65" s="1938" t="s">
        <v>2727</v>
      </c>
      <c r="C65" s="2242" t="str">
        <f>'使用量_1,2'!C65&amp;""</f>
        <v>登録番号+メニュー</v>
      </c>
      <c r="D65" s="2242"/>
      <c r="E65" s="2243" t="e">
        <f>'使用量_1,2'!E65&amp;""</f>
        <v>#N/A</v>
      </c>
      <c r="F65" s="1213" t="s">
        <v>2684</v>
      </c>
      <c r="G65" s="1213" t="s">
        <v>571</v>
      </c>
      <c r="H65" s="1211" t="s">
        <v>2728</v>
      </c>
      <c r="I65" s="623" t="str">
        <f>係数!I65</f>
        <v>千kWh</v>
      </c>
      <c r="J65" s="883"/>
      <c r="K65" s="721"/>
      <c r="L65" s="629"/>
      <c r="M65" s="630"/>
      <c r="N65" s="1147"/>
      <c r="O65" s="632"/>
      <c r="P65" s="632"/>
      <c r="Q65" s="632"/>
      <c r="R65" s="632"/>
      <c r="S65" s="632"/>
      <c r="T65" s="632"/>
      <c r="U65" s="632"/>
      <c r="V65" s="632"/>
      <c r="W65" s="632"/>
      <c r="X65" s="632"/>
      <c r="Y65" s="632"/>
      <c r="Z65" s="632"/>
      <c r="AA65" s="632"/>
      <c r="AB65" s="632"/>
      <c r="AC65" s="632"/>
      <c r="AD65" s="632"/>
      <c r="AE65" s="632"/>
      <c r="AF65" s="632"/>
      <c r="AG65" s="632"/>
      <c r="AH65" s="632"/>
      <c r="AI65" s="632"/>
      <c r="AJ65" s="632"/>
      <c r="AK65" s="632"/>
      <c r="AL65" s="632"/>
      <c r="AM65" s="632"/>
      <c r="AN65" s="632"/>
      <c r="AO65" s="632"/>
      <c r="AP65" s="632"/>
      <c r="AQ65" s="632"/>
      <c r="AR65" s="632"/>
      <c r="AS65" s="632"/>
      <c r="AT65" s="632"/>
      <c r="AU65" s="632"/>
      <c r="AV65" s="632"/>
      <c r="AW65" s="632"/>
      <c r="AX65" s="632"/>
      <c r="AY65" s="632"/>
      <c r="AZ65" s="632"/>
      <c r="BA65" s="632"/>
    </row>
    <row r="66" spans="2:53" ht="14.25">
      <c r="B66" s="1939"/>
      <c r="C66" s="2242"/>
      <c r="D66" s="2242"/>
      <c r="E66" s="2243"/>
      <c r="F66" s="975" t="e">
        <f>'使用量_1,2'!F66</f>
        <v>#N/A</v>
      </c>
      <c r="G66" s="976" t="e">
        <f>'使用量_1,2'!G66</f>
        <v>#N/A</v>
      </c>
      <c r="H66" s="1211" t="s">
        <v>2731</v>
      </c>
      <c r="I66" s="623" t="str">
        <f>係数!I66</f>
        <v>千kWh</v>
      </c>
      <c r="J66" s="883"/>
      <c r="K66" s="721"/>
      <c r="L66" s="629"/>
      <c r="M66" s="630"/>
      <c r="N66" s="1147"/>
      <c r="O66" s="632"/>
      <c r="P66" s="632"/>
      <c r="Q66" s="632"/>
      <c r="R66" s="632"/>
      <c r="S66" s="632"/>
      <c r="T66" s="632"/>
      <c r="U66" s="632"/>
      <c r="V66" s="632"/>
      <c r="W66" s="632"/>
      <c r="X66" s="632"/>
      <c r="Y66" s="632"/>
      <c r="Z66" s="632"/>
      <c r="AA66" s="632"/>
      <c r="AB66" s="632"/>
      <c r="AC66" s="632"/>
      <c r="AD66" s="632"/>
      <c r="AE66" s="632"/>
      <c r="AF66" s="632"/>
      <c r="AG66" s="632"/>
      <c r="AH66" s="632"/>
      <c r="AI66" s="632"/>
      <c r="AJ66" s="632"/>
      <c r="AK66" s="632"/>
      <c r="AL66" s="632"/>
      <c r="AM66" s="632"/>
      <c r="AN66" s="632"/>
      <c r="AO66" s="632"/>
      <c r="AP66" s="632"/>
      <c r="AQ66" s="632"/>
      <c r="AR66" s="632"/>
      <c r="AS66" s="632"/>
      <c r="AT66" s="632"/>
      <c r="AU66" s="632"/>
      <c r="AV66" s="632"/>
      <c r="AW66" s="632"/>
      <c r="AX66" s="632"/>
      <c r="AY66" s="632"/>
      <c r="AZ66" s="632"/>
      <c r="BA66" s="632"/>
    </row>
    <row r="67" spans="2:53" ht="19.149999999999999" customHeight="1">
      <c r="B67" s="1939"/>
      <c r="C67" s="2242" t="str">
        <f>'使用量_1,2'!C67&amp;""</f>
        <v>登録番号+メニュー</v>
      </c>
      <c r="D67" s="2242"/>
      <c r="E67" s="2243" t="e">
        <f>'使用量_1,2'!E67&amp;""</f>
        <v>#N/A</v>
      </c>
      <c r="F67" s="1213" t="s">
        <v>2684</v>
      </c>
      <c r="G67" s="1213" t="s">
        <v>571</v>
      </c>
      <c r="H67" s="1211" t="s">
        <v>2728</v>
      </c>
      <c r="I67" s="623" t="str">
        <f>係数!I67</f>
        <v>千kWh</v>
      </c>
      <c r="J67" s="883"/>
      <c r="K67" s="721"/>
      <c r="L67" s="629"/>
      <c r="M67" s="630"/>
      <c r="N67" s="1147"/>
      <c r="O67" s="632"/>
      <c r="P67" s="632"/>
      <c r="Q67" s="632"/>
      <c r="R67" s="632"/>
      <c r="S67" s="632"/>
      <c r="T67" s="632"/>
      <c r="U67" s="632"/>
      <c r="V67" s="632"/>
      <c r="W67" s="632"/>
      <c r="X67" s="632"/>
      <c r="Y67" s="632"/>
      <c r="Z67" s="632"/>
      <c r="AA67" s="632"/>
      <c r="AB67" s="632"/>
      <c r="AC67" s="632"/>
      <c r="AD67" s="632"/>
      <c r="AE67" s="632"/>
      <c r="AF67" s="632"/>
      <c r="AG67" s="632"/>
      <c r="AH67" s="632"/>
      <c r="AI67" s="632"/>
      <c r="AJ67" s="632"/>
      <c r="AK67" s="632"/>
      <c r="AL67" s="632"/>
      <c r="AM67" s="632"/>
      <c r="AN67" s="632"/>
      <c r="AO67" s="632"/>
      <c r="AP67" s="632"/>
      <c r="AQ67" s="632"/>
      <c r="AR67" s="632"/>
      <c r="AS67" s="632"/>
      <c r="AT67" s="632"/>
      <c r="AU67" s="632"/>
      <c r="AV67" s="632"/>
      <c r="AW67" s="632"/>
      <c r="AX67" s="632"/>
      <c r="AY67" s="632"/>
      <c r="AZ67" s="632"/>
      <c r="BA67" s="632"/>
    </row>
    <row r="68" spans="2:53" ht="14.25">
      <c r="B68" s="1939"/>
      <c r="C68" s="2242"/>
      <c r="D68" s="2242"/>
      <c r="E68" s="2243"/>
      <c r="F68" s="975" t="e">
        <f>'使用量_1,2'!F68</f>
        <v>#N/A</v>
      </c>
      <c r="G68" s="976" t="e">
        <f>'使用量_1,2'!G68</f>
        <v>#N/A</v>
      </c>
      <c r="H68" s="1211" t="s">
        <v>2731</v>
      </c>
      <c r="I68" s="623" t="str">
        <f>係数!I68</f>
        <v>千kWh</v>
      </c>
      <c r="J68" s="883"/>
      <c r="K68" s="721"/>
      <c r="L68" s="629"/>
      <c r="M68" s="630"/>
      <c r="N68" s="1147"/>
      <c r="O68" s="632"/>
      <c r="P68" s="632"/>
      <c r="Q68" s="632"/>
      <c r="R68" s="632"/>
      <c r="S68" s="632"/>
      <c r="T68" s="632"/>
      <c r="U68" s="632"/>
      <c r="V68" s="632"/>
      <c r="W68" s="632"/>
      <c r="X68" s="632"/>
      <c r="Y68" s="632"/>
      <c r="Z68" s="632"/>
      <c r="AA68" s="632"/>
      <c r="AB68" s="632"/>
      <c r="AC68" s="632"/>
      <c r="AD68" s="632"/>
      <c r="AE68" s="632"/>
      <c r="AF68" s="632"/>
      <c r="AG68" s="632"/>
      <c r="AH68" s="632"/>
      <c r="AI68" s="632"/>
      <c r="AJ68" s="632"/>
      <c r="AK68" s="632"/>
      <c r="AL68" s="632"/>
      <c r="AM68" s="632"/>
      <c r="AN68" s="632"/>
      <c r="AO68" s="632"/>
      <c r="AP68" s="632"/>
      <c r="AQ68" s="632"/>
      <c r="AR68" s="632"/>
      <c r="AS68" s="632"/>
      <c r="AT68" s="632"/>
      <c r="AU68" s="632"/>
      <c r="AV68" s="632"/>
      <c r="AW68" s="632"/>
      <c r="AX68" s="632"/>
      <c r="AY68" s="632"/>
      <c r="AZ68" s="632"/>
      <c r="BA68" s="632"/>
    </row>
    <row r="69" spans="2:53" ht="19.149999999999999" customHeight="1">
      <c r="B69" s="1939"/>
      <c r="C69" s="2242" t="str">
        <f>'使用量_1,2'!C69&amp;""</f>
        <v>登録番号+メニュー</v>
      </c>
      <c r="D69" s="2242"/>
      <c r="E69" s="2243" t="e">
        <f>'使用量_1,2'!E69&amp;""</f>
        <v>#N/A</v>
      </c>
      <c r="F69" s="1213" t="s">
        <v>2684</v>
      </c>
      <c r="G69" s="1213" t="s">
        <v>571</v>
      </c>
      <c r="H69" s="1211" t="s">
        <v>2728</v>
      </c>
      <c r="I69" s="623" t="str">
        <f>係数!I69</f>
        <v>千kWh</v>
      </c>
      <c r="J69" s="883"/>
      <c r="K69" s="721"/>
      <c r="L69" s="629"/>
      <c r="M69" s="630"/>
      <c r="N69" s="1147"/>
      <c r="O69" s="632"/>
      <c r="P69" s="632"/>
      <c r="Q69" s="632"/>
      <c r="R69" s="632"/>
      <c r="S69" s="632"/>
      <c r="T69" s="632"/>
      <c r="U69" s="632"/>
      <c r="V69" s="632"/>
      <c r="W69" s="632"/>
      <c r="X69" s="632"/>
      <c r="Y69" s="632"/>
      <c r="Z69" s="632"/>
      <c r="AA69" s="632"/>
      <c r="AB69" s="632"/>
      <c r="AC69" s="632"/>
      <c r="AD69" s="632"/>
      <c r="AE69" s="632"/>
      <c r="AF69" s="632"/>
      <c r="AG69" s="632"/>
      <c r="AH69" s="632"/>
      <c r="AI69" s="632"/>
      <c r="AJ69" s="632"/>
      <c r="AK69" s="632"/>
      <c r="AL69" s="632"/>
      <c r="AM69" s="632"/>
      <c r="AN69" s="632"/>
      <c r="AO69" s="632"/>
      <c r="AP69" s="632"/>
      <c r="AQ69" s="632"/>
      <c r="AR69" s="632"/>
      <c r="AS69" s="632"/>
      <c r="AT69" s="632"/>
      <c r="AU69" s="632"/>
      <c r="AV69" s="632"/>
      <c r="AW69" s="632"/>
      <c r="AX69" s="632"/>
      <c r="AY69" s="632"/>
      <c r="AZ69" s="632"/>
      <c r="BA69" s="632"/>
    </row>
    <row r="70" spans="2:53" ht="14.25">
      <c r="B70" s="1939"/>
      <c r="C70" s="2242"/>
      <c r="D70" s="2242"/>
      <c r="E70" s="2243"/>
      <c r="F70" s="975" t="e">
        <f>'使用量_1,2'!F70</f>
        <v>#N/A</v>
      </c>
      <c r="G70" s="976" t="e">
        <f>'使用量_1,2'!G70</f>
        <v>#N/A</v>
      </c>
      <c r="H70" s="1211" t="s">
        <v>2731</v>
      </c>
      <c r="I70" s="623" t="str">
        <f>係数!I70</f>
        <v>千kWh</v>
      </c>
      <c r="J70" s="883"/>
      <c r="K70" s="721"/>
      <c r="L70" s="629"/>
      <c r="M70" s="630"/>
      <c r="N70" s="1147"/>
      <c r="O70" s="632"/>
      <c r="P70" s="632"/>
      <c r="Q70" s="632"/>
      <c r="R70" s="632"/>
      <c r="S70" s="632"/>
      <c r="T70" s="632"/>
      <c r="U70" s="632"/>
      <c r="V70" s="632"/>
      <c r="W70" s="632"/>
      <c r="X70" s="632"/>
      <c r="Y70" s="632"/>
      <c r="Z70" s="632"/>
      <c r="AA70" s="632"/>
      <c r="AB70" s="632"/>
      <c r="AC70" s="632"/>
      <c r="AD70" s="632"/>
      <c r="AE70" s="632"/>
      <c r="AF70" s="632"/>
      <c r="AG70" s="632"/>
      <c r="AH70" s="632"/>
      <c r="AI70" s="632"/>
      <c r="AJ70" s="632"/>
      <c r="AK70" s="632"/>
      <c r="AL70" s="632"/>
      <c r="AM70" s="632"/>
      <c r="AN70" s="632"/>
      <c r="AO70" s="632"/>
      <c r="AP70" s="632"/>
      <c r="AQ70" s="632"/>
      <c r="AR70" s="632"/>
      <c r="AS70" s="632"/>
      <c r="AT70" s="632"/>
      <c r="AU70" s="632"/>
      <c r="AV70" s="632"/>
      <c r="AW70" s="632"/>
      <c r="AX70" s="632"/>
      <c r="AY70" s="632"/>
      <c r="AZ70" s="632"/>
      <c r="BA70" s="632"/>
    </row>
    <row r="71" spans="2:53" ht="19.149999999999999" customHeight="1">
      <c r="B71" s="1939"/>
      <c r="C71" s="2242" t="str">
        <f>'使用量_1,2'!C71&amp;""</f>
        <v>登録番号+メニュー</v>
      </c>
      <c r="D71" s="2242"/>
      <c r="E71" s="2243" t="e">
        <f>'使用量_1,2'!E71&amp;""</f>
        <v>#N/A</v>
      </c>
      <c r="F71" s="1213" t="s">
        <v>2684</v>
      </c>
      <c r="G71" s="1213" t="s">
        <v>571</v>
      </c>
      <c r="H71" s="1211" t="s">
        <v>2728</v>
      </c>
      <c r="I71" s="623" t="str">
        <f>係数!I71</f>
        <v>千kWh</v>
      </c>
      <c r="J71" s="883"/>
      <c r="K71" s="721"/>
      <c r="L71" s="629"/>
      <c r="M71" s="630"/>
      <c r="N71" s="1147"/>
      <c r="O71" s="632"/>
      <c r="P71" s="632"/>
      <c r="Q71" s="632"/>
      <c r="R71" s="632"/>
      <c r="S71" s="632"/>
      <c r="T71" s="632"/>
      <c r="U71" s="632"/>
      <c r="V71" s="632"/>
      <c r="W71" s="632"/>
      <c r="X71" s="632"/>
      <c r="Y71" s="632"/>
      <c r="Z71" s="632"/>
      <c r="AA71" s="632"/>
      <c r="AB71" s="632"/>
      <c r="AC71" s="632"/>
      <c r="AD71" s="632"/>
      <c r="AE71" s="632"/>
      <c r="AF71" s="632"/>
      <c r="AG71" s="632"/>
      <c r="AH71" s="632"/>
      <c r="AI71" s="632"/>
      <c r="AJ71" s="632"/>
      <c r="AK71" s="632"/>
      <c r="AL71" s="632"/>
      <c r="AM71" s="632"/>
      <c r="AN71" s="632"/>
      <c r="AO71" s="632"/>
      <c r="AP71" s="632"/>
      <c r="AQ71" s="632"/>
      <c r="AR71" s="632"/>
      <c r="AS71" s="632"/>
      <c r="AT71" s="632"/>
      <c r="AU71" s="632"/>
      <c r="AV71" s="632"/>
      <c r="AW71" s="632"/>
      <c r="AX71" s="632"/>
      <c r="AY71" s="632"/>
      <c r="AZ71" s="632"/>
      <c r="BA71" s="632"/>
    </row>
    <row r="72" spans="2:53" ht="14.25">
      <c r="B72" s="1939"/>
      <c r="C72" s="2242"/>
      <c r="D72" s="2242"/>
      <c r="E72" s="2243"/>
      <c r="F72" s="975" t="e">
        <f>'使用量_1,2'!F72</f>
        <v>#N/A</v>
      </c>
      <c r="G72" s="976" t="e">
        <f>'使用量_1,2'!G72</f>
        <v>#N/A</v>
      </c>
      <c r="H72" s="1211" t="s">
        <v>2731</v>
      </c>
      <c r="I72" s="623" t="str">
        <f>係数!I72</f>
        <v>千kWh</v>
      </c>
      <c r="J72" s="883"/>
      <c r="K72" s="721"/>
      <c r="L72" s="629"/>
      <c r="M72" s="630"/>
      <c r="N72" s="1147"/>
      <c r="O72" s="632"/>
      <c r="P72" s="632"/>
      <c r="Q72" s="632"/>
      <c r="R72" s="632"/>
      <c r="S72" s="632"/>
      <c r="T72" s="632"/>
      <c r="U72" s="632"/>
      <c r="V72" s="632"/>
      <c r="W72" s="632"/>
      <c r="X72" s="632"/>
      <c r="Y72" s="632"/>
      <c r="Z72" s="632"/>
      <c r="AA72" s="632"/>
      <c r="AB72" s="632"/>
      <c r="AC72" s="632"/>
      <c r="AD72" s="632"/>
      <c r="AE72" s="632"/>
      <c r="AF72" s="632"/>
      <c r="AG72" s="632"/>
      <c r="AH72" s="632"/>
      <c r="AI72" s="632"/>
      <c r="AJ72" s="632"/>
      <c r="AK72" s="632"/>
      <c r="AL72" s="632"/>
      <c r="AM72" s="632"/>
      <c r="AN72" s="632"/>
      <c r="AO72" s="632"/>
      <c r="AP72" s="632"/>
      <c r="AQ72" s="632"/>
      <c r="AR72" s="632"/>
      <c r="AS72" s="632"/>
      <c r="AT72" s="632"/>
      <c r="AU72" s="632"/>
      <c r="AV72" s="632"/>
      <c r="AW72" s="632"/>
      <c r="AX72" s="632"/>
      <c r="AY72" s="632"/>
      <c r="AZ72" s="632"/>
      <c r="BA72" s="632"/>
    </row>
    <row r="73" spans="2:53" ht="19.149999999999999" customHeight="1">
      <c r="B73" s="1939"/>
      <c r="C73" s="2242" t="str">
        <f>'使用量_1,2'!C73&amp;""</f>
        <v>登録番号+メニュー</v>
      </c>
      <c r="D73" s="2242"/>
      <c r="E73" s="2243" t="e">
        <f>'使用量_1,2'!E73&amp;""</f>
        <v>#N/A</v>
      </c>
      <c r="F73" s="1213" t="s">
        <v>2684</v>
      </c>
      <c r="G73" s="1213" t="s">
        <v>571</v>
      </c>
      <c r="H73" s="1211" t="s">
        <v>2728</v>
      </c>
      <c r="I73" s="623" t="str">
        <f>係数!I73</f>
        <v>千kWh</v>
      </c>
      <c r="J73" s="883"/>
      <c r="K73" s="721"/>
      <c r="L73" s="629"/>
      <c r="M73" s="630"/>
      <c r="N73" s="1147"/>
      <c r="O73" s="632"/>
      <c r="P73" s="632"/>
      <c r="Q73" s="632"/>
      <c r="R73" s="632"/>
      <c r="S73" s="632"/>
      <c r="T73" s="632"/>
      <c r="U73" s="632"/>
      <c r="V73" s="632"/>
      <c r="W73" s="632"/>
      <c r="X73" s="632"/>
      <c r="Y73" s="632"/>
      <c r="Z73" s="632"/>
      <c r="AA73" s="632"/>
      <c r="AB73" s="632"/>
      <c r="AC73" s="632"/>
      <c r="AD73" s="632"/>
      <c r="AE73" s="632"/>
      <c r="AF73" s="632"/>
      <c r="AG73" s="632"/>
      <c r="AH73" s="632"/>
      <c r="AI73" s="632"/>
      <c r="AJ73" s="632"/>
      <c r="AK73" s="632"/>
      <c r="AL73" s="632"/>
      <c r="AM73" s="632"/>
      <c r="AN73" s="632"/>
      <c r="AO73" s="632"/>
      <c r="AP73" s="632"/>
      <c r="AQ73" s="632"/>
      <c r="AR73" s="632"/>
      <c r="AS73" s="632"/>
      <c r="AT73" s="632"/>
      <c r="AU73" s="632"/>
      <c r="AV73" s="632"/>
      <c r="AW73" s="632"/>
      <c r="AX73" s="632"/>
      <c r="AY73" s="632"/>
      <c r="AZ73" s="632"/>
      <c r="BA73" s="632"/>
    </row>
    <row r="74" spans="2:53" ht="15" thickBot="1">
      <c r="B74" s="1939"/>
      <c r="C74" s="2242"/>
      <c r="D74" s="2242"/>
      <c r="E74" s="2243"/>
      <c r="F74" s="975" t="e">
        <f>'使用量_1,2'!F74</f>
        <v>#N/A</v>
      </c>
      <c r="G74" s="976" t="e">
        <f>'使用量_1,2'!G74</f>
        <v>#N/A</v>
      </c>
      <c r="H74" s="1211" t="s">
        <v>2731</v>
      </c>
      <c r="I74" s="623" t="str">
        <f>係数!I74</f>
        <v>千kWh</v>
      </c>
      <c r="J74" s="883"/>
      <c r="K74" s="721"/>
      <c r="L74" s="629"/>
      <c r="M74" s="630"/>
      <c r="N74" s="1147"/>
      <c r="O74" s="632"/>
      <c r="P74" s="632"/>
      <c r="Q74" s="632"/>
      <c r="R74" s="632"/>
      <c r="S74" s="632"/>
      <c r="T74" s="632"/>
      <c r="U74" s="632"/>
      <c r="V74" s="632"/>
      <c r="W74" s="632"/>
      <c r="X74" s="632"/>
      <c r="Y74" s="632"/>
      <c r="Z74" s="632"/>
      <c r="AA74" s="632"/>
      <c r="AB74" s="632"/>
      <c r="AC74" s="632"/>
      <c r="AD74" s="632"/>
      <c r="AE74" s="632"/>
      <c r="AF74" s="632"/>
      <c r="AG74" s="632"/>
      <c r="AH74" s="632"/>
      <c r="AI74" s="632"/>
      <c r="AJ74" s="632"/>
      <c r="AK74" s="632"/>
      <c r="AL74" s="632"/>
      <c r="AM74" s="632"/>
      <c r="AN74" s="632"/>
      <c r="AO74" s="632"/>
      <c r="AP74" s="632"/>
      <c r="AQ74" s="632"/>
      <c r="AR74" s="632"/>
      <c r="AS74" s="632"/>
      <c r="AT74" s="632"/>
      <c r="AU74" s="632"/>
      <c r="AV74" s="632"/>
      <c r="AW74" s="632"/>
      <c r="AX74" s="632"/>
      <c r="AY74" s="632"/>
      <c r="AZ74" s="632"/>
      <c r="BA74" s="632"/>
    </row>
    <row r="75" spans="2:53" ht="14.45" hidden="1" customHeight="1">
      <c r="B75" s="1939"/>
      <c r="C75" s="2242" t="str">
        <f>'使用量_1,2'!C75&amp;""</f>
        <v>登録番号+メニュー</v>
      </c>
      <c r="D75" s="2242"/>
      <c r="E75" s="2243" t="e">
        <f>'使用量_1,2'!E75&amp;""</f>
        <v>#N/A</v>
      </c>
      <c r="F75" s="1213" t="s">
        <v>2684</v>
      </c>
      <c r="G75" s="1213" t="s">
        <v>571</v>
      </c>
      <c r="H75" s="1211" t="s">
        <v>2728</v>
      </c>
      <c r="I75" s="623" t="str">
        <f>係数!I75</f>
        <v>千kWh</v>
      </c>
      <c r="J75" s="883"/>
      <c r="K75" s="721"/>
      <c r="L75" s="629"/>
      <c r="M75" s="630"/>
      <c r="N75" s="1147"/>
      <c r="O75" s="632"/>
      <c r="P75" s="632"/>
      <c r="Q75" s="632"/>
      <c r="R75" s="632"/>
      <c r="S75" s="632"/>
      <c r="T75" s="632"/>
      <c r="U75" s="632"/>
      <c r="V75" s="632"/>
      <c r="W75" s="632"/>
      <c r="X75" s="632"/>
      <c r="Y75" s="632"/>
      <c r="Z75" s="632"/>
      <c r="AA75" s="632"/>
      <c r="AB75" s="632"/>
      <c r="AC75" s="632"/>
      <c r="AD75" s="632"/>
      <c r="AE75" s="632"/>
      <c r="AF75" s="632"/>
      <c r="AG75" s="632"/>
      <c r="AH75" s="632"/>
      <c r="AI75" s="632"/>
      <c r="AJ75" s="632"/>
      <c r="AK75" s="632"/>
      <c r="AL75" s="632"/>
      <c r="AM75" s="632"/>
      <c r="AN75" s="632"/>
      <c r="AO75" s="632"/>
      <c r="AP75" s="632"/>
      <c r="AQ75" s="632"/>
      <c r="AR75" s="632"/>
      <c r="AS75" s="632"/>
      <c r="AT75" s="632"/>
      <c r="AU75" s="632"/>
      <c r="AV75" s="632"/>
      <c r="AW75" s="632"/>
      <c r="AX75" s="632"/>
      <c r="AY75" s="632"/>
      <c r="AZ75" s="632"/>
      <c r="BA75" s="632"/>
    </row>
    <row r="76" spans="2:53" ht="14.25" hidden="1">
      <c r="B76" s="1939"/>
      <c r="C76" s="2242"/>
      <c r="D76" s="2242"/>
      <c r="E76" s="2243"/>
      <c r="F76" s="975" t="e">
        <f>'使用量_1,2'!F76</f>
        <v>#N/A</v>
      </c>
      <c r="G76" s="976" t="e">
        <f>'使用量_1,2'!G76</f>
        <v>#N/A</v>
      </c>
      <c r="H76" s="1211" t="s">
        <v>2731</v>
      </c>
      <c r="I76" s="623" t="str">
        <f>係数!I76</f>
        <v>千kWh</v>
      </c>
      <c r="J76" s="883"/>
      <c r="K76" s="721"/>
      <c r="L76" s="629"/>
      <c r="M76" s="630"/>
      <c r="N76" s="1147"/>
      <c r="O76" s="632"/>
      <c r="P76" s="632"/>
      <c r="Q76" s="632"/>
      <c r="R76" s="632"/>
      <c r="S76" s="632"/>
      <c r="T76" s="632"/>
      <c r="U76" s="632"/>
      <c r="V76" s="632"/>
      <c r="W76" s="632"/>
      <c r="X76" s="632"/>
      <c r="Y76" s="632"/>
      <c r="Z76" s="632"/>
      <c r="AA76" s="632"/>
      <c r="AB76" s="632"/>
      <c r="AC76" s="632"/>
      <c r="AD76" s="632"/>
      <c r="AE76" s="632"/>
      <c r="AF76" s="632"/>
      <c r="AG76" s="632"/>
      <c r="AH76" s="632"/>
      <c r="AI76" s="632"/>
      <c r="AJ76" s="632"/>
      <c r="AK76" s="632"/>
      <c r="AL76" s="632"/>
      <c r="AM76" s="632"/>
      <c r="AN76" s="632"/>
      <c r="AO76" s="632"/>
      <c r="AP76" s="632"/>
      <c r="AQ76" s="632"/>
      <c r="AR76" s="632"/>
      <c r="AS76" s="632"/>
      <c r="AT76" s="632"/>
      <c r="AU76" s="632"/>
      <c r="AV76" s="632"/>
      <c r="AW76" s="632"/>
      <c r="AX76" s="632"/>
      <c r="AY76" s="632"/>
      <c r="AZ76" s="632"/>
      <c r="BA76" s="632"/>
    </row>
    <row r="77" spans="2:53" ht="14.45" hidden="1" customHeight="1">
      <c r="B77" s="1939"/>
      <c r="C77" s="2242" t="str">
        <f>'使用量_1,2'!C77&amp;""</f>
        <v>登録番号+メニュー</v>
      </c>
      <c r="D77" s="2242"/>
      <c r="E77" s="2243" t="e">
        <f>'使用量_1,2'!E77&amp;""</f>
        <v>#N/A</v>
      </c>
      <c r="F77" s="1213" t="s">
        <v>2684</v>
      </c>
      <c r="G77" s="1213" t="s">
        <v>571</v>
      </c>
      <c r="H77" s="1211" t="s">
        <v>2728</v>
      </c>
      <c r="I77" s="623" t="str">
        <f>係数!I77</f>
        <v>千kWh</v>
      </c>
      <c r="J77" s="883"/>
      <c r="K77" s="721"/>
      <c r="L77" s="629"/>
      <c r="M77" s="630"/>
      <c r="N77" s="1147"/>
      <c r="O77" s="632"/>
      <c r="P77" s="632"/>
      <c r="Q77" s="632"/>
      <c r="R77" s="632"/>
      <c r="S77" s="632"/>
      <c r="T77" s="632"/>
      <c r="U77" s="632"/>
      <c r="V77" s="632"/>
      <c r="W77" s="632"/>
      <c r="X77" s="632"/>
      <c r="Y77" s="632"/>
      <c r="Z77" s="632"/>
      <c r="AA77" s="632"/>
      <c r="AB77" s="632"/>
      <c r="AC77" s="632"/>
      <c r="AD77" s="632"/>
      <c r="AE77" s="632"/>
      <c r="AF77" s="632"/>
      <c r="AG77" s="632"/>
      <c r="AH77" s="632"/>
      <c r="AI77" s="632"/>
      <c r="AJ77" s="632"/>
      <c r="AK77" s="632"/>
      <c r="AL77" s="632"/>
      <c r="AM77" s="632"/>
      <c r="AN77" s="632"/>
      <c r="AO77" s="632"/>
      <c r="AP77" s="632"/>
      <c r="AQ77" s="632"/>
      <c r="AR77" s="632"/>
      <c r="AS77" s="632"/>
      <c r="AT77" s="632"/>
      <c r="AU77" s="632"/>
      <c r="AV77" s="632"/>
      <c r="AW77" s="632"/>
      <c r="AX77" s="632"/>
      <c r="AY77" s="632"/>
      <c r="AZ77" s="632"/>
      <c r="BA77" s="632"/>
    </row>
    <row r="78" spans="2:53" ht="14.25" hidden="1">
      <c r="B78" s="1939"/>
      <c r="C78" s="2242"/>
      <c r="D78" s="2242"/>
      <c r="E78" s="2243"/>
      <c r="F78" s="975" t="e">
        <f>'使用量_1,2'!F78</f>
        <v>#N/A</v>
      </c>
      <c r="G78" s="976" t="e">
        <f>'使用量_1,2'!G78</f>
        <v>#N/A</v>
      </c>
      <c r="H78" s="1211" t="s">
        <v>2731</v>
      </c>
      <c r="I78" s="623" t="str">
        <f>係数!I78</f>
        <v>千kWh</v>
      </c>
      <c r="J78" s="883"/>
      <c r="K78" s="721"/>
      <c r="L78" s="629"/>
      <c r="M78" s="630"/>
      <c r="N78" s="1147"/>
      <c r="O78" s="632"/>
      <c r="P78" s="632"/>
      <c r="Q78" s="632"/>
      <c r="R78" s="632"/>
      <c r="S78" s="632"/>
      <c r="T78" s="632"/>
      <c r="U78" s="632"/>
      <c r="V78" s="632"/>
      <c r="W78" s="632"/>
      <c r="X78" s="632"/>
      <c r="Y78" s="632"/>
      <c r="Z78" s="632"/>
      <c r="AA78" s="632"/>
      <c r="AB78" s="632"/>
      <c r="AC78" s="632"/>
      <c r="AD78" s="632"/>
      <c r="AE78" s="632"/>
      <c r="AF78" s="632"/>
      <c r="AG78" s="632"/>
      <c r="AH78" s="632"/>
      <c r="AI78" s="632"/>
      <c r="AJ78" s="632"/>
      <c r="AK78" s="632"/>
      <c r="AL78" s="632"/>
      <c r="AM78" s="632"/>
      <c r="AN78" s="632"/>
      <c r="AO78" s="632"/>
      <c r="AP78" s="632"/>
      <c r="AQ78" s="632"/>
      <c r="AR78" s="632"/>
      <c r="AS78" s="632"/>
      <c r="AT78" s="632"/>
      <c r="AU78" s="632"/>
      <c r="AV78" s="632"/>
      <c r="AW78" s="632"/>
      <c r="AX78" s="632"/>
      <c r="AY78" s="632"/>
      <c r="AZ78" s="632"/>
      <c r="BA78" s="632"/>
    </row>
    <row r="79" spans="2:53" ht="14.45" hidden="1" customHeight="1">
      <c r="B79" s="1939"/>
      <c r="C79" s="2242" t="str">
        <f>'使用量_1,2'!C79&amp;""</f>
        <v>登録番号+メニュー</v>
      </c>
      <c r="D79" s="2242"/>
      <c r="E79" s="2243" t="e">
        <f>'使用量_1,2'!E79&amp;""</f>
        <v>#N/A</v>
      </c>
      <c r="F79" s="1213" t="s">
        <v>2684</v>
      </c>
      <c r="G79" s="1213" t="s">
        <v>571</v>
      </c>
      <c r="H79" s="1211" t="s">
        <v>2728</v>
      </c>
      <c r="I79" s="623" t="str">
        <f>係数!I79</f>
        <v>千kWh</v>
      </c>
      <c r="J79" s="883"/>
      <c r="K79" s="721"/>
      <c r="L79" s="629"/>
      <c r="M79" s="630"/>
      <c r="N79" s="1147"/>
      <c r="O79" s="632"/>
      <c r="P79" s="632"/>
      <c r="Q79" s="632"/>
      <c r="R79" s="632"/>
      <c r="S79" s="632"/>
      <c r="T79" s="632"/>
      <c r="U79" s="632"/>
      <c r="V79" s="632"/>
      <c r="W79" s="632"/>
      <c r="X79" s="632"/>
      <c r="Y79" s="632"/>
      <c r="Z79" s="632"/>
      <c r="AA79" s="632"/>
      <c r="AB79" s="632"/>
      <c r="AC79" s="632"/>
      <c r="AD79" s="632"/>
      <c r="AE79" s="632"/>
      <c r="AF79" s="632"/>
      <c r="AG79" s="632"/>
      <c r="AH79" s="632"/>
      <c r="AI79" s="632"/>
      <c r="AJ79" s="632"/>
      <c r="AK79" s="632"/>
      <c r="AL79" s="632"/>
      <c r="AM79" s="632"/>
      <c r="AN79" s="632"/>
      <c r="AO79" s="632"/>
      <c r="AP79" s="632"/>
      <c r="AQ79" s="632"/>
      <c r="AR79" s="632"/>
      <c r="AS79" s="632"/>
      <c r="AT79" s="632"/>
      <c r="AU79" s="632"/>
      <c r="AV79" s="632"/>
      <c r="AW79" s="632"/>
      <c r="AX79" s="632"/>
      <c r="AY79" s="632"/>
      <c r="AZ79" s="632"/>
      <c r="BA79" s="632"/>
    </row>
    <row r="80" spans="2:53" ht="14.25" hidden="1">
      <c r="B80" s="1939"/>
      <c r="C80" s="2242"/>
      <c r="D80" s="2242"/>
      <c r="E80" s="2243"/>
      <c r="F80" s="975" t="e">
        <f>'使用量_1,2'!F80</f>
        <v>#N/A</v>
      </c>
      <c r="G80" s="976" t="e">
        <f>'使用量_1,2'!G80</f>
        <v>#N/A</v>
      </c>
      <c r="H80" s="1211" t="s">
        <v>2731</v>
      </c>
      <c r="I80" s="623" t="str">
        <f>係数!I80</f>
        <v>千kWh</v>
      </c>
      <c r="J80" s="883"/>
      <c r="K80" s="721"/>
      <c r="L80" s="629"/>
      <c r="M80" s="630"/>
      <c r="N80" s="1147"/>
      <c r="O80" s="632"/>
      <c r="P80" s="632"/>
      <c r="Q80" s="632"/>
      <c r="R80" s="632"/>
      <c r="S80" s="632"/>
      <c r="T80" s="632"/>
      <c r="U80" s="632"/>
      <c r="V80" s="632"/>
      <c r="W80" s="632"/>
      <c r="X80" s="632"/>
      <c r="Y80" s="632"/>
      <c r="Z80" s="632"/>
      <c r="AA80" s="632"/>
      <c r="AB80" s="632"/>
      <c r="AC80" s="632"/>
      <c r="AD80" s="632"/>
      <c r="AE80" s="632"/>
      <c r="AF80" s="632"/>
      <c r="AG80" s="632"/>
      <c r="AH80" s="632"/>
      <c r="AI80" s="632"/>
      <c r="AJ80" s="632"/>
      <c r="AK80" s="632"/>
      <c r="AL80" s="632"/>
      <c r="AM80" s="632"/>
      <c r="AN80" s="632"/>
      <c r="AO80" s="632"/>
      <c r="AP80" s="632"/>
      <c r="AQ80" s="632"/>
      <c r="AR80" s="632"/>
      <c r="AS80" s="632"/>
      <c r="AT80" s="632"/>
      <c r="AU80" s="632"/>
      <c r="AV80" s="632"/>
      <c r="AW80" s="632"/>
      <c r="AX80" s="632"/>
      <c r="AY80" s="632"/>
      <c r="AZ80" s="632"/>
      <c r="BA80" s="632"/>
    </row>
    <row r="81" spans="2:53" ht="14.45" hidden="1" customHeight="1">
      <c r="B81" s="1939"/>
      <c r="C81" s="2242" t="str">
        <f>'使用量_1,2'!C81&amp;""</f>
        <v>登録番号+メニュー</v>
      </c>
      <c r="D81" s="2242"/>
      <c r="E81" s="2243" t="e">
        <f>'使用量_1,2'!E81&amp;""</f>
        <v>#N/A</v>
      </c>
      <c r="F81" s="1213" t="s">
        <v>2684</v>
      </c>
      <c r="G81" s="1213" t="s">
        <v>571</v>
      </c>
      <c r="H81" s="1211" t="s">
        <v>2728</v>
      </c>
      <c r="I81" s="623" t="str">
        <f>係数!I81</f>
        <v>千kWh</v>
      </c>
      <c r="J81" s="883"/>
      <c r="K81" s="721"/>
      <c r="L81" s="629"/>
      <c r="M81" s="630"/>
      <c r="N81" s="1147"/>
      <c r="O81" s="632"/>
      <c r="P81" s="632"/>
      <c r="Q81" s="632"/>
      <c r="R81" s="632"/>
      <c r="S81" s="632"/>
      <c r="T81" s="632"/>
      <c r="U81" s="632"/>
      <c r="V81" s="632"/>
      <c r="W81" s="632"/>
      <c r="X81" s="632"/>
      <c r="Y81" s="632"/>
      <c r="Z81" s="632"/>
      <c r="AA81" s="632"/>
      <c r="AB81" s="632"/>
      <c r="AC81" s="632"/>
      <c r="AD81" s="632"/>
      <c r="AE81" s="632"/>
      <c r="AF81" s="632"/>
      <c r="AG81" s="632"/>
      <c r="AH81" s="632"/>
      <c r="AI81" s="632"/>
      <c r="AJ81" s="632"/>
      <c r="AK81" s="632"/>
      <c r="AL81" s="632"/>
      <c r="AM81" s="632"/>
      <c r="AN81" s="632"/>
      <c r="AO81" s="632"/>
      <c r="AP81" s="632"/>
      <c r="AQ81" s="632"/>
      <c r="AR81" s="632"/>
      <c r="AS81" s="632"/>
      <c r="AT81" s="632"/>
      <c r="AU81" s="632"/>
      <c r="AV81" s="632"/>
      <c r="AW81" s="632"/>
      <c r="AX81" s="632"/>
      <c r="AY81" s="632"/>
      <c r="AZ81" s="632"/>
      <c r="BA81" s="632"/>
    </row>
    <row r="82" spans="2:53" ht="14.25" hidden="1">
      <c r="B82" s="1939"/>
      <c r="C82" s="2242"/>
      <c r="D82" s="2242"/>
      <c r="E82" s="2243"/>
      <c r="F82" s="975" t="e">
        <f>'使用量_1,2'!F82</f>
        <v>#N/A</v>
      </c>
      <c r="G82" s="976" t="e">
        <f>'使用量_1,2'!G82</f>
        <v>#N/A</v>
      </c>
      <c r="H82" s="1211" t="s">
        <v>2731</v>
      </c>
      <c r="I82" s="623" t="str">
        <f>係数!I82</f>
        <v>千kWh</v>
      </c>
      <c r="J82" s="883"/>
      <c r="K82" s="721"/>
      <c r="L82" s="629"/>
      <c r="M82" s="630"/>
      <c r="N82" s="1147"/>
      <c r="O82" s="632"/>
      <c r="P82" s="632"/>
      <c r="Q82" s="632"/>
      <c r="R82" s="632"/>
      <c r="S82" s="632"/>
      <c r="T82" s="632"/>
      <c r="U82" s="632"/>
      <c r="V82" s="632"/>
      <c r="W82" s="632"/>
      <c r="X82" s="632"/>
      <c r="Y82" s="632"/>
      <c r="Z82" s="632"/>
      <c r="AA82" s="632"/>
      <c r="AB82" s="632"/>
      <c r="AC82" s="632"/>
      <c r="AD82" s="632"/>
      <c r="AE82" s="632"/>
      <c r="AF82" s="632"/>
      <c r="AG82" s="632"/>
      <c r="AH82" s="632"/>
      <c r="AI82" s="632"/>
      <c r="AJ82" s="632"/>
      <c r="AK82" s="632"/>
      <c r="AL82" s="632"/>
      <c r="AM82" s="632"/>
      <c r="AN82" s="632"/>
      <c r="AO82" s="632"/>
      <c r="AP82" s="632"/>
      <c r="AQ82" s="632"/>
      <c r="AR82" s="632"/>
      <c r="AS82" s="632"/>
      <c r="AT82" s="632"/>
      <c r="AU82" s="632"/>
      <c r="AV82" s="632"/>
      <c r="AW82" s="632"/>
      <c r="AX82" s="632"/>
      <c r="AY82" s="632"/>
      <c r="AZ82" s="632"/>
      <c r="BA82" s="632"/>
    </row>
    <row r="83" spans="2:53" ht="14.45" hidden="1" customHeight="1">
      <c r="B83" s="1939"/>
      <c r="C83" s="2242" t="str">
        <f>'使用量_1,2'!C83&amp;""</f>
        <v>登録番号+メニュー</v>
      </c>
      <c r="D83" s="2242"/>
      <c r="E83" s="2243" t="e">
        <f>'使用量_1,2'!E83&amp;""</f>
        <v>#N/A</v>
      </c>
      <c r="F83" s="1213" t="s">
        <v>2684</v>
      </c>
      <c r="G83" s="1213" t="s">
        <v>571</v>
      </c>
      <c r="H83" s="1211" t="s">
        <v>2728</v>
      </c>
      <c r="I83" s="623" t="str">
        <f>係数!I83</f>
        <v>千kWh</v>
      </c>
      <c r="J83" s="883"/>
      <c r="K83" s="721"/>
      <c r="L83" s="629"/>
      <c r="M83" s="630"/>
      <c r="N83" s="1147"/>
      <c r="O83" s="632"/>
      <c r="P83" s="632"/>
      <c r="Q83" s="632"/>
      <c r="R83" s="632"/>
      <c r="S83" s="632"/>
      <c r="T83" s="632"/>
      <c r="U83" s="632"/>
      <c r="V83" s="632"/>
      <c r="W83" s="632"/>
      <c r="X83" s="632"/>
      <c r="Y83" s="632"/>
      <c r="Z83" s="632"/>
      <c r="AA83" s="632"/>
      <c r="AB83" s="632"/>
      <c r="AC83" s="632"/>
      <c r="AD83" s="632"/>
      <c r="AE83" s="632"/>
      <c r="AF83" s="632"/>
      <c r="AG83" s="632"/>
      <c r="AH83" s="632"/>
      <c r="AI83" s="632"/>
      <c r="AJ83" s="632"/>
      <c r="AK83" s="632"/>
      <c r="AL83" s="632"/>
      <c r="AM83" s="632"/>
      <c r="AN83" s="632"/>
      <c r="AO83" s="632"/>
      <c r="AP83" s="632"/>
      <c r="AQ83" s="632"/>
      <c r="AR83" s="632"/>
      <c r="AS83" s="632"/>
      <c r="AT83" s="632"/>
      <c r="AU83" s="632"/>
      <c r="AV83" s="632"/>
      <c r="AW83" s="632"/>
      <c r="AX83" s="632"/>
      <c r="AY83" s="632"/>
      <c r="AZ83" s="632"/>
      <c r="BA83" s="632"/>
    </row>
    <row r="84" spans="2:53" ht="14.25" hidden="1">
      <c r="B84" s="1939"/>
      <c r="C84" s="2242"/>
      <c r="D84" s="2242"/>
      <c r="E84" s="2243"/>
      <c r="F84" s="975" t="e">
        <f>'使用量_1,2'!F84</f>
        <v>#N/A</v>
      </c>
      <c r="G84" s="976" t="e">
        <f>'使用量_1,2'!G84</f>
        <v>#N/A</v>
      </c>
      <c r="H84" s="1211" t="s">
        <v>2731</v>
      </c>
      <c r="I84" s="623" t="str">
        <f>係数!I84</f>
        <v>千kWh</v>
      </c>
      <c r="J84" s="883"/>
      <c r="K84" s="721"/>
      <c r="L84" s="629"/>
      <c r="M84" s="630"/>
      <c r="N84" s="1147"/>
      <c r="O84" s="632"/>
      <c r="P84" s="632"/>
      <c r="Q84" s="632"/>
      <c r="R84" s="632"/>
      <c r="S84" s="632"/>
      <c r="T84" s="632"/>
      <c r="U84" s="632"/>
      <c r="V84" s="632"/>
      <c r="W84" s="632"/>
      <c r="X84" s="632"/>
      <c r="Y84" s="632"/>
      <c r="Z84" s="632"/>
      <c r="AA84" s="632"/>
      <c r="AB84" s="632"/>
      <c r="AC84" s="632"/>
      <c r="AD84" s="632"/>
      <c r="AE84" s="632"/>
      <c r="AF84" s="632"/>
      <c r="AG84" s="632"/>
      <c r="AH84" s="632"/>
      <c r="AI84" s="632"/>
      <c r="AJ84" s="632"/>
      <c r="AK84" s="632"/>
      <c r="AL84" s="632"/>
      <c r="AM84" s="632"/>
      <c r="AN84" s="632"/>
      <c r="AO84" s="632"/>
      <c r="AP84" s="632"/>
      <c r="AQ84" s="632"/>
      <c r="AR84" s="632"/>
      <c r="AS84" s="632"/>
      <c r="AT84" s="632"/>
      <c r="AU84" s="632"/>
      <c r="AV84" s="632"/>
      <c r="AW84" s="632"/>
      <c r="AX84" s="632"/>
      <c r="AY84" s="632"/>
      <c r="AZ84" s="632"/>
      <c r="BA84" s="632"/>
    </row>
    <row r="85" spans="2:53" ht="14.45" hidden="1" customHeight="1">
      <c r="B85" s="1939"/>
      <c r="C85" s="2242" t="str">
        <f>'使用量_1,2'!C85&amp;""</f>
        <v>登録番号+メニュー</v>
      </c>
      <c r="D85" s="2242"/>
      <c r="E85" s="2243" t="e">
        <f>'使用量_1,2'!E85&amp;""</f>
        <v>#N/A</v>
      </c>
      <c r="F85" s="1213" t="s">
        <v>2684</v>
      </c>
      <c r="G85" s="1213" t="s">
        <v>571</v>
      </c>
      <c r="H85" s="1211" t="s">
        <v>2728</v>
      </c>
      <c r="I85" s="623" t="str">
        <f>係数!I85</f>
        <v>千kWh</v>
      </c>
      <c r="J85" s="883"/>
      <c r="K85" s="721"/>
      <c r="L85" s="629"/>
      <c r="M85" s="630"/>
      <c r="N85" s="1147"/>
      <c r="O85" s="632"/>
      <c r="P85" s="632"/>
      <c r="Q85" s="632"/>
      <c r="R85" s="632"/>
      <c r="S85" s="632"/>
      <c r="T85" s="632"/>
      <c r="U85" s="632"/>
      <c r="V85" s="632"/>
      <c r="W85" s="632"/>
      <c r="X85" s="632"/>
      <c r="Y85" s="632"/>
      <c r="Z85" s="632"/>
      <c r="AA85" s="632"/>
      <c r="AB85" s="632"/>
      <c r="AC85" s="632"/>
      <c r="AD85" s="632"/>
      <c r="AE85" s="632"/>
      <c r="AF85" s="632"/>
      <c r="AG85" s="632"/>
      <c r="AH85" s="632"/>
      <c r="AI85" s="632"/>
      <c r="AJ85" s="632"/>
      <c r="AK85" s="632"/>
      <c r="AL85" s="632"/>
      <c r="AM85" s="632"/>
      <c r="AN85" s="632"/>
      <c r="AO85" s="632"/>
      <c r="AP85" s="632"/>
      <c r="AQ85" s="632"/>
      <c r="AR85" s="632"/>
      <c r="AS85" s="632"/>
      <c r="AT85" s="632"/>
      <c r="AU85" s="632"/>
      <c r="AV85" s="632"/>
      <c r="AW85" s="632"/>
      <c r="AX85" s="632"/>
      <c r="AY85" s="632"/>
      <c r="AZ85" s="632"/>
      <c r="BA85" s="632"/>
    </row>
    <row r="86" spans="2:53" ht="14.25" hidden="1">
      <c r="B86" s="1939"/>
      <c r="C86" s="2242"/>
      <c r="D86" s="2242"/>
      <c r="E86" s="2243"/>
      <c r="F86" s="975" t="e">
        <f>'使用量_1,2'!F86</f>
        <v>#N/A</v>
      </c>
      <c r="G86" s="976" t="e">
        <f>'使用量_1,2'!G86</f>
        <v>#N/A</v>
      </c>
      <c r="H86" s="1211" t="s">
        <v>2731</v>
      </c>
      <c r="I86" s="623" t="str">
        <f>係数!I86</f>
        <v>千kWh</v>
      </c>
      <c r="J86" s="883"/>
      <c r="K86" s="721"/>
      <c r="L86" s="629"/>
      <c r="M86" s="630"/>
      <c r="N86" s="1147"/>
      <c r="O86" s="632"/>
      <c r="P86" s="632"/>
      <c r="Q86" s="632"/>
      <c r="R86" s="632"/>
      <c r="S86" s="632"/>
      <c r="T86" s="632"/>
      <c r="U86" s="632"/>
      <c r="V86" s="632"/>
      <c r="W86" s="632"/>
      <c r="X86" s="632"/>
      <c r="Y86" s="632"/>
      <c r="Z86" s="632"/>
      <c r="AA86" s="632"/>
      <c r="AB86" s="632"/>
      <c r="AC86" s="632"/>
      <c r="AD86" s="632"/>
      <c r="AE86" s="632"/>
      <c r="AF86" s="632"/>
      <c r="AG86" s="632"/>
      <c r="AH86" s="632"/>
      <c r="AI86" s="632"/>
      <c r="AJ86" s="632"/>
      <c r="AK86" s="632"/>
      <c r="AL86" s="632"/>
      <c r="AM86" s="632"/>
      <c r="AN86" s="632"/>
      <c r="AO86" s="632"/>
      <c r="AP86" s="632"/>
      <c r="AQ86" s="632"/>
      <c r="AR86" s="632"/>
      <c r="AS86" s="632"/>
      <c r="AT86" s="632"/>
      <c r="AU86" s="632"/>
      <c r="AV86" s="632"/>
      <c r="AW86" s="632"/>
      <c r="AX86" s="632"/>
      <c r="AY86" s="632"/>
      <c r="AZ86" s="632"/>
      <c r="BA86" s="632"/>
    </row>
    <row r="87" spans="2:53" ht="14.45" hidden="1" customHeight="1">
      <c r="B87" s="1939"/>
      <c r="C87" s="2242" t="str">
        <f>'使用量_1,2'!C87&amp;""</f>
        <v>登録番号+メニュー</v>
      </c>
      <c r="D87" s="2242"/>
      <c r="E87" s="2243" t="e">
        <f>'使用量_1,2'!E87&amp;""</f>
        <v>#N/A</v>
      </c>
      <c r="F87" s="1213" t="s">
        <v>2684</v>
      </c>
      <c r="G87" s="1213" t="s">
        <v>571</v>
      </c>
      <c r="H87" s="1211" t="s">
        <v>2728</v>
      </c>
      <c r="I87" s="623" t="str">
        <f>係数!I87</f>
        <v>千kWh</v>
      </c>
      <c r="J87" s="883"/>
      <c r="K87" s="721"/>
      <c r="L87" s="629"/>
      <c r="M87" s="630"/>
      <c r="N87" s="1147"/>
      <c r="O87" s="632"/>
      <c r="P87" s="632"/>
      <c r="Q87" s="632"/>
      <c r="R87" s="632"/>
      <c r="S87" s="632"/>
      <c r="T87" s="632"/>
      <c r="U87" s="632"/>
      <c r="V87" s="632"/>
      <c r="W87" s="632"/>
      <c r="X87" s="632"/>
      <c r="Y87" s="632"/>
      <c r="Z87" s="632"/>
      <c r="AA87" s="632"/>
      <c r="AB87" s="632"/>
      <c r="AC87" s="632"/>
      <c r="AD87" s="632"/>
      <c r="AE87" s="632"/>
      <c r="AF87" s="632"/>
      <c r="AG87" s="632"/>
      <c r="AH87" s="632"/>
      <c r="AI87" s="632"/>
      <c r="AJ87" s="632"/>
      <c r="AK87" s="632"/>
      <c r="AL87" s="632"/>
      <c r="AM87" s="632"/>
      <c r="AN87" s="632"/>
      <c r="AO87" s="632"/>
      <c r="AP87" s="632"/>
      <c r="AQ87" s="632"/>
      <c r="AR87" s="632"/>
      <c r="AS87" s="632"/>
      <c r="AT87" s="632"/>
      <c r="AU87" s="632"/>
      <c r="AV87" s="632"/>
      <c r="AW87" s="632"/>
      <c r="AX87" s="632"/>
      <c r="AY87" s="632"/>
      <c r="AZ87" s="632"/>
      <c r="BA87" s="632"/>
    </row>
    <row r="88" spans="2:53" ht="14.25" hidden="1">
      <c r="B88" s="1939"/>
      <c r="C88" s="2242"/>
      <c r="D88" s="2242"/>
      <c r="E88" s="2243"/>
      <c r="F88" s="975" t="e">
        <f>'使用量_1,2'!F88</f>
        <v>#N/A</v>
      </c>
      <c r="G88" s="976" t="e">
        <f>'使用量_1,2'!G88</f>
        <v>#N/A</v>
      </c>
      <c r="H88" s="1211" t="s">
        <v>2731</v>
      </c>
      <c r="I88" s="623" t="str">
        <f>係数!I88</f>
        <v>千kWh</v>
      </c>
      <c r="J88" s="883"/>
      <c r="K88" s="721"/>
      <c r="L88" s="629"/>
      <c r="M88" s="630"/>
      <c r="N88" s="1147"/>
      <c r="O88" s="632"/>
      <c r="P88" s="632"/>
      <c r="Q88" s="632"/>
      <c r="R88" s="632"/>
      <c r="S88" s="632"/>
      <c r="T88" s="632"/>
      <c r="U88" s="632"/>
      <c r="V88" s="632"/>
      <c r="W88" s="632"/>
      <c r="X88" s="632"/>
      <c r="Y88" s="632"/>
      <c r="Z88" s="632"/>
      <c r="AA88" s="632"/>
      <c r="AB88" s="632"/>
      <c r="AC88" s="632"/>
      <c r="AD88" s="632"/>
      <c r="AE88" s="632"/>
      <c r="AF88" s="632"/>
      <c r="AG88" s="632"/>
      <c r="AH88" s="632"/>
      <c r="AI88" s="632"/>
      <c r="AJ88" s="632"/>
      <c r="AK88" s="632"/>
      <c r="AL88" s="632"/>
      <c r="AM88" s="632"/>
      <c r="AN88" s="632"/>
      <c r="AO88" s="632"/>
      <c r="AP88" s="632"/>
      <c r="AQ88" s="632"/>
      <c r="AR88" s="632"/>
      <c r="AS88" s="632"/>
      <c r="AT88" s="632"/>
      <c r="AU88" s="632"/>
      <c r="AV88" s="632"/>
      <c r="AW88" s="632"/>
      <c r="AX88" s="632"/>
      <c r="AY88" s="632"/>
      <c r="AZ88" s="632"/>
      <c r="BA88" s="632"/>
    </row>
    <row r="89" spans="2:53" ht="14.45" hidden="1" customHeight="1">
      <c r="B89" s="1939"/>
      <c r="C89" s="2242" t="str">
        <f>'使用量_1,2'!C89&amp;""</f>
        <v>登録番号+メニュー</v>
      </c>
      <c r="D89" s="2242"/>
      <c r="E89" s="2243" t="e">
        <f>'使用量_1,2'!E89&amp;""</f>
        <v>#N/A</v>
      </c>
      <c r="F89" s="1213" t="s">
        <v>2684</v>
      </c>
      <c r="G89" s="1213" t="s">
        <v>571</v>
      </c>
      <c r="H89" s="1211" t="s">
        <v>2728</v>
      </c>
      <c r="I89" s="623" t="str">
        <f>係数!I89</f>
        <v>千kWh</v>
      </c>
      <c r="J89" s="883"/>
      <c r="K89" s="721"/>
      <c r="L89" s="629"/>
      <c r="M89" s="630"/>
      <c r="N89" s="1147"/>
      <c r="O89" s="632"/>
      <c r="P89" s="632"/>
      <c r="Q89" s="632"/>
      <c r="R89" s="632"/>
      <c r="S89" s="632"/>
      <c r="T89" s="632"/>
      <c r="U89" s="632"/>
      <c r="V89" s="632"/>
      <c r="W89" s="632"/>
      <c r="X89" s="632"/>
      <c r="Y89" s="632"/>
      <c r="Z89" s="632"/>
      <c r="AA89" s="632"/>
      <c r="AB89" s="632"/>
      <c r="AC89" s="632"/>
      <c r="AD89" s="632"/>
      <c r="AE89" s="632"/>
      <c r="AF89" s="632"/>
      <c r="AG89" s="632"/>
      <c r="AH89" s="632"/>
      <c r="AI89" s="632"/>
      <c r="AJ89" s="632"/>
      <c r="AK89" s="632"/>
      <c r="AL89" s="632"/>
      <c r="AM89" s="632"/>
      <c r="AN89" s="632"/>
      <c r="AO89" s="632"/>
      <c r="AP89" s="632"/>
      <c r="AQ89" s="632"/>
      <c r="AR89" s="632"/>
      <c r="AS89" s="632"/>
      <c r="AT89" s="632"/>
      <c r="AU89" s="632"/>
      <c r="AV89" s="632"/>
      <c r="AW89" s="632"/>
      <c r="AX89" s="632"/>
      <c r="AY89" s="632"/>
      <c r="AZ89" s="632"/>
      <c r="BA89" s="632"/>
    </row>
    <row r="90" spans="2:53" ht="14.25" hidden="1">
      <c r="B90" s="1939"/>
      <c r="C90" s="2242"/>
      <c r="D90" s="2242"/>
      <c r="E90" s="2243"/>
      <c r="F90" s="975" t="e">
        <f>'使用量_1,2'!F90</f>
        <v>#N/A</v>
      </c>
      <c r="G90" s="976" t="e">
        <f>'使用量_1,2'!G90</f>
        <v>#N/A</v>
      </c>
      <c r="H90" s="1211" t="s">
        <v>2731</v>
      </c>
      <c r="I90" s="623" t="str">
        <f>係数!I90</f>
        <v>千kWh</v>
      </c>
      <c r="J90" s="883"/>
      <c r="K90" s="721"/>
      <c r="L90" s="629"/>
      <c r="M90" s="630"/>
      <c r="N90" s="1147"/>
      <c r="O90" s="632"/>
      <c r="P90" s="632"/>
      <c r="Q90" s="632"/>
      <c r="R90" s="632"/>
      <c r="S90" s="632"/>
      <c r="T90" s="632"/>
      <c r="U90" s="632"/>
      <c r="V90" s="632"/>
      <c r="W90" s="632"/>
      <c r="X90" s="632"/>
      <c r="Y90" s="632"/>
      <c r="Z90" s="632"/>
      <c r="AA90" s="632"/>
      <c r="AB90" s="632"/>
      <c r="AC90" s="632"/>
      <c r="AD90" s="632"/>
      <c r="AE90" s="632"/>
      <c r="AF90" s="632"/>
      <c r="AG90" s="632"/>
      <c r="AH90" s="632"/>
      <c r="AI90" s="632"/>
      <c r="AJ90" s="632"/>
      <c r="AK90" s="632"/>
      <c r="AL90" s="632"/>
      <c r="AM90" s="632"/>
      <c r="AN90" s="632"/>
      <c r="AO90" s="632"/>
      <c r="AP90" s="632"/>
      <c r="AQ90" s="632"/>
      <c r="AR90" s="632"/>
      <c r="AS90" s="632"/>
      <c r="AT90" s="632"/>
      <c r="AU90" s="632"/>
      <c r="AV90" s="632"/>
      <c r="AW90" s="632"/>
      <c r="AX90" s="632"/>
      <c r="AY90" s="632"/>
      <c r="AZ90" s="632"/>
      <c r="BA90" s="632"/>
    </row>
    <row r="91" spans="2:53" ht="14.45" hidden="1" customHeight="1">
      <c r="B91" s="1939"/>
      <c r="C91" s="2242" t="str">
        <f>'使用量_1,2'!C91&amp;""</f>
        <v>登録番号+メニュー</v>
      </c>
      <c r="D91" s="2242"/>
      <c r="E91" s="2243" t="e">
        <f>'使用量_1,2'!E91&amp;""</f>
        <v>#N/A</v>
      </c>
      <c r="F91" s="1213" t="s">
        <v>2684</v>
      </c>
      <c r="G91" s="1213" t="s">
        <v>571</v>
      </c>
      <c r="H91" s="1211" t="s">
        <v>2728</v>
      </c>
      <c r="I91" s="623" t="str">
        <f>係数!I91</f>
        <v>千kWh</v>
      </c>
      <c r="J91" s="883"/>
      <c r="K91" s="721"/>
      <c r="L91" s="629"/>
      <c r="M91" s="630"/>
      <c r="N91" s="1147"/>
      <c r="O91" s="632"/>
      <c r="P91" s="632"/>
      <c r="Q91" s="632"/>
      <c r="R91" s="632"/>
      <c r="S91" s="632"/>
      <c r="T91" s="632"/>
      <c r="U91" s="632"/>
      <c r="V91" s="632"/>
      <c r="W91" s="632"/>
      <c r="X91" s="632"/>
      <c r="Y91" s="632"/>
      <c r="Z91" s="632"/>
      <c r="AA91" s="632"/>
      <c r="AB91" s="632"/>
      <c r="AC91" s="632"/>
      <c r="AD91" s="632"/>
      <c r="AE91" s="632"/>
      <c r="AF91" s="632"/>
      <c r="AG91" s="632"/>
      <c r="AH91" s="632"/>
      <c r="AI91" s="632"/>
      <c r="AJ91" s="632"/>
      <c r="AK91" s="632"/>
      <c r="AL91" s="632"/>
      <c r="AM91" s="632"/>
      <c r="AN91" s="632"/>
      <c r="AO91" s="632"/>
      <c r="AP91" s="632"/>
      <c r="AQ91" s="632"/>
      <c r="AR91" s="632"/>
      <c r="AS91" s="632"/>
      <c r="AT91" s="632"/>
      <c r="AU91" s="632"/>
      <c r="AV91" s="632"/>
      <c r="AW91" s="632"/>
      <c r="AX91" s="632"/>
      <c r="AY91" s="632"/>
      <c r="AZ91" s="632"/>
      <c r="BA91" s="632"/>
    </row>
    <row r="92" spans="2:53" ht="14.25" hidden="1">
      <c r="B92" s="1939"/>
      <c r="C92" s="2242"/>
      <c r="D92" s="2242"/>
      <c r="E92" s="2243"/>
      <c r="F92" s="975" t="e">
        <f>'使用量_1,2'!F92</f>
        <v>#N/A</v>
      </c>
      <c r="G92" s="976" t="e">
        <f>'使用量_1,2'!G92</f>
        <v>#N/A</v>
      </c>
      <c r="H92" s="1211" t="s">
        <v>2731</v>
      </c>
      <c r="I92" s="623" t="str">
        <f>係数!I92</f>
        <v>千kWh</v>
      </c>
      <c r="J92" s="883"/>
      <c r="K92" s="721"/>
      <c r="L92" s="629"/>
      <c r="M92" s="630"/>
      <c r="N92" s="1147"/>
      <c r="O92" s="632"/>
      <c r="P92" s="632"/>
      <c r="Q92" s="632"/>
      <c r="R92" s="632"/>
      <c r="S92" s="632"/>
      <c r="T92" s="632"/>
      <c r="U92" s="632"/>
      <c r="V92" s="632"/>
      <c r="W92" s="632"/>
      <c r="X92" s="632"/>
      <c r="Y92" s="632"/>
      <c r="Z92" s="632"/>
      <c r="AA92" s="632"/>
      <c r="AB92" s="632"/>
      <c r="AC92" s="632"/>
      <c r="AD92" s="632"/>
      <c r="AE92" s="632"/>
      <c r="AF92" s="632"/>
      <c r="AG92" s="632"/>
      <c r="AH92" s="632"/>
      <c r="AI92" s="632"/>
      <c r="AJ92" s="632"/>
      <c r="AK92" s="632"/>
      <c r="AL92" s="632"/>
      <c r="AM92" s="632"/>
      <c r="AN92" s="632"/>
      <c r="AO92" s="632"/>
      <c r="AP92" s="632"/>
      <c r="AQ92" s="632"/>
      <c r="AR92" s="632"/>
      <c r="AS92" s="632"/>
      <c r="AT92" s="632"/>
      <c r="AU92" s="632"/>
      <c r="AV92" s="632"/>
      <c r="AW92" s="632"/>
      <c r="AX92" s="632"/>
      <c r="AY92" s="632"/>
      <c r="AZ92" s="632"/>
      <c r="BA92" s="632"/>
    </row>
    <row r="93" spans="2:53" ht="14.45" hidden="1" customHeight="1">
      <c r="B93" s="1939"/>
      <c r="C93" s="2242" t="str">
        <f>'使用量_1,2'!C93&amp;""</f>
        <v>登録番号+メニュー</v>
      </c>
      <c r="D93" s="2242"/>
      <c r="E93" s="2243" t="e">
        <f>'使用量_1,2'!E93&amp;""</f>
        <v>#N/A</v>
      </c>
      <c r="F93" s="1213" t="s">
        <v>2684</v>
      </c>
      <c r="G93" s="1213" t="s">
        <v>571</v>
      </c>
      <c r="H93" s="1211" t="s">
        <v>2728</v>
      </c>
      <c r="I93" s="623" t="str">
        <f>係数!I93</f>
        <v>千kWh</v>
      </c>
      <c r="J93" s="883"/>
      <c r="K93" s="721"/>
      <c r="L93" s="629"/>
      <c r="M93" s="630"/>
      <c r="N93" s="1147"/>
      <c r="O93" s="632"/>
      <c r="P93" s="632"/>
      <c r="Q93" s="632"/>
      <c r="R93" s="632"/>
      <c r="S93" s="632"/>
      <c r="T93" s="632"/>
      <c r="U93" s="632"/>
      <c r="V93" s="632"/>
      <c r="W93" s="632"/>
      <c r="X93" s="632"/>
      <c r="Y93" s="632"/>
      <c r="Z93" s="632"/>
      <c r="AA93" s="632"/>
      <c r="AB93" s="632"/>
      <c r="AC93" s="632"/>
      <c r="AD93" s="632"/>
      <c r="AE93" s="632"/>
      <c r="AF93" s="632"/>
      <c r="AG93" s="632"/>
      <c r="AH93" s="632"/>
      <c r="AI93" s="632"/>
      <c r="AJ93" s="632"/>
      <c r="AK93" s="632"/>
      <c r="AL93" s="632"/>
      <c r="AM93" s="632"/>
      <c r="AN93" s="632"/>
      <c r="AO93" s="632"/>
      <c r="AP93" s="632"/>
      <c r="AQ93" s="632"/>
      <c r="AR93" s="632"/>
      <c r="AS93" s="632"/>
      <c r="AT93" s="632"/>
      <c r="AU93" s="632"/>
      <c r="AV93" s="632"/>
      <c r="AW93" s="632"/>
      <c r="AX93" s="632"/>
      <c r="AY93" s="632"/>
      <c r="AZ93" s="632"/>
      <c r="BA93" s="632"/>
    </row>
    <row r="94" spans="2:53" ht="14.25" hidden="1">
      <c r="B94" s="1939"/>
      <c r="C94" s="2242"/>
      <c r="D94" s="2242"/>
      <c r="E94" s="2243"/>
      <c r="F94" s="975" t="e">
        <f>'使用量_1,2'!F94</f>
        <v>#N/A</v>
      </c>
      <c r="G94" s="976" t="e">
        <f>'使用量_1,2'!G94</f>
        <v>#N/A</v>
      </c>
      <c r="H94" s="1211" t="s">
        <v>2731</v>
      </c>
      <c r="I94" s="623" t="str">
        <f>係数!I94</f>
        <v>千kWh</v>
      </c>
      <c r="J94" s="883"/>
      <c r="K94" s="721"/>
      <c r="L94" s="629"/>
      <c r="M94" s="630"/>
      <c r="N94" s="1147"/>
      <c r="O94" s="632"/>
      <c r="P94" s="632"/>
      <c r="Q94" s="632"/>
      <c r="R94" s="632"/>
      <c r="S94" s="632"/>
      <c r="T94" s="632"/>
      <c r="U94" s="632"/>
      <c r="V94" s="632"/>
      <c r="W94" s="632"/>
      <c r="X94" s="632"/>
      <c r="Y94" s="632"/>
      <c r="Z94" s="632"/>
      <c r="AA94" s="632"/>
      <c r="AB94" s="632"/>
      <c r="AC94" s="632"/>
      <c r="AD94" s="632"/>
      <c r="AE94" s="632"/>
      <c r="AF94" s="632"/>
      <c r="AG94" s="632"/>
      <c r="AH94" s="632"/>
      <c r="AI94" s="632"/>
      <c r="AJ94" s="632"/>
      <c r="AK94" s="632"/>
      <c r="AL94" s="632"/>
      <c r="AM94" s="632"/>
      <c r="AN94" s="632"/>
      <c r="AO94" s="632"/>
      <c r="AP94" s="632"/>
      <c r="AQ94" s="632"/>
      <c r="AR94" s="632"/>
      <c r="AS94" s="632"/>
      <c r="AT94" s="632"/>
      <c r="AU94" s="632"/>
      <c r="AV94" s="632"/>
      <c r="AW94" s="632"/>
      <c r="AX94" s="632"/>
      <c r="AY94" s="632"/>
      <c r="AZ94" s="632"/>
      <c r="BA94" s="632"/>
    </row>
    <row r="95" spans="2:53" ht="14.45" hidden="1" customHeight="1">
      <c r="B95" s="1939"/>
      <c r="C95" s="2242" t="str">
        <f>'使用量_1,2'!C95&amp;""</f>
        <v>登録番号+メニュー</v>
      </c>
      <c r="D95" s="2242"/>
      <c r="E95" s="2243" t="e">
        <f>'使用量_1,2'!E95&amp;""</f>
        <v>#N/A</v>
      </c>
      <c r="F95" s="1213" t="s">
        <v>2684</v>
      </c>
      <c r="G95" s="1213" t="s">
        <v>571</v>
      </c>
      <c r="H95" s="1211" t="s">
        <v>2728</v>
      </c>
      <c r="I95" s="623" t="str">
        <f>係数!I95</f>
        <v>千kWh</v>
      </c>
      <c r="J95" s="883"/>
      <c r="K95" s="721"/>
      <c r="L95" s="629"/>
      <c r="M95" s="630"/>
      <c r="N95" s="1147"/>
      <c r="O95" s="632"/>
      <c r="P95" s="632"/>
      <c r="Q95" s="632"/>
      <c r="R95" s="632"/>
      <c r="S95" s="632"/>
      <c r="T95" s="632"/>
      <c r="U95" s="632"/>
      <c r="V95" s="632"/>
      <c r="W95" s="632"/>
      <c r="X95" s="632"/>
      <c r="Y95" s="632"/>
      <c r="Z95" s="632"/>
      <c r="AA95" s="632"/>
      <c r="AB95" s="632"/>
      <c r="AC95" s="632"/>
      <c r="AD95" s="632"/>
      <c r="AE95" s="632"/>
      <c r="AF95" s="632"/>
      <c r="AG95" s="632"/>
      <c r="AH95" s="632"/>
      <c r="AI95" s="632"/>
      <c r="AJ95" s="632"/>
      <c r="AK95" s="632"/>
      <c r="AL95" s="632"/>
      <c r="AM95" s="632"/>
      <c r="AN95" s="632"/>
      <c r="AO95" s="632"/>
      <c r="AP95" s="632"/>
      <c r="AQ95" s="632"/>
      <c r="AR95" s="632"/>
      <c r="AS95" s="632"/>
      <c r="AT95" s="632"/>
      <c r="AU95" s="632"/>
      <c r="AV95" s="632"/>
      <c r="AW95" s="632"/>
      <c r="AX95" s="632"/>
      <c r="AY95" s="632"/>
      <c r="AZ95" s="632"/>
      <c r="BA95" s="632"/>
    </row>
    <row r="96" spans="2:53" ht="14.25" hidden="1">
      <c r="B96" s="1939"/>
      <c r="C96" s="2242"/>
      <c r="D96" s="2242"/>
      <c r="E96" s="2243"/>
      <c r="F96" s="975" t="e">
        <f>'使用量_1,2'!F96</f>
        <v>#N/A</v>
      </c>
      <c r="G96" s="976" t="e">
        <f>'使用量_1,2'!G96</f>
        <v>#N/A</v>
      </c>
      <c r="H96" s="1211" t="s">
        <v>2731</v>
      </c>
      <c r="I96" s="623" t="str">
        <f>係数!I96</f>
        <v>千kWh</v>
      </c>
      <c r="J96" s="883"/>
      <c r="K96" s="721"/>
      <c r="L96" s="629"/>
      <c r="M96" s="630"/>
      <c r="N96" s="1147"/>
      <c r="O96" s="632"/>
      <c r="P96" s="632"/>
      <c r="Q96" s="632"/>
      <c r="R96" s="632"/>
      <c r="S96" s="632"/>
      <c r="T96" s="632"/>
      <c r="U96" s="632"/>
      <c r="V96" s="632"/>
      <c r="W96" s="632"/>
      <c r="X96" s="632"/>
      <c r="Y96" s="632"/>
      <c r="Z96" s="632"/>
      <c r="AA96" s="632"/>
      <c r="AB96" s="632"/>
      <c r="AC96" s="632"/>
      <c r="AD96" s="632"/>
      <c r="AE96" s="632"/>
      <c r="AF96" s="632"/>
      <c r="AG96" s="632"/>
      <c r="AH96" s="632"/>
      <c r="AI96" s="632"/>
      <c r="AJ96" s="632"/>
      <c r="AK96" s="632"/>
      <c r="AL96" s="632"/>
      <c r="AM96" s="632"/>
      <c r="AN96" s="632"/>
      <c r="AO96" s="632"/>
      <c r="AP96" s="632"/>
      <c r="AQ96" s="632"/>
      <c r="AR96" s="632"/>
      <c r="AS96" s="632"/>
      <c r="AT96" s="632"/>
      <c r="AU96" s="632"/>
      <c r="AV96" s="632"/>
      <c r="AW96" s="632"/>
      <c r="AX96" s="632"/>
      <c r="AY96" s="632"/>
      <c r="AZ96" s="632"/>
      <c r="BA96" s="632"/>
    </row>
    <row r="97" spans="2:53" ht="14.45" hidden="1" customHeight="1">
      <c r="B97" s="1939"/>
      <c r="C97" s="2242" t="str">
        <f>'使用量_1,2'!C97&amp;""</f>
        <v>登録番号+メニュー</v>
      </c>
      <c r="D97" s="2242"/>
      <c r="E97" s="2243" t="e">
        <f>'使用量_1,2'!E97&amp;""</f>
        <v>#N/A</v>
      </c>
      <c r="F97" s="1213" t="s">
        <v>2684</v>
      </c>
      <c r="G97" s="1213" t="s">
        <v>571</v>
      </c>
      <c r="H97" s="1211" t="s">
        <v>2728</v>
      </c>
      <c r="I97" s="623" t="str">
        <f>係数!I97</f>
        <v>千kWh</v>
      </c>
      <c r="J97" s="883"/>
      <c r="K97" s="721"/>
      <c r="L97" s="629"/>
      <c r="M97" s="630"/>
      <c r="N97" s="1147"/>
      <c r="O97" s="632"/>
      <c r="P97" s="632"/>
      <c r="Q97" s="632"/>
      <c r="R97" s="632"/>
      <c r="S97" s="632"/>
      <c r="T97" s="632"/>
      <c r="U97" s="632"/>
      <c r="V97" s="632"/>
      <c r="W97" s="632"/>
      <c r="X97" s="632"/>
      <c r="Y97" s="632"/>
      <c r="Z97" s="632"/>
      <c r="AA97" s="632"/>
      <c r="AB97" s="632"/>
      <c r="AC97" s="632"/>
      <c r="AD97" s="632"/>
      <c r="AE97" s="632"/>
      <c r="AF97" s="632"/>
      <c r="AG97" s="632"/>
      <c r="AH97" s="632"/>
      <c r="AI97" s="632"/>
      <c r="AJ97" s="632"/>
      <c r="AK97" s="632"/>
      <c r="AL97" s="632"/>
      <c r="AM97" s="632"/>
      <c r="AN97" s="632"/>
      <c r="AO97" s="632"/>
      <c r="AP97" s="632"/>
      <c r="AQ97" s="632"/>
      <c r="AR97" s="632"/>
      <c r="AS97" s="632"/>
      <c r="AT97" s="632"/>
      <c r="AU97" s="632"/>
      <c r="AV97" s="632"/>
      <c r="AW97" s="632"/>
      <c r="AX97" s="632"/>
      <c r="AY97" s="632"/>
      <c r="AZ97" s="632"/>
      <c r="BA97" s="632"/>
    </row>
    <row r="98" spans="2:53" ht="14.25" hidden="1">
      <c r="B98" s="1939"/>
      <c r="C98" s="2242"/>
      <c r="D98" s="2242"/>
      <c r="E98" s="2243"/>
      <c r="F98" s="975" t="e">
        <f>'使用量_1,2'!F98</f>
        <v>#N/A</v>
      </c>
      <c r="G98" s="976" t="e">
        <f>'使用量_1,2'!G98</f>
        <v>#N/A</v>
      </c>
      <c r="H98" s="1211" t="s">
        <v>2731</v>
      </c>
      <c r="I98" s="623" t="str">
        <f>係数!I98</f>
        <v>千kWh</v>
      </c>
      <c r="J98" s="883"/>
      <c r="K98" s="721"/>
      <c r="L98" s="629"/>
      <c r="M98" s="630"/>
      <c r="N98" s="1147"/>
      <c r="O98" s="632"/>
      <c r="P98" s="632"/>
      <c r="Q98" s="632"/>
      <c r="R98" s="632"/>
      <c r="S98" s="632"/>
      <c r="T98" s="632"/>
      <c r="U98" s="632"/>
      <c r="V98" s="632"/>
      <c r="W98" s="632"/>
      <c r="X98" s="632"/>
      <c r="Y98" s="632"/>
      <c r="Z98" s="632"/>
      <c r="AA98" s="632"/>
      <c r="AB98" s="632"/>
      <c r="AC98" s="632"/>
      <c r="AD98" s="632"/>
      <c r="AE98" s="632"/>
      <c r="AF98" s="632"/>
      <c r="AG98" s="632"/>
      <c r="AH98" s="632"/>
      <c r="AI98" s="632"/>
      <c r="AJ98" s="632"/>
      <c r="AK98" s="632"/>
      <c r="AL98" s="632"/>
      <c r="AM98" s="632"/>
      <c r="AN98" s="632"/>
      <c r="AO98" s="632"/>
      <c r="AP98" s="632"/>
      <c r="AQ98" s="632"/>
      <c r="AR98" s="632"/>
      <c r="AS98" s="632"/>
      <c r="AT98" s="632"/>
      <c r="AU98" s="632"/>
      <c r="AV98" s="632"/>
      <c r="AW98" s="632"/>
      <c r="AX98" s="632"/>
      <c r="AY98" s="632"/>
      <c r="AZ98" s="632"/>
      <c r="BA98" s="632"/>
    </row>
    <row r="99" spans="2:53" ht="14.45" hidden="1" customHeight="1">
      <c r="B99" s="1939"/>
      <c r="C99" s="2242" t="str">
        <f>'使用量_1,2'!C99&amp;""</f>
        <v>登録番号+メニュー</v>
      </c>
      <c r="D99" s="2242"/>
      <c r="E99" s="2243" t="e">
        <f>'使用量_1,2'!E99&amp;""</f>
        <v>#N/A</v>
      </c>
      <c r="F99" s="1213" t="s">
        <v>2684</v>
      </c>
      <c r="G99" s="1213" t="s">
        <v>571</v>
      </c>
      <c r="H99" s="1211" t="s">
        <v>2728</v>
      </c>
      <c r="I99" s="623" t="str">
        <f>係数!I99</f>
        <v>千kWh</v>
      </c>
      <c r="J99" s="883"/>
      <c r="K99" s="721"/>
      <c r="L99" s="629"/>
      <c r="M99" s="630"/>
      <c r="N99" s="1147"/>
      <c r="O99" s="632"/>
      <c r="P99" s="632"/>
      <c r="Q99" s="632"/>
      <c r="R99" s="632"/>
      <c r="S99" s="632"/>
      <c r="T99" s="632"/>
      <c r="U99" s="632"/>
      <c r="V99" s="632"/>
      <c r="W99" s="632"/>
      <c r="X99" s="632"/>
      <c r="Y99" s="632"/>
      <c r="Z99" s="632"/>
      <c r="AA99" s="632"/>
      <c r="AB99" s="632"/>
      <c r="AC99" s="632"/>
      <c r="AD99" s="632"/>
      <c r="AE99" s="632"/>
      <c r="AF99" s="632"/>
      <c r="AG99" s="632"/>
      <c r="AH99" s="632"/>
      <c r="AI99" s="632"/>
      <c r="AJ99" s="632"/>
      <c r="AK99" s="632"/>
      <c r="AL99" s="632"/>
      <c r="AM99" s="632"/>
      <c r="AN99" s="632"/>
      <c r="AO99" s="632"/>
      <c r="AP99" s="632"/>
      <c r="AQ99" s="632"/>
      <c r="AR99" s="632"/>
      <c r="AS99" s="632"/>
      <c r="AT99" s="632"/>
      <c r="AU99" s="632"/>
      <c r="AV99" s="632"/>
      <c r="AW99" s="632"/>
      <c r="AX99" s="632"/>
      <c r="AY99" s="632"/>
      <c r="AZ99" s="632"/>
      <c r="BA99" s="632"/>
    </row>
    <row r="100" spans="2:53" ht="14.25" hidden="1">
      <c r="B100" s="1939"/>
      <c r="C100" s="2242"/>
      <c r="D100" s="2242"/>
      <c r="E100" s="2243"/>
      <c r="F100" s="975" t="e">
        <f>'使用量_1,2'!F100</f>
        <v>#N/A</v>
      </c>
      <c r="G100" s="976" t="e">
        <f>'使用量_1,2'!G100</f>
        <v>#N/A</v>
      </c>
      <c r="H100" s="1211" t="s">
        <v>2731</v>
      </c>
      <c r="I100" s="623" t="str">
        <f>係数!I100</f>
        <v>千kWh</v>
      </c>
      <c r="J100" s="883"/>
      <c r="K100" s="721"/>
      <c r="L100" s="629"/>
      <c r="M100" s="630"/>
      <c r="N100" s="1147"/>
      <c r="O100" s="632"/>
      <c r="P100" s="632"/>
      <c r="Q100" s="632"/>
      <c r="R100" s="632"/>
      <c r="S100" s="632"/>
      <c r="T100" s="632"/>
      <c r="U100" s="632"/>
      <c r="V100" s="632"/>
      <c r="W100" s="632"/>
      <c r="X100" s="632"/>
      <c r="Y100" s="632"/>
      <c r="Z100" s="632"/>
      <c r="AA100" s="632"/>
      <c r="AB100" s="632"/>
      <c r="AC100" s="632"/>
      <c r="AD100" s="632"/>
      <c r="AE100" s="632"/>
      <c r="AF100" s="632"/>
      <c r="AG100" s="632"/>
      <c r="AH100" s="632"/>
      <c r="AI100" s="632"/>
      <c r="AJ100" s="632"/>
      <c r="AK100" s="632"/>
      <c r="AL100" s="632"/>
      <c r="AM100" s="632"/>
      <c r="AN100" s="632"/>
      <c r="AO100" s="632"/>
      <c r="AP100" s="632"/>
      <c r="AQ100" s="632"/>
      <c r="AR100" s="632"/>
      <c r="AS100" s="632"/>
      <c r="AT100" s="632"/>
      <c r="AU100" s="632"/>
      <c r="AV100" s="632"/>
      <c r="AW100" s="632"/>
      <c r="AX100" s="632"/>
      <c r="AY100" s="632"/>
      <c r="AZ100" s="632"/>
      <c r="BA100" s="632"/>
    </row>
    <row r="101" spans="2:53" ht="14.45" hidden="1" customHeight="1">
      <c r="B101" s="1939"/>
      <c r="C101" s="2242" t="str">
        <f>'使用量_1,2'!C101&amp;""</f>
        <v>登録番号+メニュー</v>
      </c>
      <c r="D101" s="2242"/>
      <c r="E101" s="2243" t="e">
        <f>'使用量_1,2'!E101&amp;""</f>
        <v>#N/A</v>
      </c>
      <c r="F101" s="1213" t="s">
        <v>2684</v>
      </c>
      <c r="G101" s="1213" t="s">
        <v>571</v>
      </c>
      <c r="H101" s="1211" t="s">
        <v>2728</v>
      </c>
      <c r="I101" s="623" t="str">
        <f>係数!I101</f>
        <v>千kWh</v>
      </c>
      <c r="J101" s="883"/>
      <c r="K101" s="721"/>
      <c r="L101" s="629"/>
      <c r="M101" s="630"/>
      <c r="N101" s="1147"/>
      <c r="O101" s="632"/>
      <c r="P101" s="632"/>
      <c r="Q101" s="632"/>
      <c r="R101" s="632"/>
      <c r="S101" s="632"/>
      <c r="T101" s="632"/>
      <c r="U101" s="632"/>
      <c r="V101" s="632"/>
      <c r="W101" s="632"/>
      <c r="X101" s="632"/>
      <c r="Y101" s="632"/>
      <c r="Z101" s="632"/>
      <c r="AA101" s="632"/>
      <c r="AB101" s="632"/>
      <c r="AC101" s="632"/>
      <c r="AD101" s="632"/>
      <c r="AE101" s="632"/>
      <c r="AF101" s="632"/>
      <c r="AG101" s="632"/>
      <c r="AH101" s="632"/>
      <c r="AI101" s="632"/>
      <c r="AJ101" s="632"/>
      <c r="AK101" s="632"/>
      <c r="AL101" s="632"/>
      <c r="AM101" s="632"/>
      <c r="AN101" s="632"/>
      <c r="AO101" s="632"/>
      <c r="AP101" s="632"/>
      <c r="AQ101" s="632"/>
      <c r="AR101" s="632"/>
      <c r="AS101" s="632"/>
      <c r="AT101" s="632"/>
      <c r="AU101" s="632"/>
      <c r="AV101" s="632"/>
      <c r="AW101" s="632"/>
      <c r="AX101" s="632"/>
      <c r="AY101" s="632"/>
      <c r="AZ101" s="632"/>
      <c r="BA101" s="632"/>
    </row>
    <row r="102" spans="2:53" ht="14.25" hidden="1">
      <c r="B102" s="1939"/>
      <c r="C102" s="2242"/>
      <c r="D102" s="2242"/>
      <c r="E102" s="2243"/>
      <c r="F102" s="975" t="e">
        <f>'使用量_1,2'!F102</f>
        <v>#N/A</v>
      </c>
      <c r="G102" s="976" t="e">
        <f>'使用量_1,2'!G102</f>
        <v>#N/A</v>
      </c>
      <c r="H102" s="1211" t="s">
        <v>2731</v>
      </c>
      <c r="I102" s="623" t="str">
        <f>係数!I102</f>
        <v>千kWh</v>
      </c>
      <c r="J102" s="883"/>
      <c r="K102" s="721"/>
      <c r="L102" s="629"/>
      <c r="M102" s="630"/>
      <c r="N102" s="1147"/>
      <c r="O102" s="632"/>
      <c r="P102" s="632"/>
      <c r="Q102" s="632"/>
      <c r="R102" s="632"/>
      <c r="S102" s="632"/>
      <c r="T102" s="632"/>
      <c r="U102" s="632"/>
      <c r="V102" s="632"/>
      <c r="W102" s="632"/>
      <c r="X102" s="632"/>
      <c r="Y102" s="632"/>
      <c r="Z102" s="632"/>
      <c r="AA102" s="632"/>
      <c r="AB102" s="632"/>
      <c r="AC102" s="632"/>
      <c r="AD102" s="632"/>
      <c r="AE102" s="632"/>
      <c r="AF102" s="632"/>
      <c r="AG102" s="632"/>
      <c r="AH102" s="632"/>
      <c r="AI102" s="632"/>
      <c r="AJ102" s="632"/>
      <c r="AK102" s="632"/>
      <c r="AL102" s="632"/>
      <c r="AM102" s="632"/>
      <c r="AN102" s="632"/>
      <c r="AO102" s="632"/>
      <c r="AP102" s="632"/>
      <c r="AQ102" s="632"/>
      <c r="AR102" s="632"/>
      <c r="AS102" s="632"/>
      <c r="AT102" s="632"/>
      <c r="AU102" s="632"/>
      <c r="AV102" s="632"/>
      <c r="AW102" s="632"/>
      <c r="AX102" s="632"/>
      <c r="AY102" s="632"/>
      <c r="AZ102" s="632"/>
      <c r="BA102" s="632"/>
    </row>
    <row r="103" spans="2:53" ht="14.45" hidden="1" customHeight="1">
      <c r="B103" s="1939"/>
      <c r="C103" s="2242" t="str">
        <f>'使用量_1,2'!C103&amp;""</f>
        <v>登録番号+メニュー</v>
      </c>
      <c r="D103" s="2242"/>
      <c r="E103" s="2243" t="e">
        <f>'使用量_1,2'!E103&amp;""</f>
        <v>#N/A</v>
      </c>
      <c r="F103" s="1213" t="s">
        <v>2684</v>
      </c>
      <c r="G103" s="1213" t="s">
        <v>571</v>
      </c>
      <c r="H103" s="1211" t="s">
        <v>2728</v>
      </c>
      <c r="I103" s="623" t="str">
        <f>係数!I103</f>
        <v>千kWh</v>
      </c>
      <c r="J103" s="883"/>
      <c r="K103" s="721"/>
      <c r="L103" s="629"/>
      <c r="M103" s="630"/>
      <c r="N103" s="1147"/>
      <c r="O103" s="632"/>
      <c r="P103" s="632"/>
      <c r="Q103" s="632"/>
      <c r="R103" s="632"/>
      <c r="S103" s="632"/>
      <c r="T103" s="632"/>
      <c r="U103" s="632"/>
      <c r="V103" s="632"/>
      <c r="W103" s="632"/>
      <c r="X103" s="632"/>
      <c r="Y103" s="632"/>
      <c r="Z103" s="632"/>
      <c r="AA103" s="632"/>
      <c r="AB103" s="632"/>
      <c r="AC103" s="632"/>
      <c r="AD103" s="632"/>
      <c r="AE103" s="632"/>
      <c r="AF103" s="632"/>
      <c r="AG103" s="632"/>
      <c r="AH103" s="632"/>
      <c r="AI103" s="632"/>
      <c r="AJ103" s="632"/>
      <c r="AK103" s="632"/>
      <c r="AL103" s="632"/>
      <c r="AM103" s="632"/>
      <c r="AN103" s="632"/>
      <c r="AO103" s="632"/>
      <c r="AP103" s="632"/>
      <c r="AQ103" s="632"/>
      <c r="AR103" s="632"/>
      <c r="AS103" s="632"/>
      <c r="AT103" s="632"/>
      <c r="AU103" s="632"/>
      <c r="AV103" s="632"/>
      <c r="AW103" s="632"/>
      <c r="AX103" s="632"/>
      <c r="AY103" s="632"/>
      <c r="AZ103" s="632"/>
      <c r="BA103" s="632"/>
    </row>
    <row r="104" spans="2:53" ht="14.25" hidden="1">
      <c r="B104" s="1939"/>
      <c r="C104" s="2242"/>
      <c r="D104" s="2242"/>
      <c r="E104" s="2243"/>
      <c r="F104" s="975" t="e">
        <f>'使用量_1,2'!F104</f>
        <v>#N/A</v>
      </c>
      <c r="G104" s="976" t="e">
        <f>'使用量_1,2'!G104</f>
        <v>#N/A</v>
      </c>
      <c r="H104" s="1211" t="s">
        <v>2731</v>
      </c>
      <c r="I104" s="623" t="str">
        <f>係数!I104</f>
        <v>千kWh</v>
      </c>
      <c r="J104" s="883"/>
      <c r="K104" s="721"/>
      <c r="L104" s="629"/>
      <c r="M104" s="630"/>
      <c r="N104" s="1147"/>
      <c r="O104" s="632"/>
      <c r="P104" s="632"/>
      <c r="Q104" s="632"/>
      <c r="R104" s="632"/>
      <c r="S104" s="632"/>
      <c r="T104" s="632"/>
      <c r="U104" s="632"/>
      <c r="V104" s="632"/>
      <c r="W104" s="632"/>
      <c r="X104" s="632"/>
      <c r="Y104" s="632"/>
      <c r="Z104" s="632"/>
      <c r="AA104" s="632"/>
      <c r="AB104" s="632"/>
      <c r="AC104" s="632"/>
      <c r="AD104" s="632"/>
      <c r="AE104" s="632"/>
      <c r="AF104" s="632"/>
      <c r="AG104" s="632"/>
      <c r="AH104" s="632"/>
      <c r="AI104" s="632"/>
      <c r="AJ104" s="632"/>
      <c r="AK104" s="632"/>
      <c r="AL104" s="632"/>
      <c r="AM104" s="632"/>
      <c r="AN104" s="632"/>
      <c r="AO104" s="632"/>
      <c r="AP104" s="632"/>
      <c r="AQ104" s="632"/>
      <c r="AR104" s="632"/>
      <c r="AS104" s="632"/>
      <c r="AT104" s="632"/>
      <c r="AU104" s="632"/>
      <c r="AV104" s="632"/>
      <c r="AW104" s="632"/>
      <c r="AX104" s="632"/>
      <c r="AY104" s="632"/>
      <c r="AZ104" s="632"/>
      <c r="BA104" s="632"/>
    </row>
    <row r="105" spans="2:53" ht="14.25" hidden="1">
      <c r="B105" s="1939"/>
      <c r="C105" s="1215"/>
      <c r="D105" s="1216"/>
      <c r="E105" s="1217"/>
      <c r="F105" s="1218"/>
      <c r="G105" s="1219"/>
      <c r="H105" s="1212"/>
      <c r="I105" s="623"/>
      <c r="J105" s="883"/>
      <c r="K105" s="748"/>
      <c r="L105" s="749"/>
      <c r="M105" s="750"/>
      <c r="N105" s="1148"/>
      <c r="O105" s="751"/>
      <c r="P105" s="751"/>
      <c r="Q105" s="751"/>
      <c r="R105" s="751"/>
      <c r="S105" s="751"/>
      <c r="T105" s="751"/>
      <c r="U105" s="751"/>
      <c r="V105" s="751"/>
      <c r="W105" s="751"/>
      <c r="X105" s="751"/>
      <c r="Y105" s="751"/>
      <c r="Z105" s="751"/>
      <c r="AA105" s="751"/>
      <c r="AB105" s="751"/>
      <c r="AC105" s="751"/>
      <c r="AD105" s="751"/>
      <c r="AE105" s="751"/>
      <c r="AF105" s="751"/>
      <c r="AG105" s="751"/>
      <c r="AH105" s="751"/>
      <c r="AI105" s="751"/>
      <c r="AJ105" s="751"/>
      <c r="AK105" s="751"/>
      <c r="AL105" s="751"/>
      <c r="AM105" s="751"/>
      <c r="AN105" s="751"/>
      <c r="AO105" s="751"/>
      <c r="AP105" s="751"/>
      <c r="AQ105" s="751"/>
      <c r="AR105" s="751"/>
      <c r="AS105" s="751"/>
      <c r="AT105" s="751"/>
      <c r="AU105" s="751"/>
      <c r="AV105" s="751"/>
      <c r="AW105" s="751"/>
      <c r="AX105" s="751"/>
      <c r="AY105" s="751"/>
      <c r="AZ105" s="751"/>
      <c r="BA105" s="751"/>
    </row>
    <row r="106" spans="2:53" ht="14.25" hidden="1">
      <c r="B106" s="1939"/>
      <c r="C106" s="1973" t="str">
        <f>'使用量_1,2'!C106&amp;""</f>
        <v/>
      </c>
      <c r="D106" s="1973"/>
      <c r="E106" s="1973"/>
      <c r="F106" s="1214">
        <f>'使用量_1,2'!F106</f>
        <v>0</v>
      </c>
      <c r="G106" s="1214">
        <f>'使用量_1,2'!G106</f>
        <v>0</v>
      </c>
      <c r="H106" s="1212"/>
      <c r="I106" s="623" t="str">
        <f>係数!I107</f>
        <v>千kWh</v>
      </c>
      <c r="J106" s="881"/>
      <c r="K106" s="721"/>
      <c r="L106" s="629"/>
      <c r="M106" s="630"/>
      <c r="N106" s="1147"/>
      <c r="O106" s="632"/>
      <c r="P106" s="632"/>
      <c r="Q106" s="632"/>
      <c r="R106" s="632"/>
      <c r="S106" s="632"/>
      <c r="T106" s="632"/>
      <c r="U106" s="632"/>
      <c r="V106" s="632"/>
      <c r="W106" s="632"/>
      <c r="X106" s="632"/>
      <c r="Y106" s="632"/>
      <c r="Z106" s="632"/>
      <c r="AA106" s="632"/>
      <c r="AB106" s="632"/>
      <c r="AC106" s="632"/>
      <c r="AD106" s="632"/>
      <c r="AE106" s="632"/>
      <c r="AF106" s="632"/>
      <c r="AG106" s="632"/>
      <c r="AH106" s="632"/>
      <c r="AI106" s="632"/>
      <c r="AJ106" s="632"/>
      <c r="AK106" s="632"/>
      <c r="AL106" s="632"/>
      <c r="AM106" s="632"/>
      <c r="AN106" s="632"/>
      <c r="AO106" s="632"/>
      <c r="AP106" s="632"/>
      <c r="AQ106" s="632"/>
      <c r="AR106" s="632"/>
      <c r="AS106" s="632"/>
      <c r="AT106" s="632"/>
      <c r="AU106" s="632"/>
      <c r="AV106" s="632"/>
      <c r="AW106" s="632"/>
      <c r="AX106" s="632"/>
      <c r="AY106" s="632"/>
      <c r="AZ106" s="632"/>
      <c r="BA106" s="632"/>
    </row>
    <row r="107" spans="2:53" ht="14.25" hidden="1">
      <c r="B107" s="1939"/>
      <c r="C107" s="1973" t="str">
        <f>'使用量_1,2'!C107&amp;""</f>
        <v/>
      </c>
      <c r="D107" s="1973"/>
      <c r="E107" s="1973"/>
      <c r="F107" s="1214">
        <f>'使用量_1,2'!F107</f>
        <v>0</v>
      </c>
      <c r="G107" s="1214">
        <f>'使用量_1,2'!G107</f>
        <v>0</v>
      </c>
      <c r="H107" s="1212"/>
      <c r="I107" s="623" t="str">
        <f>係数!I108</f>
        <v>千kWh</v>
      </c>
      <c r="J107" s="881"/>
      <c r="K107" s="721"/>
      <c r="L107" s="629"/>
      <c r="M107" s="630"/>
      <c r="N107" s="1147"/>
      <c r="O107" s="632"/>
      <c r="P107" s="632"/>
      <c r="Q107" s="632"/>
      <c r="R107" s="632"/>
      <c r="S107" s="632"/>
      <c r="T107" s="632"/>
      <c r="U107" s="632"/>
      <c r="V107" s="632"/>
      <c r="W107" s="632"/>
      <c r="X107" s="632"/>
      <c r="Y107" s="632"/>
      <c r="Z107" s="632"/>
      <c r="AA107" s="632"/>
      <c r="AB107" s="632"/>
      <c r="AC107" s="632"/>
      <c r="AD107" s="632"/>
      <c r="AE107" s="632"/>
      <c r="AF107" s="632"/>
      <c r="AG107" s="632"/>
      <c r="AH107" s="632"/>
      <c r="AI107" s="632"/>
      <c r="AJ107" s="632"/>
      <c r="AK107" s="632"/>
      <c r="AL107" s="632"/>
      <c r="AM107" s="632"/>
      <c r="AN107" s="632"/>
      <c r="AO107" s="632"/>
      <c r="AP107" s="632"/>
      <c r="AQ107" s="632"/>
      <c r="AR107" s="632"/>
      <c r="AS107" s="632"/>
      <c r="AT107" s="632"/>
      <c r="AU107" s="632"/>
      <c r="AV107" s="632"/>
      <c r="AW107" s="632"/>
      <c r="AX107" s="632"/>
      <c r="AY107" s="632"/>
      <c r="AZ107" s="632"/>
      <c r="BA107" s="632"/>
    </row>
    <row r="108" spans="2:53" ht="14.25" hidden="1">
      <c r="B108" s="1939"/>
      <c r="C108" s="1973" t="str">
        <f>'使用量_1,2'!C108&amp;""</f>
        <v/>
      </c>
      <c r="D108" s="1973"/>
      <c r="E108" s="1973"/>
      <c r="F108" s="1214">
        <f>'使用量_1,2'!F108</f>
        <v>0</v>
      </c>
      <c r="G108" s="1214">
        <f>'使用量_1,2'!G108</f>
        <v>0</v>
      </c>
      <c r="H108" s="1212"/>
      <c r="I108" s="623" t="str">
        <f>係数!I109</f>
        <v>千kWh</v>
      </c>
      <c r="J108" s="881"/>
      <c r="K108" s="721"/>
      <c r="L108" s="629"/>
      <c r="M108" s="630"/>
      <c r="N108" s="1147"/>
      <c r="O108" s="632"/>
      <c r="P108" s="632"/>
      <c r="Q108" s="632"/>
      <c r="R108" s="632"/>
      <c r="S108" s="632"/>
      <c r="T108" s="632"/>
      <c r="U108" s="632"/>
      <c r="V108" s="632"/>
      <c r="W108" s="632"/>
      <c r="X108" s="632"/>
      <c r="Y108" s="632"/>
      <c r="Z108" s="632"/>
      <c r="AA108" s="632"/>
      <c r="AB108" s="632"/>
      <c r="AC108" s="632"/>
      <c r="AD108" s="632"/>
      <c r="AE108" s="632"/>
      <c r="AF108" s="632"/>
      <c r="AG108" s="632"/>
      <c r="AH108" s="632"/>
      <c r="AI108" s="632"/>
      <c r="AJ108" s="632"/>
      <c r="AK108" s="632"/>
      <c r="AL108" s="632"/>
      <c r="AM108" s="632"/>
      <c r="AN108" s="632"/>
      <c r="AO108" s="632"/>
      <c r="AP108" s="632"/>
      <c r="AQ108" s="632"/>
      <c r="AR108" s="632"/>
      <c r="AS108" s="632"/>
      <c r="AT108" s="632"/>
      <c r="AU108" s="632"/>
      <c r="AV108" s="632"/>
      <c r="AW108" s="632"/>
      <c r="AX108" s="632"/>
      <c r="AY108" s="632"/>
      <c r="AZ108" s="632"/>
      <c r="BA108" s="632"/>
    </row>
    <row r="109" spans="2:53" ht="14.25" hidden="1">
      <c r="B109" s="1939"/>
      <c r="C109" s="1973" t="str">
        <f>'使用量_1,2'!C109&amp;""</f>
        <v/>
      </c>
      <c r="D109" s="1973"/>
      <c r="E109" s="1973"/>
      <c r="F109" s="1214">
        <f>'使用量_1,2'!F109</f>
        <v>0</v>
      </c>
      <c r="G109" s="1214">
        <f>'使用量_1,2'!G109</f>
        <v>0</v>
      </c>
      <c r="H109" s="1212"/>
      <c r="I109" s="623" t="str">
        <f>係数!I110</f>
        <v>千kWh</v>
      </c>
      <c r="J109" s="881"/>
      <c r="K109" s="721"/>
      <c r="L109" s="629"/>
      <c r="M109" s="630"/>
      <c r="N109" s="1147"/>
      <c r="O109" s="632"/>
      <c r="P109" s="632"/>
      <c r="Q109" s="632"/>
      <c r="R109" s="632"/>
      <c r="S109" s="632"/>
      <c r="T109" s="632"/>
      <c r="U109" s="632"/>
      <c r="V109" s="632"/>
      <c r="W109" s="632"/>
      <c r="X109" s="632"/>
      <c r="Y109" s="632"/>
      <c r="Z109" s="632"/>
      <c r="AA109" s="632"/>
      <c r="AB109" s="632"/>
      <c r="AC109" s="632"/>
      <c r="AD109" s="632"/>
      <c r="AE109" s="632"/>
      <c r="AF109" s="632"/>
      <c r="AG109" s="632"/>
      <c r="AH109" s="632"/>
      <c r="AI109" s="632"/>
      <c r="AJ109" s="632"/>
      <c r="AK109" s="632"/>
      <c r="AL109" s="632"/>
      <c r="AM109" s="632"/>
      <c r="AN109" s="632"/>
      <c r="AO109" s="632"/>
      <c r="AP109" s="632"/>
      <c r="AQ109" s="632"/>
      <c r="AR109" s="632"/>
      <c r="AS109" s="632"/>
      <c r="AT109" s="632"/>
      <c r="AU109" s="632"/>
      <c r="AV109" s="632"/>
      <c r="AW109" s="632"/>
      <c r="AX109" s="632"/>
      <c r="AY109" s="632"/>
      <c r="AZ109" s="632"/>
      <c r="BA109" s="632"/>
    </row>
    <row r="110" spans="2:53" ht="15" hidden="1" thickBot="1">
      <c r="B110" s="1939"/>
      <c r="C110" s="1973" t="str">
        <f>'使用量_1,2'!C110&amp;""</f>
        <v/>
      </c>
      <c r="D110" s="1973"/>
      <c r="E110" s="1973"/>
      <c r="F110" s="1214">
        <f>'使用量_1,2'!F110</f>
        <v>0</v>
      </c>
      <c r="G110" s="1214">
        <f>'使用量_1,2'!G110</f>
        <v>0</v>
      </c>
      <c r="H110" s="1212"/>
      <c r="I110" s="623" t="str">
        <f>係数!I111</f>
        <v>千kWh</v>
      </c>
      <c r="J110" s="881"/>
      <c r="K110" s="722"/>
      <c r="L110" s="635"/>
      <c r="M110" s="636"/>
      <c r="N110" s="1149"/>
      <c r="O110" s="648"/>
      <c r="P110" s="648"/>
      <c r="Q110" s="648"/>
      <c r="R110" s="648"/>
      <c r="S110" s="648"/>
      <c r="T110" s="648"/>
      <c r="U110" s="648"/>
      <c r="V110" s="648"/>
      <c r="W110" s="648"/>
      <c r="X110" s="648"/>
      <c r="Y110" s="648"/>
      <c r="Z110" s="648"/>
      <c r="AA110" s="648"/>
      <c r="AB110" s="648"/>
      <c r="AC110" s="648"/>
      <c r="AD110" s="648"/>
      <c r="AE110" s="648"/>
      <c r="AF110" s="648"/>
      <c r="AG110" s="648"/>
      <c r="AH110" s="648"/>
      <c r="AI110" s="648"/>
      <c r="AJ110" s="648"/>
      <c r="AK110" s="648"/>
      <c r="AL110" s="648"/>
      <c r="AM110" s="648"/>
      <c r="AN110" s="648"/>
      <c r="AO110" s="648"/>
      <c r="AP110" s="648"/>
      <c r="AQ110" s="648"/>
      <c r="AR110" s="648"/>
      <c r="AS110" s="648"/>
      <c r="AT110" s="648"/>
      <c r="AU110" s="648"/>
      <c r="AV110" s="648"/>
      <c r="AW110" s="648"/>
      <c r="AX110" s="648"/>
      <c r="AY110" s="648"/>
      <c r="AZ110" s="648"/>
      <c r="BA110" s="648"/>
    </row>
    <row r="111" spans="2:53" ht="14.25" thickTop="1">
      <c r="B111" s="2244"/>
      <c r="C111" s="2241" t="s">
        <v>2721</v>
      </c>
      <c r="D111" s="2241"/>
      <c r="E111" s="2241"/>
      <c r="F111" s="2241"/>
      <c r="G111" s="2241"/>
      <c r="H111" s="2241"/>
      <c r="I111" s="1208" t="s">
        <v>290</v>
      </c>
      <c r="J111" s="1208"/>
      <c r="K111" s="1209">
        <f t="shared" ref="K111:V111" si="2">SUM(K65:K107)</f>
        <v>0</v>
      </c>
      <c r="L111" s="1209">
        <f t="shared" si="2"/>
        <v>0</v>
      </c>
      <c r="M111" s="1209">
        <f t="shared" si="2"/>
        <v>0</v>
      </c>
      <c r="N111" s="1209">
        <f t="shared" si="2"/>
        <v>0</v>
      </c>
      <c r="O111" s="1209">
        <f t="shared" si="2"/>
        <v>0</v>
      </c>
      <c r="P111" s="1209">
        <f t="shared" si="2"/>
        <v>0</v>
      </c>
      <c r="Q111" s="1209">
        <f t="shared" si="2"/>
        <v>0</v>
      </c>
      <c r="R111" s="1209">
        <f t="shared" si="2"/>
        <v>0</v>
      </c>
      <c r="S111" s="1209">
        <f t="shared" si="2"/>
        <v>0</v>
      </c>
      <c r="T111" s="1209">
        <f t="shared" si="2"/>
        <v>0</v>
      </c>
      <c r="U111" s="1209">
        <f t="shared" si="2"/>
        <v>0</v>
      </c>
      <c r="V111" s="1209">
        <f t="shared" si="2"/>
        <v>0</v>
      </c>
      <c r="W111" s="1209">
        <f t="shared" ref="W111:BA111" si="3">SUM(W65:W107)</f>
        <v>0</v>
      </c>
      <c r="X111" s="1209">
        <f t="shared" si="3"/>
        <v>0</v>
      </c>
      <c r="Y111" s="1209">
        <f t="shared" si="3"/>
        <v>0</v>
      </c>
      <c r="Z111" s="1209">
        <f t="shared" si="3"/>
        <v>0</v>
      </c>
      <c r="AA111" s="1209">
        <f t="shared" si="3"/>
        <v>0</v>
      </c>
      <c r="AB111" s="1209">
        <f t="shared" si="3"/>
        <v>0</v>
      </c>
      <c r="AC111" s="1209">
        <f t="shared" si="3"/>
        <v>0</v>
      </c>
      <c r="AD111" s="1209">
        <f t="shared" si="3"/>
        <v>0</v>
      </c>
      <c r="AE111" s="1209">
        <f t="shared" si="3"/>
        <v>0</v>
      </c>
      <c r="AF111" s="1209">
        <f t="shared" si="3"/>
        <v>0</v>
      </c>
      <c r="AG111" s="1209">
        <f t="shared" si="3"/>
        <v>0</v>
      </c>
      <c r="AH111" s="1209">
        <f t="shared" si="3"/>
        <v>0</v>
      </c>
      <c r="AI111" s="1209">
        <f t="shared" si="3"/>
        <v>0</v>
      </c>
      <c r="AJ111" s="1209">
        <f t="shared" si="3"/>
        <v>0</v>
      </c>
      <c r="AK111" s="1209">
        <f t="shared" si="3"/>
        <v>0</v>
      </c>
      <c r="AL111" s="1209">
        <f t="shared" si="3"/>
        <v>0</v>
      </c>
      <c r="AM111" s="1209">
        <f t="shared" si="3"/>
        <v>0</v>
      </c>
      <c r="AN111" s="1209">
        <f t="shared" si="3"/>
        <v>0</v>
      </c>
      <c r="AO111" s="1209">
        <f t="shared" si="3"/>
        <v>0</v>
      </c>
      <c r="AP111" s="1209">
        <f t="shared" si="3"/>
        <v>0</v>
      </c>
      <c r="AQ111" s="1209">
        <f t="shared" si="3"/>
        <v>0</v>
      </c>
      <c r="AR111" s="1209">
        <f t="shared" si="3"/>
        <v>0</v>
      </c>
      <c r="AS111" s="1209">
        <f t="shared" si="3"/>
        <v>0</v>
      </c>
      <c r="AT111" s="1209">
        <f t="shared" si="3"/>
        <v>0</v>
      </c>
      <c r="AU111" s="1209">
        <f t="shared" si="3"/>
        <v>0</v>
      </c>
      <c r="AV111" s="1209">
        <f t="shared" si="3"/>
        <v>0</v>
      </c>
      <c r="AW111" s="1209">
        <f t="shared" si="3"/>
        <v>0</v>
      </c>
      <c r="AX111" s="1209">
        <f t="shared" si="3"/>
        <v>0</v>
      </c>
      <c r="AY111" s="1209">
        <f t="shared" si="3"/>
        <v>0</v>
      </c>
      <c r="AZ111" s="1209">
        <f t="shared" si="3"/>
        <v>0</v>
      </c>
      <c r="BA111" s="1209">
        <f t="shared" si="3"/>
        <v>0</v>
      </c>
    </row>
  </sheetData>
  <sheetProtection algorithmName="SHA-512" hashValue="k7iNgj/nmDIA7jXEPkyKu3CAa/yO84IvijCcGB9u182xYdk80OUYY38x6aCozSNtyx8G+MK4cu/St8rp+Jt3Sw==" saltValue="sHfer2kkuKO7t8VQJ5Wf3w==" spinCount="100000" sheet="1" formatColumns="0" formatRows="0"/>
  <mergeCells count="93">
    <mergeCell ref="B18:F18"/>
    <mergeCell ref="B19:F19"/>
    <mergeCell ref="B21:F21"/>
    <mergeCell ref="B26:P26"/>
    <mergeCell ref="J29:J30"/>
    <mergeCell ref="K29:M31"/>
    <mergeCell ref="B31:H31"/>
    <mergeCell ref="B32:B58"/>
    <mergeCell ref="C32:H32"/>
    <mergeCell ref="C33:H33"/>
    <mergeCell ref="C34:H34"/>
    <mergeCell ref="C35:H35"/>
    <mergeCell ref="C36:H36"/>
    <mergeCell ref="C37:H37"/>
    <mergeCell ref="C38:H38"/>
    <mergeCell ref="C39:H39"/>
    <mergeCell ref="C40:H40"/>
    <mergeCell ref="C41:H41"/>
    <mergeCell ref="C42:C43"/>
    <mergeCell ref="D42:H42"/>
    <mergeCell ref="D43:H43"/>
    <mergeCell ref="D54:F54"/>
    <mergeCell ref="G54:H54"/>
    <mergeCell ref="C44:C45"/>
    <mergeCell ref="D44:H44"/>
    <mergeCell ref="D45:H45"/>
    <mergeCell ref="C46:C48"/>
    <mergeCell ref="D46:H46"/>
    <mergeCell ref="D47:H47"/>
    <mergeCell ref="D48:H48"/>
    <mergeCell ref="C49:H49"/>
    <mergeCell ref="C50:H50"/>
    <mergeCell ref="C51:H51"/>
    <mergeCell ref="C52:H52"/>
    <mergeCell ref="C53:H53"/>
    <mergeCell ref="C55:C57"/>
    <mergeCell ref="D55:H55"/>
    <mergeCell ref="D56:H56"/>
    <mergeCell ref="D57:H57"/>
    <mergeCell ref="C58:H58"/>
    <mergeCell ref="C63:H63"/>
    <mergeCell ref="B65:B111"/>
    <mergeCell ref="C65:D66"/>
    <mergeCell ref="E65:E66"/>
    <mergeCell ref="C67:D68"/>
    <mergeCell ref="E67:E68"/>
    <mergeCell ref="C69:D70"/>
    <mergeCell ref="E69:E70"/>
    <mergeCell ref="C71:D72"/>
    <mergeCell ref="E71:E72"/>
    <mergeCell ref="B59:B63"/>
    <mergeCell ref="C59:H59"/>
    <mergeCell ref="C60:H60"/>
    <mergeCell ref="C61:H61"/>
    <mergeCell ref="C62:H62"/>
    <mergeCell ref="C73:D74"/>
    <mergeCell ref="E73:E74"/>
    <mergeCell ref="C75:D76"/>
    <mergeCell ref="E75:E76"/>
    <mergeCell ref="C77:D78"/>
    <mergeCell ref="E77:E78"/>
    <mergeCell ref="C79:D80"/>
    <mergeCell ref="E79:E80"/>
    <mergeCell ref="C81:D82"/>
    <mergeCell ref="E81:E82"/>
    <mergeCell ref="C83:D84"/>
    <mergeCell ref="E83:E84"/>
    <mergeCell ref="C85:D86"/>
    <mergeCell ref="E85:E86"/>
    <mergeCell ref="C87:D88"/>
    <mergeCell ref="E87:E88"/>
    <mergeCell ref="C89:D90"/>
    <mergeCell ref="E89:E90"/>
    <mergeCell ref="C91:D92"/>
    <mergeCell ref="E91:E92"/>
    <mergeCell ref="C93:D94"/>
    <mergeCell ref="E93:E94"/>
    <mergeCell ref="C95:D96"/>
    <mergeCell ref="E95:E96"/>
    <mergeCell ref="C97:D98"/>
    <mergeCell ref="E97:E98"/>
    <mergeCell ref="C99:D100"/>
    <mergeCell ref="E99:E100"/>
    <mergeCell ref="C101:D102"/>
    <mergeCell ref="E101:E102"/>
    <mergeCell ref="C111:H111"/>
    <mergeCell ref="C108:E108"/>
    <mergeCell ref="C109:E109"/>
    <mergeCell ref="C110:E110"/>
    <mergeCell ref="C103:D104"/>
    <mergeCell ref="E103:E104"/>
    <mergeCell ref="C106:E106"/>
    <mergeCell ref="C107:E107"/>
  </mergeCells>
  <phoneticPr fontId="15"/>
  <conditionalFormatting sqref="F97:G97">
    <cfRule type="containsErrors" dxfId="735" priority="48">
      <formula>ISERROR(F97)</formula>
    </cfRule>
  </conditionalFormatting>
  <conditionalFormatting sqref="F95:G95">
    <cfRule type="containsErrors" dxfId="734" priority="47">
      <formula>ISERROR(F95)</formula>
    </cfRule>
  </conditionalFormatting>
  <conditionalFormatting sqref="F93:G93">
    <cfRule type="containsErrors" dxfId="733" priority="46">
      <formula>ISERROR(F93)</formula>
    </cfRule>
  </conditionalFormatting>
  <conditionalFormatting sqref="F106:G110">
    <cfRule type="containsErrors" dxfId="732" priority="53">
      <formula>ISERROR(F106)</formula>
    </cfRule>
  </conditionalFormatting>
  <conditionalFormatting sqref="F107:G110">
    <cfRule type="containsErrors" dxfId="731" priority="52">
      <formula>ISERROR(F107)</formula>
    </cfRule>
  </conditionalFormatting>
  <conditionalFormatting sqref="F91:G91">
    <cfRule type="containsErrors" dxfId="730" priority="45">
      <formula>ISERROR(F91)</formula>
    </cfRule>
  </conditionalFormatting>
  <conditionalFormatting sqref="F89:G89">
    <cfRule type="containsErrors" dxfId="729" priority="44">
      <formula>ISERROR(F89)</formula>
    </cfRule>
  </conditionalFormatting>
  <conditionalFormatting sqref="F66">
    <cfRule type="containsErrors" dxfId="728" priority="43">
      <formula>ISERROR(F66)</formula>
    </cfRule>
  </conditionalFormatting>
  <conditionalFormatting sqref="G66">
    <cfRule type="containsErrors" dxfId="727" priority="42">
      <formula>ISERROR(G66)</formula>
    </cfRule>
  </conditionalFormatting>
  <conditionalFormatting sqref="F70">
    <cfRule type="containsErrors" dxfId="726" priority="41">
      <formula>ISERROR(F70)</formula>
    </cfRule>
  </conditionalFormatting>
  <conditionalFormatting sqref="G70">
    <cfRule type="containsErrors" dxfId="725" priority="40">
      <formula>ISERROR(G70)</formula>
    </cfRule>
  </conditionalFormatting>
  <conditionalFormatting sqref="F72">
    <cfRule type="containsErrors" dxfId="724" priority="39">
      <formula>ISERROR(F72)</formula>
    </cfRule>
  </conditionalFormatting>
  <conditionalFormatting sqref="G72">
    <cfRule type="containsErrors" dxfId="723" priority="38">
      <formula>ISERROR(G72)</formula>
    </cfRule>
  </conditionalFormatting>
  <conditionalFormatting sqref="F81:G81 F82">
    <cfRule type="containsErrors" dxfId="722" priority="79">
      <formula>ISERROR(F81)</formula>
    </cfRule>
  </conditionalFormatting>
  <conditionalFormatting sqref="G82">
    <cfRule type="containsErrors" dxfId="721" priority="78">
      <formula>ISERROR(G82)</formula>
    </cfRule>
  </conditionalFormatting>
  <conditionalFormatting sqref="F83:G83 F84">
    <cfRule type="containsErrors" dxfId="720" priority="77">
      <formula>ISERROR(F83)</formula>
    </cfRule>
  </conditionalFormatting>
  <conditionalFormatting sqref="G84">
    <cfRule type="containsErrors" dxfId="719" priority="76">
      <formula>ISERROR(G84)</formula>
    </cfRule>
  </conditionalFormatting>
  <conditionalFormatting sqref="F75:G75 F76">
    <cfRule type="containsErrors" dxfId="718" priority="33">
      <formula>ISERROR(F75)</formula>
    </cfRule>
  </conditionalFormatting>
  <conditionalFormatting sqref="G76">
    <cfRule type="containsErrors" dxfId="717" priority="32">
      <formula>ISERROR(G76)</formula>
    </cfRule>
  </conditionalFormatting>
  <conditionalFormatting sqref="F85:G85 F86">
    <cfRule type="containsErrors" dxfId="716" priority="73">
      <formula>ISERROR(F85)</formula>
    </cfRule>
  </conditionalFormatting>
  <conditionalFormatting sqref="G86">
    <cfRule type="containsErrors" dxfId="715" priority="72">
      <formula>ISERROR(G86)</formula>
    </cfRule>
  </conditionalFormatting>
  <conditionalFormatting sqref="F87:G87 F88">
    <cfRule type="containsErrors" dxfId="714" priority="71">
      <formula>ISERROR(F87)</formula>
    </cfRule>
  </conditionalFormatting>
  <conditionalFormatting sqref="G88">
    <cfRule type="containsErrors" dxfId="713" priority="70">
      <formula>ISERROR(G88)</formula>
    </cfRule>
  </conditionalFormatting>
  <conditionalFormatting sqref="F90">
    <cfRule type="containsErrors" dxfId="712" priority="69">
      <formula>ISERROR(F90)</formula>
    </cfRule>
  </conditionalFormatting>
  <conditionalFormatting sqref="G90">
    <cfRule type="containsErrors" dxfId="711" priority="68">
      <formula>ISERROR(G90)</formula>
    </cfRule>
  </conditionalFormatting>
  <conditionalFormatting sqref="F94">
    <cfRule type="containsErrors" dxfId="710" priority="67">
      <formula>ISERROR(F94)</formula>
    </cfRule>
  </conditionalFormatting>
  <conditionalFormatting sqref="G94">
    <cfRule type="containsErrors" dxfId="709" priority="66">
      <formula>ISERROR(G94)</formula>
    </cfRule>
  </conditionalFormatting>
  <conditionalFormatting sqref="F96">
    <cfRule type="containsErrors" dxfId="708" priority="65">
      <formula>ISERROR(F96)</formula>
    </cfRule>
  </conditionalFormatting>
  <conditionalFormatting sqref="G96">
    <cfRule type="containsErrors" dxfId="707" priority="64">
      <formula>ISERROR(G96)</formula>
    </cfRule>
  </conditionalFormatting>
  <conditionalFormatting sqref="F92">
    <cfRule type="containsErrors" dxfId="706" priority="63">
      <formula>ISERROR(F92)</formula>
    </cfRule>
  </conditionalFormatting>
  <conditionalFormatting sqref="G92">
    <cfRule type="containsErrors" dxfId="705" priority="62">
      <formula>ISERROR(G92)</formula>
    </cfRule>
  </conditionalFormatting>
  <conditionalFormatting sqref="F98">
    <cfRule type="containsErrors" dxfId="704" priority="61">
      <formula>ISERROR(F98)</formula>
    </cfRule>
  </conditionalFormatting>
  <conditionalFormatting sqref="G98">
    <cfRule type="containsErrors" dxfId="703" priority="60">
      <formula>ISERROR(G98)</formula>
    </cfRule>
  </conditionalFormatting>
  <conditionalFormatting sqref="F99:G99 F100">
    <cfRule type="containsErrors" dxfId="702" priority="59">
      <formula>ISERROR(F99)</formula>
    </cfRule>
  </conditionalFormatting>
  <conditionalFormatting sqref="G100">
    <cfRule type="containsErrors" dxfId="701" priority="58">
      <formula>ISERROR(G100)</formula>
    </cfRule>
  </conditionalFormatting>
  <conditionalFormatting sqref="F101:G101 F102">
    <cfRule type="containsErrors" dxfId="700" priority="57">
      <formula>ISERROR(F101)</formula>
    </cfRule>
  </conditionalFormatting>
  <conditionalFormatting sqref="G102">
    <cfRule type="containsErrors" dxfId="699" priority="56">
      <formula>ISERROR(G102)</formula>
    </cfRule>
  </conditionalFormatting>
  <conditionalFormatting sqref="F103:G103 F104:F105">
    <cfRule type="containsErrors" dxfId="698" priority="55">
      <formula>ISERROR(F103)</formula>
    </cfRule>
  </conditionalFormatting>
  <conditionalFormatting sqref="G104:G105">
    <cfRule type="containsErrors" dxfId="697" priority="54">
      <formula>ISERROR(G104)</formula>
    </cfRule>
  </conditionalFormatting>
  <conditionalFormatting sqref="N32:BA57 N59:BA62 N65:BA104 N106:BA110">
    <cfRule type="expression" dxfId="696" priority="212">
      <formula>$G$19&gt;=N$28-3</formula>
    </cfRule>
  </conditionalFormatting>
  <conditionalFormatting sqref="L32:L57 L59:L62 L65:L104 L106:L110">
    <cfRule type="expression" dxfId="695" priority="213">
      <formula>AND($G$18&gt;$G$19+1,$G$21&gt;=2)</formula>
    </cfRule>
  </conditionalFormatting>
  <conditionalFormatting sqref="M32:M57 M59:M62 M65:M104 M106:M110">
    <cfRule type="expression" dxfId="694" priority="217">
      <formula>AND($G$18&gt;$G$19+2,$G$21&gt;=2)</formula>
    </cfRule>
  </conditionalFormatting>
  <conditionalFormatting sqref="F68">
    <cfRule type="containsErrors" dxfId="693" priority="37">
      <formula>ISERROR(F68)</formula>
    </cfRule>
  </conditionalFormatting>
  <conditionalFormatting sqref="G68">
    <cfRule type="containsErrors" dxfId="692" priority="36">
      <formula>ISERROR(G68)</formula>
    </cfRule>
  </conditionalFormatting>
  <conditionalFormatting sqref="F74">
    <cfRule type="containsErrors" dxfId="691" priority="35">
      <formula>ISERROR(F74)</formula>
    </cfRule>
  </conditionalFormatting>
  <conditionalFormatting sqref="G74">
    <cfRule type="containsErrors" dxfId="690" priority="34">
      <formula>ISERROR(G74)</formula>
    </cfRule>
  </conditionalFormatting>
  <conditionalFormatting sqref="F77:G77 F78">
    <cfRule type="containsErrors" dxfId="689" priority="31">
      <formula>ISERROR(F77)</formula>
    </cfRule>
  </conditionalFormatting>
  <conditionalFormatting sqref="G78">
    <cfRule type="containsErrors" dxfId="688" priority="30">
      <formula>ISERROR(G78)</formula>
    </cfRule>
  </conditionalFormatting>
  <conditionalFormatting sqref="F79:G79 F80">
    <cfRule type="containsErrors" dxfId="687" priority="29">
      <formula>ISERROR(F79)</formula>
    </cfRule>
  </conditionalFormatting>
  <conditionalFormatting sqref="G80">
    <cfRule type="containsErrors" dxfId="686" priority="28">
      <formula>ISERROR(G80)</formula>
    </cfRule>
  </conditionalFormatting>
  <conditionalFormatting sqref="F73:G73">
    <cfRule type="containsErrors" dxfId="685" priority="27">
      <formula>ISERROR(F73)</formula>
    </cfRule>
  </conditionalFormatting>
  <conditionalFormatting sqref="F71:G71">
    <cfRule type="containsErrors" dxfId="684" priority="26">
      <formula>ISERROR(F71)</formula>
    </cfRule>
  </conditionalFormatting>
  <conditionalFormatting sqref="F69:G69">
    <cfRule type="containsErrors" dxfId="683" priority="25">
      <formula>ISERROR(F69)</formula>
    </cfRule>
  </conditionalFormatting>
  <conditionalFormatting sqref="F67:G67">
    <cfRule type="containsErrors" dxfId="682" priority="24">
      <formula>ISERROR(F67)</formula>
    </cfRule>
  </conditionalFormatting>
  <conditionalFormatting sqref="F65:G65">
    <cfRule type="containsErrors" dxfId="681" priority="23">
      <formula>ISERROR(F65)</formula>
    </cfRule>
  </conditionalFormatting>
  <conditionalFormatting sqref="F82">
    <cfRule type="containsErrors" dxfId="680" priority="22">
      <formula>ISERROR(F82)</formula>
    </cfRule>
  </conditionalFormatting>
  <conditionalFormatting sqref="G82">
    <cfRule type="containsErrors" dxfId="679" priority="21">
      <formula>ISERROR(G82)</formula>
    </cfRule>
  </conditionalFormatting>
  <conditionalFormatting sqref="F86">
    <cfRule type="containsErrors" dxfId="678" priority="20">
      <formula>ISERROR(F86)</formula>
    </cfRule>
  </conditionalFormatting>
  <conditionalFormatting sqref="G86">
    <cfRule type="containsErrors" dxfId="677" priority="19">
      <formula>ISERROR(G86)</formula>
    </cfRule>
  </conditionalFormatting>
  <conditionalFormatting sqref="F88">
    <cfRule type="containsErrors" dxfId="676" priority="18">
      <formula>ISERROR(F88)</formula>
    </cfRule>
  </conditionalFormatting>
  <conditionalFormatting sqref="G88">
    <cfRule type="containsErrors" dxfId="675" priority="17">
      <formula>ISERROR(G88)</formula>
    </cfRule>
  </conditionalFormatting>
  <conditionalFormatting sqref="F84">
    <cfRule type="containsErrors" dxfId="674" priority="16">
      <formula>ISERROR(F84)</formula>
    </cfRule>
  </conditionalFormatting>
  <conditionalFormatting sqref="G84">
    <cfRule type="containsErrors" dxfId="673" priority="15">
      <formula>ISERROR(G84)</formula>
    </cfRule>
  </conditionalFormatting>
  <conditionalFormatting sqref="F90">
    <cfRule type="containsErrors" dxfId="672" priority="14">
      <formula>ISERROR(F90)</formula>
    </cfRule>
  </conditionalFormatting>
  <conditionalFormatting sqref="G90">
    <cfRule type="containsErrors" dxfId="671" priority="13">
      <formula>ISERROR(G90)</formula>
    </cfRule>
  </conditionalFormatting>
  <conditionalFormatting sqref="F91:G91 F92">
    <cfRule type="containsErrors" dxfId="670" priority="12">
      <formula>ISERROR(F91)</formula>
    </cfRule>
  </conditionalFormatting>
  <conditionalFormatting sqref="G92">
    <cfRule type="containsErrors" dxfId="669" priority="11">
      <formula>ISERROR(G92)</formula>
    </cfRule>
  </conditionalFormatting>
  <conditionalFormatting sqref="F93:G93 F94">
    <cfRule type="containsErrors" dxfId="668" priority="10">
      <formula>ISERROR(F93)</formula>
    </cfRule>
  </conditionalFormatting>
  <conditionalFormatting sqref="G94">
    <cfRule type="containsErrors" dxfId="667" priority="9">
      <formula>ISERROR(G94)</formula>
    </cfRule>
  </conditionalFormatting>
  <conditionalFormatting sqref="F95:G95 F96">
    <cfRule type="containsErrors" dxfId="666" priority="8">
      <formula>ISERROR(F95)</formula>
    </cfRule>
  </conditionalFormatting>
  <conditionalFormatting sqref="G96">
    <cfRule type="containsErrors" dxfId="665" priority="7">
      <formula>ISERROR(G96)</formula>
    </cfRule>
  </conditionalFormatting>
  <conditionalFormatting sqref="F89:G89">
    <cfRule type="containsErrors" dxfId="664" priority="6">
      <formula>ISERROR(F89)</formula>
    </cfRule>
  </conditionalFormatting>
  <conditionalFormatting sqref="F87:G87">
    <cfRule type="containsErrors" dxfId="663" priority="5">
      <formula>ISERROR(F87)</formula>
    </cfRule>
  </conditionalFormatting>
  <conditionalFormatting sqref="F85:G85">
    <cfRule type="containsErrors" dxfId="662" priority="4">
      <formula>ISERROR(F85)</formula>
    </cfRule>
  </conditionalFormatting>
  <conditionalFormatting sqref="F83:G83">
    <cfRule type="containsErrors" dxfId="661" priority="3">
      <formula>ISERROR(F83)</formula>
    </cfRule>
  </conditionalFormatting>
  <conditionalFormatting sqref="F81:G81">
    <cfRule type="containsErrors" dxfId="660" priority="2">
      <formula>ISERROR(F81)</formula>
    </cfRule>
  </conditionalFormatting>
  <conditionalFormatting sqref="K32:K57 K59:K62 K65:K74">
    <cfRule type="expression" dxfId="659" priority="49">
      <formula>$G$18=$G$19</formula>
    </cfRule>
  </conditionalFormatting>
  <dataValidations count="1">
    <dataValidation type="whole" operator="greaterThanOrEqual" allowBlank="1" showInputMessage="1" showErrorMessage="1" sqref="G21 G18:G19" xr:uid="{00000000-0002-0000-0A00-000000000000}">
      <formula1>0</formula1>
    </dataValidation>
  </dataValidations>
  <pageMargins left="0.70866141732283472" right="0.70866141732283472" top="0.74803149606299213" bottom="0.74803149606299213" header="0.31496062992125984" footer="0.31496062992125984"/>
  <pageSetup paperSize="9" scale="58" fitToWidth="2" orientation="landscape" horizontalDpi="300" verticalDpi="3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950F3DC5-9020-4829-A33D-E33E2FC9E77F}">
            <xm:f>'使用量_1,2'!$C$8="無し"</xm:f>
            <x14:dxf>
              <fill>
                <patternFill>
                  <bgColor theme="0" tint="-0.499984740745262"/>
                </patternFill>
              </fill>
            </x14:dxf>
          </x14:cfRule>
          <xm:sqref>K32:BA110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2">
    <outlinePr summaryBelow="0" summaryRight="0"/>
  </sheetPr>
  <dimension ref="B1:V115"/>
  <sheetViews>
    <sheetView workbookViewId="0">
      <pane xSplit="6" ySplit="31" topLeftCell="G71" activePane="bottomRight" state="frozen"/>
      <selection activeCell="J22" sqref="J22"/>
      <selection pane="topRight" activeCell="J22" sqref="J22"/>
      <selection pane="bottomLeft" activeCell="J22" sqref="J22"/>
      <selection pane="bottomRight" activeCell="S111" sqref="S111"/>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8" width="16" style="1010" customWidth="1"/>
    <col min="19" max="19" width="13.7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o1</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22" ht="14.45" hidden="1" customHeight="1" outlineLevel="1"/>
    <row r="18" spans="2:22" ht="14.45" hidden="1" customHeight="1" outlineLevel="1">
      <c r="R18" s="1010" t="s">
        <v>4251</v>
      </c>
    </row>
    <row r="19" spans="2:22"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K</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22" ht="6.6" customHeight="1" thickBot="1"/>
    <row r="21" spans="2:22"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22"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c r="V22" s="1010" t="str">
        <f ca="1">CELL("filename",V1)</f>
        <v>\\Fs\脱炭素・ＧＲＥＥＮ×ＥＸＰＯ推進局\03脱炭素計画推進課\200_事業者温暖化対策促進事業\01_温暖化対策計画書制度\03_提出様式（ダウンロード用）\2024（R6）年度\[2024youshiki_ver2_PWなし.xlsx]o1</v>
      </c>
    </row>
    <row r="23" spans="2:22" ht="15" hidden="1" customHeight="1">
      <c r="F23" s="1010"/>
      <c r="H23" s="1010"/>
      <c r="I23" s="1010"/>
      <c r="L23" s="1010"/>
      <c r="Q23" s="1010"/>
    </row>
    <row r="24" spans="2:22" ht="15" hidden="1" customHeight="1">
      <c r="F24" s="1010"/>
      <c r="H24" s="1010"/>
      <c r="I24" s="1010"/>
      <c r="L24" s="1010"/>
      <c r="Q24" s="1010"/>
    </row>
    <row r="25" spans="2:22" ht="22.5" hidden="1" customHeight="1">
      <c r="F25" s="1010"/>
      <c r="H25" s="1010"/>
      <c r="I25" s="1010"/>
      <c r="L25" s="1010"/>
      <c r="Q25" s="1010"/>
    </row>
    <row r="26" spans="2:22" ht="11.25" hidden="1" customHeight="1"/>
    <row r="27" spans="2:22" ht="11.25" hidden="1" customHeight="1"/>
    <row r="28" spans="2:22" ht="15">
      <c r="H28" s="1033"/>
    </row>
    <row r="29" spans="2:22"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22"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22"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22"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4"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4"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21"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21"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21"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21"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21"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c r="U53" s="1010" t="str">
        <f ca="1">$R$19&amp;"!"&amp;$P$19&amp;ROW('使用量_1,2'!K53)</f>
        <v>'使用量_1,2'!K53</v>
      </c>
    </row>
    <row r="54" spans="2:21"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21"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ref="N55:N57" ca="1" si="6">J55-M55</f>
        <v>0</v>
      </c>
      <c r="O55" s="1040">
        <f>係数!J55</f>
        <v>0</v>
      </c>
      <c r="P55" s="1040">
        <f>係数!K55</f>
        <v>0</v>
      </c>
      <c r="Q55" s="1041" t="s">
        <v>2689</v>
      </c>
      <c r="R55" s="1039">
        <f t="shared" ref="R55:R57" ca="1" si="7">ROUND(N55*O55*44/12,0)</f>
        <v>0</v>
      </c>
      <c r="S55" s="1042">
        <f t="shared" ref="S55:S57" ca="1" si="8">R55</f>
        <v>0</v>
      </c>
    </row>
    <row r="56" spans="2:21"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6"/>
        <v>0</v>
      </c>
      <c r="O56" s="1040">
        <f>係数!J56</f>
        <v>0</v>
      </c>
      <c r="P56" s="1040">
        <f>係数!K56</f>
        <v>0</v>
      </c>
      <c r="Q56" s="1041" t="s">
        <v>2689</v>
      </c>
      <c r="R56" s="1039">
        <f t="shared" ca="1" si="7"/>
        <v>0</v>
      </c>
      <c r="S56" s="1042">
        <f t="shared" ca="1" si="8"/>
        <v>0</v>
      </c>
    </row>
    <row r="57" spans="2:21"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6"/>
        <v>0</v>
      </c>
      <c r="O57" s="1040">
        <f>係数!J57</f>
        <v>0</v>
      </c>
      <c r="P57" s="1040">
        <f>係数!K57</f>
        <v>0</v>
      </c>
      <c r="Q57" s="1041" t="s">
        <v>2689</v>
      </c>
      <c r="R57" s="1039">
        <f t="shared" ca="1" si="7"/>
        <v>0</v>
      </c>
      <c r="S57" s="1042">
        <f t="shared" ca="1" si="8"/>
        <v>0</v>
      </c>
    </row>
    <row r="58" spans="2:21" ht="15.75" customHeight="1">
      <c r="B58" s="2277"/>
      <c r="C58" s="2305" t="s">
        <v>2721</v>
      </c>
      <c r="D58" s="2306"/>
      <c r="E58" s="2306"/>
      <c r="F58" s="2307"/>
      <c r="G58" s="1045"/>
      <c r="H58" s="1045"/>
      <c r="I58" s="1046"/>
      <c r="J58" s="1103">
        <f ca="1">SUM(J32:J57)</f>
        <v>0</v>
      </c>
      <c r="K58" s="1045"/>
      <c r="L58" s="1045"/>
      <c r="M58" s="1047">
        <f ca="1">SUM(M32:M57)</f>
        <v>0</v>
      </c>
      <c r="N58" s="1048">
        <f ca="1">SUM(N32:N57)</f>
        <v>0</v>
      </c>
      <c r="O58" s="1045"/>
      <c r="P58" s="1045"/>
      <c r="Q58" s="1049"/>
      <c r="R58" s="1050">
        <f ca="1">SUM(R32:R57)</f>
        <v>0</v>
      </c>
      <c r="S58" s="1050">
        <f ca="1">SUM(S32:S57)</f>
        <v>0</v>
      </c>
    </row>
    <row r="59" spans="2:21"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21"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21"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21"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21"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21"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9">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9"/>
        <v>0</v>
      </c>
      <c r="K66" s="1094">
        <f ca="1">INDIRECT($S$19&amp;"!"&amp;$P$19&amp;ROW('使用量_1,2'!O66))</f>
        <v>0</v>
      </c>
      <c r="L66" s="1036" t="s">
        <v>4245</v>
      </c>
      <c r="M66" s="1054"/>
      <c r="N66" s="1039">
        <f t="shared" ref="N66:N109" ca="1" si="10">+J66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9"/>
        <v>0</v>
      </c>
      <c r="K67" s="1094">
        <f ca="1">INDIRECT($S$19&amp;"!"&amp;$P$19&amp;ROW('使用量_1,2'!O67))</f>
        <v>0</v>
      </c>
      <c r="L67" s="1036" t="s">
        <v>4245</v>
      </c>
      <c r="M67" s="1054"/>
      <c r="N67" s="1039">
        <f t="shared" ca="1" si="10"/>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9"/>
        <v>0</v>
      </c>
      <c r="K68" s="1094">
        <f ca="1">INDIRECT($S$19&amp;"!"&amp;$P$19&amp;ROW('使用量_1,2'!O68))</f>
        <v>0</v>
      </c>
      <c r="L68" s="1036" t="s">
        <v>4245</v>
      </c>
      <c r="M68" s="1054"/>
      <c r="N68" s="1039">
        <f t="shared" ca="1" si="10"/>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9"/>
        <v>0</v>
      </c>
      <c r="K69" s="1094">
        <f ca="1">INDIRECT($S$19&amp;"!"&amp;$P$19&amp;ROW('使用量_1,2'!O69))</f>
        <v>0</v>
      </c>
      <c r="L69" s="1036" t="s">
        <v>4245</v>
      </c>
      <c r="M69" s="1054"/>
      <c r="N69" s="1039">
        <f t="shared" ca="1" si="10"/>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9"/>
        <v>0</v>
      </c>
      <c r="K70" s="1094">
        <f ca="1">INDIRECT($S$19&amp;"!"&amp;$P$19&amp;ROW('使用量_1,2'!O70))</f>
        <v>0</v>
      </c>
      <c r="L70" s="1036" t="s">
        <v>4245</v>
      </c>
      <c r="M70" s="1054"/>
      <c r="N70" s="1039">
        <f t="shared" ca="1" si="10"/>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9"/>
        <v>0</v>
      </c>
      <c r="K71" s="1094">
        <f ca="1">INDIRECT($S$19&amp;"!"&amp;$P$19&amp;ROW('使用量_1,2'!O71))</f>
        <v>0</v>
      </c>
      <c r="L71" s="1036" t="s">
        <v>4245</v>
      </c>
      <c r="M71" s="1054"/>
      <c r="N71" s="1039">
        <f t="shared" ca="1" si="10"/>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9"/>
        <v>0</v>
      </c>
      <c r="K72" s="1094">
        <f ca="1">INDIRECT($S$19&amp;"!"&amp;$P$19&amp;ROW('使用量_1,2'!O72))</f>
        <v>0</v>
      </c>
      <c r="L72" s="1036" t="s">
        <v>4245</v>
      </c>
      <c r="M72" s="1054"/>
      <c r="N72" s="1039">
        <f t="shared" ca="1" si="10"/>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9"/>
        <v>0</v>
      </c>
      <c r="K73" s="1094">
        <f ca="1">INDIRECT($S$19&amp;"!"&amp;$P$19&amp;ROW('使用量_1,2'!O73))</f>
        <v>0</v>
      </c>
      <c r="L73" s="1036" t="s">
        <v>4245</v>
      </c>
      <c r="M73" s="1054"/>
      <c r="N73" s="1039">
        <f t="shared" ca="1" si="10"/>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9"/>
        <v>0</v>
      </c>
      <c r="K74" s="1094">
        <f ca="1">INDIRECT($S$19&amp;"!"&amp;$P$19&amp;ROW('使用量_1,2'!O74))</f>
        <v>0</v>
      </c>
      <c r="L74" s="1036" t="s">
        <v>4245</v>
      </c>
      <c r="M74" s="1054"/>
      <c r="N74" s="1039">
        <f t="shared" ca="1" si="10"/>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9"/>
        <v>0</v>
      </c>
      <c r="K75" s="1094">
        <f ca="1">INDIRECT($S$19&amp;"!"&amp;$P$19&amp;ROW('使用量_1,2'!O75))</f>
        <v>0</v>
      </c>
      <c r="L75" s="1036" t="s">
        <v>4245</v>
      </c>
      <c r="M75" s="1054"/>
      <c r="N75" s="1039">
        <f t="shared" ca="1" si="10"/>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9"/>
        <v>0</v>
      </c>
      <c r="K76" s="1094">
        <f ca="1">INDIRECT($S$19&amp;"!"&amp;$P$19&amp;ROW('使用量_1,2'!O76))</f>
        <v>0</v>
      </c>
      <c r="L76" s="1036" t="s">
        <v>4245</v>
      </c>
      <c r="M76" s="1054"/>
      <c r="N76" s="1039">
        <f t="shared" ca="1" si="10"/>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9"/>
        <v>0</v>
      </c>
      <c r="K77" s="1094">
        <f ca="1">INDIRECT($S$19&amp;"!"&amp;$P$19&amp;ROW('使用量_1,2'!O77))</f>
        <v>0</v>
      </c>
      <c r="L77" s="1036" t="s">
        <v>4245</v>
      </c>
      <c r="M77" s="1054"/>
      <c r="N77" s="1039">
        <f t="shared" ca="1" si="10"/>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9"/>
        <v>0</v>
      </c>
      <c r="K78" s="1094">
        <f ca="1">INDIRECT($S$19&amp;"!"&amp;$P$19&amp;ROW('使用量_1,2'!O78))</f>
        <v>0</v>
      </c>
      <c r="L78" s="1036" t="s">
        <v>4245</v>
      </c>
      <c r="M78" s="1054"/>
      <c r="N78" s="1039">
        <f t="shared" ca="1" si="10"/>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9"/>
        <v>0</v>
      </c>
      <c r="K79" s="1094">
        <f ca="1">INDIRECT($S$19&amp;"!"&amp;$P$19&amp;ROW('使用量_1,2'!O79))</f>
        <v>0</v>
      </c>
      <c r="L79" s="1036" t="s">
        <v>4245</v>
      </c>
      <c r="M79" s="1054"/>
      <c r="N79" s="1039">
        <f t="shared" ca="1" si="10"/>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9"/>
        <v>0</v>
      </c>
      <c r="K80" s="1094">
        <f ca="1">INDIRECT($S$19&amp;"!"&amp;$P$19&amp;ROW('使用量_1,2'!O80))</f>
        <v>0</v>
      </c>
      <c r="L80" s="1036" t="s">
        <v>4245</v>
      </c>
      <c r="M80" s="1054"/>
      <c r="N80" s="1039">
        <f t="shared" ca="1" si="10"/>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9"/>
        <v>0</v>
      </c>
      <c r="K81" s="1094">
        <f ca="1">INDIRECT($S$19&amp;"!"&amp;$P$19&amp;ROW('使用量_1,2'!O81))</f>
        <v>0</v>
      </c>
      <c r="L81" s="1036" t="s">
        <v>4245</v>
      </c>
      <c r="M81" s="1054"/>
      <c r="N81" s="1039">
        <f t="shared" ca="1" si="10"/>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9"/>
        <v>0</v>
      </c>
      <c r="K82" s="1094">
        <f ca="1">INDIRECT($S$19&amp;"!"&amp;$P$19&amp;ROW('使用量_1,2'!O82))</f>
        <v>0</v>
      </c>
      <c r="L82" s="1036" t="s">
        <v>4245</v>
      </c>
      <c r="M82" s="1054"/>
      <c r="N82" s="1039">
        <f t="shared" ca="1" si="10"/>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9"/>
        <v>0</v>
      </c>
      <c r="K83" s="1094">
        <f ca="1">INDIRECT($S$19&amp;"!"&amp;$P$19&amp;ROW('使用量_1,2'!O83))</f>
        <v>0</v>
      </c>
      <c r="L83" s="1036" t="s">
        <v>4245</v>
      </c>
      <c r="M83" s="1054"/>
      <c r="N83" s="1039">
        <f t="shared" ca="1" si="10"/>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9"/>
        <v>0</v>
      </c>
      <c r="K84" s="1094">
        <f ca="1">INDIRECT($S$19&amp;"!"&amp;$P$19&amp;ROW('使用量_1,2'!O84))</f>
        <v>0</v>
      </c>
      <c r="L84" s="1036" t="s">
        <v>4245</v>
      </c>
      <c r="M84" s="1054"/>
      <c r="N84" s="1039">
        <f t="shared" ca="1" si="10"/>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9"/>
        <v>0</v>
      </c>
      <c r="K85" s="1094">
        <f ca="1">INDIRECT($S$19&amp;"!"&amp;$P$19&amp;ROW('使用量_1,2'!O85))</f>
        <v>0</v>
      </c>
      <c r="L85" s="1036" t="s">
        <v>4245</v>
      </c>
      <c r="M85" s="1054"/>
      <c r="N85" s="1039">
        <f t="shared" ca="1" si="10"/>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9"/>
        <v>0</v>
      </c>
      <c r="K86" s="1094">
        <f ca="1">INDIRECT($S$19&amp;"!"&amp;$P$19&amp;ROW('使用量_1,2'!O86))</f>
        <v>0</v>
      </c>
      <c r="L86" s="1036" t="s">
        <v>4245</v>
      </c>
      <c r="M86" s="1054"/>
      <c r="N86" s="1039">
        <f t="shared" ca="1" si="10"/>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9"/>
        <v>0</v>
      </c>
      <c r="K87" s="1094">
        <f ca="1">INDIRECT($S$19&amp;"!"&amp;$P$19&amp;ROW('使用量_1,2'!O87))</f>
        <v>0</v>
      </c>
      <c r="L87" s="1036" t="s">
        <v>4245</v>
      </c>
      <c r="M87" s="1054"/>
      <c r="N87" s="1039">
        <f t="shared" ca="1" si="10"/>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9"/>
        <v>0</v>
      </c>
      <c r="K88" s="1094">
        <f ca="1">INDIRECT($S$19&amp;"!"&amp;$P$19&amp;ROW('使用量_1,2'!O88))</f>
        <v>0</v>
      </c>
      <c r="L88" s="1036" t="s">
        <v>4245</v>
      </c>
      <c r="M88" s="1054"/>
      <c r="N88" s="1039">
        <f t="shared" ca="1" si="10"/>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9"/>
        <v>0</v>
      </c>
      <c r="K89" s="1094">
        <f ca="1">INDIRECT($S$19&amp;"!"&amp;$P$19&amp;ROW('使用量_1,2'!O89))</f>
        <v>0</v>
      </c>
      <c r="L89" s="1036" t="s">
        <v>4245</v>
      </c>
      <c r="M89" s="1054"/>
      <c r="N89" s="1039">
        <f t="shared" ca="1" si="10"/>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9"/>
        <v>0</v>
      </c>
      <c r="K90" s="1094">
        <f ca="1">INDIRECT($S$19&amp;"!"&amp;$P$19&amp;ROW('使用量_1,2'!O90))</f>
        <v>0</v>
      </c>
      <c r="L90" s="1036" t="s">
        <v>4245</v>
      </c>
      <c r="M90" s="1054"/>
      <c r="N90" s="1039">
        <f t="shared" ca="1" si="10"/>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9"/>
        <v>0</v>
      </c>
      <c r="K91" s="1094">
        <f ca="1">INDIRECT($S$19&amp;"!"&amp;$P$19&amp;ROW('使用量_1,2'!O91))</f>
        <v>0</v>
      </c>
      <c r="L91" s="1036" t="s">
        <v>4245</v>
      </c>
      <c r="M91" s="1054"/>
      <c r="N91" s="1039">
        <f t="shared" ca="1" si="10"/>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9"/>
        <v>0</v>
      </c>
      <c r="K92" s="1094">
        <f ca="1">INDIRECT($S$19&amp;"!"&amp;$P$19&amp;ROW('使用量_1,2'!O92))</f>
        <v>0</v>
      </c>
      <c r="L92" s="1036" t="s">
        <v>4245</v>
      </c>
      <c r="M92" s="1054"/>
      <c r="N92" s="1039">
        <f t="shared" ca="1" si="10"/>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9"/>
        <v>0</v>
      </c>
      <c r="K93" s="1094">
        <f ca="1">INDIRECT($S$19&amp;"!"&amp;$P$19&amp;ROW('使用量_1,2'!O93))</f>
        <v>0</v>
      </c>
      <c r="L93" s="1036" t="s">
        <v>4245</v>
      </c>
      <c r="M93" s="1054"/>
      <c r="N93" s="1039">
        <f t="shared" ca="1" si="10"/>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9"/>
        <v>0</v>
      </c>
      <c r="K94" s="1094">
        <f ca="1">INDIRECT($S$19&amp;"!"&amp;$P$19&amp;ROW('使用量_1,2'!O94))</f>
        <v>0</v>
      </c>
      <c r="L94" s="1036" t="s">
        <v>4245</v>
      </c>
      <c r="M94" s="1054"/>
      <c r="N94" s="1039">
        <f t="shared" ca="1" si="10"/>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9"/>
        <v>0</v>
      </c>
      <c r="K95" s="1094">
        <f ca="1">INDIRECT($S$19&amp;"!"&amp;$P$19&amp;ROW('使用量_1,2'!O95))</f>
        <v>0</v>
      </c>
      <c r="L95" s="1036" t="s">
        <v>4245</v>
      </c>
      <c r="M95" s="1054"/>
      <c r="N95" s="1039">
        <f t="shared" ca="1" si="10"/>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9"/>
        <v>0</v>
      </c>
      <c r="K96" s="1094">
        <f ca="1">INDIRECT($S$19&amp;"!"&amp;$P$19&amp;ROW('使用量_1,2'!O96))</f>
        <v>0</v>
      </c>
      <c r="L96" s="1036" t="s">
        <v>4245</v>
      </c>
      <c r="M96" s="1054"/>
      <c r="N96" s="1039">
        <f t="shared" ca="1" si="10"/>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9"/>
        <v>0</v>
      </c>
      <c r="K97" s="1094">
        <f ca="1">INDIRECT($S$19&amp;"!"&amp;$P$19&amp;ROW('使用量_1,2'!O97))</f>
        <v>0</v>
      </c>
      <c r="L97" s="1036" t="s">
        <v>4245</v>
      </c>
      <c r="M97" s="1054"/>
      <c r="N97" s="1039">
        <f t="shared" ca="1" si="10"/>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9"/>
        <v>0</v>
      </c>
      <c r="K98" s="1094">
        <f ca="1">INDIRECT($S$19&amp;"!"&amp;$P$19&amp;ROW('使用量_1,2'!O98))</f>
        <v>0</v>
      </c>
      <c r="L98" s="1036" t="s">
        <v>4245</v>
      </c>
      <c r="M98" s="1054"/>
      <c r="N98" s="1039">
        <f t="shared" ca="1" si="10"/>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9"/>
        <v>0</v>
      </c>
      <c r="K99" s="1094">
        <f ca="1">INDIRECT($S$19&amp;"!"&amp;$P$19&amp;ROW('使用量_1,2'!O99))</f>
        <v>0</v>
      </c>
      <c r="L99" s="1036" t="s">
        <v>4245</v>
      </c>
      <c r="M99" s="1054"/>
      <c r="N99" s="1039">
        <f t="shared" ca="1" si="10"/>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9"/>
        <v>0</v>
      </c>
      <c r="K100" s="1094">
        <f ca="1">INDIRECT($S$19&amp;"!"&amp;$P$19&amp;ROW('使用量_1,2'!O100))</f>
        <v>0</v>
      </c>
      <c r="L100" s="1036" t="s">
        <v>4245</v>
      </c>
      <c r="M100" s="1054"/>
      <c r="N100" s="1039">
        <f t="shared" ca="1" si="10"/>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9"/>
        <v>0</v>
      </c>
      <c r="K101" s="1094">
        <f ca="1">INDIRECT($S$19&amp;"!"&amp;$P$19&amp;ROW('使用量_1,2'!O101))</f>
        <v>0</v>
      </c>
      <c r="L101" s="1036" t="s">
        <v>4245</v>
      </c>
      <c r="M101" s="1054"/>
      <c r="N101" s="1039">
        <f t="shared" ca="1" si="10"/>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9"/>
        <v>0</v>
      </c>
      <c r="K102" s="1094">
        <f ca="1">INDIRECT($S$19&amp;"!"&amp;$P$19&amp;ROW('使用量_1,2'!O102))</f>
        <v>0</v>
      </c>
      <c r="L102" s="1036" t="s">
        <v>4245</v>
      </c>
      <c r="M102" s="1054"/>
      <c r="N102" s="1039">
        <f t="shared" ca="1" si="10"/>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9"/>
        <v>0</v>
      </c>
      <c r="K103" s="1094">
        <f ca="1">INDIRECT($S$19&amp;"!"&amp;$P$19&amp;ROW('使用量_1,2'!O103))</f>
        <v>0</v>
      </c>
      <c r="L103" s="1036" t="s">
        <v>4245</v>
      </c>
      <c r="M103" s="1054"/>
      <c r="N103" s="1039">
        <f t="shared" ca="1" si="10"/>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9"/>
        <v>0</v>
      </c>
      <c r="K104" s="1094">
        <f ca="1">INDIRECT($S$19&amp;"!"&amp;$P$19&amp;ROW('使用量_1,2'!O104))</f>
        <v>0</v>
      </c>
      <c r="L104" s="1036" t="s">
        <v>4245</v>
      </c>
      <c r="M104" s="1054"/>
      <c r="N104" s="1039">
        <f t="shared" ca="1" si="10"/>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11">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11"/>
        <v>0</v>
      </c>
      <c r="K107" s="1094">
        <f ca="1">INDIRECT($S$19&amp;"!"&amp;$P$19&amp;ROW('使用量_1,2'!O107))</f>
        <v>0</v>
      </c>
      <c r="L107" s="1036" t="s">
        <v>4245</v>
      </c>
      <c r="M107" s="1054"/>
      <c r="N107" s="1039"/>
      <c r="O107" s="1040">
        <f>係数!J107</f>
        <v>0</v>
      </c>
      <c r="P107" s="1040">
        <f>係数!K107</f>
        <v>0</v>
      </c>
      <c r="Q107" s="1051"/>
      <c r="R107" s="1055">
        <f t="shared" ref="R107:R110" ca="1" si="12">IF(ISNA(C107),"",ROUND((G107-K107)*O107*1000,0))</f>
        <v>0</v>
      </c>
      <c r="S107" s="1055">
        <f t="shared" ref="S107:S110" ca="1" si="13">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11"/>
        <v>0</v>
      </c>
      <c r="K108" s="1094">
        <f ca="1">INDIRECT($S$19&amp;"!"&amp;$P$19&amp;ROW('使用量_1,2'!O108))</f>
        <v>0</v>
      </c>
      <c r="L108" s="1036" t="s">
        <v>4245</v>
      </c>
      <c r="M108" s="1054"/>
      <c r="N108" s="1039"/>
      <c r="O108" s="1040">
        <f>係数!J108</f>
        <v>0</v>
      </c>
      <c r="P108" s="1040">
        <f>係数!K108</f>
        <v>0</v>
      </c>
      <c r="Q108" s="1051"/>
      <c r="R108" s="1055">
        <f t="shared" ca="1" si="12"/>
        <v>0</v>
      </c>
      <c r="S108" s="1055">
        <f t="shared" ca="1" si="13"/>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11"/>
        <v>0</v>
      </c>
      <c r="K109" s="1094">
        <f ca="1">INDIRECT($S$19&amp;"!"&amp;$P$19&amp;ROW('使用量_1,2'!O109))</f>
        <v>0</v>
      </c>
      <c r="L109" s="1036" t="s">
        <v>4245</v>
      </c>
      <c r="M109" s="1054"/>
      <c r="N109" s="1039">
        <f t="shared" ca="1" si="10"/>
        <v>0</v>
      </c>
      <c r="O109" s="1040">
        <f>係数!J109</f>
        <v>0</v>
      </c>
      <c r="P109" s="1040">
        <f>係数!K109</f>
        <v>0</v>
      </c>
      <c r="Q109" s="1051" t="s">
        <v>2730</v>
      </c>
      <c r="R109" s="1055">
        <f t="shared" ca="1" si="12"/>
        <v>0</v>
      </c>
      <c r="S109" s="1055">
        <f t="shared" ca="1" si="13"/>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11"/>
        <v>0</v>
      </c>
      <c r="K110" s="1094">
        <f ca="1">INDIRECT($S$19&amp;"!"&amp;$P$19&amp;ROW('使用量_1,2'!O110))</f>
        <v>0</v>
      </c>
      <c r="L110" s="1036" t="s">
        <v>4245</v>
      </c>
      <c r="M110" s="1091"/>
      <c r="N110" s="1092"/>
      <c r="O110" s="1040">
        <f>係数!J110</f>
        <v>0</v>
      </c>
      <c r="P110" s="1040">
        <f>係数!K110</f>
        <v>0</v>
      </c>
      <c r="Q110" s="1093"/>
      <c r="R110" s="1055">
        <f t="shared" ca="1" si="12"/>
        <v>0</v>
      </c>
      <c r="S110" s="1055">
        <f t="shared" ca="1" si="13"/>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sheetData>
  <mergeCells count="108">
    <mergeCell ref="D85:E86"/>
    <mergeCell ref="C71:C72"/>
    <mergeCell ref="D71:E72"/>
    <mergeCell ref="C73:C74"/>
    <mergeCell ref="D73:E74"/>
    <mergeCell ref="C75:C76"/>
    <mergeCell ref="D75:E76"/>
    <mergeCell ref="C59:F59"/>
    <mergeCell ref="C60:F60"/>
    <mergeCell ref="C108:F108"/>
    <mergeCell ref="C109:F109"/>
    <mergeCell ref="C110:F110"/>
    <mergeCell ref="C105:F105"/>
    <mergeCell ref="C65:C66"/>
    <mergeCell ref="D65:E66"/>
    <mergeCell ref="C67:C68"/>
    <mergeCell ref="D67:E68"/>
    <mergeCell ref="C69:C70"/>
    <mergeCell ref="D69:E70"/>
    <mergeCell ref="C103:C104"/>
    <mergeCell ref="D103:E104"/>
    <mergeCell ref="C91:C92"/>
    <mergeCell ref="D91:E92"/>
    <mergeCell ref="C93:C94"/>
    <mergeCell ref="D93:E94"/>
    <mergeCell ref="C95:C96"/>
    <mergeCell ref="D95:E96"/>
    <mergeCell ref="D79:E80"/>
    <mergeCell ref="C81:C82"/>
    <mergeCell ref="D81:E82"/>
    <mergeCell ref="C83:C84"/>
    <mergeCell ref="D83:E84"/>
    <mergeCell ref="C85:C86"/>
    <mergeCell ref="C111:F111"/>
    <mergeCell ref="B112:F112"/>
    <mergeCell ref="B113:S114"/>
    <mergeCell ref="D55:F55"/>
    <mergeCell ref="D56:F56"/>
    <mergeCell ref="D57:F57"/>
    <mergeCell ref="C106:F106"/>
    <mergeCell ref="C107:F107"/>
    <mergeCell ref="C99:C100"/>
    <mergeCell ref="D99:E100"/>
    <mergeCell ref="C101:C102"/>
    <mergeCell ref="D101:E102"/>
    <mergeCell ref="C97:C98"/>
    <mergeCell ref="D97:E98"/>
    <mergeCell ref="C87:C88"/>
    <mergeCell ref="D87:E88"/>
    <mergeCell ref="C89:C90"/>
    <mergeCell ref="D89:E90"/>
    <mergeCell ref="C77:C78"/>
    <mergeCell ref="D77:E78"/>
    <mergeCell ref="C79:C80"/>
    <mergeCell ref="B65:B111"/>
    <mergeCell ref="C58:F58"/>
    <mergeCell ref="B59:B63"/>
    <mergeCell ref="D42:F42"/>
    <mergeCell ref="D43:F43"/>
    <mergeCell ref="C61:F61"/>
    <mergeCell ref="C62:F62"/>
    <mergeCell ref="C63:F63"/>
    <mergeCell ref="C49:F49"/>
    <mergeCell ref="C50:F50"/>
    <mergeCell ref="C51:F51"/>
    <mergeCell ref="C52:F52"/>
    <mergeCell ref="C53:F53"/>
    <mergeCell ref="C54:F54"/>
    <mergeCell ref="B32:B58"/>
    <mergeCell ref="C32:F32"/>
    <mergeCell ref="C33:F33"/>
    <mergeCell ref="C34:F34"/>
    <mergeCell ref="C35:F35"/>
    <mergeCell ref="C36:F36"/>
    <mergeCell ref="G30:G31"/>
    <mergeCell ref="H30:H31"/>
    <mergeCell ref="I30:I31"/>
    <mergeCell ref="B29:F31"/>
    <mergeCell ref="G29:J29"/>
    <mergeCell ref="C44:C45"/>
    <mergeCell ref="D44:F44"/>
    <mergeCell ref="D45:F45"/>
    <mergeCell ref="C46:C48"/>
    <mergeCell ref="D46:F46"/>
    <mergeCell ref="D47:F47"/>
    <mergeCell ref="D48:F48"/>
    <mergeCell ref="C37:F37"/>
    <mergeCell ref="C38:F38"/>
    <mergeCell ref="C39:F39"/>
    <mergeCell ref="C40:F40"/>
    <mergeCell ref="C41:F41"/>
    <mergeCell ref="C42:C43"/>
    <mergeCell ref="B1:M1"/>
    <mergeCell ref="C19:D19"/>
    <mergeCell ref="E19:I19"/>
    <mergeCell ref="K21:Q22"/>
    <mergeCell ref="B22:I22"/>
    <mergeCell ref="M30:M31"/>
    <mergeCell ref="O30:P30"/>
    <mergeCell ref="Q30:Q31"/>
    <mergeCell ref="R30:S30"/>
    <mergeCell ref="J30:J31"/>
    <mergeCell ref="K30:K31"/>
    <mergeCell ref="L30:L31"/>
    <mergeCell ref="K29:M29"/>
    <mergeCell ref="N29:N31"/>
    <mergeCell ref="O29:S29"/>
    <mergeCell ref="M19:O19"/>
  </mergeCells>
  <phoneticPr fontId="15"/>
  <conditionalFormatting sqref="R22:S22 F65 D65">
    <cfRule type="containsErrors" dxfId="657" priority="9">
      <formula>ISERROR(D22)</formula>
    </cfRule>
  </conditionalFormatting>
  <conditionalFormatting sqref="B111:S112 B65:C65 Q65:Q110 H105:N105 H65:I104 L65:N104 H106:I110 L106:N110 B66:B110 F66:F104">
    <cfRule type="containsErrors" dxfId="656" priority="8">
      <formula>ISERROR(B65)</formula>
    </cfRule>
  </conditionalFormatting>
  <conditionalFormatting sqref="O105:P105">
    <cfRule type="containsErrors" dxfId="655" priority="7">
      <formula>ISERROR(O105)</formula>
    </cfRule>
  </conditionalFormatting>
  <conditionalFormatting sqref="R65:S110">
    <cfRule type="containsErrors" dxfId="654" priority="6">
      <formula>ISERROR(R65)</formula>
    </cfRule>
  </conditionalFormatting>
  <conditionalFormatting sqref="C106">
    <cfRule type="containsErrors" dxfId="653" priority="5">
      <formula>ISERROR(C106)</formula>
    </cfRule>
  </conditionalFormatting>
  <conditionalFormatting sqref="C107:C110">
    <cfRule type="containsErrors" dxfId="652" priority="3">
      <formula>ISERROR(C107)</formula>
    </cfRule>
  </conditionalFormatting>
  <conditionalFormatting sqref="D67 D69 D71 D73 D75 D77 D79 D81 D83 D85 D87 D89 D91 D93 D95 D97 D99 D101 D103">
    <cfRule type="containsErrors" dxfId="651" priority="2">
      <formula>ISERROR(D67)</formula>
    </cfRule>
  </conditionalFormatting>
  <conditionalFormatting sqref="C67 C69 C71 C73 C75 C77 C79 C81 C83 C85 C87 C89 C91 C93 C95 C97 C99 C101 C103">
    <cfRule type="containsErrors" dxfId="650" priority="1">
      <formula>ISERROR(C67)</formula>
    </cfRule>
  </conditionalFormatting>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3">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o2</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L</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649" priority="8">
      <formula>ISERROR(D22)</formula>
    </cfRule>
  </conditionalFormatting>
  <conditionalFormatting sqref="B111:S112 B65:C65 Q65:Q110 H105:N105 H65:I104 L65:N104 H106:I110 L106:N110 B66:B110 F66:F104">
    <cfRule type="containsErrors" dxfId="648" priority="7">
      <formula>ISERROR(B65)</formula>
    </cfRule>
  </conditionalFormatting>
  <conditionalFormatting sqref="O105:P105">
    <cfRule type="containsErrors" dxfId="647" priority="6">
      <formula>ISERROR(O105)</formula>
    </cfRule>
  </conditionalFormatting>
  <conditionalFormatting sqref="R65:S110">
    <cfRule type="containsErrors" dxfId="646" priority="5">
      <formula>ISERROR(R65)</formula>
    </cfRule>
  </conditionalFormatting>
  <conditionalFormatting sqref="C106">
    <cfRule type="containsErrors" dxfId="645" priority="4">
      <formula>ISERROR(C106)</formula>
    </cfRule>
  </conditionalFormatting>
  <conditionalFormatting sqref="C107:C110">
    <cfRule type="containsErrors" dxfId="644" priority="3">
      <formula>ISERROR(C107)</formula>
    </cfRule>
  </conditionalFormatting>
  <conditionalFormatting sqref="D67 D69 D71 D73 D75 D77 D79 D81 D83 D85 D87 D89 D91 D93 D95 D97 D99 D101 D103">
    <cfRule type="containsErrors" dxfId="643" priority="2">
      <formula>ISERROR(D67)</formula>
    </cfRule>
  </conditionalFormatting>
  <conditionalFormatting sqref="C67 C69 C71 C73 C75 C77 C79 C81 C83 C85 C87 C89 C91 C93 C95 C97 C99 C101 C103">
    <cfRule type="containsErrors" dxfId="642" priority="1">
      <formula>ISERROR(C67)</formula>
    </cfRule>
  </conditionalFormatting>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4">
    <outlinePr summaryBelow="0" summaryRight="0"/>
  </sheetPr>
  <dimension ref="B1:U519"/>
  <sheetViews>
    <sheetView workbookViewId="0">
      <pane xSplit="6" ySplit="31" topLeftCell="G52"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o3</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M</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641" priority="8">
      <formula>ISERROR(D22)</formula>
    </cfRule>
  </conditionalFormatting>
  <conditionalFormatting sqref="B111:S112 B65:C65 Q65:Q110 H105:N105 H65:I104 L65:N104 H106:I110 L106:N110 B66:B110 F66:F104">
    <cfRule type="containsErrors" dxfId="640" priority="7">
      <formula>ISERROR(B65)</formula>
    </cfRule>
  </conditionalFormatting>
  <conditionalFormatting sqref="O105:P105">
    <cfRule type="containsErrors" dxfId="639" priority="6">
      <formula>ISERROR(O105)</formula>
    </cfRule>
  </conditionalFormatting>
  <conditionalFormatting sqref="R65:S110">
    <cfRule type="containsErrors" dxfId="638" priority="5">
      <formula>ISERROR(R65)</formula>
    </cfRule>
  </conditionalFormatting>
  <conditionalFormatting sqref="C106">
    <cfRule type="containsErrors" dxfId="637" priority="4">
      <formula>ISERROR(C106)</formula>
    </cfRule>
  </conditionalFormatting>
  <conditionalFormatting sqref="C107:C110">
    <cfRule type="containsErrors" dxfId="636" priority="3">
      <formula>ISERROR(C107)</formula>
    </cfRule>
  </conditionalFormatting>
  <conditionalFormatting sqref="D67 D69 D71 D73 D75 D77 D79 D81 D83 D85 D87 D89 D91 D93 D95 D97 D99 D101 D103">
    <cfRule type="containsErrors" dxfId="635" priority="2">
      <formula>ISERROR(D67)</formula>
    </cfRule>
  </conditionalFormatting>
  <conditionalFormatting sqref="C67 C69 C71 C73 C75 C77 C79 C81 C83 C85 C87 C89 C91 C93 C95 C97 C99 C101 C103">
    <cfRule type="containsErrors" dxfId="634" priority="1">
      <formula>ISERROR(C67)</formula>
    </cfRule>
  </conditionalFormatting>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5">
    <outlinePr summaryBelow="0" summaryRight="0"/>
  </sheetPr>
  <dimension ref="B1:U519"/>
  <sheetViews>
    <sheetView workbookViewId="0">
      <pane xSplit="6" ySplit="31" topLeftCell="G32"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o4</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N</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633" priority="8">
      <formula>ISERROR(D22)</formula>
    </cfRule>
  </conditionalFormatting>
  <conditionalFormatting sqref="B111:S112 B65:C65 Q65:Q110 H105:N105 H65:I104 L65:N104 H106:I110 L106:N110 B66:B110 F66:F104">
    <cfRule type="containsErrors" dxfId="632" priority="7">
      <formula>ISERROR(B65)</formula>
    </cfRule>
  </conditionalFormatting>
  <conditionalFormatting sqref="O105:P105">
    <cfRule type="containsErrors" dxfId="631" priority="6">
      <formula>ISERROR(O105)</formula>
    </cfRule>
  </conditionalFormatting>
  <conditionalFormatting sqref="R65:S110">
    <cfRule type="containsErrors" dxfId="630" priority="5">
      <formula>ISERROR(R65)</formula>
    </cfRule>
  </conditionalFormatting>
  <conditionalFormatting sqref="C106">
    <cfRule type="containsErrors" dxfId="629" priority="4">
      <formula>ISERROR(C106)</formula>
    </cfRule>
  </conditionalFormatting>
  <conditionalFormatting sqref="C107:C110">
    <cfRule type="containsErrors" dxfId="628" priority="3">
      <formula>ISERROR(C107)</formula>
    </cfRule>
  </conditionalFormatting>
  <conditionalFormatting sqref="D67 D69 D71 D73 D75 D77 D79 D81 D83 D85 D87 D89 D91 D93 D95 D97 D99 D101 D103">
    <cfRule type="containsErrors" dxfId="627" priority="2">
      <formula>ISERROR(D67)</formula>
    </cfRule>
  </conditionalFormatting>
  <conditionalFormatting sqref="C67 C69 C71 C73 C75 C77 C79 C81 C83 C85 C87 C89 C91 C93 C95 C97 C99 C101 C103">
    <cfRule type="containsErrors" dxfId="626" priority="1">
      <formula>ISERROR(C67)</formula>
    </cfRule>
  </conditionalFormatting>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o5</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O</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625" priority="8">
      <formula>ISERROR(D22)</formula>
    </cfRule>
  </conditionalFormatting>
  <conditionalFormatting sqref="B111:S112 B65:C65 Q65:Q110 H105:N105 H65:I104 L65:N104 H106:I110 L106:N110 B66:B110 F66:F104">
    <cfRule type="containsErrors" dxfId="624" priority="7">
      <formula>ISERROR(B65)</formula>
    </cfRule>
  </conditionalFormatting>
  <conditionalFormatting sqref="O105:P105">
    <cfRule type="containsErrors" dxfId="623" priority="6">
      <formula>ISERROR(O105)</formula>
    </cfRule>
  </conditionalFormatting>
  <conditionalFormatting sqref="R65:S110">
    <cfRule type="containsErrors" dxfId="622" priority="5">
      <formula>ISERROR(R65)</formula>
    </cfRule>
  </conditionalFormatting>
  <conditionalFormatting sqref="C106">
    <cfRule type="containsErrors" dxfId="621" priority="4">
      <formula>ISERROR(C106)</formula>
    </cfRule>
  </conditionalFormatting>
  <conditionalFormatting sqref="C107:C110">
    <cfRule type="containsErrors" dxfId="620" priority="3">
      <formula>ISERROR(C107)</formula>
    </cfRule>
  </conditionalFormatting>
  <conditionalFormatting sqref="D67 D69 D71 D73 D75 D77 D79 D81 D83 D85 D87 D89 D91 D93 D95 D97 D99 D101 D103">
    <cfRule type="containsErrors" dxfId="619" priority="2">
      <formula>ISERROR(D67)</formula>
    </cfRule>
  </conditionalFormatting>
  <conditionalFormatting sqref="C67 C69 C71 C73 C75 C77 C79 C81 C83 C85 C87 C89 C91 C93 C95 C97 C99 C101 C103">
    <cfRule type="containsErrors" dxfId="618" priority="1">
      <formula>ISERROR(C67)</formula>
    </cfRule>
  </conditionalFormatting>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outlinePr summaryBelow="0" summaryRight="0"/>
  </sheetPr>
  <dimension ref="B1:U519"/>
  <sheetViews>
    <sheetView workbookViewId="0">
      <pane xSplit="6" ySplit="31" topLeftCell="G62"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o6</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P</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617" priority="8">
      <formula>ISERROR(D22)</formula>
    </cfRule>
  </conditionalFormatting>
  <conditionalFormatting sqref="B111:S112 B65:C65 Q65:Q110 H105:N105 H65:I104 L65:N104 H106:I110 L106:N110 B66:B110 F66:F104">
    <cfRule type="containsErrors" dxfId="616" priority="7">
      <formula>ISERROR(B65)</formula>
    </cfRule>
  </conditionalFormatting>
  <conditionalFormatting sqref="O105:P105">
    <cfRule type="containsErrors" dxfId="615" priority="6">
      <formula>ISERROR(O105)</formula>
    </cfRule>
  </conditionalFormatting>
  <conditionalFormatting sqref="R65:S110">
    <cfRule type="containsErrors" dxfId="614" priority="5">
      <formula>ISERROR(R65)</formula>
    </cfRule>
  </conditionalFormatting>
  <conditionalFormatting sqref="C106">
    <cfRule type="containsErrors" dxfId="613" priority="4">
      <formula>ISERROR(C106)</formula>
    </cfRule>
  </conditionalFormatting>
  <conditionalFormatting sqref="C107:C110">
    <cfRule type="containsErrors" dxfId="612" priority="3">
      <formula>ISERROR(C107)</formula>
    </cfRule>
  </conditionalFormatting>
  <conditionalFormatting sqref="D67 D69 D71 D73 D75 D77 D79 D81 D83 D85 D87 D89 D91 D93 D95 D97 D99 D101 D103">
    <cfRule type="containsErrors" dxfId="611" priority="2">
      <formula>ISERROR(D67)</formula>
    </cfRule>
  </conditionalFormatting>
  <conditionalFormatting sqref="C67 C69 C71 C73 C75 C77 C79 C81 C83 C85 C87 C89 C91 C93 C95 C97 C99 C101 C103">
    <cfRule type="containsErrors" dxfId="610" priority="1">
      <formula>ISERROR(C67)</formula>
    </cfRule>
  </conditionalFormatting>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o7</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Q</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609" priority="8">
      <formula>ISERROR(D22)</formula>
    </cfRule>
  </conditionalFormatting>
  <conditionalFormatting sqref="B111:S112 B65:C65 Q65:Q110 H105:N105 H65:I104 L65:N104 H106:I110 L106:N110 B66:B110 F66:F104">
    <cfRule type="containsErrors" dxfId="608" priority="7">
      <formula>ISERROR(B65)</formula>
    </cfRule>
  </conditionalFormatting>
  <conditionalFormatting sqref="O105:P105">
    <cfRule type="containsErrors" dxfId="607" priority="6">
      <formula>ISERROR(O105)</formula>
    </cfRule>
  </conditionalFormatting>
  <conditionalFormatting sqref="R65:S110">
    <cfRule type="containsErrors" dxfId="606" priority="5">
      <formula>ISERROR(R65)</formula>
    </cfRule>
  </conditionalFormatting>
  <conditionalFormatting sqref="C106">
    <cfRule type="containsErrors" dxfId="605" priority="4">
      <formula>ISERROR(C106)</formula>
    </cfRule>
  </conditionalFormatting>
  <conditionalFormatting sqref="C107:C110">
    <cfRule type="containsErrors" dxfId="604" priority="3">
      <formula>ISERROR(C107)</formula>
    </cfRule>
  </conditionalFormatting>
  <conditionalFormatting sqref="D67 D69 D71 D73 D75 D77 D79 D81 D83 D85 D87 D89 D91 D93 D95 D97 D99 D101 D103">
    <cfRule type="containsErrors" dxfId="603" priority="2">
      <formula>ISERROR(D67)</formula>
    </cfRule>
  </conditionalFormatting>
  <conditionalFormatting sqref="C67 C69 C71 C73 C75 C77 C79 C81 C83 C85 C87 C89 C91 C93 C95 C97 C99 C101 C103">
    <cfRule type="containsErrors" dxfId="602" priority="1">
      <formula>ISERROR(C67)</formula>
    </cfRule>
  </conditionalFormatting>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outlinePr summaryBelow="0" summaryRight="0"/>
  </sheetPr>
  <dimension ref="B1:U519"/>
  <sheetViews>
    <sheetView workbookViewId="0">
      <pane xSplit="6" ySplit="31" topLeftCell="G56"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o8</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R</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601" priority="8">
      <formula>ISERROR(D22)</formula>
    </cfRule>
  </conditionalFormatting>
  <conditionalFormatting sqref="B111:S112 B65:C65 Q65:Q110 H105:N105 H65:I104 L65:N104 H106:I110 L106:N110 B66:B110 F66:F104">
    <cfRule type="containsErrors" dxfId="600" priority="7">
      <formula>ISERROR(B65)</formula>
    </cfRule>
  </conditionalFormatting>
  <conditionalFormatting sqref="O105:P105">
    <cfRule type="containsErrors" dxfId="599" priority="6">
      <formula>ISERROR(O105)</formula>
    </cfRule>
  </conditionalFormatting>
  <conditionalFormatting sqref="R65:S110">
    <cfRule type="containsErrors" dxfId="598" priority="5">
      <formula>ISERROR(R65)</formula>
    </cfRule>
  </conditionalFormatting>
  <conditionalFormatting sqref="C106">
    <cfRule type="containsErrors" dxfId="597" priority="4">
      <formula>ISERROR(C106)</formula>
    </cfRule>
  </conditionalFormatting>
  <conditionalFormatting sqref="C107:C110">
    <cfRule type="containsErrors" dxfId="596" priority="3">
      <formula>ISERROR(C107)</formula>
    </cfRule>
  </conditionalFormatting>
  <conditionalFormatting sqref="D67 D69 D71 D73 D75 D77 D79 D81 D83 D85 D87 D89 D91 D93 D95 D97 D99 D101 D103">
    <cfRule type="containsErrors" dxfId="595" priority="2">
      <formula>ISERROR(D67)</formula>
    </cfRule>
  </conditionalFormatting>
  <conditionalFormatting sqref="C67 C69 C71 C73 C75 C77 C79 C81 C83 C85 C87 C89 C91 C93 C95 C97 C99 C101 C103">
    <cfRule type="containsErrors" dxfId="594" priority="1">
      <formula>ISERROR(C67)</formula>
    </cfRule>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IO5"/>
  <sheetViews>
    <sheetView zoomScale="75" zoomScaleNormal="75" workbookViewId="0">
      <selection activeCell="AC9" sqref="AC9"/>
    </sheetView>
  </sheetViews>
  <sheetFormatPr defaultRowHeight="13.5"/>
  <cols>
    <col min="8" max="8" width="10.5" bestFit="1" customWidth="1"/>
  </cols>
  <sheetData>
    <row r="1" spans="1:249" s="1437" customFormat="1" ht="18.75" customHeight="1">
      <c r="A1" s="1837" t="s">
        <v>4687</v>
      </c>
      <c r="B1" s="1837"/>
      <c r="C1" s="1837"/>
      <c r="D1" s="1440"/>
      <c r="E1" s="1441"/>
      <c r="F1" s="1538"/>
      <c r="G1" s="1443" t="s">
        <v>4535</v>
      </c>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5"/>
      <c r="AK1" s="1443" t="s">
        <v>4536</v>
      </c>
      <c r="AL1" s="1444"/>
      <c r="AM1" s="1444"/>
      <c r="AN1" s="1444"/>
      <c r="AO1" s="1444"/>
      <c r="AP1" s="1444"/>
      <c r="AQ1" s="1444"/>
      <c r="AR1" s="1444"/>
      <c r="AS1" s="1444"/>
      <c r="AT1" s="1444"/>
      <c r="AU1" s="1444"/>
      <c r="AV1" s="1444"/>
      <c r="AW1" s="1444"/>
      <c r="AX1" s="1444"/>
      <c r="AY1" s="1444"/>
      <c r="AZ1" s="1444"/>
      <c r="BA1" s="1444"/>
      <c r="BB1" s="1444"/>
      <c r="BC1" s="1444"/>
      <c r="BD1" s="1444"/>
      <c r="BE1" s="1444"/>
      <c r="BF1" s="1444"/>
      <c r="BG1" s="1444"/>
      <c r="BH1" s="1444"/>
      <c r="BI1" s="1444"/>
      <c r="BJ1" s="1444"/>
      <c r="BK1" s="1444"/>
      <c r="BL1" s="1444"/>
      <c r="BM1" s="1444"/>
      <c r="BN1" s="1444"/>
      <c r="BO1" s="1444"/>
      <c r="BP1" s="1444"/>
      <c r="BQ1" s="1444"/>
      <c r="BR1" s="1444"/>
      <c r="BS1" s="1444"/>
      <c r="BT1" s="1444"/>
      <c r="BU1" s="1444"/>
      <c r="BV1" s="1444"/>
      <c r="BW1" s="1444"/>
      <c r="BX1" s="1444"/>
      <c r="BY1" s="1444"/>
      <c r="BZ1" s="1443"/>
      <c r="CA1" s="1444"/>
      <c r="CB1" s="1444"/>
      <c r="CC1" s="1444"/>
      <c r="CD1" s="1444"/>
      <c r="CE1" s="1444"/>
      <c r="CF1" s="1444"/>
      <c r="CG1" s="1444"/>
      <c r="CH1" s="1444"/>
      <c r="CI1" s="1444"/>
      <c r="CJ1" s="1444"/>
      <c r="CK1" s="1444"/>
      <c r="CL1" s="1444"/>
      <c r="CM1" s="1444"/>
      <c r="CN1" s="1444"/>
      <c r="CO1" s="1444"/>
      <c r="CP1" s="1444"/>
      <c r="CQ1" s="1444"/>
      <c r="CR1" s="1444"/>
      <c r="CS1" s="1444"/>
      <c r="CT1" s="1444"/>
      <c r="CU1" s="1444"/>
      <c r="CV1" s="1444"/>
      <c r="CW1" s="1444"/>
      <c r="CX1" s="1444"/>
      <c r="CY1" s="1444"/>
      <c r="CZ1" s="1444"/>
      <c r="DA1" s="1444"/>
      <c r="DB1" s="1444"/>
      <c r="DC1" s="1444"/>
      <c r="DD1" s="1444"/>
      <c r="DE1" s="1444"/>
      <c r="DF1" s="1444"/>
      <c r="DG1" s="1444"/>
      <c r="DH1" s="1444"/>
      <c r="DI1" s="1444"/>
      <c r="DJ1" s="1444"/>
      <c r="DK1" s="1444"/>
      <c r="DL1" s="1444"/>
      <c r="DM1" s="1444"/>
      <c r="DN1" s="1444"/>
      <c r="DO1" s="1446" t="s">
        <v>4537</v>
      </c>
      <c r="DP1" s="1444"/>
      <c r="DQ1" s="1444"/>
      <c r="DR1" s="1444"/>
      <c r="DS1" s="1444"/>
      <c r="DT1" s="1444"/>
      <c r="DU1" s="1444"/>
      <c r="DV1" s="1444"/>
      <c r="DW1" s="1444"/>
      <c r="DX1" s="1444"/>
      <c r="DY1" s="1444"/>
      <c r="DZ1" s="1444"/>
      <c r="EA1" s="1444"/>
      <c r="EB1" s="1444"/>
      <c r="EC1" s="1444"/>
      <c r="ED1" s="1444"/>
      <c r="EE1" s="1446" t="s">
        <v>4538</v>
      </c>
      <c r="EF1" s="1444"/>
      <c r="EG1" s="1444"/>
      <c r="EH1" s="1444"/>
      <c r="EI1" s="1444"/>
      <c r="EJ1" s="1444"/>
      <c r="EK1" s="1444"/>
      <c r="EL1" s="1444"/>
      <c r="EM1" s="1444"/>
      <c r="EN1" s="1444"/>
      <c r="EO1" s="1444"/>
      <c r="EP1" s="1444"/>
      <c r="EQ1" s="1444"/>
      <c r="ER1" s="1444"/>
      <c r="ES1" s="1444"/>
      <c r="ET1" s="1444"/>
      <c r="EU1" s="1444"/>
      <c r="EV1" s="1444"/>
      <c r="EW1" s="1444"/>
      <c r="EX1" s="1444"/>
      <c r="EY1" s="1444"/>
      <c r="EZ1" s="1444"/>
      <c r="FA1" s="1444"/>
      <c r="FB1" s="1444"/>
      <c r="FC1" s="1444"/>
      <c r="FD1" s="1443" t="s">
        <v>4539</v>
      </c>
      <c r="FE1" s="1444"/>
      <c r="FF1" s="1444"/>
      <c r="FG1" s="1444"/>
      <c r="FH1" s="1444"/>
      <c r="FI1" s="1444"/>
      <c r="FJ1" s="1444"/>
      <c r="FK1" s="1444"/>
      <c r="FL1" s="1446" t="s">
        <v>4540</v>
      </c>
      <c r="FM1" s="1444"/>
      <c r="FN1" s="1444"/>
      <c r="FO1" s="1444"/>
      <c r="FP1" s="1444"/>
      <c r="FQ1" s="1444"/>
      <c r="FR1" s="1444"/>
      <c r="FS1" s="1444"/>
      <c r="FT1" s="1444"/>
      <c r="FU1" s="1444"/>
      <c r="FV1" s="1444"/>
      <c r="FW1" s="1444"/>
      <c r="FX1" s="1444"/>
      <c r="FY1" s="1444"/>
      <c r="FZ1" s="1444"/>
      <c r="GA1" s="1444"/>
      <c r="GB1" s="1444"/>
      <c r="GC1" s="1444"/>
      <c r="GD1" s="1444"/>
      <c r="GE1" s="1444"/>
      <c r="GF1" s="1444"/>
      <c r="GG1" s="1444"/>
      <c r="GH1" s="1444"/>
      <c r="GI1" s="1444"/>
      <c r="GJ1" s="1444"/>
      <c r="GK1" s="1444"/>
      <c r="GL1" s="1444"/>
      <c r="GM1" s="1444"/>
      <c r="GN1" s="1444"/>
      <c r="GO1" s="1444"/>
      <c r="GP1" s="1444"/>
      <c r="GQ1" s="1444"/>
      <c r="GR1" s="1444"/>
      <c r="GS1" s="1444"/>
      <c r="GT1" s="1444"/>
      <c r="GU1" s="1444"/>
      <c r="GV1" s="1444"/>
      <c r="GW1" s="1444"/>
      <c r="GX1" s="1444"/>
      <c r="GY1" s="1444"/>
      <c r="GZ1" s="1444"/>
      <c r="HA1" s="1444"/>
      <c r="HB1" s="1444"/>
      <c r="HC1" s="1444"/>
      <c r="HD1" s="1444"/>
      <c r="HE1" s="1444"/>
      <c r="HF1" s="1444"/>
      <c r="HG1" s="1444"/>
      <c r="HH1" s="1444"/>
      <c r="HI1" s="1444"/>
      <c r="HJ1" s="1444"/>
      <c r="HK1" s="1444"/>
      <c r="HL1" s="1444"/>
      <c r="HM1" s="1444"/>
      <c r="HN1" s="1443" t="s">
        <v>4541</v>
      </c>
      <c r="HO1" s="1444"/>
      <c r="HP1" s="1444"/>
      <c r="HQ1" s="1444"/>
      <c r="HR1" s="1444"/>
      <c r="HS1" s="1444"/>
      <c r="HT1" s="1444"/>
      <c r="HU1" s="1444"/>
      <c r="HV1" s="1446" t="s">
        <v>4542</v>
      </c>
      <c r="HW1" s="1444"/>
      <c r="HX1" s="1444"/>
      <c r="HY1" s="1444"/>
      <c r="HZ1" s="1444"/>
      <c r="IA1" s="1444"/>
      <c r="IB1" s="1444"/>
      <c r="IC1" s="1444"/>
      <c r="ID1" s="1444"/>
      <c r="IE1" s="1447"/>
      <c r="IH1" s="1449"/>
      <c r="II1" s="1450"/>
      <c r="IJ1" s="1451"/>
      <c r="IK1" s="1451"/>
      <c r="IL1" s="1451"/>
      <c r="IM1" s="1451"/>
      <c r="IN1" s="1451"/>
      <c r="IO1" s="1451"/>
    </row>
    <row r="2" spans="1:249" s="1437" customFormat="1" ht="28.5" customHeight="1">
      <c r="A2" s="1442"/>
      <c r="B2" s="1438"/>
      <c r="C2" s="1442"/>
      <c r="D2" s="1452"/>
      <c r="E2" s="1441"/>
      <c r="F2" s="1442"/>
      <c r="G2" s="1443" t="s">
        <v>4543</v>
      </c>
      <c r="H2" s="1453"/>
      <c r="I2" s="1453"/>
      <c r="J2" s="1453"/>
      <c r="K2" s="1453"/>
      <c r="L2" s="1443" t="s">
        <v>4544</v>
      </c>
      <c r="M2" s="1453"/>
      <c r="N2" s="1453"/>
      <c r="O2" s="1453"/>
      <c r="P2" s="1453"/>
      <c r="Q2" s="1453"/>
      <c r="R2" s="1453"/>
      <c r="S2" s="1453"/>
      <c r="T2" s="1453"/>
      <c r="U2" s="1453"/>
      <c r="V2" s="1454"/>
      <c r="W2" s="1454"/>
      <c r="X2" s="1454"/>
      <c r="Y2" s="1454"/>
      <c r="Z2" s="1455" t="s">
        <v>4545</v>
      </c>
      <c r="AA2" s="1456"/>
      <c r="AB2" s="1456"/>
      <c r="AC2" s="1443" t="s">
        <v>4546</v>
      </c>
      <c r="AD2" s="1453"/>
      <c r="AE2" s="1453"/>
      <c r="AF2" s="1453"/>
      <c r="AG2" s="1453"/>
      <c r="AH2" s="1453"/>
      <c r="AI2" s="1453"/>
      <c r="AJ2" s="1457"/>
      <c r="AK2" s="1453" t="s">
        <v>274</v>
      </c>
      <c r="AL2" s="1454"/>
      <c r="AM2" s="1454"/>
      <c r="AN2" s="1458"/>
      <c r="AO2" s="1453"/>
      <c r="AP2" s="1453"/>
      <c r="AQ2" s="1454"/>
      <c r="AR2" s="1459"/>
      <c r="AS2" s="1454"/>
      <c r="AT2" s="1459"/>
      <c r="AU2" s="1458"/>
      <c r="AV2" s="1453"/>
      <c r="AW2" s="1458"/>
      <c r="AX2" s="1453"/>
      <c r="AY2" s="1454"/>
      <c r="AZ2" s="1459"/>
      <c r="BA2" s="1454"/>
      <c r="BB2" s="1459"/>
      <c r="BC2" s="1458"/>
      <c r="BD2" s="1453"/>
      <c r="BE2" s="1458"/>
      <c r="BF2" s="1453"/>
      <c r="BG2" s="1454"/>
      <c r="BH2" s="1459"/>
      <c r="BI2" s="1454"/>
      <c r="BJ2" s="1459"/>
      <c r="BK2" s="1458"/>
      <c r="BL2" s="1453"/>
      <c r="BM2" s="1458"/>
      <c r="BN2" s="1453"/>
      <c r="BO2" s="1454"/>
      <c r="BP2" s="1459"/>
      <c r="BQ2" s="1454"/>
      <c r="BR2" s="1459"/>
      <c r="BS2" s="1458"/>
      <c r="BT2" s="1453"/>
      <c r="BU2" s="1458"/>
      <c r="BV2" s="1460"/>
      <c r="BW2" s="1460"/>
      <c r="BX2" s="1460"/>
      <c r="BY2" s="1460"/>
      <c r="BZ2" s="1443" t="s">
        <v>4547</v>
      </c>
      <c r="CA2" s="1454"/>
      <c r="CB2" s="1454"/>
      <c r="CC2" s="1458"/>
      <c r="CD2" s="1453"/>
      <c r="CE2" s="1453"/>
      <c r="CF2" s="1454"/>
      <c r="CG2" s="1459"/>
      <c r="CH2" s="1454"/>
      <c r="CI2" s="1459"/>
      <c r="CJ2" s="1458"/>
      <c r="CK2" s="1453"/>
      <c r="CL2" s="1458"/>
      <c r="CM2" s="1453"/>
      <c r="CN2" s="1454"/>
      <c r="CO2" s="1459"/>
      <c r="CP2" s="1454"/>
      <c r="CQ2" s="1459"/>
      <c r="CR2" s="1458"/>
      <c r="CS2" s="1453"/>
      <c r="CT2" s="1458"/>
      <c r="CU2" s="1453"/>
      <c r="CV2" s="1454"/>
      <c r="CW2" s="1459"/>
      <c r="CX2" s="1454"/>
      <c r="CY2" s="1459"/>
      <c r="CZ2" s="1458"/>
      <c r="DA2" s="1453"/>
      <c r="DB2" s="1458"/>
      <c r="DC2" s="1453"/>
      <c r="DD2" s="1454"/>
      <c r="DE2" s="1459"/>
      <c r="DF2" s="1454"/>
      <c r="DG2" s="1459"/>
      <c r="DH2" s="1458"/>
      <c r="DI2" s="1453"/>
      <c r="DJ2" s="1458"/>
      <c r="DK2" s="1460"/>
      <c r="DL2" s="1460"/>
      <c r="DM2" s="1460"/>
      <c r="DN2" s="1460"/>
      <c r="DO2" s="1443" t="s">
        <v>4548</v>
      </c>
      <c r="DP2" s="1454"/>
      <c r="DQ2" s="1453"/>
      <c r="DR2" s="1453"/>
      <c r="DS2" s="1454"/>
      <c r="DT2" s="1453"/>
      <c r="DU2" s="1453"/>
      <c r="DV2" s="1454"/>
      <c r="DW2" s="1453"/>
      <c r="DX2" s="1453"/>
      <c r="DY2" s="1454"/>
      <c r="DZ2" s="1453"/>
      <c r="EA2" s="1453"/>
      <c r="EB2" s="1454"/>
      <c r="EC2" s="1453"/>
      <c r="ED2" s="1454"/>
      <c r="EE2" s="1443" t="s">
        <v>4549</v>
      </c>
      <c r="EF2" s="1453"/>
      <c r="EG2" s="1453"/>
      <c r="EH2" s="1454"/>
      <c r="EI2" s="1453"/>
      <c r="EJ2" s="1453"/>
      <c r="EK2" s="1453"/>
      <c r="EL2" s="1453"/>
      <c r="EM2" s="1454"/>
      <c r="EN2" s="1453"/>
      <c r="EO2" s="1453"/>
      <c r="EP2" s="1453"/>
      <c r="EQ2" s="1453"/>
      <c r="ER2" s="1454"/>
      <c r="ES2" s="1453"/>
      <c r="ET2" s="1453"/>
      <c r="EU2" s="1453"/>
      <c r="EV2" s="1453"/>
      <c r="EW2" s="1454"/>
      <c r="EX2" s="1453"/>
      <c r="EY2" s="1453"/>
      <c r="EZ2" s="1453"/>
      <c r="FA2" s="1453"/>
      <c r="FB2" s="1454"/>
      <c r="FC2" s="1453"/>
      <c r="FD2" s="1461" t="s">
        <v>4550</v>
      </c>
      <c r="FE2" s="1454"/>
      <c r="FF2" s="1454"/>
      <c r="FG2" s="1454"/>
      <c r="FH2" s="1454"/>
      <c r="FI2" s="1454"/>
      <c r="FJ2" s="1454"/>
      <c r="FK2" s="1454"/>
      <c r="FL2" s="1443" t="s">
        <v>4551</v>
      </c>
      <c r="FM2" s="1453"/>
      <c r="FN2" s="1453"/>
      <c r="FO2" s="1453"/>
      <c r="FP2" s="1453"/>
      <c r="FQ2" s="1453"/>
      <c r="FR2" s="1453"/>
      <c r="FS2" s="1453"/>
      <c r="FT2" s="1453"/>
      <c r="FU2" s="1453"/>
      <c r="FV2" s="1453"/>
      <c r="FW2" s="1453"/>
      <c r="FX2" s="1453"/>
      <c r="FY2" s="1453"/>
      <c r="FZ2" s="1453"/>
      <c r="GA2" s="1453"/>
      <c r="GB2" s="1453"/>
      <c r="GC2" s="1453"/>
      <c r="GD2" s="1453"/>
      <c r="GE2" s="1453"/>
      <c r="GF2" s="1453"/>
      <c r="GG2" s="1453"/>
      <c r="GH2" s="1453"/>
      <c r="GI2" s="1453"/>
      <c r="GJ2" s="1453"/>
      <c r="GK2" s="1453"/>
      <c r="GL2" s="1453"/>
      <c r="GM2" s="1453"/>
      <c r="GN2" s="1453"/>
      <c r="GO2" s="1453"/>
      <c r="GP2" s="1453"/>
      <c r="GQ2" s="1453"/>
      <c r="GR2" s="1453"/>
      <c r="GS2" s="1453"/>
      <c r="GT2" s="1453"/>
      <c r="GU2" s="1453"/>
      <c r="GV2" s="1453"/>
      <c r="GW2" s="1453"/>
      <c r="GX2" s="1453"/>
      <c r="GY2" s="1443" t="s">
        <v>4552</v>
      </c>
      <c r="GZ2" s="1453"/>
      <c r="HA2" s="1453"/>
      <c r="HB2" s="1453"/>
      <c r="HC2" s="1453"/>
      <c r="HD2" s="1453"/>
      <c r="HE2" s="1453"/>
      <c r="HF2" s="1453"/>
      <c r="HG2" s="1453"/>
      <c r="HH2" s="1453"/>
      <c r="HI2" s="1453"/>
      <c r="HJ2" s="1453"/>
      <c r="HK2" s="1453"/>
      <c r="HL2" s="1453"/>
      <c r="HM2" s="1453"/>
      <c r="HN2" s="1461" t="s">
        <v>4553</v>
      </c>
      <c r="HO2" s="1453"/>
      <c r="HP2" s="1453"/>
      <c r="HQ2" s="1453"/>
      <c r="HR2" s="1453"/>
      <c r="HS2" s="1453"/>
      <c r="HT2" s="1453"/>
      <c r="HU2" s="1453"/>
      <c r="HV2" s="1844" t="s">
        <v>4554</v>
      </c>
      <c r="HW2" s="1845"/>
      <c r="HX2" s="1845"/>
      <c r="HY2" s="1845"/>
      <c r="HZ2" s="1845"/>
      <c r="IA2" s="1845"/>
      <c r="IB2" s="1845"/>
      <c r="IC2" s="1845"/>
      <c r="ID2" s="1846"/>
      <c r="IE2" s="1833" t="s">
        <v>4555</v>
      </c>
      <c r="IH2" s="1449"/>
      <c r="II2" s="1450"/>
      <c r="IJ2" s="1451"/>
      <c r="IK2" s="1451"/>
      <c r="IL2" s="1451"/>
      <c r="IM2" s="1451"/>
      <c r="IN2" s="1451"/>
      <c r="IO2" s="1451"/>
    </row>
    <row r="3" spans="1:249" s="1437" customFormat="1" ht="46.5" customHeight="1">
      <c r="B3" s="1462" t="s">
        <v>4556</v>
      </c>
      <c r="C3" s="1463"/>
      <c r="D3" s="1463"/>
      <c r="E3" s="1464"/>
      <c r="F3" s="1463"/>
      <c r="G3" s="1465" t="s">
        <v>4557</v>
      </c>
      <c r="H3" s="1466"/>
      <c r="I3" s="1467" t="s">
        <v>4558</v>
      </c>
      <c r="J3" s="1466"/>
      <c r="K3" s="1466"/>
      <c r="L3" s="1465" t="s">
        <v>4559</v>
      </c>
      <c r="M3" s="1466"/>
      <c r="N3" s="1468"/>
      <c r="O3" s="1469" t="s">
        <v>4560</v>
      </c>
      <c r="P3" s="1470"/>
      <c r="Q3" s="1466" t="s">
        <v>4561</v>
      </c>
      <c r="R3" s="1466"/>
      <c r="S3" s="1466"/>
      <c r="T3" s="1466"/>
      <c r="U3" s="1468"/>
      <c r="V3" s="1471" t="s">
        <v>4562</v>
      </c>
      <c r="W3" s="1471"/>
      <c r="X3" s="1471"/>
      <c r="Y3" s="1471"/>
      <c r="Z3" s="1465" t="s">
        <v>4563</v>
      </c>
      <c r="AA3" s="1466"/>
      <c r="AB3" s="1840" t="s">
        <v>4564</v>
      </c>
      <c r="AC3" s="1465" t="s">
        <v>4565</v>
      </c>
      <c r="AD3" s="1466"/>
      <c r="AE3" s="1472" t="s">
        <v>4566</v>
      </c>
      <c r="AF3" s="1466"/>
      <c r="AG3" s="1466"/>
      <c r="AH3" s="1466"/>
      <c r="AI3" s="1473" t="s">
        <v>4567</v>
      </c>
      <c r="AJ3" s="1474"/>
      <c r="AK3" s="1475" t="s">
        <v>4568</v>
      </c>
      <c r="AL3" s="1476"/>
      <c r="AM3" s="1476"/>
      <c r="AN3" s="1477"/>
      <c r="AO3" s="1475"/>
      <c r="AP3" s="1478" t="s">
        <v>4569</v>
      </c>
      <c r="AQ3" s="1476"/>
      <c r="AR3" s="1479"/>
      <c r="AS3" s="1476"/>
      <c r="AT3" s="1479"/>
      <c r="AU3" s="1477"/>
      <c r="AV3" s="1475"/>
      <c r="AW3" s="1480"/>
      <c r="AX3" s="1478" t="s">
        <v>4570</v>
      </c>
      <c r="AY3" s="1476"/>
      <c r="AZ3" s="1479"/>
      <c r="BA3" s="1476"/>
      <c r="BB3" s="1479"/>
      <c r="BC3" s="1477"/>
      <c r="BD3" s="1475"/>
      <c r="BE3" s="1480"/>
      <c r="BF3" s="1478" t="s">
        <v>4571</v>
      </c>
      <c r="BG3" s="1476"/>
      <c r="BH3" s="1479"/>
      <c r="BI3" s="1476"/>
      <c r="BJ3" s="1479"/>
      <c r="BK3" s="1477"/>
      <c r="BL3" s="1475"/>
      <c r="BM3" s="1480"/>
      <c r="BN3" s="1478" t="s">
        <v>4572</v>
      </c>
      <c r="BO3" s="1476"/>
      <c r="BP3" s="1479"/>
      <c r="BQ3" s="1476"/>
      <c r="BR3" s="1479"/>
      <c r="BS3" s="1477"/>
      <c r="BT3" s="1475"/>
      <c r="BU3" s="1477"/>
      <c r="BV3" s="1481" t="s">
        <v>4573</v>
      </c>
      <c r="BW3" s="1481" t="s">
        <v>4574</v>
      </c>
      <c r="BX3" s="1481" t="s">
        <v>4575</v>
      </c>
      <c r="BY3" s="1481" t="s">
        <v>4576</v>
      </c>
      <c r="BZ3" s="1482" t="s">
        <v>4568</v>
      </c>
      <c r="CA3" s="1476"/>
      <c r="CB3" s="1476"/>
      <c r="CC3" s="1477"/>
      <c r="CD3" s="1475"/>
      <c r="CE3" s="1478" t="s">
        <v>4569</v>
      </c>
      <c r="CF3" s="1476"/>
      <c r="CG3" s="1479"/>
      <c r="CH3" s="1476"/>
      <c r="CI3" s="1479"/>
      <c r="CJ3" s="1477"/>
      <c r="CK3" s="1475"/>
      <c r="CL3" s="1480"/>
      <c r="CM3" s="1478" t="s">
        <v>4570</v>
      </c>
      <c r="CN3" s="1476"/>
      <c r="CO3" s="1479"/>
      <c r="CP3" s="1476"/>
      <c r="CQ3" s="1479"/>
      <c r="CR3" s="1477"/>
      <c r="CS3" s="1475"/>
      <c r="CT3" s="1480"/>
      <c r="CU3" s="1478" t="s">
        <v>4571</v>
      </c>
      <c r="CV3" s="1476"/>
      <c r="CW3" s="1479"/>
      <c r="CX3" s="1476"/>
      <c r="CY3" s="1479"/>
      <c r="CZ3" s="1477"/>
      <c r="DA3" s="1475"/>
      <c r="DB3" s="1480"/>
      <c r="DC3" s="1478" t="s">
        <v>4572</v>
      </c>
      <c r="DD3" s="1476"/>
      <c r="DE3" s="1479"/>
      <c r="DF3" s="1476"/>
      <c r="DG3" s="1479"/>
      <c r="DH3" s="1477"/>
      <c r="DI3" s="1475"/>
      <c r="DJ3" s="1477"/>
      <c r="DK3" s="1481" t="s">
        <v>4573</v>
      </c>
      <c r="DL3" s="1481" t="s">
        <v>4574</v>
      </c>
      <c r="DM3" s="1481" t="s">
        <v>4575</v>
      </c>
      <c r="DN3" s="1481" t="s">
        <v>4576</v>
      </c>
      <c r="DO3" s="1483">
        <v>1</v>
      </c>
      <c r="DP3" s="1484"/>
      <c r="DQ3" s="1485"/>
      <c r="DR3" s="1486">
        <v>2</v>
      </c>
      <c r="DS3" s="1484"/>
      <c r="DT3" s="1485"/>
      <c r="DU3" s="1486">
        <v>3</v>
      </c>
      <c r="DV3" s="1484"/>
      <c r="DW3" s="1485"/>
      <c r="DX3" s="1486">
        <v>4</v>
      </c>
      <c r="DY3" s="1484"/>
      <c r="DZ3" s="1485"/>
      <c r="EA3" s="1486">
        <v>5</v>
      </c>
      <c r="EB3" s="1484"/>
      <c r="EC3" s="1485"/>
      <c r="ED3" s="1487" t="s">
        <v>4577</v>
      </c>
      <c r="EE3" s="1488">
        <v>1</v>
      </c>
      <c r="EF3" s="1485"/>
      <c r="EG3" s="1485"/>
      <c r="EH3" s="1484"/>
      <c r="EI3" s="1485"/>
      <c r="EJ3" s="1489">
        <v>2</v>
      </c>
      <c r="EK3" s="1485"/>
      <c r="EL3" s="1485"/>
      <c r="EM3" s="1484"/>
      <c r="EN3" s="1485"/>
      <c r="EO3" s="1489">
        <v>3</v>
      </c>
      <c r="EP3" s="1485"/>
      <c r="EQ3" s="1485"/>
      <c r="ER3" s="1484"/>
      <c r="ES3" s="1485"/>
      <c r="ET3" s="1489">
        <v>4</v>
      </c>
      <c r="EU3" s="1485"/>
      <c r="EV3" s="1485"/>
      <c r="EW3" s="1484"/>
      <c r="EX3" s="1485"/>
      <c r="EY3" s="1489">
        <v>5</v>
      </c>
      <c r="EZ3" s="1485"/>
      <c r="FA3" s="1485"/>
      <c r="FB3" s="1484"/>
      <c r="FC3" s="1485"/>
      <c r="FD3" s="1490" t="s">
        <v>4578</v>
      </c>
      <c r="FE3" s="1471"/>
      <c r="FF3" s="1491" t="s">
        <v>4579</v>
      </c>
      <c r="FG3" s="1492"/>
      <c r="FH3" s="1491" t="s">
        <v>4580</v>
      </c>
      <c r="FI3" s="1492"/>
      <c r="FJ3" s="1493" t="s">
        <v>4577</v>
      </c>
      <c r="FK3" s="1471"/>
      <c r="FL3" s="1494" t="s">
        <v>4581</v>
      </c>
      <c r="FM3" s="1495"/>
      <c r="FN3" s="1495"/>
      <c r="FO3" s="1496" t="s">
        <v>4582</v>
      </c>
      <c r="FP3" s="1495"/>
      <c r="FQ3" s="1495"/>
      <c r="FR3" s="1496" t="s">
        <v>4583</v>
      </c>
      <c r="FS3" s="1495"/>
      <c r="FT3" s="1495"/>
      <c r="FU3" s="1496" t="s">
        <v>4584</v>
      </c>
      <c r="FV3" s="1495"/>
      <c r="FW3" s="1495"/>
      <c r="FX3" s="1496" t="s">
        <v>4585</v>
      </c>
      <c r="FY3" s="1495"/>
      <c r="FZ3" s="1495"/>
      <c r="GA3" s="1496" t="s">
        <v>4586</v>
      </c>
      <c r="GB3" s="1495"/>
      <c r="GC3" s="1495"/>
      <c r="GD3" s="1496" t="s">
        <v>4587</v>
      </c>
      <c r="GE3" s="1495"/>
      <c r="GF3" s="1495"/>
      <c r="GG3" s="1496" t="s">
        <v>4588</v>
      </c>
      <c r="GH3" s="1495"/>
      <c r="GI3" s="1495"/>
      <c r="GJ3" s="1496" t="s">
        <v>4589</v>
      </c>
      <c r="GK3" s="1495"/>
      <c r="GL3" s="1495"/>
      <c r="GM3" s="1496" t="s">
        <v>4590</v>
      </c>
      <c r="GN3" s="1495"/>
      <c r="GO3" s="1495"/>
      <c r="GP3" s="1496" t="s">
        <v>4591</v>
      </c>
      <c r="GQ3" s="1495"/>
      <c r="GR3" s="1495"/>
      <c r="GS3" s="1496" t="s">
        <v>4592</v>
      </c>
      <c r="GT3" s="1495"/>
      <c r="GU3" s="1495"/>
      <c r="GV3" s="1496" t="s">
        <v>4593</v>
      </c>
      <c r="GW3" s="1495"/>
      <c r="GX3" s="1495"/>
      <c r="GY3" s="1494" t="s">
        <v>4594</v>
      </c>
      <c r="GZ3" s="1495"/>
      <c r="HA3" s="1495"/>
      <c r="HB3" s="1496" t="s">
        <v>4595</v>
      </c>
      <c r="HC3" s="1495"/>
      <c r="HD3" s="1495"/>
      <c r="HE3" s="1496" t="s">
        <v>4596</v>
      </c>
      <c r="HF3" s="1495"/>
      <c r="HG3" s="1495"/>
      <c r="HH3" s="1496" t="s">
        <v>4597</v>
      </c>
      <c r="HI3" s="1495"/>
      <c r="HJ3" s="1495"/>
      <c r="HK3" s="1496" t="s">
        <v>4598</v>
      </c>
      <c r="HL3" s="1495"/>
      <c r="HM3" s="1495"/>
      <c r="HN3" s="1497" t="s">
        <v>4599</v>
      </c>
      <c r="HO3" s="1469"/>
      <c r="HP3" s="1469"/>
      <c r="HQ3" s="1498" t="s">
        <v>4600</v>
      </c>
      <c r="HR3" s="1469"/>
      <c r="HS3" s="1469"/>
      <c r="HT3" s="1469"/>
      <c r="HU3" s="1469"/>
      <c r="HV3" s="1842" t="s">
        <v>431</v>
      </c>
      <c r="HW3" s="1835" t="s">
        <v>4601</v>
      </c>
      <c r="HX3" s="1835" t="s">
        <v>432</v>
      </c>
      <c r="HY3" s="1835" t="s">
        <v>433</v>
      </c>
      <c r="HZ3" s="1835" t="s">
        <v>434</v>
      </c>
      <c r="IA3" s="1835" t="s">
        <v>435</v>
      </c>
      <c r="IB3" s="1835" t="s">
        <v>436</v>
      </c>
      <c r="IC3" s="1835" t="s">
        <v>4602</v>
      </c>
      <c r="ID3" s="1838" t="s">
        <v>4603</v>
      </c>
      <c r="IE3" s="1834"/>
      <c r="IH3" s="1449"/>
      <c r="II3" s="1450"/>
      <c r="IJ3" s="1451"/>
      <c r="IK3" s="1451"/>
      <c r="IL3" s="1451"/>
      <c r="IM3" s="1451"/>
      <c r="IN3" s="1451"/>
      <c r="IO3" s="1451"/>
    </row>
    <row r="4" spans="1:249" s="1437" customFormat="1" ht="67.150000000000006" customHeight="1" thickBot="1">
      <c r="A4" s="1500"/>
      <c r="B4" s="1501" t="s">
        <v>594</v>
      </c>
      <c r="C4" s="1502" t="s">
        <v>595</v>
      </c>
      <c r="D4" s="1503" t="s">
        <v>596</v>
      </c>
      <c r="E4" s="1502" t="s">
        <v>2587</v>
      </c>
      <c r="F4" s="1504" t="s">
        <v>4643</v>
      </c>
      <c r="G4" s="1505" t="s">
        <v>5831</v>
      </c>
      <c r="H4" s="1502" t="s">
        <v>599</v>
      </c>
      <c r="I4" s="1506" t="s">
        <v>132</v>
      </c>
      <c r="J4" s="1507" t="s">
        <v>600</v>
      </c>
      <c r="K4" s="1508" t="s">
        <v>4691</v>
      </c>
      <c r="L4" s="1571" t="s">
        <v>602</v>
      </c>
      <c r="M4" s="1572" t="s">
        <v>603</v>
      </c>
      <c r="N4" s="1510" t="s">
        <v>604</v>
      </c>
      <c r="O4" s="1509" t="s">
        <v>605</v>
      </c>
      <c r="P4" s="1510" t="s">
        <v>606</v>
      </c>
      <c r="Q4" s="1604" t="s">
        <v>607</v>
      </c>
      <c r="R4" s="1605" t="s">
        <v>608</v>
      </c>
      <c r="S4" s="1605" t="s">
        <v>609</v>
      </c>
      <c r="T4" s="1606" t="s">
        <v>4689</v>
      </c>
      <c r="U4" s="1607" t="s">
        <v>4690</v>
      </c>
      <c r="V4" s="1511" t="s">
        <v>2589</v>
      </c>
      <c r="W4" s="1512" t="s">
        <v>610</v>
      </c>
      <c r="X4" s="1513" t="s">
        <v>4605</v>
      </c>
      <c r="Y4" s="1514" t="s">
        <v>612</v>
      </c>
      <c r="Z4" s="1505" t="s">
        <v>613</v>
      </c>
      <c r="AA4" s="1502" t="s">
        <v>614</v>
      </c>
      <c r="AB4" s="1841"/>
      <c r="AC4" s="1505" t="s">
        <v>4606</v>
      </c>
      <c r="AD4" s="1502" t="s">
        <v>4607</v>
      </c>
      <c r="AE4" s="1515" t="s">
        <v>4606</v>
      </c>
      <c r="AF4" s="1516" t="s">
        <v>4608</v>
      </c>
      <c r="AG4" s="1503" t="s">
        <v>4609</v>
      </c>
      <c r="AH4" s="1517" t="s">
        <v>4610</v>
      </c>
      <c r="AI4" s="1515" t="s">
        <v>4606</v>
      </c>
      <c r="AJ4" s="1518" t="s">
        <v>4611</v>
      </c>
      <c r="AK4" s="1509" t="s">
        <v>4612</v>
      </c>
      <c r="AL4" s="1519" t="s">
        <v>4613</v>
      </c>
      <c r="AM4" s="1519" t="s">
        <v>4614</v>
      </c>
      <c r="AN4" s="1502" t="s">
        <v>4615</v>
      </c>
      <c r="AO4" s="1520" t="s">
        <v>4307</v>
      </c>
      <c r="AP4" s="1515" t="s">
        <v>4612</v>
      </c>
      <c r="AQ4" s="1502" t="s">
        <v>4616</v>
      </c>
      <c r="AR4" s="1520" t="s">
        <v>4617</v>
      </c>
      <c r="AS4" s="1502" t="s">
        <v>4618</v>
      </c>
      <c r="AT4" s="1520" t="s">
        <v>4619</v>
      </c>
      <c r="AU4" s="1521" t="s">
        <v>4615</v>
      </c>
      <c r="AV4" s="1522" t="s">
        <v>4307</v>
      </c>
      <c r="AW4" s="1523" t="s">
        <v>4620</v>
      </c>
      <c r="AX4" s="1515" t="s">
        <v>4612</v>
      </c>
      <c r="AY4" s="1502" t="s">
        <v>4613</v>
      </c>
      <c r="AZ4" s="1520" t="s">
        <v>4617</v>
      </c>
      <c r="BA4" s="1502" t="s">
        <v>4614</v>
      </c>
      <c r="BB4" s="1520" t="s">
        <v>4619</v>
      </c>
      <c r="BC4" s="1521" t="s">
        <v>4615</v>
      </c>
      <c r="BD4" s="1522" t="s">
        <v>4307</v>
      </c>
      <c r="BE4" s="1523" t="s">
        <v>4620</v>
      </c>
      <c r="BF4" s="1515" t="s">
        <v>4612</v>
      </c>
      <c r="BG4" s="1502" t="s">
        <v>4613</v>
      </c>
      <c r="BH4" s="1520" t="s">
        <v>4617</v>
      </c>
      <c r="BI4" s="1502" t="s">
        <v>4614</v>
      </c>
      <c r="BJ4" s="1520" t="s">
        <v>4619</v>
      </c>
      <c r="BK4" s="1521" t="s">
        <v>4615</v>
      </c>
      <c r="BL4" s="1522" t="s">
        <v>4307</v>
      </c>
      <c r="BM4" s="1523" t="s">
        <v>4620</v>
      </c>
      <c r="BN4" s="1515" t="s">
        <v>4612</v>
      </c>
      <c r="BO4" s="1502" t="s">
        <v>4613</v>
      </c>
      <c r="BP4" s="1520" t="s">
        <v>4617</v>
      </c>
      <c r="BQ4" s="1502" t="s">
        <v>4614</v>
      </c>
      <c r="BR4" s="1520" t="s">
        <v>4619</v>
      </c>
      <c r="BS4" s="1521" t="s">
        <v>4615</v>
      </c>
      <c r="BT4" s="1522" t="s">
        <v>4307</v>
      </c>
      <c r="BU4" s="1524" t="s">
        <v>4620</v>
      </c>
      <c r="BV4" s="1585" t="s">
        <v>661</v>
      </c>
      <c r="BW4" s="1586" t="s">
        <v>662</v>
      </c>
      <c r="BX4" s="1586" t="s">
        <v>663</v>
      </c>
      <c r="BY4" s="1586" t="s">
        <v>664</v>
      </c>
      <c r="BZ4" s="1509" t="s">
        <v>4612</v>
      </c>
      <c r="CA4" s="1519" t="s">
        <v>4613</v>
      </c>
      <c r="CB4" s="1519" t="s">
        <v>4614</v>
      </c>
      <c r="CC4" s="1502" t="s">
        <v>4615</v>
      </c>
      <c r="CD4" s="1520" t="s">
        <v>4307</v>
      </c>
      <c r="CE4" s="1515" t="s">
        <v>4612</v>
      </c>
      <c r="CF4" s="1502" t="s">
        <v>4613</v>
      </c>
      <c r="CG4" s="1520" t="s">
        <v>4617</v>
      </c>
      <c r="CH4" s="1502" t="s">
        <v>4614</v>
      </c>
      <c r="CI4" s="1520" t="s">
        <v>4619</v>
      </c>
      <c r="CJ4" s="1521" t="s">
        <v>4615</v>
      </c>
      <c r="CK4" s="1522" t="s">
        <v>4307</v>
      </c>
      <c r="CL4" s="1523" t="s">
        <v>4620</v>
      </c>
      <c r="CM4" s="1515" t="s">
        <v>4612</v>
      </c>
      <c r="CN4" s="1502" t="s">
        <v>4613</v>
      </c>
      <c r="CO4" s="1520" t="s">
        <v>4617</v>
      </c>
      <c r="CP4" s="1502" t="s">
        <v>4614</v>
      </c>
      <c r="CQ4" s="1520" t="s">
        <v>4619</v>
      </c>
      <c r="CR4" s="1521" t="s">
        <v>4615</v>
      </c>
      <c r="CS4" s="1522" t="s">
        <v>4307</v>
      </c>
      <c r="CT4" s="1523" t="s">
        <v>4620</v>
      </c>
      <c r="CU4" s="1515" t="s">
        <v>4612</v>
      </c>
      <c r="CV4" s="1502" t="s">
        <v>4613</v>
      </c>
      <c r="CW4" s="1520" t="s">
        <v>4617</v>
      </c>
      <c r="CX4" s="1502" t="s">
        <v>4614</v>
      </c>
      <c r="CY4" s="1520" t="s">
        <v>4619</v>
      </c>
      <c r="CZ4" s="1521" t="s">
        <v>4615</v>
      </c>
      <c r="DA4" s="1522" t="s">
        <v>4307</v>
      </c>
      <c r="DB4" s="1523" t="s">
        <v>4620</v>
      </c>
      <c r="DC4" s="1515" t="s">
        <v>4612</v>
      </c>
      <c r="DD4" s="1502" t="s">
        <v>4613</v>
      </c>
      <c r="DE4" s="1520" t="s">
        <v>4617</v>
      </c>
      <c r="DF4" s="1502" t="s">
        <v>4614</v>
      </c>
      <c r="DG4" s="1520" t="s">
        <v>4619</v>
      </c>
      <c r="DH4" s="1521" t="s">
        <v>4615</v>
      </c>
      <c r="DI4" s="1522" t="s">
        <v>4307</v>
      </c>
      <c r="DJ4" s="1523" t="s">
        <v>4620</v>
      </c>
      <c r="DK4" s="1585" t="s">
        <v>661</v>
      </c>
      <c r="DL4" s="1586" t="s">
        <v>662</v>
      </c>
      <c r="DM4" s="1586" t="s">
        <v>663</v>
      </c>
      <c r="DN4" s="1586" t="s">
        <v>664</v>
      </c>
      <c r="DO4" s="1506" t="s">
        <v>4621</v>
      </c>
      <c r="DP4" s="1525" t="s">
        <v>4622</v>
      </c>
      <c r="DQ4" s="1502" t="s">
        <v>4623</v>
      </c>
      <c r="DR4" s="1506" t="s">
        <v>4621</v>
      </c>
      <c r="DS4" s="1525" t="s">
        <v>4622</v>
      </c>
      <c r="DT4" s="1502" t="s">
        <v>4623</v>
      </c>
      <c r="DU4" s="1506" t="s">
        <v>4621</v>
      </c>
      <c r="DV4" s="1525" t="s">
        <v>4622</v>
      </c>
      <c r="DW4" s="1502" t="s">
        <v>4623</v>
      </c>
      <c r="DX4" s="1506" t="s">
        <v>4621</v>
      </c>
      <c r="DY4" s="1525" t="s">
        <v>4622</v>
      </c>
      <c r="DZ4" s="1502" t="s">
        <v>4623</v>
      </c>
      <c r="EA4" s="1506" t="s">
        <v>4621</v>
      </c>
      <c r="EB4" s="1525" t="s">
        <v>4622</v>
      </c>
      <c r="EC4" s="1502" t="s">
        <v>4623</v>
      </c>
      <c r="ED4" s="1526" t="s">
        <v>4622</v>
      </c>
      <c r="EE4" s="1505" t="s">
        <v>4624</v>
      </c>
      <c r="EF4" s="1503" t="s">
        <v>4625</v>
      </c>
      <c r="EG4" s="1503" t="s">
        <v>4626</v>
      </c>
      <c r="EH4" s="1503" t="s">
        <v>4627</v>
      </c>
      <c r="EI4" s="1502" t="s">
        <v>4628</v>
      </c>
      <c r="EJ4" s="1515" t="s">
        <v>4624</v>
      </c>
      <c r="EK4" s="1503" t="s">
        <v>4625</v>
      </c>
      <c r="EL4" s="1503" t="s">
        <v>4626</v>
      </c>
      <c r="EM4" s="1503" t="s">
        <v>4627</v>
      </c>
      <c r="EN4" s="1502" t="s">
        <v>4628</v>
      </c>
      <c r="EO4" s="1515" t="s">
        <v>4624</v>
      </c>
      <c r="EP4" s="1503" t="s">
        <v>4625</v>
      </c>
      <c r="EQ4" s="1503" t="s">
        <v>4626</v>
      </c>
      <c r="ER4" s="1503" t="s">
        <v>4627</v>
      </c>
      <c r="ES4" s="1502" t="s">
        <v>4628</v>
      </c>
      <c r="ET4" s="1515" t="s">
        <v>4624</v>
      </c>
      <c r="EU4" s="1503" t="s">
        <v>4625</v>
      </c>
      <c r="EV4" s="1503" t="s">
        <v>4626</v>
      </c>
      <c r="EW4" s="1503" t="s">
        <v>4627</v>
      </c>
      <c r="EX4" s="1502" t="s">
        <v>4628</v>
      </c>
      <c r="EY4" s="1515" t="s">
        <v>4624</v>
      </c>
      <c r="EZ4" s="1503" t="s">
        <v>4625</v>
      </c>
      <c r="FA4" s="1503" t="s">
        <v>4626</v>
      </c>
      <c r="FB4" s="1503" t="s">
        <v>4627</v>
      </c>
      <c r="FC4" s="1502" t="s">
        <v>4628</v>
      </c>
      <c r="FD4" s="1505" t="s">
        <v>4629</v>
      </c>
      <c r="FE4" s="1502" t="s">
        <v>4630</v>
      </c>
      <c r="FF4" s="1506" t="s">
        <v>4629</v>
      </c>
      <c r="FG4" s="1502" t="s">
        <v>4630</v>
      </c>
      <c r="FH4" s="1506" t="s">
        <v>4629</v>
      </c>
      <c r="FI4" s="1502" t="s">
        <v>4630</v>
      </c>
      <c r="FJ4" s="1506" t="s">
        <v>4629</v>
      </c>
      <c r="FK4" s="1502" t="s">
        <v>4630</v>
      </c>
      <c r="FL4" s="1527" t="s">
        <v>4631</v>
      </c>
      <c r="FM4" s="1528" t="s">
        <v>4632</v>
      </c>
      <c r="FN4" s="1529" t="s">
        <v>4633</v>
      </c>
      <c r="FO4" s="1530" t="s">
        <v>4631</v>
      </c>
      <c r="FP4" s="1531" t="s">
        <v>4632</v>
      </c>
      <c r="FQ4" s="1529" t="s">
        <v>4633</v>
      </c>
      <c r="FR4" s="1530" t="s">
        <v>4631</v>
      </c>
      <c r="FS4" s="1531" t="s">
        <v>4632</v>
      </c>
      <c r="FT4" s="1529" t="s">
        <v>4633</v>
      </c>
      <c r="FU4" s="1530" t="s">
        <v>4631</v>
      </c>
      <c r="FV4" s="1531" t="s">
        <v>4632</v>
      </c>
      <c r="FW4" s="1529" t="s">
        <v>4633</v>
      </c>
      <c r="FX4" s="1530" t="s">
        <v>4631</v>
      </c>
      <c r="FY4" s="1531" t="s">
        <v>4632</v>
      </c>
      <c r="FZ4" s="1529" t="s">
        <v>4633</v>
      </c>
      <c r="GA4" s="1530" t="s">
        <v>4631</v>
      </c>
      <c r="GB4" s="1531" t="s">
        <v>4632</v>
      </c>
      <c r="GC4" s="1529" t="s">
        <v>4633</v>
      </c>
      <c r="GD4" s="1530" t="s">
        <v>4631</v>
      </c>
      <c r="GE4" s="1531" t="s">
        <v>4632</v>
      </c>
      <c r="GF4" s="1529" t="s">
        <v>4633</v>
      </c>
      <c r="GG4" s="1530" t="s">
        <v>4631</v>
      </c>
      <c r="GH4" s="1531" t="s">
        <v>4632</v>
      </c>
      <c r="GI4" s="1529" t="s">
        <v>4633</v>
      </c>
      <c r="GJ4" s="1530" t="s">
        <v>4631</v>
      </c>
      <c r="GK4" s="1531" t="s">
        <v>4632</v>
      </c>
      <c r="GL4" s="1529" t="s">
        <v>4633</v>
      </c>
      <c r="GM4" s="1530" t="s">
        <v>4631</v>
      </c>
      <c r="GN4" s="1531" t="s">
        <v>4632</v>
      </c>
      <c r="GO4" s="1529" t="s">
        <v>4633</v>
      </c>
      <c r="GP4" s="1530" t="s">
        <v>4631</v>
      </c>
      <c r="GQ4" s="1531" t="s">
        <v>4632</v>
      </c>
      <c r="GR4" s="1529" t="s">
        <v>4633</v>
      </c>
      <c r="GS4" s="1530" t="s">
        <v>4631</v>
      </c>
      <c r="GT4" s="1531" t="s">
        <v>4632</v>
      </c>
      <c r="GU4" s="1529" t="s">
        <v>4633</v>
      </c>
      <c r="GV4" s="1530" t="s">
        <v>4631</v>
      </c>
      <c r="GW4" s="1531" t="s">
        <v>4632</v>
      </c>
      <c r="GX4" s="1529" t="s">
        <v>4633</v>
      </c>
      <c r="GY4" s="1527" t="s">
        <v>4631</v>
      </c>
      <c r="GZ4" s="1528" t="s">
        <v>4632</v>
      </c>
      <c r="HA4" s="1529" t="s">
        <v>4633</v>
      </c>
      <c r="HB4" s="1530" t="s">
        <v>4631</v>
      </c>
      <c r="HC4" s="1531" t="s">
        <v>4632</v>
      </c>
      <c r="HD4" s="1529" t="s">
        <v>4633</v>
      </c>
      <c r="HE4" s="1530" t="s">
        <v>4631</v>
      </c>
      <c r="HF4" s="1531" t="s">
        <v>4632</v>
      </c>
      <c r="HG4" s="1529" t="s">
        <v>4633</v>
      </c>
      <c r="HH4" s="1530" t="s">
        <v>4631</v>
      </c>
      <c r="HI4" s="1531" t="s">
        <v>4632</v>
      </c>
      <c r="HJ4" s="1529" t="s">
        <v>4633</v>
      </c>
      <c r="HK4" s="1530" t="s">
        <v>4631</v>
      </c>
      <c r="HL4" s="1531" t="s">
        <v>4632</v>
      </c>
      <c r="HM4" s="1529" t="s">
        <v>4633</v>
      </c>
      <c r="HN4" s="1532" t="s">
        <v>4634</v>
      </c>
      <c r="HO4" s="1503" t="s">
        <v>4635</v>
      </c>
      <c r="HP4" s="1517" t="s">
        <v>4636</v>
      </c>
      <c r="HQ4" s="1506" t="s">
        <v>4637</v>
      </c>
      <c r="HR4" s="1503" t="s">
        <v>4638</v>
      </c>
      <c r="HS4" s="1503" t="s">
        <v>4639</v>
      </c>
      <c r="HT4" s="1503" t="s">
        <v>4640</v>
      </c>
      <c r="HU4" s="1502" t="s">
        <v>4641</v>
      </c>
      <c r="HV4" s="1843"/>
      <c r="HW4" s="1836"/>
      <c r="HX4" s="1836"/>
      <c r="HY4" s="1836"/>
      <c r="HZ4" s="1836"/>
      <c r="IA4" s="1836"/>
      <c r="IB4" s="1836"/>
      <c r="IC4" s="1836"/>
      <c r="ID4" s="1839"/>
      <c r="IE4" s="1834"/>
      <c r="IH4" s="1449"/>
      <c r="II4" s="1450"/>
      <c r="IJ4" s="1451"/>
      <c r="IK4" s="1451"/>
      <c r="IL4" s="1451"/>
      <c r="IM4" s="1451"/>
      <c r="IN4" s="1451"/>
      <c r="IO4" s="1451"/>
    </row>
    <row r="5" spans="1:249" ht="30" customHeight="1" thickBot="1">
      <c r="B5" s="1587" t="str">
        <f>はじめに!B6&amp;""</f>
        <v/>
      </c>
      <c r="C5" s="1587" t="str">
        <f>報1!D14</f>
        <v/>
      </c>
      <c r="D5" s="1587">
        <f>報1!D28</f>
        <v>2024</v>
      </c>
      <c r="E5" s="1587" t="str">
        <f>Q5&amp;R5&amp;S5&amp;T5&amp;U5</f>
        <v/>
      </c>
      <c r="F5" s="1587" t="str">
        <f>報1!M2</f>
        <v>新規</v>
      </c>
      <c r="G5" s="1587" t="str">
        <f>報1!D14</f>
        <v/>
      </c>
      <c r="H5" s="1608" t="str">
        <f>報1!$S$5</f>
        <v/>
      </c>
      <c r="I5" s="1587" t="str">
        <f>報1!I7</f>
        <v/>
      </c>
      <c r="J5" s="1587" t="str">
        <f>報1!I8</f>
        <v/>
      </c>
      <c r="K5" s="1587" t="str">
        <f>報1!I9</f>
        <v/>
      </c>
      <c r="L5" s="1587" t="str">
        <f>報1!D14</f>
        <v/>
      </c>
      <c r="M5" s="1587" t="str">
        <f>報1!D15</f>
        <v/>
      </c>
      <c r="N5" s="1587" t="str">
        <f>報1!D16</f>
        <v/>
      </c>
      <c r="O5" s="1587" t="str">
        <f>報1!F17</f>
        <v/>
      </c>
      <c r="P5" s="1587" t="str">
        <f>報1!F18</f>
        <v/>
      </c>
      <c r="Q5" s="1609" t="str">
        <f>IF(報1!P7=TRUE,"1号","")</f>
        <v/>
      </c>
      <c r="R5" s="1609" t="str">
        <f>IF(報1!P8=TRUE,"2号","")</f>
        <v/>
      </c>
      <c r="S5" s="1609" t="str">
        <f>IF(報1!P9=TRUE,"3号","")</f>
        <v/>
      </c>
      <c r="T5" s="1609" t="str">
        <f>IF(報1!P10=TRUE,"任12","")</f>
        <v/>
      </c>
      <c r="U5" s="1609" t="str">
        <f>IF(報1!P11=TRUE,"任3","")</f>
        <v/>
      </c>
      <c r="V5" s="1610">
        <f ca="1">報1!G23</f>
        <v>0</v>
      </c>
      <c r="W5" s="1587">
        <f>報1!L23</f>
        <v>0</v>
      </c>
      <c r="X5" s="1587">
        <f>報1!L24</f>
        <v>0</v>
      </c>
      <c r="Y5" s="1587">
        <f>報1!G25</f>
        <v>0</v>
      </c>
      <c r="Z5" s="1587">
        <f>報1!D28</f>
        <v>2024</v>
      </c>
      <c r="AA5" s="1587">
        <f>報1!G28</f>
        <v>2026</v>
      </c>
      <c r="AB5" s="1587">
        <f>報1!L28</f>
        <v>2023</v>
      </c>
      <c r="AC5" s="1609" t="str">
        <f>IF(報1!P31=TRUE,"有","")</f>
        <v/>
      </c>
      <c r="AD5" s="1587" t="str">
        <f>報1!F31</f>
        <v/>
      </c>
      <c r="AE5" s="1609" t="str">
        <f>IF(報1!P32=TRUE,"有","")</f>
        <v/>
      </c>
      <c r="AF5" s="1587" t="str">
        <f>報1!F32</f>
        <v/>
      </c>
      <c r="AG5" s="1587" t="str">
        <f>報1!F33</f>
        <v/>
      </c>
      <c r="AH5" s="1587" t="str">
        <f>報1!F34</f>
        <v/>
      </c>
      <c r="AI5" s="1609" t="str">
        <f>IF(報1!P33=TRUE,"有","")</f>
        <v/>
      </c>
      <c r="AJ5" s="1587" t="str">
        <f>報1!D35</f>
        <v/>
      </c>
      <c r="AK5" s="1587" t="str">
        <f>IF(Q5&amp;R5&amp;T5="","",報2!A7)</f>
        <v/>
      </c>
      <c r="AL5" s="1587" t="str">
        <f>IF(Q5&amp;R5&amp;T5="","",報2!E6)</f>
        <v/>
      </c>
      <c r="AM5" s="1587" t="str">
        <f>IF(Q5&amp;R5&amp;T5="","",報2!E7)</f>
        <v/>
      </c>
      <c r="AN5" s="1587" t="str">
        <f>IF(Q5&amp;R5&amp;T5="","",報2!I6)</f>
        <v/>
      </c>
      <c r="AO5" s="1587" t="str">
        <f>IF(Q5&amp;R5&amp;T5="","",報2!K6)</f>
        <v/>
      </c>
      <c r="AP5" s="1587" t="str">
        <f>IF(Q5&amp;R5&amp;T5="","",報2!A9)</f>
        <v/>
      </c>
      <c r="AQ5" s="1587" t="str">
        <f>IF(Q5&amp;R5&amp;T5="","",報2!E8)</f>
        <v/>
      </c>
      <c r="AR5" s="1587" t="str">
        <f>IF(Q5&amp;R5&amp;T5="","",報2!G8)</f>
        <v/>
      </c>
      <c r="AS5" s="1587" t="str">
        <f>IF(Q5&amp;R5&amp;T5="","",報2!E9)</f>
        <v/>
      </c>
      <c r="AT5" s="1587" t="str">
        <f>IF(Q5&amp;R5&amp;T5="","",報2!G9)</f>
        <v/>
      </c>
      <c r="AU5" s="1587" t="str">
        <f>IF(Q5&amp;R5&amp;T5="","",報2!I8)</f>
        <v/>
      </c>
      <c r="AV5" s="1587" t="str">
        <f>IF(Q5&amp;R5&amp;T5="","",報2!K8)</f>
        <v/>
      </c>
      <c r="AW5" s="1587" t="str">
        <f>IF(Q5&amp;R5&amp;T5="","",報2!J9)</f>
        <v/>
      </c>
      <c r="AX5" s="1587" t="str">
        <f>IF(Q5&amp;R5&amp;T5="","",報2!A11)</f>
        <v/>
      </c>
      <c r="AY5" s="1587" t="str">
        <f>IF(Q5&amp;R5&amp;T5="","",報2!E10)</f>
        <v/>
      </c>
      <c r="AZ5" s="1587" t="str">
        <f>IF(Q5&amp;R5&amp;T5="","",報2!G10)</f>
        <v/>
      </c>
      <c r="BA5" s="1587" t="str">
        <f>IF(Q5&amp;R5&amp;T5="","",報2!E11)</f>
        <v/>
      </c>
      <c r="BB5" s="1587" t="str">
        <f>IF(Q5&amp;R5&amp;T5="","",報2!G11)</f>
        <v/>
      </c>
      <c r="BC5" s="1587" t="str">
        <f>IF(Q5&amp;R5&amp;T5="","",報2!I10)</f>
        <v/>
      </c>
      <c r="BD5" s="1587" t="str">
        <f>IF(Q5&amp;R5&amp;T5="","",報2!K10)</f>
        <v/>
      </c>
      <c r="BE5" s="1587" t="str">
        <f>IF(Q5&amp;R5&amp;T5="","",報2!J11)</f>
        <v/>
      </c>
      <c r="BF5" s="1587" t="str">
        <f>IF(Q5&amp;R5&amp;T5="","",報2!A13)</f>
        <v/>
      </c>
      <c r="BG5" s="1587" t="str">
        <f>IF(Q5&amp;R5&amp;T5="","",報2!E12)</f>
        <v/>
      </c>
      <c r="BH5" s="1587" t="str">
        <f>IF(Q5&amp;R5&amp;T5="","",報2!G12)</f>
        <v/>
      </c>
      <c r="BI5" s="1587" t="str">
        <f>IF(Q5&amp;R5&amp;T5="","",報2!E13)</f>
        <v/>
      </c>
      <c r="BJ5" s="1587" t="str">
        <f>IF(Q5&amp;R5&amp;T5="","",報2!G13)</f>
        <v/>
      </c>
      <c r="BK5" s="1587" t="str">
        <f>IF(Q5&amp;R5&amp;T5="","",報2!I12)</f>
        <v/>
      </c>
      <c r="BL5" s="1587" t="str">
        <f>IF(Q5&amp;R5&amp;T5="","",報2!K12)</f>
        <v/>
      </c>
      <c r="BM5" s="1587" t="str">
        <f>IF(Q5&amp;R5&amp;T5="","",報2!J13)</f>
        <v/>
      </c>
      <c r="BN5" s="1587" t="str">
        <f>IF(Q5&amp;R5&amp;T5="","",報2!A15)</f>
        <v/>
      </c>
      <c r="BO5" s="1587" t="str">
        <f>IF(Q5&amp;R5&amp;T5="","",報2!E14)</f>
        <v/>
      </c>
      <c r="BP5" s="1587" t="str">
        <f>IF(Q5&amp;R5&amp;T5="","",報2!G14)</f>
        <v/>
      </c>
      <c r="BQ5" s="1587" t="str">
        <f>IF(Q5&amp;R5&amp;T5="","",報2!E15)</f>
        <v/>
      </c>
      <c r="BR5" s="1587" t="str">
        <f>IF(Q5&amp;R5&amp;T5="","",報2!G15)</f>
        <v/>
      </c>
      <c r="BS5" s="1587" t="str">
        <f>IF(Q5&amp;R5&amp;T5="","",報2!I14)</f>
        <v/>
      </c>
      <c r="BT5" s="1587" t="str">
        <f>IF(Q5&amp;R5&amp;T5="","",報2!K14)</f>
        <v/>
      </c>
      <c r="BU5" s="1587" t="str">
        <f>IF(Q5&amp;R5&amp;T5="","",報2!J15)</f>
        <v/>
      </c>
      <c r="BV5" s="1587" t="str">
        <f>IF(Q5&amp;R5&amp;T5="","",報2!U16)</f>
        <v/>
      </c>
      <c r="BW5" s="1587" t="str">
        <f>IF(Q5&amp;R5&amp;T5="","",報2!U17)</f>
        <v/>
      </c>
      <c r="BX5" s="1587" t="str">
        <f>IF(Q5&amp;R5&amp;T5="","",報2!U18)</f>
        <v/>
      </c>
      <c r="BY5" s="1587" t="str">
        <f>IF(Q5&amp;R5&amp;T5="","",IF(報2!F19="","",報2!F19))</f>
        <v/>
      </c>
      <c r="BZ5" s="1587" t="str">
        <f>IF(S5&amp;U5="","",報2!A24)</f>
        <v/>
      </c>
      <c r="CA5" s="1587" t="str">
        <f>IF(S5&amp;U5="","",報2!E23)</f>
        <v/>
      </c>
      <c r="CB5" s="1587" t="str">
        <f>IF(S5&amp;U5="","",報2!E24)</f>
        <v/>
      </c>
      <c r="CC5" s="1587" t="str">
        <f>IF(S5&amp;U5="","",報2!I23)</f>
        <v/>
      </c>
      <c r="CD5" s="1587" t="str">
        <f>IF(S5&amp;U5="","",報2!K23)</f>
        <v/>
      </c>
      <c r="CE5" s="1587" t="str">
        <f>IF(S5&amp;U5="","",報2!A26)</f>
        <v/>
      </c>
      <c r="CF5" s="1587" t="str">
        <f>IF(S5&amp;U5="","",報2!E25)</f>
        <v/>
      </c>
      <c r="CG5" s="1587" t="str">
        <f>IF(S5&amp;U5="","",報2!G25)</f>
        <v/>
      </c>
      <c r="CH5" s="1587" t="str">
        <f>IF(S5&amp;U5="","",報2!E26)</f>
        <v/>
      </c>
      <c r="CI5" s="1587" t="str">
        <f>IF(S5&amp;U5="","",報2!G26)</f>
        <v/>
      </c>
      <c r="CJ5" s="1587" t="str">
        <f>IF(S5&amp;U5="","",報2!I25)</f>
        <v/>
      </c>
      <c r="CK5" s="1587" t="str">
        <f>IF(S5&amp;U5="","",報2!K25)</f>
        <v/>
      </c>
      <c r="CL5" s="1587" t="str">
        <f>IF(S5&amp;U5="","",報2!J26)</f>
        <v/>
      </c>
      <c r="CM5" s="1587" t="str">
        <f>IF(S5&amp;U5="","",報2!A28)</f>
        <v/>
      </c>
      <c r="CN5" s="1587" t="str">
        <f>IF(S5&amp;U5="","",報2!E27)</f>
        <v/>
      </c>
      <c r="CO5" s="1587" t="str">
        <f>IF(S5&amp;U5="","",報2!G27)</f>
        <v/>
      </c>
      <c r="CP5" s="1587" t="str">
        <f>IF(S5&amp;U5="","",報2!E28)</f>
        <v/>
      </c>
      <c r="CQ5" s="1587" t="str">
        <f>IF(S5&amp;U5="","",報2!G28)</f>
        <v/>
      </c>
      <c r="CR5" s="1587" t="str">
        <f>IF(S5&amp;U5="","",報2!I27)</f>
        <v/>
      </c>
      <c r="CS5" s="1587" t="str">
        <f>IF(S5&amp;U5="","",報2!K27)</f>
        <v/>
      </c>
      <c r="CT5" s="1587" t="str">
        <f>IF(S5&amp;U5="","",報2!J28)</f>
        <v/>
      </c>
      <c r="CU5" s="1587" t="str">
        <f>IF(S5&amp;U5="","",報2!A30)</f>
        <v/>
      </c>
      <c r="CV5" s="1587" t="str">
        <f>IF(S5&amp;U5="","",報2!E29)</f>
        <v/>
      </c>
      <c r="CW5" s="1587" t="str">
        <f>IF(S5&amp;U5="","",報2!G29)</f>
        <v/>
      </c>
      <c r="CX5" s="1587" t="str">
        <f>IF(S5&amp;U5="","",報2!E30)</f>
        <v/>
      </c>
      <c r="CY5" s="1587" t="str">
        <f>IF(S5&amp;U5="","",報2!G30)</f>
        <v/>
      </c>
      <c r="CZ5" s="1587" t="str">
        <f>IF(S5&amp;U5="","",報2!I29)</f>
        <v/>
      </c>
      <c r="DA5" s="1587" t="str">
        <f>IF(S5&amp;U5="","",報2!K29)</f>
        <v/>
      </c>
      <c r="DB5" s="1587" t="str">
        <f>IF(S5&amp;U5="","",報2!J30)</f>
        <v/>
      </c>
      <c r="DC5" s="1587" t="str">
        <f>IF(S5&amp;U5="","",報2!A32)</f>
        <v/>
      </c>
      <c r="DD5" s="1587" t="str">
        <f>IF(S5&amp;U5="","",報2!E31&amp;"")</f>
        <v/>
      </c>
      <c r="DE5" s="1587" t="str">
        <f>IF(S5&amp;U5="","",IFERROR(報2!G31,""))</f>
        <v/>
      </c>
      <c r="DF5" s="1587" t="str">
        <f>IF(S5&amp;U5="","",報2!E32&amp;"")</f>
        <v/>
      </c>
      <c r="DG5" s="1587" t="str">
        <f>IF(S5&amp;U5="","",IFERROR(報2!G32,""))</f>
        <v/>
      </c>
      <c r="DH5" s="1587" t="str">
        <f>IF(S5&amp;U5="","",報2!I31)</f>
        <v/>
      </c>
      <c r="DI5" s="1587" t="str">
        <f>IF(S5&amp;U5="","",報2!K31)</f>
        <v/>
      </c>
      <c r="DJ5" s="1587" t="str">
        <f>IF(S5&amp;U5="","",報2!J32&amp;"")</f>
        <v/>
      </c>
      <c r="DK5" s="1587" t="str">
        <f>IF(S5&amp;U5="","",報2!BJ16&amp;"")</f>
        <v/>
      </c>
      <c r="DL5" s="1587" t="str">
        <f>IF(S5&amp;U5="","",報2!BJ17)</f>
        <v/>
      </c>
      <c r="DM5" s="1587" t="str">
        <f>IF(S5&amp;U5="","",報2!BJ18)</f>
        <v/>
      </c>
      <c r="DN5" s="1587" t="str">
        <f>IF(S5&amp;U5="","",IF(報2!AU19="","",報2!AU19))</f>
        <v/>
      </c>
      <c r="DO5" s="1587" t="str">
        <f>IF(報3!B6="","",報3!B6)</f>
        <v/>
      </c>
      <c r="DP5" s="1587" t="str">
        <f>IF(報3!G6="","",報3!G6)</f>
        <v/>
      </c>
      <c r="DQ5" s="1587" t="str">
        <f>IF(報3!K6="","",報3!K6)</f>
        <v/>
      </c>
      <c r="DR5" s="1587" t="str">
        <f>IF(報3!B7="","",報3!B7)</f>
        <v/>
      </c>
      <c r="DS5" s="1587" t="str">
        <f>IF(報3!G7="","",報3!G7)</f>
        <v/>
      </c>
      <c r="DT5" s="1587" t="str">
        <f>IF(報3!K7="","",報3!K7)</f>
        <v/>
      </c>
      <c r="DU5" s="1587" t="str">
        <f>IF(報3!B8="","",報3!B8)</f>
        <v/>
      </c>
      <c r="DV5" s="1587" t="str">
        <f>IF(報3!G8="","",報3!G8)</f>
        <v/>
      </c>
      <c r="DW5" s="1587" t="str">
        <f>IF(報3!K8="","",報3!K8)</f>
        <v/>
      </c>
      <c r="DX5" s="1587" t="str">
        <f>IF(報3!B9="","",報3!B9)</f>
        <v/>
      </c>
      <c r="DY5" s="1587" t="str">
        <f>IF(報3!G9="","",報3!G9)</f>
        <v/>
      </c>
      <c r="DZ5" s="1587" t="str">
        <f>IF(報3!K9="","",報3!K9)</f>
        <v/>
      </c>
      <c r="EA5" s="1587" t="str">
        <f>IF(報3!B10="","",報3!B10)</f>
        <v/>
      </c>
      <c r="EB5" s="1587" t="str">
        <f>IF(報3!G10="","",報3!G10)</f>
        <v/>
      </c>
      <c r="EC5" s="1587" t="str">
        <f>IF(報3!K10="","",報3!K10)</f>
        <v/>
      </c>
      <c r="ED5" s="1587" t="str">
        <f>IF(報3!V11="","",報3!V11)</f>
        <v/>
      </c>
      <c r="EE5" s="1587" t="str">
        <f>報3!B15&amp;""</f>
        <v/>
      </c>
      <c r="EF5" s="1587" t="str">
        <f>報3!F15&amp;""</f>
        <v/>
      </c>
      <c r="EG5" s="1587" t="str">
        <f>報3!H15&amp;""</f>
        <v/>
      </c>
      <c r="EH5" s="1587" t="str">
        <f>報3!L15&amp;""</f>
        <v/>
      </c>
      <c r="EI5" s="1587" t="str">
        <f>報3!O15&amp;""</f>
        <v/>
      </c>
      <c r="EJ5" s="1587" t="str">
        <f>報3!B16&amp;""</f>
        <v/>
      </c>
      <c r="EK5" s="1587" t="str">
        <f>報3!F16&amp;""</f>
        <v/>
      </c>
      <c r="EL5" s="1587" t="str">
        <f>報3!H16&amp;""</f>
        <v/>
      </c>
      <c r="EM5" s="1587" t="str">
        <f>報3!L16&amp;""</f>
        <v/>
      </c>
      <c r="EN5" s="1587" t="str">
        <f>報3!O16&amp;""</f>
        <v/>
      </c>
      <c r="EO5" s="1587" t="str">
        <f>報3!B17&amp;""</f>
        <v/>
      </c>
      <c r="EP5" s="1587" t="str">
        <f>報3!F17&amp;""</f>
        <v/>
      </c>
      <c r="EQ5" s="1587" t="str">
        <f>報3!H17&amp;""</f>
        <v/>
      </c>
      <c r="ER5" s="1587" t="str">
        <f>報3!L17&amp;""</f>
        <v/>
      </c>
      <c r="ES5" s="1587" t="str">
        <f>報3!O17&amp;""</f>
        <v/>
      </c>
      <c r="ET5" s="1587" t="str">
        <f>報3!B18&amp;""</f>
        <v/>
      </c>
      <c r="EU5" s="1587" t="str">
        <f>報3!F18&amp;""</f>
        <v/>
      </c>
      <c r="EV5" s="1587" t="str">
        <f>報3!H18&amp;""</f>
        <v/>
      </c>
      <c r="EW5" s="1587" t="str">
        <f>報3!L18&amp;""</f>
        <v/>
      </c>
      <c r="EX5" s="1587" t="str">
        <f>報3!O18&amp;""</f>
        <v/>
      </c>
      <c r="EY5" s="1587" t="str">
        <f>報3!B19&amp;""</f>
        <v/>
      </c>
      <c r="EZ5" s="1587" t="str">
        <f>報3!F19&amp;""</f>
        <v/>
      </c>
      <c r="FA5" s="1587" t="str">
        <f>報3!H19&amp;""</f>
        <v/>
      </c>
      <c r="FB5" s="1587" t="str">
        <f>報3!L19&amp;""</f>
        <v/>
      </c>
      <c r="FC5" s="1587" t="str">
        <f>報3!O19&amp;""</f>
        <v/>
      </c>
      <c r="FD5" s="1611" t="str">
        <f>報3!D23&amp;""</f>
        <v>0</v>
      </c>
      <c r="FE5" s="1611" t="str">
        <f>報3!D24&amp;""</f>
        <v>0</v>
      </c>
      <c r="FF5" s="1611" t="str">
        <f>報3!G23&amp;""</f>
        <v>0</v>
      </c>
      <c r="FG5" s="1611" t="str">
        <f>報3!G24&amp;""</f>
        <v>0</v>
      </c>
      <c r="FH5" s="1611" t="str">
        <f>報3!J23&amp;""</f>
        <v>0</v>
      </c>
      <c r="FI5" s="1611" t="str">
        <f>報3!J24&amp;""</f>
        <v>0</v>
      </c>
      <c r="FJ5" s="1587">
        <f>報3!M23</f>
        <v>0</v>
      </c>
      <c r="FK5" s="1587">
        <f>報3!M24</f>
        <v>0</v>
      </c>
      <c r="FL5" s="1587" t="str">
        <f>報4!S9</f>
        <v/>
      </c>
      <c r="FM5" s="1587" t="str">
        <f>報4!T9</f>
        <v/>
      </c>
      <c r="FN5" s="1587" t="str">
        <f>報4!L6&amp;""</f>
        <v/>
      </c>
      <c r="FO5" s="1587" t="str">
        <f>報4!S13</f>
        <v/>
      </c>
      <c r="FP5" s="1587" t="str">
        <f>報4!T13</f>
        <v/>
      </c>
      <c r="FQ5" s="1587" t="str">
        <f>報4!L10&amp;""</f>
        <v/>
      </c>
      <c r="FR5" s="1587" t="str">
        <f>報4!S17</f>
        <v/>
      </c>
      <c r="FS5" s="1587" t="str">
        <f>報4!T17</f>
        <v/>
      </c>
      <c r="FT5" s="1587" t="str">
        <f>報4!L14&amp;""</f>
        <v/>
      </c>
      <c r="FU5" s="1587" t="str">
        <f>報4!S21</f>
        <v/>
      </c>
      <c r="FV5" s="1587" t="str">
        <f>報4!T21</f>
        <v/>
      </c>
      <c r="FW5" s="1587" t="str">
        <f>報4!L18&amp;""</f>
        <v/>
      </c>
      <c r="FX5" s="1587" t="str">
        <f>報4!S25</f>
        <v/>
      </c>
      <c r="FY5" s="1587" t="str">
        <f>報4!T25</f>
        <v/>
      </c>
      <c r="FZ5" s="1587" t="str">
        <f>報4!L22&amp;""</f>
        <v/>
      </c>
      <c r="GA5" s="1587" t="str">
        <f>報4!S29</f>
        <v/>
      </c>
      <c r="GB5" s="1587" t="str">
        <f>報4!T29</f>
        <v/>
      </c>
      <c r="GC5" s="1587" t="str">
        <f>報4!L26&amp;""</f>
        <v/>
      </c>
      <c r="GD5" s="1587" t="str">
        <f>報4!S33</f>
        <v/>
      </c>
      <c r="GE5" s="1587" t="str">
        <f>報4!T33</f>
        <v/>
      </c>
      <c r="GF5" s="1587" t="str">
        <f>報4!L30&amp;""</f>
        <v/>
      </c>
      <c r="GG5" s="1587" t="str">
        <f>報4!S37</f>
        <v/>
      </c>
      <c r="GH5" s="1587" t="str">
        <f>報4!T37</f>
        <v/>
      </c>
      <c r="GI5" s="1587" t="str">
        <f>報4!L34&amp;""</f>
        <v/>
      </c>
      <c r="GJ5" s="1587" t="str">
        <f>報4!S41</f>
        <v/>
      </c>
      <c r="GK5" s="1587" t="str">
        <f>報4!T41</f>
        <v/>
      </c>
      <c r="GL5" s="1587" t="str">
        <f>報4!L38&amp;""</f>
        <v/>
      </c>
      <c r="GM5" s="1587" t="str">
        <f>報4!S45</f>
        <v/>
      </c>
      <c r="GN5" s="1587" t="str">
        <f>報4!T45</f>
        <v/>
      </c>
      <c r="GO5" s="1587" t="str">
        <f>報4!L42&amp;""</f>
        <v/>
      </c>
      <c r="GP5" s="1587" t="str">
        <f>報4!S54</f>
        <v/>
      </c>
      <c r="GQ5" s="1587" t="str">
        <f>報4!T54</f>
        <v/>
      </c>
      <c r="GR5" s="1587" t="str">
        <f>報4!L51&amp;""</f>
        <v/>
      </c>
      <c r="GS5" s="1587" t="str">
        <f>報4!S58</f>
        <v/>
      </c>
      <c r="GT5" s="1587" t="str">
        <f>報4!T58</f>
        <v/>
      </c>
      <c r="GU5" s="1587" t="str">
        <f>報4!L55&amp;""</f>
        <v/>
      </c>
      <c r="GV5" s="1587" t="str">
        <f>報4!S62</f>
        <v/>
      </c>
      <c r="GW5" s="1587" t="str">
        <f>報4!T62</f>
        <v/>
      </c>
      <c r="GX5" s="1587" t="str">
        <f>報4!L59&amp;""</f>
        <v/>
      </c>
      <c r="GY5" s="1587" t="str">
        <f>報4!S71</f>
        <v/>
      </c>
      <c r="GZ5" s="1587" t="str">
        <f>報4!T71</f>
        <v/>
      </c>
      <c r="HA5" s="1587" t="str">
        <f>報4!L68&amp;""</f>
        <v/>
      </c>
      <c r="HB5" s="1587" t="str">
        <f>報4!S75</f>
        <v/>
      </c>
      <c r="HC5" s="1587" t="str">
        <f>報4!T75</f>
        <v/>
      </c>
      <c r="HD5" s="1587" t="str">
        <f>報4!L72&amp;""</f>
        <v/>
      </c>
      <c r="HE5" s="1587" t="str">
        <f>報4!S79</f>
        <v/>
      </c>
      <c r="HF5" s="1587" t="str">
        <f>報4!T79</f>
        <v/>
      </c>
      <c r="HG5" s="1587" t="str">
        <f>報4!L76&amp;""</f>
        <v/>
      </c>
      <c r="HH5" s="1587" t="str">
        <f>報4!S83</f>
        <v/>
      </c>
      <c r="HI5" s="1587" t="str">
        <f>報4!T83</f>
        <v/>
      </c>
      <c r="HJ5" s="1587" t="str">
        <f>報4!L80&amp;""</f>
        <v/>
      </c>
      <c r="HK5" s="1587" t="str">
        <f>報4!S87</f>
        <v/>
      </c>
      <c r="HL5" s="1587" t="str">
        <f>報4!T87</f>
        <v/>
      </c>
      <c r="HM5" s="1587" t="str">
        <f>報4!L84&amp;""</f>
        <v/>
      </c>
      <c r="HN5" s="1611" t="str">
        <f>報5!F8</f>
        <v/>
      </c>
      <c r="HO5" s="1587" t="str">
        <f>報5!H8</f>
        <v/>
      </c>
      <c r="HP5" s="1587" t="str">
        <f>報5!J8</f>
        <v/>
      </c>
      <c r="HQ5" s="1587" t="str">
        <f>報5!C10&amp;""</f>
        <v/>
      </c>
      <c r="HR5" s="1587" t="str">
        <f>報5!D10&amp;""</f>
        <v/>
      </c>
      <c r="HS5" s="1587" t="str">
        <f>報5!E10&amp;""</f>
        <v/>
      </c>
      <c r="HT5" s="1587" t="str">
        <f>報5!F10&amp;""</f>
        <v/>
      </c>
      <c r="HU5" s="1587" t="str">
        <f>報5!K10</f>
        <v/>
      </c>
      <c r="HV5" s="1587" t="str">
        <f>IF(報6!R6=TRUE,"有","")</f>
        <v/>
      </c>
      <c r="HW5" s="1587" t="str">
        <f>IF(報6!R7=TRUE,"有","")</f>
        <v/>
      </c>
      <c r="HX5" s="1587" t="str">
        <f>IF(報6!R8=TRUE,"有","")</f>
        <v/>
      </c>
      <c r="HY5" s="1587" t="str">
        <f>IF(報6!R9=TRUE,"有","")</f>
        <v/>
      </c>
      <c r="HZ5" s="1587" t="str">
        <f>IF(報6!R10=TRUE,"有","")</f>
        <v/>
      </c>
      <c r="IA5" s="1587" t="str">
        <f>IF(報6!R11=TRUE,"有","")</f>
        <v/>
      </c>
      <c r="IB5" s="1587" t="str">
        <f>IF(報6!R12=TRUE,"有","")</f>
        <v/>
      </c>
      <c r="IC5" s="1587" t="str">
        <f>IF(報6!R13=TRUE,"有","")</f>
        <v/>
      </c>
      <c r="ID5" s="1587" t="str">
        <f>報6!A14&amp;""</f>
        <v/>
      </c>
      <c r="IE5" s="1587" t="str">
        <f>報6!A18&amp;""</f>
        <v/>
      </c>
    </row>
  </sheetData>
  <mergeCells count="13">
    <mergeCell ref="IE2:IE4"/>
    <mergeCell ref="IA3:IA4"/>
    <mergeCell ref="IB3:IB4"/>
    <mergeCell ref="IC3:IC4"/>
    <mergeCell ref="A1:C1"/>
    <mergeCell ref="ID3:ID4"/>
    <mergeCell ref="AB3:AB4"/>
    <mergeCell ref="HV3:HV4"/>
    <mergeCell ref="HW3:HW4"/>
    <mergeCell ref="HX3:HX4"/>
    <mergeCell ref="HY3:HY4"/>
    <mergeCell ref="HZ3:HZ4"/>
    <mergeCell ref="HV2:ID2"/>
  </mergeCells>
  <phoneticPr fontId="15"/>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0">
    <outlinePr summaryBelow="0" summaryRight="0"/>
  </sheetPr>
  <dimension ref="B1:U519"/>
  <sheetViews>
    <sheetView workbookViewId="0">
      <pane xSplit="6" ySplit="31" topLeftCell="G74"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o9</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S</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593" priority="8">
      <formula>ISERROR(D22)</formula>
    </cfRule>
  </conditionalFormatting>
  <conditionalFormatting sqref="B111:S112 B65:C65 Q65:Q110 H105:N105 H65:I104 L65:N104 H106:I110 L106:N110 B66:B110 F66:F104">
    <cfRule type="containsErrors" dxfId="592" priority="7">
      <formula>ISERROR(B65)</formula>
    </cfRule>
  </conditionalFormatting>
  <conditionalFormatting sqref="O105:P105">
    <cfRule type="containsErrors" dxfId="591" priority="6">
      <formula>ISERROR(O105)</formula>
    </cfRule>
  </conditionalFormatting>
  <conditionalFormatting sqref="R65:S110">
    <cfRule type="containsErrors" dxfId="590" priority="5">
      <formula>ISERROR(R65)</formula>
    </cfRule>
  </conditionalFormatting>
  <conditionalFormatting sqref="C106">
    <cfRule type="containsErrors" dxfId="589" priority="4">
      <formula>ISERROR(C106)</formula>
    </cfRule>
  </conditionalFormatting>
  <conditionalFormatting sqref="C107:C110">
    <cfRule type="containsErrors" dxfId="588" priority="3">
      <formula>ISERROR(C107)</formula>
    </cfRule>
  </conditionalFormatting>
  <conditionalFormatting sqref="D67 D69 D71 D73 D75 D77 D79 D81 D83 D85 D87 D89 D91 D93 D95 D97 D99 D101 D103">
    <cfRule type="containsErrors" dxfId="587" priority="2">
      <formula>ISERROR(D67)</formula>
    </cfRule>
  </conditionalFormatting>
  <conditionalFormatting sqref="C67 C69 C71 C73 C75 C77 C79 C81 C83 C85 C87 C89 C91 C93 C95 C97 C99 C101 C103">
    <cfRule type="containsErrors" dxfId="586" priority="1">
      <formula>ISERROR(C67)</formula>
    </cfRule>
  </conditionalFormatting>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o10</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T</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585" priority="8">
      <formula>ISERROR(D22)</formula>
    </cfRule>
  </conditionalFormatting>
  <conditionalFormatting sqref="B111:S112 B65:C65 Q65:Q110 H105:N105 H65:I104 L65:N104 H106:I110 L106:N110 B66:B110 F66:F104">
    <cfRule type="containsErrors" dxfId="584" priority="7">
      <formula>ISERROR(B65)</formula>
    </cfRule>
  </conditionalFormatting>
  <conditionalFormatting sqref="O105:P105">
    <cfRule type="containsErrors" dxfId="583" priority="6">
      <formula>ISERROR(O105)</formula>
    </cfRule>
  </conditionalFormatting>
  <conditionalFormatting sqref="R65:S110">
    <cfRule type="containsErrors" dxfId="582" priority="5">
      <formula>ISERROR(R65)</formula>
    </cfRule>
  </conditionalFormatting>
  <conditionalFormatting sqref="C106">
    <cfRule type="containsErrors" dxfId="581" priority="4">
      <formula>ISERROR(C106)</formula>
    </cfRule>
  </conditionalFormatting>
  <conditionalFormatting sqref="C107:C110">
    <cfRule type="containsErrors" dxfId="580" priority="3">
      <formula>ISERROR(C107)</formula>
    </cfRule>
  </conditionalFormatting>
  <conditionalFormatting sqref="D67 D69 D71 D73 D75 D77 D79 D81 D83 D85 D87 D89 D91 D93 D95 D97 D99 D101 D103">
    <cfRule type="containsErrors" dxfId="579" priority="2">
      <formula>ISERROR(D67)</formula>
    </cfRule>
  </conditionalFormatting>
  <conditionalFormatting sqref="C67 C69 C71 C73 C75 C77 C79 C81 C83 C85 C87 C89 C91 C93 C95 C97 C99 C101 C103">
    <cfRule type="containsErrors" dxfId="578" priority="1">
      <formula>ISERROR(C67)</formula>
    </cfRule>
  </conditionalFormatting>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o11</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U</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577" priority="8">
      <formula>ISERROR(D22)</formula>
    </cfRule>
  </conditionalFormatting>
  <conditionalFormatting sqref="B111:S112 B65:C65 Q65:Q110 H105:N105 H65:I104 L65:N104 H106:I110 L106:N110 B66:B110 F66:F104">
    <cfRule type="containsErrors" dxfId="576" priority="7">
      <formula>ISERROR(B65)</formula>
    </cfRule>
  </conditionalFormatting>
  <conditionalFormatting sqref="O105:P105">
    <cfRule type="containsErrors" dxfId="575" priority="6">
      <formula>ISERROR(O105)</formula>
    </cfRule>
  </conditionalFormatting>
  <conditionalFormatting sqref="R65:S110">
    <cfRule type="containsErrors" dxfId="574" priority="5">
      <formula>ISERROR(R65)</formula>
    </cfRule>
  </conditionalFormatting>
  <conditionalFormatting sqref="C106">
    <cfRule type="containsErrors" dxfId="573" priority="4">
      <formula>ISERROR(C106)</formula>
    </cfRule>
  </conditionalFormatting>
  <conditionalFormatting sqref="C107:C110">
    <cfRule type="containsErrors" dxfId="572" priority="3">
      <formula>ISERROR(C107)</formula>
    </cfRule>
  </conditionalFormatting>
  <conditionalFormatting sqref="D67 D69 D71 D73 D75 D77 D79 D81 D83 D85 D87 D89 D91 D93 D95 D97 D99 D101 D103">
    <cfRule type="containsErrors" dxfId="571" priority="2">
      <formula>ISERROR(D67)</formula>
    </cfRule>
  </conditionalFormatting>
  <conditionalFormatting sqref="C67 C69 C71 C73 C75 C77 C79 C81 C83 C85 C87 C89 C91 C93 C95 C97 C99 C101 C103">
    <cfRule type="containsErrors" dxfId="570" priority="1">
      <formula>ISERROR(C67)</formula>
    </cfRule>
  </conditionalFormatting>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outlinePr summaryBelow="0" summaryRight="0"/>
  </sheetPr>
  <dimension ref="B1:U519"/>
  <sheetViews>
    <sheetView workbookViewId="0">
      <pane xSplit="6" ySplit="31" topLeftCell="G56"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o12</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V</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569" priority="8">
      <formula>ISERROR(D22)</formula>
    </cfRule>
  </conditionalFormatting>
  <conditionalFormatting sqref="B111:S112 B65:C65 Q65:Q110 H105:N105 H65:I104 L65:N104 H106:I110 L106:N110 B66:B110 F66:F104">
    <cfRule type="containsErrors" dxfId="568" priority="7">
      <formula>ISERROR(B65)</formula>
    </cfRule>
  </conditionalFormatting>
  <conditionalFormatting sqref="O105:P105">
    <cfRule type="containsErrors" dxfId="567" priority="6">
      <formula>ISERROR(O105)</formula>
    </cfRule>
  </conditionalFormatting>
  <conditionalFormatting sqref="R65:S110">
    <cfRule type="containsErrors" dxfId="566" priority="5">
      <formula>ISERROR(R65)</formula>
    </cfRule>
  </conditionalFormatting>
  <conditionalFormatting sqref="C106">
    <cfRule type="containsErrors" dxfId="565" priority="4">
      <formula>ISERROR(C106)</formula>
    </cfRule>
  </conditionalFormatting>
  <conditionalFormatting sqref="C107:C110">
    <cfRule type="containsErrors" dxfId="564" priority="3">
      <formula>ISERROR(C107)</formula>
    </cfRule>
  </conditionalFormatting>
  <conditionalFormatting sqref="D67 D69 D71 D73 D75 D77 D79 D81 D83 D85 D87 D89 D91 D93 D95 D97 D99 D101 D103">
    <cfRule type="containsErrors" dxfId="563" priority="2">
      <formula>ISERROR(D67)</formula>
    </cfRule>
  </conditionalFormatting>
  <conditionalFormatting sqref="C67 C69 C71 C73 C75 C77 C79 C81 C83 C85 C87 C89 C91 C93 C95 C97 C99 C101 C103">
    <cfRule type="containsErrors" dxfId="562" priority="1">
      <formula>ISERROR(C67)</formula>
    </cfRule>
  </conditionalFormatting>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o13</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W</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561" priority="8">
      <formula>ISERROR(D22)</formula>
    </cfRule>
  </conditionalFormatting>
  <conditionalFormatting sqref="B111:S112 B65:C65 Q65:Q110 H105:N105 H65:I104 L65:N104 H106:I110 L106:N110 B66:B110 F66:F104">
    <cfRule type="containsErrors" dxfId="560" priority="7">
      <formula>ISERROR(B65)</formula>
    </cfRule>
  </conditionalFormatting>
  <conditionalFormatting sqref="O105:P105">
    <cfRule type="containsErrors" dxfId="559" priority="6">
      <formula>ISERROR(O105)</formula>
    </cfRule>
  </conditionalFormatting>
  <conditionalFormatting sqref="R65:S110">
    <cfRule type="containsErrors" dxfId="558" priority="5">
      <formula>ISERROR(R65)</formula>
    </cfRule>
  </conditionalFormatting>
  <conditionalFormatting sqref="C106">
    <cfRule type="containsErrors" dxfId="557" priority="4">
      <formula>ISERROR(C106)</formula>
    </cfRule>
  </conditionalFormatting>
  <conditionalFormatting sqref="C107:C110">
    <cfRule type="containsErrors" dxfId="556" priority="3">
      <formula>ISERROR(C107)</formula>
    </cfRule>
  </conditionalFormatting>
  <conditionalFormatting sqref="D67 D69 D71 D73 D75 D77 D79 D81 D83 D85 D87 D89 D91 D93 D95 D97 D99 D101 D103">
    <cfRule type="containsErrors" dxfId="555" priority="2">
      <formula>ISERROR(D67)</formula>
    </cfRule>
  </conditionalFormatting>
  <conditionalFormatting sqref="C67 C69 C71 C73 C75 C77 C79 C81 C83 C85 C87 C89 C91 C93 C95 C97 C99 C101 C103">
    <cfRule type="containsErrors" dxfId="554" priority="1">
      <formula>ISERROR(C67)</formula>
    </cfRule>
  </conditionalFormatting>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o14</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X</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553" priority="8">
      <formula>ISERROR(D22)</formula>
    </cfRule>
  </conditionalFormatting>
  <conditionalFormatting sqref="B111:S112 B65:C65 Q65:Q110 H105:N105 H65:I104 L65:N104 H106:I110 L106:N110 B66:B110 F66:F104">
    <cfRule type="containsErrors" dxfId="552" priority="7">
      <formula>ISERROR(B65)</formula>
    </cfRule>
  </conditionalFormatting>
  <conditionalFormatting sqref="O105:P105">
    <cfRule type="containsErrors" dxfId="551" priority="6">
      <formula>ISERROR(O105)</formula>
    </cfRule>
  </conditionalFormatting>
  <conditionalFormatting sqref="R65:S110">
    <cfRule type="containsErrors" dxfId="550" priority="5">
      <formula>ISERROR(R65)</formula>
    </cfRule>
  </conditionalFormatting>
  <conditionalFormatting sqref="C106">
    <cfRule type="containsErrors" dxfId="549" priority="4">
      <formula>ISERROR(C106)</formula>
    </cfRule>
  </conditionalFormatting>
  <conditionalFormatting sqref="C107:C110">
    <cfRule type="containsErrors" dxfId="548" priority="3">
      <formula>ISERROR(C107)</formula>
    </cfRule>
  </conditionalFormatting>
  <conditionalFormatting sqref="D67 D69 D71 D73 D75 D77 D79 D81 D83 D85 D87 D89 D91 D93 D95 D97 D99 D101 D103">
    <cfRule type="containsErrors" dxfId="547" priority="2">
      <formula>ISERROR(D67)</formula>
    </cfRule>
  </conditionalFormatting>
  <conditionalFormatting sqref="C67 C69 C71 C73 C75 C77 C79 C81 C83 C85 C87 C89 C91 C93 C95 C97 C99 C101 C103">
    <cfRule type="containsErrors" dxfId="546" priority="1">
      <formula>ISERROR(C67)</formula>
    </cfRule>
  </conditionalFormatting>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o15</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Y</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545" priority="8">
      <formula>ISERROR(D22)</formula>
    </cfRule>
  </conditionalFormatting>
  <conditionalFormatting sqref="B111:S112 B65:C65 Q65:Q110 H105:N105 H65:I104 L65:N104 H106:I110 L106:N110 B66:B110 F66:F104">
    <cfRule type="containsErrors" dxfId="544" priority="7">
      <formula>ISERROR(B65)</formula>
    </cfRule>
  </conditionalFormatting>
  <conditionalFormatting sqref="O105:P105">
    <cfRule type="containsErrors" dxfId="543" priority="6">
      <formula>ISERROR(O105)</formula>
    </cfRule>
  </conditionalFormatting>
  <conditionalFormatting sqref="R65:S110">
    <cfRule type="containsErrors" dxfId="542" priority="5">
      <formula>ISERROR(R65)</formula>
    </cfRule>
  </conditionalFormatting>
  <conditionalFormatting sqref="C106">
    <cfRule type="containsErrors" dxfId="541" priority="4">
      <formula>ISERROR(C106)</formula>
    </cfRule>
  </conditionalFormatting>
  <conditionalFormatting sqref="C107:C110">
    <cfRule type="containsErrors" dxfId="540" priority="3">
      <formula>ISERROR(C107)</formula>
    </cfRule>
  </conditionalFormatting>
  <conditionalFormatting sqref="D67 D69 D71 D73 D75 D77 D79 D81 D83 D85 D87 D89 D91 D93 D95 D97 D99 D101 D103">
    <cfRule type="containsErrors" dxfId="539" priority="2">
      <formula>ISERROR(D67)</formula>
    </cfRule>
  </conditionalFormatting>
  <conditionalFormatting sqref="C67 C69 C71 C73 C75 C77 C79 C81 C83 C85 C87 C89 C91 C93 C95 C97 C99 C101 C103">
    <cfRule type="containsErrors" dxfId="538" priority="1">
      <formula>ISERROR(C67)</formula>
    </cfRule>
  </conditionalFormatting>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o16</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Z</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537" priority="8">
      <formula>ISERROR(D22)</formula>
    </cfRule>
  </conditionalFormatting>
  <conditionalFormatting sqref="B111:S112 B65:C65 Q65:Q110 H105:N105 H65:I104 L65:N104 H106:I110 L106:N110 B66:B110 F66:F104">
    <cfRule type="containsErrors" dxfId="536" priority="7">
      <formula>ISERROR(B65)</formula>
    </cfRule>
  </conditionalFormatting>
  <conditionalFormatting sqref="O105:P105">
    <cfRule type="containsErrors" dxfId="535" priority="6">
      <formula>ISERROR(O105)</formula>
    </cfRule>
  </conditionalFormatting>
  <conditionalFormatting sqref="R65:S110">
    <cfRule type="containsErrors" dxfId="534" priority="5">
      <formula>ISERROR(R65)</formula>
    </cfRule>
  </conditionalFormatting>
  <conditionalFormatting sqref="C106">
    <cfRule type="containsErrors" dxfId="533" priority="4">
      <formula>ISERROR(C106)</formula>
    </cfRule>
  </conditionalFormatting>
  <conditionalFormatting sqref="C107:C110">
    <cfRule type="containsErrors" dxfId="532" priority="3">
      <formula>ISERROR(C107)</formula>
    </cfRule>
  </conditionalFormatting>
  <conditionalFormatting sqref="D67 D69 D71 D73 D75 D77 D79 D81 D83 D85 D87 D89 D91 D93 D95 D97 D99 D101 D103">
    <cfRule type="containsErrors" dxfId="531" priority="2">
      <formula>ISERROR(D67)</formula>
    </cfRule>
  </conditionalFormatting>
  <conditionalFormatting sqref="C67 C69 C71 C73 C75 C77 C79 C81 C83 C85 C87 C89 C91 C93 C95 C97 C99 C101 C103">
    <cfRule type="containsErrors" dxfId="530" priority="1">
      <formula>ISERROR(C67)</formula>
    </cfRule>
  </conditionalFormatting>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o17</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AA</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529" priority="8">
      <formula>ISERROR(D22)</formula>
    </cfRule>
  </conditionalFormatting>
  <conditionalFormatting sqref="B111:S112 B65:C65 Q65:Q110 H105:N105 H65:I104 L65:N104 H106:I110 L106:N110 B66:B110 F66:F104">
    <cfRule type="containsErrors" dxfId="528" priority="7">
      <formula>ISERROR(B65)</formula>
    </cfRule>
  </conditionalFormatting>
  <conditionalFormatting sqref="O105:P105">
    <cfRule type="containsErrors" dxfId="527" priority="6">
      <formula>ISERROR(O105)</formula>
    </cfRule>
  </conditionalFormatting>
  <conditionalFormatting sqref="R65:S110">
    <cfRule type="containsErrors" dxfId="526" priority="5">
      <formula>ISERROR(R65)</formula>
    </cfRule>
  </conditionalFormatting>
  <conditionalFormatting sqref="C106">
    <cfRule type="containsErrors" dxfId="525" priority="4">
      <formula>ISERROR(C106)</formula>
    </cfRule>
  </conditionalFormatting>
  <conditionalFormatting sqref="C107:C110">
    <cfRule type="containsErrors" dxfId="524" priority="3">
      <formula>ISERROR(C107)</formula>
    </cfRule>
  </conditionalFormatting>
  <conditionalFormatting sqref="D67 D69 D71 D73 D75 D77 D79 D81 D83 D85 D87 D89 D91 D93 D95 D97 D99 D101 D103">
    <cfRule type="containsErrors" dxfId="523" priority="2">
      <formula>ISERROR(D67)</formula>
    </cfRule>
  </conditionalFormatting>
  <conditionalFormatting sqref="C67 C69 C71 C73 C75 C77 C79 C81 C83 C85 C87 C89 C91 C93 C95 C97 C99 C101 C103">
    <cfRule type="containsErrors" dxfId="522" priority="1">
      <formula>ISERROR(C67)</formula>
    </cfRule>
  </conditionalFormatting>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o18</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AB</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521" priority="8">
      <formula>ISERROR(D22)</formula>
    </cfRule>
  </conditionalFormatting>
  <conditionalFormatting sqref="B111:S112 B65:C65 Q65:Q110 H105:N105 H65:I104 L65:N104 H106:I110 L106:N110 B66:B110 F66:F104">
    <cfRule type="containsErrors" dxfId="520" priority="7">
      <formula>ISERROR(B65)</formula>
    </cfRule>
  </conditionalFormatting>
  <conditionalFormatting sqref="O105:P105">
    <cfRule type="containsErrors" dxfId="519" priority="6">
      <formula>ISERROR(O105)</formula>
    </cfRule>
  </conditionalFormatting>
  <conditionalFormatting sqref="R65:S110">
    <cfRule type="containsErrors" dxfId="518" priority="5">
      <formula>ISERROR(R65)</formula>
    </cfRule>
  </conditionalFormatting>
  <conditionalFormatting sqref="C106">
    <cfRule type="containsErrors" dxfId="517" priority="4">
      <formula>ISERROR(C106)</formula>
    </cfRule>
  </conditionalFormatting>
  <conditionalFormatting sqref="C107:C110">
    <cfRule type="containsErrors" dxfId="516" priority="3">
      <formula>ISERROR(C107)</formula>
    </cfRule>
  </conditionalFormatting>
  <conditionalFormatting sqref="D67 D69 D71 D73 D75 D77 D79 D81 D83 D85 D87 D89 D91 D93 D95 D97 D99 D101 D103">
    <cfRule type="containsErrors" dxfId="515" priority="2">
      <formula>ISERROR(D67)</formula>
    </cfRule>
  </conditionalFormatting>
  <conditionalFormatting sqref="C67 C69 C71 C73 C75 C77 C79 C81 C83 C85 C87 C89 C91 C93 C95 C97 C99 C101 C103">
    <cfRule type="containsErrors" dxfId="514" priority="1">
      <formula>ISERROR(C67)</formula>
    </cfRule>
  </conditionalFormatting>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V34"/>
  <sheetViews>
    <sheetView zoomScale="85" zoomScaleNormal="85" workbookViewId="0">
      <selection activeCell="AC9" sqref="AC9"/>
    </sheetView>
  </sheetViews>
  <sheetFormatPr defaultRowHeight="13.5"/>
  <sheetData>
    <row r="1" spans="1:22" s="1437" customFormat="1" ht="17.25" customHeight="1">
      <c r="A1" s="1620" t="s">
        <v>4707</v>
      </c>
      <c r="B1" s="1620"/>
      <c r="C1" s="1620"/>
      <c r="D1" s="1440"/>
      <c r="E1" s="1441"/>
      <c r="F1" s="1538"/>
      <c r="G1"/>
      <c r="H1" s="1536"/>
      <c r="I1"/>
      <c r="J1"/>
      <c r="K1"/>
      <c r="L1"/>
      <c r="O1" s="1449"/>
      <c r="P1" s="1450"/>
      <c r="Q1" s="1451"/>
      <c r="R1" s="1451"/>
      <c r="S1" s="1451"/>
      <c r="T1" s="1451"/>
      <c r="U1" s="1451"/>
      <c r="V1" s="1451"/>
    </row>
    <row r="2" spans="1:22" s="1437" customFormat="1">
      <c r="A2" s="1442"/>
      <c r="B2" s="1438"/>
      <c r="C2" s="1442"/>
      <c r="D2" s="1452"/>
      <c r="E2" s="1441"/>
      <c r="F2" s="1442"/>
      <c r="G2"/>
      <c r="H2"/>
      <c r="I2"/>
      <c r="J2"/>
      <c r="K2"/>
      <c r="L2"/>
      <c r="O2" s="1449"/>
      <c r="P2" s="1450"/>
      <c r="Q2" s="1451"/>
      <c r="R2" s="1451"/>
      <c r="S2" s="1451"/>
      <c r="T2" s="1451"/>
      <c r="U2" s="1451"/>
      <c r="V2" s="1451"/>
    </row>
    <row r="3" spans="1:22" s="1437" customFormat="1">
      <c r="B3" s="1462" t="s">
        <v>4556</v>
      </c>
      <c r="C3" s="1463"/>
      <c r="D3" s="1463"/>
      <c r="E3" s="1464"/>
      <c r="F3" s="1463"/>
      <c r="G3" s="1540" t="s">
        <v>4642</v>
      </c>
      <c r="H3" s="1539"/>
      <c r="I3" s="1539"/>
      <c r="J3" s="1539"/>
      <c r="K3" s="1539"/>
      <c r="L3" s="1541"/>
      <c r="O3" s="1449"/>
      <c r="P3" s="1450"/>
      <c r="Q3" s="1451"/>
      <c r="R3" s="1451"/>
      <c r="S3" s="1451"/>
      <c r="T3" s="1451"/>
      <c r="U3" s="1451"/>
      <c r="V3" s="1451"/>
    </row>
    <row r="4" spans="1:22" s="1437" customFormat="1" ht="38.25">
      <c r="A4" s="1500"/>
      <c r="B4" s="1501" t="s">
        <v>594</v>
      </c>
      <c r="C4" s="1502" t="s">
        <v>595</v>
      </c>
      <c r="D4" s="1503" t="s">
        <v>596</v>
      </c>
      <c r="E4" s="1502" t="s">
        <v>2587</v>
      </c>
      <c r="F4" s="1504" t="s">
        <v>4643</v>
      </c>
      <c r="G4" s="1506" t="s">
        <v>4644</v>
      </c>
      <c r="H4" s="1503" t="s">
        <v>4637</v>
      </c>
      <c r="I4" s="1503" t="s">
        <v>4638</v>
      </c>
      <c r="J4" s="1503" t="s">
        <v>4639</v>
      </c>
      <c r="K4" s="1503" t="s">
        <v>4640</v>
      </c>
      <c r="L4" s="1542" t="s">
        <v>4641</v>
      </c>
      <c r="O4" s="1449"/>
      <c r="P4" s="1450"/>
      <c r="Q4" s="1451"/>
      <c r="R4" s="1451"/>
      <c r="S4" s="1451"/>
      <c r="T4" s="1451"/>
      <c r="U4" s="1451"/>
      <c r="V4" s="1451"/>
    </row>
    <row r="5" spans="1:22">
      <c r="B5" s="53" t="str">
        <f>はじめに!$B$6&amp;""</f>
        <v/>
      </c>
      <c r="C5" s="53" t="str">
        <f>報1!I8</f>
        <v/>
      </c>
      <c r="D5" s="53">
        <f>報1!D28</f>
        <v>2024</v>
      </c>
      <c r="E5" s="53" t="str">
        <f>集計_報告!$E$5</f>
        <v/>
      </c>
      <c r="F5" s="53" t="str">
        <f>報1!M2</f>
        <v>新規</v>
      </c>
      <c r="G5" s="53">
        <f>報5!B10</f>
        <v>1</v>
      </c>
      <c r="H5" s="53" t="str">
        <f>報5!C10&amp;""</f>
        <v/>
      </c>
      <c r="I5" s="53" t="str">
        <f>報5!D10&amp;""</f>
        <v/>
      </c>
      <c r="J5" s="53" t="str">
        <f>報5!E10&amp;""</f>
        <v/>
      </c>
      <c r="K5" s="53" t="str">
        <f>報5!F10&amp;""</f>
        <v/>
      </c>
      <c r="L5" s="53" t="str">
        <f>報5!K10</f>
        <v/>
      </c>
    </row>
    <row r="6" spans="1:22">
      <c r="B6" s="53" t="str">
        <f>はじめに!$B$6&amp;""</f>
        <v/>
      </c>
      <c r="C6" s="53" t="str">
        <f>$C$5</f>
        <v/>
      </c>
      <c r="D6" s="53">
        <f>$D$5</f>
        <v>2024</v>
      </c>
      <c r="E6" s="53" t="str">
        <f>集計_報告!$E$5</f>
        <v/>
      </c>
      <c r="F6" s="53" t="str">
        <f>$F$5</f>
        <v>新規</v>
      </c>
      <c r="G6" s="53">
        <f>報5!B13</f>
        <v>2</v>
      </c>
      <c r="H6" s="53" t="str">
        <f>報5!C13&amp;""</f>
        <v/>
      </c>
      <c r="I6" s="53" t="str">
        <f>報5!D13&amp;""</f>
        <v/>
      </c>
      <c r="J6" s="53" t="str">
        <f>報5!E13&amp;""</f>
        <v/>
      </c>
      <c r="K6" s="53" t="str">
        <f>報5!F13&amp;""</f>
        <v/>
      </c>
      <c r="L6" s="53" t="str">
        <f>報5!K13&amp;""</f>
        <v/>
      </c>
    </row>
    <row r="7" spans="1:22">
      <c r="B7" s="53" t="str">
        <f>はじめに!$B$6&amp;""</f>
        <v/>
      </c>
      <c r="C7" s="53" t="str">
        <f t="shared" ref="C7:C34" si="0">$C$5</f>
        <v/>
      </c>
      <c r="D7" s="53">
        <f t="shared" ref="D7:D34" si="1">$D$5</f>
        <v>2024</v>
      </c>
      <c r="E7" s="53" t="str">
        <f>集計_報告!$E$5</f>
        <v/>
      </c>
      <c r="F7" s="53" t="str">
        <f t="shared" ref="F7:F34" si="2">$F$5</f>
        <v>新規</v>
      </c>
      <c r="G7" s="53">
        <f>報5!B16</f>
        <v>3</v>
      </c>
      <c r="H7" s="53" t="str">
        <f>報5!C16&amp;""</f>
        <v/>
      </c>
      <c r="I7" s="53" t="str">
        <f>報5!D16&amp;""</f>
        <v/>
      </c>
      <c r="J7" s="53" t="str">
        <f>報5!E16&amp;""</f>
        <v/>
      </c>
      <c r="K7" s="53" t="str">
        <f>報5!F16&amp;""</f>
        <v/>
      </c>
      <c r="L7" s="53" t="str">
        <f>報5!K16&amp;""</f>
        <v/>
      </c>
    </row>
    <row r="8" spans="1:22">
      <c r="B8" s="53" t="str">
        <f>はじめに!$B$6&amp;""</f>
        <v/>
      </c>
      <c r="C8" s="53" t="str">
        <f t="shared" si="0"/>
        <v/>
      </c>
      <c r="D8" s="53">
        <f t="shared" si="1"/>
        <v>2024</v>
      </c>
      <c r="E8" s="53" t="str">
        <f>集計_報告!$E$5</f>
        <v/>
      </c>
      <c r="F8" s="53" t="str">
        <f t="shared" si="2"/>
        <v>新規</v>
      </c>
      <c r="G8" s="53">
        <f>報5!B19</f>
        <v>4</v>
      </c>
      <c r="H8" s="53" t="str">
        <f>報5!C19&amp;""</f>
        <v/>
      </c>
      <c r="I8" s="53" t="str">
        <f>報5!D19&amp;""</f>
        <v/>
      </c>
      <c r="J8" s="53" t="str">
        <f>報5!E19&amp;""</f>
        <v/>
      </c>
      <c r="K8" s="53" t="str">
        <f>報5!F19&amp;""</f>
        <v/>
      </c>
      <c r="L8" s="53" t="str">
        <f>報5!K19&amp;""</f>
        <v/>
      </c>
    </row>
    <row r="9" spans="1:22">
      <c r="B9" s="53" t="str">
        <f>はじめに!$B$6&amp;""</f>
        <v/>
      </c>
      <c r="C9" s="53" t="str">
        <f t="shared" si="0"/>
        <v/>
      </c>
      <c r="D9" s="53">
        <f t="shared" si="1"/>
        <v>2024</v>
      </c>
      <c r="E9" s="53" t="str">
        <f>集計_報告!$E$5</f>
        <v/>
      </c>
      <c r="F9" s="53" t="str">
        <f t="shared" si="2"/>
        <v>新規</v>
      </c>
      <c r="G9" s="53">
        <f>報5!B22</f>
        <v>5</v>
      </c>
      <c r="H9" s="53" t="str">
        <f>報5!C22&amp;""</f>
        <v/>
      </c>
      <c r="I9" s="53" t="str">
        <f>報5!D22&amp;""</f>
        <v/>
      </c>
      <c r="J9" s="53" t="str">
        <f>報5!E22&amp;""</f>
        <v/>
      </c>
      <c r="K9" s="53" t="str">
        <f>報5!F22&amp;""</f>
        <v/>
      </c>
      <c r="L9" s="53" t="str">
        <f>報5!K22&amp;""</f>
        <v/>
      </c>
    </row>
    <row r="10" spans="1:22">
      <c r="B10" s="53" t="str">
        <f>はじめに!$B$6&amp;""</f>
        <v/>
      </c>
      <c r="C10" s="53" t="str">
        <f t="shared" si="0"/>
        <v/>
      </c>
      <c r="D10" s="53">
        <f t="shared" si="1"/>
        <v>2024</v>
      </c>
      <c r="E10" s="53" t="str">
        <f>集計_報告!$E$5</f>
        <v/>
      </c>
      <c r="F10" s="53" t="str">
        <f t="shared" si="2"/>
        <v>新規</v>
      </c>
      <c r="G10" s="53">
        <f>報5!B25</f>
        <v>6</v>
      </c>
      <c r="H10" s="53" t="str">
        <f>報5!C25&amp;""</f>
        <v/>
      </c>
      <c r="I10" s="53" t="str">
        <f>報5!D25&amp;""</f>
        <v/>
      </c>
      <c r="J10" s="53" t="str">
        <f>報5!E25&amp;""</f>
        <v/>
      </c>
      <c r="K10" s="53" t="str">
        <f>報5!F25&amp;""</f>
        <v/>
      </c>
      <c r="L10" s="53" t="str">
        <f>報5!K25&amp;""</f>
        <v/>
      </c>
    </row>
    <row r="11" spans="1:22">
      <c r="B11" s="53" t="str">
        <f>はじめに!$B$6&amp;""</f>
        <v/>
      </c>
      <c r="C11" s="53" t="str">
        <f t="shared" si="0"/>
        <v/>
      </c>
      <c r="D11" s="53">
        <f t="shared" si="1"/>
        <v>2024</v>
      </c>
      <c r="E11" s="53" t="str">
        <f>集計_報告!$E$5</f>
        <v/>
      </c>
      <c r="F11" s="53" t="str">
        <f t="shared" si="2"/>
        <v>新規</v>
      </c>
      <c r="G11" s="53">
        <f>報5!B28</f>
        <v>7</v>
      </c>
      <c r="H11" s="53" t="str">
        <f>報5!C28&amp;""</f>
        <v/>
      </c>
      <c r="I11" s="53" t="str">
        <f>報5!D28&amp;""</f>
        <v/>
      </c>
      <c r="J11" s="53" t="str">
        <f>報5!E28&amp;""</f>
        <v/>
      </c>
      <c r="K11" s="53" t="str">
        <f>報5!F28&amp;""</f>
        <v/>
      </c>
      <c r="L11" s="53" t="str">
        <f>報5!K28&amp;""</f>
        <v/>
      </c>
    </row>
    <row r="12" spans="1:22">
      <c r="B12" s="53" t="str">
        <f>はじめに!$B$6&amp;""</f>
        <v/>
      </c>
      <c r="C12" s="53" t="str">
        <f t="shared" si="0"/>
        <v/>
      </c>
      <c r="D12" s="53">
        <f t="shared" si="1"/>
        <v>2024</v>
      </c>
      <c r="E12" s="53" t="str">
        <f>集計_報告!$E$5</f>
        <v/>
      </c>
      <c r="F12" s="53" t="str">
        <f t="shared" si="2"/>
        <v>新規</v>
      </c>
      <c r="G12" s="53">
        <f>報5!B31</f>
        <v>8</v>
      </c>
      <c r="H12" s="53" t="str">
        <f>報5!C31&amp;""</f>
        <v/>
      </c>
      <c r="I12" s="53" t="str">
        <f>報5!D31&amp;""</f>
        <v/>
      </c>
      <c r="J12" s="53" t="str">
        <f>報5!E31&amp;""</f>
        <v/>
      </c>
      <c r="K12" s="53" t="str">
        <f>報5!F31&amp;""</f>
        <v/>
      </c>
      <c r="L12" s="53" t="str">
        <f>報5!K31&amp;""</f>
        <v/>
      </c>
    </row>
    <row r="13" spans="1:22">
      <c r="B13" s="53" t="str">
        <f>はじめに!$B$6&amp;""</f>
        <v/>
      </c>
      <c r="C13" s="53" t="str">
        <f t="shared" si="0"/>
        <v/>
      </c>
      <c r="D13" s="53">
        <f t="shared" si="1"/>
        <v>2024</v>
      </c>
      <c r="E13" s="53" t="str">
        <f>集計_報告!$E$5</f>
        <v/>
      </c>
      <c r="F13" s="53" t="str">
        <f t="shared" si="2"/>
        <v>新規</v>
      </c>
      <c r="G13" s="53">
        <f>報5!B34</f>
        <v>9</v>
      </c>
      <c r="H13" s="53" t="str">
        <f>報5!C34&amp;""</f>
        <v/>
      </c>
      <c r="I13" s="53" t="str">
        <f>報5!D34&amp;""</f>
        <v/>
      </c>
      <c r="J13" s="53" t="str">
        <f>報5!E34&amp;""</f>
        <v/>
      </c>
      <c r="K13" s="53" t="str">
        <f>報5!F34&amp;""</f>
        <v/>
      </c>
      <c r="L13" s="53" t="str">
        <f>報5!K34&amp;""</f>
        <v/>
      </c>
    </row>
    <row r="14" spans="1:22">
      <c r="B14" s="53" t="str">
        <f>はじめに!$B$6&amp;""</f>
        <v/>
      </c>
      <c r="C14" s="53" t="str">
        <f t="shared" si="0"/>
        <v/>
      </c>
      <c r="D14" s="53">
        <f t="shared" si="1"/>
        <v>2024</v>
      </c>
      <c r="E14" s="53" t="str">
        <f>集計_報告!$E$5</f>
        <v/>
      </c>
      <c r="F14" s="53" t="str">
        <f t="shared" si="2"/>
        <v>新規</v>
      </c>
      <c r="G14" s="53">
        <f>報5!B37</f>
        <v>10</v>
      </c>
      <c r="H14" s="53" t="str">
        <f>報5!C37&amp;""</f>
        <v/>
      </c>
      <c r="I14" s="53" t="str">
        <f>報5!D37&amp;""</f>
        <v/>
      </c>
      <c r="J14" s="53" t="str">
        <f>報5!E37&amp;""</f>
        <v/>
      </c>
      <c r="K14" s="53" t="str">
        <f>報5!F37&amp;""</f>
        <v/>
      </c>
      <c r="L14" s="53" t="str">
        <f>報5!K37&amp;""</f>
        <v/>
      </c>
    </row>
    <row r="15" spans="1:22">
      <c r="B15" s="53" t="str">
        <f>はじめに!$B$6&amp;""</f>
        <v/>
      </c>
      <c r="C15" s="53" t="str">
        <f t="shared" si="0"/>
        <v/>
      </c>
      <c r="D15" s="53">
        <f t="shared" si="1"/>
        <v>2024</v>
      </c>
      <c r="E15" s="53" t="str">
        <f>集計_報告!$E$5</f>
        <v/>
      </c>
      <c r="F15" s="53" t="str">
        <f t="shared" si="2"/>
        <v>新規</v>
      </c>
      <c r="G15" s="53">
        <f>報5!B40</f>
        <v>11</v>
      </c>
      <c r="H15" s="53" t="str">
        <f>報5!C40&amp;""</f>
        <v/>
      </c>
      <c r="I15" s="53" t="str">
        <f>報5!D40&amp;""</f>
        <v/>
      </c>
      <c r="J15" s="53" t="str">
        <f>報5!E40&amp;""</f>
        <v/>
      </c>
      <c r="K15" s="53" t="str">
        <f>報5!F40&amp;""</f>
        <v/>
      </c>
      <c r="L15" s="53" t="str">
        <f>報5!K40&amp;""</f>
        <v/>
      </c>
    </row>
    <row r="16" spans="1:22">
      <c r="B16" s="53" t="str">
        <f>はじめに!$B$6&amp;""</f>
        <v/>
      </c>
      <c r="C16" s="53" t="str">
        <f t="shared" si="0"/>
        <v/>
      </c>
      <c r="D16" s="53">
        <f t="shared" si="1"/>
        <v>2024</v>
      </c>
      <c r="E16" s="53" t="str">
        <f>集計_報告!$E$5</f>
        <v/>
      </c>
      <c r="F16" s="53" t="str">
        <f t="shared" si="2"/>
        <v>新規</v>
      </c>
      <c r="G16" s="53">
        <f>報5!B43</f>
        <v>12</v>
      </c>
      <c r="H16" s="53" t="str">
        <f>報5!C43&amp;""</f>
        <v/>
      </c>
      <c r="I16" s="53" t="str">
        <f>報5!D43&amp;""</f>
        <v/>
      </c>
      <c r="J16" s="53" t="str">
        <f>報5!E43&amp;""</f>
        <v/>
      </c>
      <c r="K16" s="53" t="str">
        <f>報5!F43&amp;""</f>
        <v/>
      </c>
      <c r="L16" s="53" t="str">
        <f>報5!K43&amp;""</f>
        <v/>
      </c>
    </row>
    <row r="17" spans="2:12">
      <c r="B17" s="53" t="str">
        <f>はじめに!$B$6&amp;""</f>
        <v/>
      </c>
      <c r="C17" s="53" t="str">
        <f t="shared" si="0"/>
        <v/>
      </c>
      <c r="D17" s="53">
        <f t="shared" si="1"/>
        <v>2024</v>
      </c>
      <c r="E17" s="53" t="str">
        <f>集計_報告!$E$5</f>
        <v/>
      </c>
      <c r="F17" s="53" t="str">
        <f t="shared" si="2"/>
        <v>新規</v>
      </c>
      <c r="G17" s="53">
        <f>報5!B46</f>
        <v>13</v>
      </c>
      <c r="H17" s="53" t="str">
        <f>報5!C46&amp;""</f>
        <v/>
      </c>
      <c r="I17" s="53" t="str">
        <f>報5!D46&amp;""</f>
        <v/>
      </c>
      <c r="J17" s="53" t="str">
        <f>報5!E46&amp;""</f>
        <v/>
      </c>
      <c r="K17" s="53" t="str">
        <f>報5!F46&amp;""</f>
        <v/>
      </c>
      <c r="L17" s="53" t="str">
        <f>報5!K46&amp;""</f>
        <v/>
      </c>
    </row>
    <row r="18" spans="2:12">
      <c r="B18" s="53" t="str">
        <f>はじめに!$B$6&amp;""</f>
        <v/>
      </c>
      <c r="C18" s="53" t="str">
        <f t="shared" si="0"/>
        <v/>
      </c>
      <c r="D18" s="53">
        <f t="shared" si="1"/>
        <v>2024</v>
      </c>
      <c r="E18" s="53" t="str">
        <f>集計_報告!$E$5</f>
        <v/>
      </c>
      <c r="F18" s="53" t="str">
        <f t="shared" si="2"/>
        <v>新規</v>
      </c>
      <c r="G18" s="53">
        <f>報5!B49</f>
        <v>14</v>
      </c>
      <c r="H18" s="53" t="str">
        <f>報5!C49&amp;""</f>
        <v/>
      </c>
      <c r="I18" s="53" t="str">
        <f>報5!D49&amp;""</f>
        <v/>
      </c>
      <c r="J18" s="53" t="str">
        <f>報5!E49&amp;""</f>
        <v/>
      </c>
      <c r="K18" s="53" t="str">
        <f>報5!F49&amp;""</f>
        <v/>
      </c>
      <c r="L18" s="53" t="str">
        <f>報5!K49&amp;""</f>
        <v/>
      </c>
    </row>
    <row r="19" spans="2:12">
      <c r="B19" s="53" t="str">
        <f>はじめに!$B$6&amp;""</f>
        <v/>
      </c>
      <c r="C19" s="53" t="str">
        <f t="shared" si="0"/>
        <v/>
      </c>
      <c r="D19" s="53">
        <f t="shared" si="1"/>
        <v>2024</v>
      </c>
      <c r="E19" s="53" t="str">
        <f>集計_報告!$E$5</f>
        <v/>
      </c>
      <c r="F19" s="53" t="str">
        <f t="shared" si="2"/>
        <v>新規</v>
      </c>
      <c r="G19" s="53">
        <f>報5!B52</f>
        <v>15</v>
      </c>
      <c r="H19" s="53" t="str">
        <f>報5!C52&amp;""</f>
        <v/>
      </c>
      <c r="I19" s="53" t="str">
        <f>報5!D52&amp;""</f>
        <v/>
      </c>
      <c r="J19" s="53" t="str">
        <f>報5!E52&amp;""</f>
        <v/>
      </c>
      <c r="K19" s="53" t="str">
        <f>報5!F52&amp;""</f>
        <v/>
      </c>
      <c r="L19" s="53" t="str">
        <f>報5!K52&amp;""</f>
        <v/>
      </c>
    </row>
    <row r="20" spans="2:12">
      <c r="B20" s="53" t="str">
        <f>はじめに!$B$6&amp;""</f>
        <v/>
      </c>
      <c r="C20" s="53" t="str">
        <f t="shared" si="0"/>
        <v/>
      </c>
      <c r="D20" s="53">
        <f t="shared" si="1"/>
        <v>2024</v>
      </c>
      <c r="E20" s="53" t="str">
        <f>集計_報告!$E$5</f>
        <v/>
      </c>
      <c r="F20" s="53" t="str">
        <f t="shared" si="2"/>
        <v>新規</v>
      </c>
      <c r="G20" s="53">
        <f>報5!B55</f>
        <v>16</v>
      </c>
      <c r="H20" s="53" t="str">
        <f>報5!C55&amp;""</f>
        <v/>
      </c>
      <c r="I20" s="53" t="str">
        <f>報5!D55&amp;""</f>
        <v/>
      </c>
      <c r="J20" s="53" t="str">
        <f>報5!E55&amp;""</f>
        <v/>
      </c>
      <c r="K20" s="53" t="str">
        <f>報5!F55&amp;""</f>
        <v/>
      </c>
      <c r="L20" s="53" t="str">
        <f>報5!K55&amp;""</f>
        <v/>
      </c>
    </row>
    <row r="21" spans="2:12">
      <c r="B21" s="53" t="str">
        <f>はじめに!$B$6&amp;""</f>
        <v/>
      </c>
      <c r="C21" s="53" t="str">
        <f t="shared" si="0"/>
        <v/>
      </c>
      <c r="D21" s="53">
        <f t="shared" si="1"/>
        <v>2024</v>
      </c>
      <c r="E21" s="53" t="str">
        <f>集計_報告!$E$5</f>
        <v/>
      </c>
      <c r="F21" s="53" t="str">
        <f t="shared" si="2"/>
        <v>新規</v>
      </c>
      <c r="G21" s="53">
        <f>報5!B58</f>
        <v>17</v>
      </c>
      <c r="H21" s="53" t="str">
        <f>報5!C58&amp;""</f>
        <v/>
      </c>
      <c r="I21" s="53" t="str">
        <f>報5!D58&amp;""</f>
        <v/>
      </c>
      <c r="J21" s="53" t="str">
        <f>報5!E58&amp;""</f>
        <v/>
      </c>
      <c r="K21" s="53" t="str">
        <f>報5!F58&amp;""</f>
        <v/>
      </c>
      <c r="L21" s="53" t="str">
        <f>報5!K58&amp;""</f>
        <v/>
      </c>
    </row>
    <row r="22" spans="2:12">
      <c r="B22" s="53" t="str">
        <f>はじめに!$B$6&amp;""</f>
        <v/>
      </c>
      <c r="C22" s="53" t="str">
        <f t="shared" si="0"/>
        <v/>
      </c>
      <c r="D22" s="53">
        <f t="shared" si="1"/>
        <v>2024</v>
      </c>
      <c r="E22" s="53" t="str">
        <f>集計_報告!$E$5</f>
        <v/>
      </c>
      <c r="F22" s="53" t="str">
        <f t="shared" si="2"/>
        <v>新規</v>
      </c>
      <c r="G22" s="53">
        <f>報5!B61</f>
        <v>18</v>
      </c>
      <c r="H22" s="53" t="str">
        <f>報5!C61&amp;""</f>
        <v/>
      </c>
      <c r="I22" s="53" t="str">
        <f>報5!D61&amp;""</f>
        <v/>
      </c>
      <c r="J22" s="53" t="str">
        <f>報5!E61&amp;""</f>
        <v/>
      </c>
      <c r="K22" s="53" t="str">
        <f>報5!F61&amp;""</f>
        <v/>
      </c>
      <c r="L22" s="53" t="str">
        <f>報5!K61&amp;""</f>
        <v/>
      </c>
    </row>
    <row r="23" spans="2:12">
      <c r="B23" s="53" t="str">
        <f>はじめに!$B$6&amp;""</f>
        <v/>
      </c>
      <c r="C23" s="53" t="str">
        <f t="shared" si="0"/>
        <v/>
      </c>
      <c r="D23" s="53">
        <f t="shared" si="1"/>
        <v>2024</v>
      </c>
      <c r="E23" s="53" t="str">
        <f>集計_報告!$E$5</f>
        <v/>
      </c>
      <c r="F23" s="53" t="str">
        <f t="shared" si="2"/>
        <v>新規</v>
      </c>
      <c r="G23" s="53">
        <f>報5!B64</f>
        <v>19</v>
      </c>
      <c r="H23" s="53" t="str">
        <f>報5!C64&amp;""</f>
        <v/>
      </c>
      <c r="I23" s="53" t="str">
        <f>報5!D64&amp;""</f>
        <v/>
      </c>
      <c r="J23" s="53" t="str">
        <f>報5!E64&amp;""</f>
        <v/>
      </c>
      <c r="K23" s="53" t="str">
        <f>報5!F64&amp;""</f>
        <v/>
      </c>
      <c r="L23" s="53" t="str">
        <f>報5!K64&amp;""</f>
        <v/>
      </c>
    </row>
    <row r="24" spans="2:12">
      <c r="B24" s="53" t="str">
        <f>はじめに!$B$6&amp;""</f>
        <v/>
      </c>
      <c r="C24" s="53" t="str">
        <f t="shared" si="0"/>
        <v/>
      </c>
      <c r="D24" s="53">
        <f t="shared" si="1"/>
        <v>2024</v>
      </c>
      <c r="E24" s="53" t="str">
        <f>集計_報告!$E$5</f>
        <v/>
      </c>
      <c r="F24" s="53" t="str">
        <f t="shared" si="2"/>
        <v>新規</v>
      </c>
      <c r="G24" s="53">
        <f>報5!B67</f>
        <v>20</v>
      </c>
      <c r="H24" s="53" t="str">
        <f>報5!C67&amp;""</f>
        <v/>
      </c>
      <c r="I24" s="53" t="str">
        <f>報5!D67&amp;""</f>
        <v/>
      </c>
      <c r="J24" s="53" t="str">
        <f>報5!E67&amp;""</f>
        <v/>
      </c>
      <c r="K24" s="53" t="str">
        <f>報5!F67&amp;""</f>
        <v/>
      </c>
      <c r="L24" s="53" t="str">
        <f>報5!K67&amp;""</f>
        <v/>
      </c>
    </row>
    <row r="25" spans="2:12">
      <c r="B25" s="53" t="str">
        <f>はじめに!$B$6&amp;""</f>
        <v/>
      </c>
      <c r="C25" s="53" t="str">
        <f t="shared" si="0"/>
        <v/>
      </c>
      <c r="D25" s="53">
        <f t="shared" si="1"/>
        <v>2024</v>
      </c>
      <c r="E25" s="53" t="str">
        <f>集計_報告!$E$5</f>
        <v/>
      </c>
      <c r="F25" s="53" t="str">
        <f t="shared" si="2"/>
        <v>新規</v>
      </c>
      <c r="G25" s="53">
        <f>報5!B70</f>
        <v>21</v>
      </c>
      <c r="H25" s="53" t="str">
        <f>報5!C70&amp;""</f>
        <v/>
      </c>
      <c r="I25" s="53" t="str">
        <f>報5!D70&amp;""</f>
        <v/>
      </c>
      <c r="J25" s="53" t="str">
        <f>報5!E70&amp;""</f>
        <v/>
      </c>
      <c r="K25" s="53" t="str">
        <f>報5!F70&amp;""</f>
        <v/>
      </c>
      <c r="L25" s="53" t="str">
        <f>報5!K70&amp;""</f>
        <v/>
      </c>
    </row>
    <row r="26" spans="2:12">
      <c r="B26" s="53" t="str">
        <f>はじめに!$B$6&amp;""</f>
        <v/>
      </c>
      <c r="C26" s="53" t="str">
        <f t="shared" si="0"/>
        <v/>
      </c>
      <c r="D26" s="53">
        <f t="shared" si="1"/>
        <v>2024</v>
      </c>
      <c r="E26" s="53" t="str">
        <f>集計_報告!$E$5</f>
        <v/>
      </c>
      <c r="F26" s="53" t="str">
        <f t="shared" si="2"/>
        <v>新規</v>
      </c>
      <c r="G26" s="53">
        <f>報5!B73</f>
        <v>22</v>
      </c>
      <c r="H26" s="53" t="str">
        <f>報5!C73&amp;""</f>
        <v/>
      </c>
      <c r="I26" s="53" t="str">
        <f>報5!D73&amp;""</f>
        <v/>
      </c>
      <c r="J26" s="53" t="str">
        <f>報5!E73&amp;""</f>
        <v/>
      </c>
      <c r="K26" s="53" t="str">
        <f>報5!F73&amp;""</f>
        <v/>
      </c>
      <c r="L26" s="53" t="str">
        <f>報5!K73&amp;""</f>
        <v/>
      </c>
    </row>
    <row r="27" spans="2:12">
      <c r="B27" s="53" t="str">
        <f>はじめに!$B$6&amp;""</f>
        <v/>
      </c>
      <c r="C27" s="53" t="str">
        <f t="shared" si="0"/>
        <v/>
      </c>
      <c r="D27" s="53">
        <f t="shared" si="1"/>
        <v>2024</v>
      </c>
      <c r="E27" s="53" t="str">
        <f>集計_報告!$E$5</f>
        <v/>
      </c>
      <c r="F27" s="53" t="str">
        <f t="shared" si="2"/>
        <v>新規</v>
      </c>
      <c r="G27" s="53">
        <f>報5!B76</f>
        <v>23</v>
      </c>
      <c r="H27" s="53" t="str">
        <f>報5!C76&amp;""</f>
        <v/>
      </c>
      <c r="I27" s="53" t="str">
        <f>報5!D76&amp;""</f>
        <v/>
      </c>
      <c r="J27" s="53" t="str">
        <f>報5!E76&amp;""</f>
        <v/>
      </c>
      <c r="K27" s="53" t="str">
        <f>報5!F76&amp;""</f>
        <v/>
      </c>
      <c r="L27" s="53" t="str">
        <f>報5!K76&amp;""</f>
        <v/>
      </c>
    </row>
    <row r="28" spans="2:12">
      <c r="B28" s="53" t="str">
        <f>はじめに!$B$6&amp;""</f>
        <v/>
      </c>
      <c r="C28" s="53" t="str">
        <f t="shared" si="0"/>
        <v/>
      </c>
      <c r="D28" s="53">
        <f t="shared" si="1"/>
        <v>2024</v>
      </c>
      <c r="E28" s="53" t="str">
        <f>集計_報告!$E$5</f>
        <v/>
      </c>
      <c r="F28" s="53" t="str">
        <f t="shared" si="2"/>
        <v>新規</v>
      </c>
      <c r="G28" s="53">
        <f>報5!B79</f>
        <v>24</v>
      </c>
      <c r="H28" s="53" t="str">
        <f>報5!C79&amp;""</f>
        <v/>
      </c>
      <c r="I28" s="53" t="str">
        <f>報5!D79&amp;""</f>
        <v/>
      </c>
      <c r="J28" s="53" t="str">
        <f>報5!E79&amp;""</f>
        <v/>
      </c>
      <c r="K28" s="53" t="str">
        <f>報5!F79&amp;""</f>
        <v/>
      </c>
      <c r="L28" s="53" t="str">
        <f>報5!K79&amp;""</f>
        <v/>
      </c>
    </row>
    <row r="29" spans="2:12">
      <c r="B29" s="53" t="str">
        <f>はじめに!$B$6&amp;""</f>
        <v/>
      </c>
      <c r="C29" s="53" t="str">
        <f t="shared" si="0"/>
        <v/>
      </c>
      <c r="D29" s="53">
        <f t="shared" si="1"/>
        <v>2024</v>
      </c>
      <c r="E29" s="53" t="str">
        <f>集計_報告!$E$5</f>
        <v/>
      </c>
      <c r="F29" s="53" t="str">
        <f t="shared" si="2"/>
        <v>新規</v>
      </c>
      <c r="G29" s="53">
        <f>報5!B82</f>
        <v>25</v>
      </c>
      <c r="H29" s="53" t="str">
        <f>報5!C82&amp;""</f>
        <v/>
      </c>
      <c r="I29" s="53" t="str">
        <f>報5!D82&amp;""</f>
        <v/>
      </c>
      <c r="J29" s="53" t="str">
        <f>報5!E82&amp;""</f>
        <v/>
      </c>
      <c r="K29" s="53" t="str">
        <f>報5!F82&amp;""</f>
        <v/>
      </c>
      <c r="L29" s="53" t="str">
        <f>報5!K82&amp;""</f>
        <v/>
      </c>
    </row>
    <row r="30" spans="2:12">
      <c r="B30" s="53" t="str">
        <f>はじめに!$B$6&amp;""</f>
        <v/>
      </c>
      <c r="C30" s="53" t="str">
        <f t="shared" si="0"/>
        <v/>
      </c>
      <c r="D30" s="53">
        <f t="shared" si="1"/>
        <v>2024</v>
      </c>
      <c r="E30" s="53" t="str">
        <f>集計_報告!$E$5</f>
        <v/>
      </c>
      <c r="F30" s="53" t="str">
        <f t="shared" si="2"/>
        <v>新規</v>
      </c>
      <c r="G30" s="53">
        <f>報5!B85</f>
        <v>26</v>
      </c>
      <c r="H30" s="53" t="str">
        <f>報5!C85&amp;""</f>
        <v/>
      </c>
      <c r="I30" s="53" t="str">
        <f>報5!D85&amp;""</f>
        <v/>
      </c>
      <c r="J30" s="53" t="str">
        <f>報5!E85&amp;""</f>
        <v/>
      </c>
      <c r="K30" s="53" t="str">
        <f>報5!F85&amp;""</f>
        <v/>
      </c>
      <c r="L30" s="53" t="str">
        <f>報5!K85&amp;""</f>
        <v/>
      </c>
    </row>
    <row r="31" spans="2:12">
      <c r="B31" s="53" t="str">
        <f>はじめに!$B$6&amp;""</f>
        <v/>
      </c>
      <c r="C31" s="53" t="str">
        <f t="shared" si="0"/>
        <v/>
      </c>
      <c r="D31" s="53">
        <f t="shared" si="1"/>
        <v>2024</v>
      </c>
      <c r="E31" s="53" t="str">
        <f>集計_報告!$E$5</f>
        <v/>
      </c>
      <c r="F31" s="53" t="str">
        <f t="shared" si="2"/>
        <v>新規</v>
      </c>
      <c r="G31" s="53">
        <f>報5!B88</f>
        <v>27</v>
      </c>
      <c r="H31" s="53" t="str">
        <f>報5!C88&amp;""</f>
        <v/>
      </c>
      <c r="I31" s="53" t="str">
        <f>報5!D88&amp;""</f>
        <v/>
      </c>
      <c r="J31" s="53" t="str">
        <f>報5!E88&amp;""</f>
        <v/>
      </c>
      <c r="K31" s="53" t="str">
        <f>報5!F88&amp;""</f>
        <v/>
      </c>
      <c r="L31" s="53" t="str">
        <f>報5!K88&amp;""</f>
        <v/>
      </c>
    </row>
    <row r="32" spans="2:12">
      <c r="B32" s="53" t="str">
        <f>はじめに!$B$6&amp;""</f>
        <v/>
      </c>
      <c r="C32" s="53" t="str">
        <f t="shared" si="0"/>
        <v/>
      </c>
      <c r="D32" s="53">
        <f t="shared" si="1"/>
        <v>2024</v>
      </c>
      <c r="E32" s="53" t="str">
        <f>集計_報告!$E$5</f>
        <v/>
      </c>
      <c r="F32" s="53" t="str">
        <f t="shared" si="2"/>
        <v>新規</v>
      </c>
      <c r="G32" s="53">
        <f>報5!B91</f>
        <v>28</v>
      </c>
      <c r="H32" s="53" t="str">
        <f>報5!C91&amp;""</f>
        <v/>
      </c>
      <c r="I32" s="53" t="str">
        <f>報5!D91&amp;""</f>
        <v/>
      </c>
      <c r="J32" s="53" t="str">
        <f>報5!E91&amp;""</f>
        <v/>
      </c>
      <c r="K32" s="53" t="str">
        <f>報5!F91&amp;""</f>
        <v/>
      </c>
      <c r="L32" s="53" t="str">
        <f>報5!K91&amp;""</f>
        <v/>
      </c>
    </row>
    <row r="33" spans="2:12">
      <c r="B33" s="53" t="str">
        <f>はじめに!$B$6&amp;""</f>
        <v/>
      </c>
      <c r="C33" s="53" t="str">
        <f t="shared" si="0"/>
        <v/>
      </c>
      <c r="D33" s="53">
        <f t="shared" si="1"/>
        <v>2024</v>
      </c>
      <c r="E33" s="53" t="str">
        <f>集計_報告!$E$5</f>
        <v/>
      </c>
      <c r="F33" s="53" t="str">
        <f t="shared" si="2"/>
        <v>新規</v>
      </c>
      <c r="G33" s="53">
        <f>報5!B94</f>
        <v>29</v>
      </c>
      <c r="H33" s="53" t="str">
        <f>報5!C94&amp;""</f>
        <v/>
      </c>
      <c r="I33" s="53" t="str">
        <f>報5!D94&amp;""</f>
        <v/>
      </c>
      <c r="J33" s="53" t="str">
        <f>報5!E94&amp;""</f>
        <v/>
      </c>
      <c r="K33" s="53" t="str">
        <f>報5!F94&amp;""</f>
        <v/>
      </c>
      <c r="L33" s="53" t="str">
        <f>報5!K94&amp;""</f>
        <v/>
      </c>
    </row>
    <row r="34" spans="2:12">
      <c r="B34" s="53" t="str">
        <f>はじめに!$B$6&amp;""</f>
        <v/>
      </c>
      <c r="C34" s="53" t="str">
        <f t="shared" si="0"/>
        <v/>
      </c>
      <c r="D34" s="53">
        <f t="shared" si="1"/>
        <v>2024</v>
      </c>
      <c r="E34" s="53" t="str">
        <f>集計_報告!$E$5</f>
        <v/>
      </c>
      <c r="F34" s="53" t="str">
        <f t="shared" si="2"/>
        <v>新規</v>
      </c>
      <c r="G34" s="53">
        <f>報5!B97</f>
        <v>30</v>
      </c>
      <c r="H34" s="53" t="str">
        <f>報5!C97&amp;""</f>
        <v/>
      </c>
      <c r="I34" s="53" t="str">
        <f>報5!D97&amp;""</f>
        <v/>
      </c>
      <c r="J34" s="53" t="str">
        <f>報5!E97&amp;""</f>
        <v/>
      </c>
      <c r="K34" s="53" t="str">
        <f>報5!F97&amp;""</f>
        <v/>
      </c>
      <c r="L34" s="53" t="str">
        <f>報5!K97&amp;""</f>
        <v/>
      </c>
    </row>
  </sheetData>
  <phoneticPr fontId="15"/>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o19</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AC</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513" priority="8">
      <formula>ISERROR(D22)</formula>
    </cfRule>
  </conditionalFormatting>
  <conditionalFormatting sqref="B111:S112 B65:C65 Q65:Q110 H105:N105 H65:I104 L65:N104 H106:I110 L106:N110 B66:B110 F66:F104">
    <cfRule type="containsErrors" dxfId="512" priority="7">
      <formula>ISERROR(B65)</formula>
    </cfRule>
  </conditionalFormatting>
  <conditionalFormatting sqref="O105:P105">
    <cfRule type="containsErrors" dxfId="511" priority="6">
      <formula>ISERROR(O105)</formula>
    </cfRule>
  </conditionalFormatting>
  <conditionalFormatting sqref="R65:S110">
    <cfRule type="containsErrors" dxfId="510" priority="5">
      <formula>ISERROR(R65)</formula>
    </cfRule>
  </conditionalFormatting>
  <conditionalFormatting sqref="C106">
    <cfRule type="containsErrors" dxfId="509" priority="4">
      <formula>ISERROR(C106)</formula>
    </cfRule>
  </conditionalFormatting>
  <conditionalFormatting sqref="C107:C110">
    <cfRule type="containsErrors" dxfId="508" priority="3">
      <formula>ISERROR(C107)</formula>
    </cfRule>
  </conditionalFormatting>
  <conditionalFormatting sqref="D67 D69 D71 D73 D75 D77 D79 D81 D83 D85 D87 D89 D91 D93 D95 D97 D99 D101 D103">
    <cfRule type="containsErrors" dxfId="507" priority="2">
      <formula>ISERROR(D67)</formula>
    </cfRule>
  </conditionalFormatting>
  <conditionalFormatting sqref="C67 C69 C71 C73 C75 C77 C79 C81 C83 C85 C87 C89 C91 C93 C95 C97 C99 C101 C103">
    <cfRule type="containsErrors" dxfId="506" priority="1">
      <formula>ISERROR(C67)</formula>
    </cfRule>
  </conditionalFormatting>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outlinePr summaryBelow="0" summaryRight="0"/>
  </sheetPr>
  <dimension ref="B1:U519"/>
  <sheetViews>
    <sheetView workbookViewId="0">
      <pane xSplit="6" ySplit="31" topLeftCell="G56"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o20</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AD</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505" priority="8">
      <formula>ISERROR(D22)</formula>
    </cfRule>
  </conditionalFormatting>
  <conditionalFormatting sqref="B111:S112 B65:C65 Q65:Q110 H105:N105 H65:I104 L65:N104 H106:I110 L106:N110 B66:B110 F66:F104">
    <cfRule type="containsErrors" dxfId="504" priority="7">
      <formula>ISERROR(B65)</formula>
    </cfRule>
  </conditionalFormatting>
  <conditionalFormatting sqref="O105:P105">
    <cfRule type="containsErrors" dxfId="503" priority="6">
      <formula>ISERROR(O105)</formula>
    </cfRule>
  </conditionalFormatting>
  <conditionalFormatting sqref="R65:S110">
    <cfRule type="containsErrors" dxfId="502" priority="5">
      <formula>ISERROR(R65)</formula>
    </cfRule>
  </conditionalFormatting>
  <conditionalFormatting sqref="C106">
    <cfRule type="containsErrors" dxfId="501" priority="4">
      <formula>ISERROR(C106)</formula>
    </cfRule>
  </conditionalFormatting>
  <conditionalFormatting sqref="C107:C110">
    <cfRule type="containsErrors" dxfId="500" priority="3">
      <formula>ISERROR(C107)</formula>
    </cfRule>
  </conditionalFormatting>
  <conditionalFormatting sqref="D67 D69 D71 D73 D75 D77 D79 D81 D83 D85 D87 D89 D91 D93 D95 D97 D99 D101 D103">
    <cfRule type="containsErrors" dxfId="499" priority="2">
      <formula>ISERROR(D67)</formula>
    </cfRule>
  </conditionalFormatting>
  <conditionalFormatting sqref="C67 C69 C71 C73 C75 C77 C79 C81 C83 C85 C87 C89 C91 C93 C95 C97 C99 C101 C103">
    <cfRule type="containsErrors" dxfId="498" priority="1">
      <formula>ISERROR(C67)</formula>
    </cfRule>
  </conditionalFormatting>
  <pageMargins left="0.7" right="0.7" top="0.75" bottom="0.75" header="0.3" footer="0.3"/>
  <pageSetup paperSize="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o21</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AE</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497" priority="8">
      <formula>ISERROR(D22)</formula>
    </cfRule>
  </conditionalFormatting>
  <conditionalFormatting sqref="B111:S112 B65:C65 Q65:Q110 H105:N105 H65:I104 L65:N104 H106:I110 L106:N110 B66:B110 F66:F104">
    <cfRule type="containsErrors" dxfId="496" priority="7">
      <formula>ISERROR(B65)</formula>
    </cfRule>
  </conditionalFormatting>
  <conditionalFormatting sqref="O105:P105">
    <cfRule type="containsErrors" dxfId="495" priority="6">
      <formula>ISERROR(O105)</formula>
    </cfRule>
  </conditionalFormatting>
  <conditionalFormatting sqref="R65:S110">
    <cfRule type="containsErrors" dxfId="494" priority="5">
      <formula>ISERROR(R65)</formula>
    </cfRule>
  </conditionalFormatting>
  <conditionalFormatting sqref="C106">
    <cfRule type="containsErrors" dxfId="493" priority="4">
      <formula>ISERROR(C106)</formula>
    </cfRule>
  </conditionalFormatting>
  <conditionalFormatting sqref="C107:C110">
    <cfRule type="containsErrors" dxfId="492" priority="3">
      <formula>ISERROR(C107)</formula>
    </cfRule>
  </conditionalFormatting>
  <conditionalFormatting sqref="D67 D69 D71 D73 D75 D77 D79 D81 D83 D85 D87 D89 D91 D93 D95 D97 D99 D101 D103">
    <cfRule type="containsErrors" dxfId="491" priority="2">
      <formula>ISERROR(D67)</formula>
    </cfRule>
  </conditionalFormatting>
  <conditionalFormatting sqref="C67 C69 C71 C73 C75 C77 C79 C81 C83 C85 C87 C89 C91 C93 C95 C97 C99 C101 C103">
    <cfRule type="containsErrors" dxfId="490" priority="1">
      <formula>ISERROR(C67)</formula>
    </cfRule>
  </conditionalFormatting>
  <pageMargins left="0.7" right="0.7" top="0.75" bottom="0.75" header="0.3" footer="0.3"/>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3">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o22</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AF</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489" priority="8">
      <formula>ISERROR(D22)</formula>
    </cfRule>
  </conditionalFormatting>
  <conditionalFormatting sqref="B111:S112 B65:C65 Q65:Q110 H105:N105 H65:I104 L65:N104 H106:I110 L106:N110 B66:B110 F66:F104">
    <cfRule type="containsErrors" dxfId="488" priority="7">
      <formula>ISERROR(B65)</formula>
    </cfRule>
  </conditionalFormatting>
  <conditionalFormatting sqref="O105:P105">
    <cfRule type="containsErrors" dxfId="487" priority="6">
      <formula>ISERROR(O105)</formula>
    </cfRule>
  </conditionalFormatting>
  <conditionalFormatting sqref="R65:S110">
    <cfRule type="containsErrors" dxfId="486" priority="5">
      <formula>ISERROR(R65)</formula>
    </cfRule>
  </conditionalFormatting>
  <conditionalFormatting sqref="C106">
    <cfRule type="containsErrors" dxfId="485" priority="4">
      <formula>ISERROR(C106)</formula>
    </cfRule>
  </conditionalFormatting>
  <conditionalFormatting sqref="C107:C110">
    <cfRule type="containsErrors" dxfId="484" priority="3">
      <formula>ISERROR(C107)</formula>
    </cfRule>
  </conditionalFormatting>
  <conditionalFormatting sqref="D67 D69 D71 D73 D75 D77 D79 D81 D83 D85 D87 D89 D91 D93 D95 D97 D99 D101 D103">
    <cfRule type="containsErrors" dxfId="483" priority="2">
      <formula>ISERROR(D67)</formula>
    </cfRule>
  </conditionalFormatting>
  <conditionalFormatting sqref="C67 C69 C71 C73 C75 C77 C79 C81 C83 C85 C87 C89 C91 C93 C95 C97 C99 C101 C103">
    <cfRule type="containsErrors" dxfId="482" priority="1">
      <formula>ISERROR(C67)</formula>
    </cfRule>
  </conditionalFormatting>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4">
    <outlinePr summaryBelow="0" summaryRight="0"/>
  </sheetPr>
  <dimension ref="B1:U519"/>
  <sheetViews>
    <sheetView workbookViewId="0">
      <pane xSplit="6" ySplit="31" topLeftCell="G56"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o23</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AG</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481" priority="8">
      <formula>ISERROR(D22)</formula>
    </cfRule>
  </conditionalFormatting>
  <conditionalFormatting sqref="B111:S112 B65:C65 Q65:Q110 H105:N105 H65:I104 L65:N104 H106:I110 L106:N110 B66:B110 F66:F104">
    <cfRule type="containsErrors" dxfId="480" priority="7">
      <formula>ISERROR(B65)</formula>
    </cfRule>
  </conditionalFormatting>
  <conditionalFormatting sqref="O105:P105">
    <cfRule type="containsErrors" dxfId="479" priority="6">
      <formula>ISERROR(O105)</formula>
    </cfRule>
  </conditionalFormatting>
  <conditionalFormatting sqref="R65:S110">
    <cfRule type="containsErrors" dxfId="478" priority="5">
      <formula>ISERROR(R65)</formula>
    </cfRule>
  </conditionalFormatting>
  <conditionalFormatting sqref="C106">
    <cfRule type="containsErrors" dxfId="477" priority="4">
      <formula>ISERROR(C106)</formula>
    </cfRule>
  </conditionalFormatting>
  <conditionalFormatting sqref="C107:C110">
    <cfRule type="containsErrors" dxfId="476" priority="3">
      <formula>ISERROR(C107)</formula>
    </cfRule>
  </conditionalFormatting>
  <conditionalFormatting sqref="D67 D69 D71 D73 D75 D77 D79 D81 D83 D85 D87 D89 D91 D93 D95 D97 D99 D101 D103">
    <cfRule type="containsErrors" dxfId="475" priority="2">
      <formula>ISERROR(D67)</formula>
    </cfRule>
  </conditionalFormatting>
  <conditionalFormatting sqref="C67 C69 C71 C73 C75 C77 C79 C81 C83 C85 C87 C89 C91 C93 C95 C97 C99 C101 C103">
    <cfRule type="containsErrors" dxfId="474" priority="1">
      <formula>ISERROR(C67)</formula>
    </cfRule>
  </conditionalFormatting>
  <pageMargins left="0.7" right="0.7" top="0.75" bottom="0.75" header="0.3" footer="0.3"/>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1">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o24</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AH</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473" priority="8">
      <formula>ISERROR(D22)</formula>
    </cfRule>
  </conditionalFormatting>
  <conditionalFormatting sqref="B111:S112 B65:C65 Q65:Q110 H105:N105 H65:I104 L65:N104 H106:I110 L106:N110 B66:B110 F66:F104">
    <cfRule type="containsErrors" dxfId="472" priority="7">
      <formula>ISERROR(B65)</formula>
    </cfRule>
  </conditionalFormatting>
  <conditionalFormatting sqref="O105:P105">
    <cfRule type="containsErrors" dxfId="471" priority="6">
      <formula>ISERROR(O105)</formula>
    </cfRule>
  </conditionalFormatting>
  <conditionalFormatting sqref="R65:S110">
    <cfRule type="containsErrors" dxfId="470" priority="5">
      <formula>ISERROR(R65)</formula>
    </cfRule>
  </conditionalFormatting>
  <conditionalFormatting sqref="C106">
    <cfRule type="containsErrors" dxfId="469" priority="4">
      <formula>ISERROR(C106)</formula>
    </cfRule>
  </conditionalFormatting>
  <conditionalFormatting sqref="C107:C110">
    <cfRule type="containsErrors" dxfId="468" priority="3">
      <formula>ISERROR(C107)</formula>
    </cfRule>
  </conditionalFormatting>
  <conditionalFormatting sqref="D67 D69 D71 D73 D75 D77 D79 D81 D83 D85 D87 D89 D91 D93 D95 D97 D99 D101 D103">
    <cfRule type="containsErrors" dxfId="467" priority="2">
      <formula>ISERROR(D67)</formula>
    </cfRule>
  </conditionalFormatting>
  <conditionalFormatting sqref="C67 C69 C71 C73 C75 C77 C79 C81 C83 C85 C87 C89 C91 C93 C95 C97 C99 C101 C103">
    <cfRule type="containsErrors" dxfId="466" priority="1">
      <formula>ISERROR(C67)</formula>
    </cfRule>
  </conditionalFormatting>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2">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o25</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AI</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465" priority="8">
      <formula>ISERROR(D22)</formula>
    </cfRule>
  </conditionalFormatting>
  <conditionalFormatting sqref="B111:S112 B65:C65 Q65:Q110 H105:N105 H65:I104 L65:N104 H106:I110 L106:N110 B66:B110 F66:F104">
    <cfRule type="containsErrors" dxfId="464" priority="7">
      <formula>ISERROR(B65)</formula>
    </cfRule>
  </conditionalFormatting>
  <conditionalFormatting sqref="O105:P105">
    <cfRule type="containsErrors" dxfId="463" priority="6">
      <formula>ISERROR(O105)</formula>
    </cfRule>
  </conditionalFormatting>
  <conditionalFormatting sqref="R65:S110">
    <cfRule type="containsErrors" dxfId="462" priority="5">
      <formula>ISERROR(R65)</formula>
    </cfRule>
  </conditionalFormatting>
  <conditionalFormatting sqref="C106">
    <cfRule type="containsErrors" dxfId="461" priority="4">
      <formula>ISERROR(C106)</formula>
    </cfRule>
  </conditionalFormatting>
  <conditionalFormatting sqref="C107:C110">
    <cfRule type="containsErrors" dxfId="460" priority="3">
      <formula>ISERROR(C107)</formula>
    </cfRule>
  </conditionalFormatting>
  <conditionalFormatting sqref="D67 D69 D71 D73 D75 D77 D79 D81 D83 D85 D87 D89 D91 D93 D95 D97 D99 D101 D103">
    <cfRule type="containsErrors" dxfId="459" priority="2">
      <formula>ISERROR(D67)</formula>
    </cfRule>
  </conditionalFormatting>
  <conditionalFormatting sqref="C67 C69 C71 C73 C75 C77 C79 C81 C83 C85 C87 C89 C91 C93 C95 C97 C99 C101 C103">
    <cfRule type="containsErrors" dxfId="458" priority="1">
      <formula>ISERROR(C67)</formula>
    </cfRule>
  </conditionalFormatting>
  <pageMargins left="0.7" right="0.7" top="0.75" bottom="0.75" header="0.3" footer="0.3"/>
  <pageSetup paperSize="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3">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o26</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AJ</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457" priority="8">
      <formula>ISERROR(D22)</formula>
    </cfRule>
  </conditionalFormatting>
  <conditionalFormatting sqref="B111:S112 B65:C65 Q65:Q110 H105:N105 H65:I104 L65:N104 H106:I110 L106:N110 B66:B110 F66:F104">
    <cfRule type="containsErrors" dxfId="456" priority="7">
      <formula>ISERROR(B65)</formula>
    </cfRule>
  </conditionalFormatting>
  <conditionalFormatting sqref="O105:P105">
    <cfRule type="containsErrors" dxfId="455" priority="6">
      <formula>ISERROR(O105)</formula>
    </cfRule>
  </conditionalFormatting>
  <conditionalFormatting sqref="R65:S110">
    <cfRule type="containsErrors" dxfId="454" priority="5">
      <formula>ISERROR(R65)</formula>
    </cfRule>
  </conditionalFormatting>
  <conditionalFormatting sqref="C106">
    <cfRule type="containsErrors" dxfId="453" priority="4">
      <formula>ISERROR(C106)</formula>
    </cfRule>
  </conditionalFormatting>
  <conditionalFormatting sqref="C107:C110">
    <cfRule type="containsErrors" dxfId="452" priority="3">
      <formula>ISERROR(C107)</formula>
    </cfRule>
  </conditionalFormatting>
  <conditionalFormatting sqref="D67 D69 D71 D73 D75 D77 D79 D81 D83 D85 D87 D89 D91 D93 D95 D97 D99 D101 D103">
    <cfRule type="containsErrors" dxfId="451" priority="2">
      <formula>ISERROR(D67)</formula>
    </cfRule>
  </conditionalFormatting>
  <conditionalFormatting sqref="C67 C69 C71 C73 C75 C77 C79 C81 C83 C85 C87 C89 C91 C93 C95 C97 C99 C101 C103">
    <cfRule type="containsErrors" dxfId="450" priority="1">
      <formula>ISERROR(C67)</formula>
    </cfRule>
  </conditionalFormatting>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4">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o27</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AK</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449" priority="8">
      <formula>ISERROR(D22)</formula>
    </cfRule>
  </conditionalFormatting>
  <conditionalFormatting sqref="B111:S112 B65:C65 Q65:Q110 H105:N105 H65:I104 L65:N104 H106:I110 L106:N110 B66:B110 F66:F104">
    <cfRule type="containsErrors" dxfId="448" priority="7">
      <formula>ISERROR(B65)</formula>
    </cfRule>
  </conditionalFormatting>
  <conditionalFormatting sqref="O105:P105">
    <cfRule type="containsErrors" dxfId="447" priority="6">
      <formula>ISERROR(O105)</formula>
    </cfRule>
  </conditionalFormatting>
  <conditionalFormatting sqref="R65:S110">
    <cfRule type="containsErrors" dxfId="446" priority="5">
      <formula>ISERROR(R65)</formula>
    </cfRule>
  </conditionalFormatting>
  <conditionalFormatting sqref="C106">
    <cfRule type="containsErrors" dxfId="445" priority="4">
      <formula>ISERROR(C106)</formula>
    </cfRule>
  </conditionalFormatting>
  <conditionalFormatting sqref="C107:C110">
    <cfRule type="containsErrors" dxfId="444" priority="3">
      <formula>ISERROR(C107)</formula>
    </cfRule>
  </conditionalFormatting>
  <conditionalFormatting sqref="D67 D69 D71 D73 D75 D77 D79 D81 D83 D85 D87 D89 D91 D93 D95 D97 D99 D101 D103">
    <cfRule type="containsErrors" dxfId="443" priority="2">
      <formula>ISERROR(D67)</formula>
    </cfRule>
  </conditionalFormatting>
  <conditionalFormatting sqref="C67 C69 C71 C73 C75 C77 C79 C81 C83 C85 C87 C89 C91 C93 C95 C97 C99 C101 C103">
    <cfRule type="containsErrors" dxfId="442" priority="1">
      <formula>ISERROR(C67)</formula>
    </cfRule>
  </conditionalFormatting>
  <pageMargins left="0.7" right="0.7" top="0.75" bottom="0.75" header="0.3" footer="0.3"/>
  <pageSetup paperSize="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5">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o28</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AL</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441" priority="8">
      <formula>ISERROR(D22)</formula>
    </cfRule>
  </conditionalFormatting>
  <conditionalFormatting sqref="B111:S112 B65:C65 Q65:Q110 H105:N105 H65:I104 L65:N104 H106:I110 L106:N110 B66:B110 F66:F104">
    <cfRule type="containsErrors" dxfId="440" priority="7">
      <formula>ISERROR(B65)</formula>
    </cfRule>
  </conditionalFormatting>
  <conditionalFormatting sqref="O105:P105">
    <cfRule type="containsErrors" dxfId="439" priority="6">
      <formula>ISERROR(O105)</formula>
    </cfRule>
  </conditionalFormatting>
  <conditionalFormatting sqref="R65:S110">
    <cfRule type="containsErrors" dxfId="438" priority="5">
      <formula>ISERROR(R65)</formula>
    </cfRule>
  </conditionalFormatting>
  <conditionalFormatting sqref="C106">
    <cfRule type="containsErrors" dxfId="437" priority="4">
      <formula>ISERROR(C106)</formula>
    </cfRule>
  </conditionalFormatting>
  <conditionalFormatting sqref="C107:C110">
    <cfRule type="containsErrors" dxfId="436" priority="3">
      <formula>ISERROR(C107)</formula>
    </cfRule>
  </conditionalFormatting>
  <conditionalFormatting sqref="D67 D69 D71 D73 D75 D77 D79 D81 D83 D85 D87 D89 D91 D93 D95 D97 D99 D101 D103">
    <cfRule type="containsErrors" dxfId="435" priority="2">
      <formula>ISERROR(D67)</formula>
    </cfRule>
  </conditionalFormatting>
  <conditionalFormatting sqref="C67 C69 C71 C73 C75 C77 C79 C81 C83 C85 C87 C89 C91 C93 C95 C97 C99 C101 C103">
    <cfRule type="containsErrors" dxfId="434" priority="1">
      <formula>ISERROR(C67)</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8"/>
  <dimension ref="A1:W45"/>
  <sheetViews>
    <sheetView topLeftCell="F1" zoomScale="86" zoomScaleNormal="86" workbookViewId="0">
      <selection activeCell="AC9" sqref="AC9"/>
    </sheetView>
  </sheetViews>
  <sheetFormatPr defaultRowHeight="13.5"/>
  <cols>
    <col min="5" max="5" width="14.125" bestFit="1" customWidth="1"/>
  </cols>
  <sheetData>
    <row r="1" spans="1:23" s="1437" customFormat="1" ht="17.25">
      <c r="B1" s="1439" t="s">
        <v>4708</v>
      </c>
      <c r="E1" s="1543"/>
      <c r="F1" s="1535"/>
      <c r="I1" s="1448"/>
      <c r="J1" s="1544"/>
      <c r="K1" s="1545"/>
      <c r="N1" s="1535"/>
      <c r="O1" s="1449"/>
      <c r="P1" s="1450"/>
      <c r="Q1" s="1535"/>
      <c r="R1" s="1535"/>
      <c r="S1" s="1535"/>
    </row>
    <row r="2" spans="1:23" s="1437" customFormat="1">
      <c r="A2" s="1442"/>
      <c r="B2" s="1438"/>
      <c r="D2" s="1537"/>
      <c r="E2" s="1442"/>
      <c r="F2" s="1442"/>
      <c r="G2" s="1442"/>
      <c r="H2" s="1442"/>
      <c r="I2" s="1448"/>
      <c r="J2" s="1442"/>
      <c r="K2" s="1442"/>
      <c r="L2" s="1442"/>
      <c r="M2" s="1442"/>
      <c r="N2" s="1442"/>
      <c r="O2" s="1442"/>
      <c r="P2" s="1442"/>
      <c r="Q2" s="1442"/>
      <c r="R2" s="1442"/>
      <c r="S2" s="1546"/>
    </row>
    <row r="3" spans="1:23" s="1437" customFormat="1" ht="14.25">
      <c r="B3" s="1438"/>
      <c r="C3" s="1442"/>
      <c r="D3" s="1538"/>
      <c r="E3" s="1543"/>
      <c r="F3" s="1535"/>
      <c r="G3" s="1855" t="s">
        <v>4645</v>
      </c>
      <c r="H3" s="1855"/>
      <c r="I3" s="1855"/>
      <c r="J3" s="1855"/>
      <c r="K3" s="1855"/>
      <c r="L3" s="1855"/>
      <c r="M3" s="1855"/>
      <c r="N3" s="1847" t="s">
        <v>4646</v>
      </c>
      <c r="O3" s="1848"/>
      <c r="P3" s="1848"/>
      <c r="Q3" s="1848"/>
      <c r="R3" s="1848"/>
      <c r="S3" s="1849"/>
      <c r="T3" s="1821" t="s">
        <v>6031</v>
      </c>
    </row>
    <row r="4" spans="1:23" s="1437" customFormat="1" ht="17.25">
      <c r="B4" s="1856" t="s">
        <v>4556</v>
      </c>
      <c r="C4" s="1857"/>
      <c r="D4" s="1857"/>
      <c r="E4" s="1857"/>
      <c r="F4" s="1857"/>
      <c r="G4" s="1855"/>
      <c r="H4" s="1855"/>
      <c r="I4" s="1855"/>
      <c r="J4" s="1855"/>
      <c r="K4" s="1855"/>
      <c r="L4" s="1855"/>
      <c r="M4" s="1855"/>
      <c r="N4" s="1852" t="s">
        <v>4564</v>
      </c>
      <c r="O4" s="1853"/>
      <c r="P4" s="1853"/>
      <c r="Q4" s="1854"/>
      <c r="R4" s="1850" t="s">
        <v>4647</v>
      </c>
      <c r="S4" s="1851"/>
      <c r="T4" s="1819"/>
    </row>
    <row r="5" spans="1:23" s="1437" customFormat="1" ht="54.75" thickBot="1">
      <c r="B5" s="1588" t="s">
        <v>594</v>
      </c>
      <c r="C5" s="1589" t="s">
        <v>595</v>
      </c>
      <c r="D5" s="1590" t="s">
        <v>4252</v>
      </c>
      <c r="E5" s="1589" t="s">
        <v>4648</v>
      </c>
      <c r="F5" s="1591" t="s">
        <v>4643</v>
      </c>
      <c r="G5" s="1592" t="s">
        <v>4649</v>
      </c>
      <c r="H5" s="1593" t="s">
        <v>4650</v>
      </c>
      <c r="I5" s="1594" t="s">
        <v>4651</v>
      </c>
      <c r="J5" s="1595" t="s">
        <v>4652</v>
      </c>
      <c r="K5" s="1596" t="s">
        <v>4653</v>
      </c>
      <c r="L5" s="1597" t="s">
        <v>4654</v>
      </c>
      <c r="M5" s="1593" t="s">
        <v>4655</v>
      </c>
      <c r="N5" s="1592" t="s">
        <v>4612</v>
      </c>
      <c r="O5" s="1598" t="s">
        <v>4613</v>
      </c>
      <c r="P5" s="1589" t="s">
        <v>4615</v>
      </c>
      <c r="Q5" s="1599" t="s">
        <v>4307</v>
      </c>
      <c r="R5" s="1600" t="s">
        <v>4647</v>
      </c>
      <c r="S5" s="1601" t="s">
        <v>4688</v>
      </c>
      <c r="T5" s="1820" t="s">
        <v>6030</v>
      </c>
    </row>
    <row r="6" spans="1:23" ht="14.25" thickBot="1">
      <c r="B6" s="53" t="str">
        <f>はじめに!$B$6&amp;""</f>
        <v/>
      </c>
      <c r="C6" s="53" t="str">
        <f>報1!I8</f>
        <v/>
      </c>
      <c r="D6" s="53">
        <v>1</v>
      </c>
      <c r="E6" s="53" t="str">
        <f>CONCATENATE(B6,"_",F6,"_",D6)</f>
        <v>_新規_1</v>
      </c>
      <c r="F6" s="1587" t="str">
        <f>報1!M2</f>
        <v>新規</v>
      </c>
      <c r="G6" s="53" t="str">
        <f>報7!D6</f>
        <v>事業所名を入力1</v>
      </c>
      <c r="H6" s="53" t="str">
        <f>報7!D7&amp;""</f>
        <v/>
      </c>
      <c r="I6" s="1005" t="str">
        <f>報7!C8&amp;""</f>
        <v/>
      </c>
      <c r="J6" s="1005" t="str">
        <f ca="1">報7!H8</f>
        <v/>
      </c>
      <c r="K6" s="53" t="str">
        <f>報7!M8&amp;""</f>
        <v/>
      </c>
      <c r="L6" s="53" t="str">
        <f>報7!C9&amp;""</f>
        <v/>
      </c>
      <c r="M6" s="53" t="str">
        <f>報7!H9&amp;""</f>
        <v/>
      </c>
      <c r="N6" s="53">
        <f>報7!A16</f>
        <v>2023</v>
      </c>
      <c r="O6" s="1005" t="str">
        <f ca="1">参照元個別!E5</f>
        <v/>
      </c>
      <c r="P6" s="1621" t="str">
        <f>報7!$I$15</f>
        <v/>
      </c>
      <c r="Q6" s="53" t="str">
        <f>報7!$N$15</f>
        <v/>
      </c>
      <c r="R6" s="53" t="str">
        <f>報7!$C$17&amp;""</f>
        <v/>
      </c>
      <c r="S6" s="53" t="str">
        <f>IF(報7!$Q$23=1,"記入する",IF(報7!$Q$23=2,"記入しない",""))</f>
        <v/>
      </c>
      <c r="T6" s="53" t="str">
        <f>報7!P8</f>
        <v/>
      </c>
      <c r="W6" s="1122" t="str">
        <f ca="1">報7!H8</f>
        <v/>
      </c>
    </row>
    <row r="7" spans="1:23">
      <c r="B7" s="53" t="str">
        <f>はじめに!$B$6&amp;""</f>
        <v/>
      </c>
      <c r="C7" s="53" t="str">
        <f>$C$6</f>
        <v/>
      </c>
      <c r="D7" s="53">
        <v>2</v>
      </c>
      <c r="E7" s="53" t="str">
        <f t="shared" ref="E7:E45" si="0">CONCATENATE(B7,"_",F7,"_",D7)</f>
        <v>_新規_2</v>
      </c>
      <c r="F7" s="53" t="str">
        <f>$F$6</f>
        <v>新規</v>
      </c>
      <c r="G7" s="53" t="str">
        <f>報7!$D$31</f>
        <v>事業所名を入力2</v>
      </c>
      <c r="H7" s="53" t="str">
        <f>報7!$D$32&amp;""</f>
        <v/>
      </c>
      <c r="I7" s="53" t="str">
        <f>報7!$C$33&amp;""</f>
        <v/>
      </c>
      <c r="J7" s="1005" t="str">
        <f ca="1">報7!$H$33</f>
        <v/>
      </c>
      <c r="K7" s="53" t="str">
        <f>報7!$M$33&amp;""</f>
        <v/>
      </c>
      <c r="L7" s="53" t="str">
        <f>報7!$C$34&amp;""</f>
        <v/>
      </c>
      <c r="M7" s="53" t="str">
        <f>報7!$H$34&amp;""</f>
        <v/>
      </c>
      <c r="N7" s="53">
        <f>報7!$A$41</f>
        <v>2023</v>
      </c>
      <c r="O7" s="1005" t="str">
        <f ca="1">報7!$C$40</f>
        <v/>
      </c>
      <c r="P7" s="1621" t="str">
        <f>報7!$I$40</f>
        <v/>
      </c>
      <c r="Q7" s="53" t="str">
        <f>報7!$N$40</f>
        <v/>
      </c>
      <c r="R7" s="53" t="str">
        <f>報7!$C$42&amp;""</f>
        <v/>
      </c>
      <c r="S7" s="53" t="str">
        <f>IF(報7!$Q$48=1,"記入する",IF(報7!$Q$48=2,"記入しない",""))</f>
        <v/>
      </c>
      <c r="T7" s="53" t="str">
        <f>報7!P33</f>
        <v/>
      </c>
      <c r="W7" s="1122" t="str">
        <f ca="1">報7!$H$33</f>
        <v/>
      </c>
    </row>
    <row r="8" spans="1:23">
      <c r="B8" s="53" t="str">
        <f>はじめに!$B$6&amp;""</f>
        <v/>
      </c>
      <c r="C8" s="53" t="str">
        <f t="shared" ref="C8:C45" si="1">$C$6</f>
        <v/>
      </c>
      <c r="D8" s="53">
        <v>3</v>
      </c>
      <c r="E8" s="53" t="str">
        <f t="shared" si="0"/>
        <v>_新規_3</v>
      </c>
      <c r="F8" s="53" t="str">
        <f t="shared" ref="F8:F45" si="2">$F$6</f>
        <v>新規</v>
      </c>
      <c r="G8" s="1005" t="str">
        <f>報7!$D$56</f>
        <v>事業所名を入力3</v>
      </c>
      <c r="H8" s="53" t="str">
        <f>報7!$D$57&amp;""</f>
        <v/>
      </c>
      <c r="I8" s="53" t="str">
        <f>報7!$C$58&amp;""</f>
        <v/>
      </c>
      <c r="J8" s="1005" t="str">
        <f ca="1">報7!$H$58</f>
        <v/>
      </c>
      <c r="K8" s="53" t="str">
        <f>報7!$M$58&amp;""</f>
        <v/>
      </c>
      <c r="L8" s="53" t="str">
        <f>報7!$C$59&amp;""</f>
        <v/>
      </c>
      <c r="M8" s="53" t="str">
        <f>報7!$H$59&amp;""</f>
        <v/>
      </c>
      <c r="N8" s="53">
        <f>報7!$A$66</f>
        <v>2023</v>
      </c>
      <c r="O8" s="1005" t="str">
        <f ca="1">報7!$C$65</f>
        <v/>
      </c>
      <c r="P8" s="1621" t="str">
        <f>報7!$I$65</f>
        <v/>
      </c>
      <c r="Q8" s="53" t="str">
        <f>報7!$N$65</f>
        <v/>
      </c>
      <c r="R8" s="53" t="str">
        <f>報7!$C$67&amp;""</f>
        <v/>
      </c>
      <c r="S8" s="53" t="str">
        <f>IF(報7!$Q$73=1,"記入する",IF(報7!$Q$73=2,"記入しない",""))</f>
        <v/>
      </c>
      <c r="T8" s="53" t="str">
        <f>報7!P58</f>
        <v/>
      </c>
    </row>
    <row r="9" spans="1:23">
      <c r="B9" s="53" t="str">
        <f>はじめに!$B$6&amp;""</f>
        <v/>
      </c>
      <c r="C9" s="53" t="str">
        <f t="shared" si="1"/>
        <v/>
      </c>
      <c r="D9" s="53">
        <v>4</v>
      </c>
      <c r="E9" s="53" t="str">
        <f t="shared" si="0"/>
        <v>_新規_4</v>
      </c>
      <c r="F9" s="53" t="str">
        <f t="shared" si="2"/>
        <v>新規</v>
      </c>
      <c r="G9" s="1005" t="str">
        <f>報7!$D$81</f>
        <v>事業所名を入力4</v>
      </c>
      <c r="H9" s="53" t="str">
        <f>報7!$D$82&amp;""</f>
        <v/>
      </c>
      <c r="I9" s="53" t="str">
        <f>報7!$C$83&amp;""</f>
        <v/>
      </c>
      <c r="J9" s="1005" t="str">
        <f ca="1">報7!$H$83</f>
        <v/>
      </c>
      <c r="K9" s="53" t="str">
        <f>報7!$M$83&amp;""</f>
        <v/>
      </c>
      <c r="L9" s="53" t="str">
        <f>報7!$C$84&amp;""</f>
        <v/>
      </c>
      <c r="M9" s="53" t="str">
        <f>報7!$H$84&amp;""</f>
        <v/>
      </c>
      <c r="N9" s="53">
        <f>報7!$A$91</f>
        <v>2023</v>
      </c>
      <c r="O9" s="1005" t="str">
        <f ca="1">報7!$C$90</f>
        <v/>
      </c>
      <c r="P9" s="1621" t="str">
        <f>報7!$I$90</f>
        <v/>
      </c>
      <c r="Q9" s="53" t="str">
        <f>報7!$N$90</f>
        <v/>
      </c>
      <c r="R9" s="53" t="str">
        <f>報7!$C$92&amp;""</f>
        <v/>
      </c>
      <c r="S9" s="53" t="str">
        <f>IF(報7!$Q$98=1,"記入する",IF(報7!$Q$98=2,"記入しない",""))</f>
        <v/>
      </c>
      <c r="T9" s="53" t="str">
        <f>報7!P83</f>
        <v/>
      </c>
      <c r="V9" s="1815"/>
    </row>
    <row r="10" spans="1:23">
      <c r="B10" s="53" t="str">
        <f>はじめに!$B$6&amp;""</f>
        <v/>
      </c>
      <c r="C10" s="53" t="str">
        <f t="shared" si="1"/>
        <v/>
      </c>
      <c r="D10" s="53">
        <v>5</v>
      </c>
      <c r="E10" s="53" t="str">
        <f t="shared" si="0"/>
        <v>_新規_5</v>
      </c>
      <c r="F10" s="53" t="str">
        <f t="shared" si="2"/>
        <v>新規</v>
      </c>
      <c r="G10" s="1005" t="str">
        <f>報7!$D$106</f>
        <v>事業所名を入力5</v>
      </c>
      <c r="H10" s="53" t="str">
        <f>報7!$D$107&amp;""</f>
        <v/>
      </c>
      <c r="I10" s="53" t="str">
        <f>報7!$C$108&amp;""</f>
        <v/>
      </c>
      <c r="J10" s="1005" t="str">
        <f ca="1">報7!$H$108</f>
        <v/>
      </c>
      <c r="K10" s="53" t="str">
        <f>報7!$M$108&amp;""</f>
        <v/>
      </c>
      <c r="L10" s="53" t="str">
        <f>報7!$C$109&amp;""</f>
        <v/>
      </c>
      <c r="M10" s="53" t="str">
        <f>報7!$H$109&amp;""</f>
        <v/>
      </c>
      <c r="N10" s="53">
        <f>報7!$A$116</f>
        <v>2023</v>
      </c>
      <c r="O10" s="1005" t="str">
        <f ca="1">報7!$C$115</f>
        <v/>
      </c>
      <c r="P10" s="1621" t="str">
        <f>報7!$I$115</f>
        <v/>
      </c>
      <c r="Q10" s="53" t="str">
        <f>報7!$N$115</f>
        <v/>
      </c>
      <c r="R10" s="53" t="str">
        <f>報7!$C$117&amp;""</f>
        <v/>
      </c>
      <c r="S10" s="53" t="str">
        <f>IF(報7!$Q$123=1,"記入する",IF(報7!$Q$123=2,"記入しない",""))</f>
        <v/>
      </c>
      <c r="T10" s="53" t="str">
        <f>報7!P108</f>
        <v/>
      </c>
      <c r="V10" s="1815"/>
      <c r="W10" s="1122"/>
    </row>
    <row r="11" spans="1:23">
      <c r="B11" s="53" t="str">
        <f>はじめに!$B$6&amp;""</f>
        <v/>
      </c>
      <c r="C11" s="53" t="str">
        <f t="shared" si="1"/>
        <v/>
      </c>
      <c r="D11" s="53">
        <v>6</v>
      </c>
      <c r="E11" s="53" t="str">
        <f t="shared" si="0"/>
        <v>_新規_6</v>
      </c>
      <c r="F11" s="53" t="str">
        <f t="shared" si="2"/>
        <v>新規</v>
      </c>
      <c r="G11" s="1005" t="str">
        <f>報7!$D$131</f>
        <v>事業所名を入力6</v>
      </c>
      <c r="H11" s="53" t="str">
        <f>報7!$D$132&amp;""</f>
        <v/>
      </c>
      <c r="I11" s="53" t="str">
        <f>報7!$C$133&amp;""</f>
        <v/>
      </c>
      <c r="J11" s="1005" t="str">
        <f ca="1">報7!$H$133</f>
        <v/>
      </c>
      <c r="K11" s="53" t="str">
        <f>報7!$M$133&amp;""</f>
        <v/>
      </c>
      <c r="L11" s="53" t="str">
        <f>報7!$C$134&amp;""</f>
        <v/>
      </c>
      <c r="M11" s="53" t="str">
        <f>報7!$H$134&amp;""</f>
        <v/>
      </c>
      <c r="N11" s="53">
        <f>報7!$A$141</f>
        <v>2023</v>
      </c>
      <c r="O11" s="1005" t="str">
        <f ca="1">報7!$C$140</f>
        <v/>
      </c>
      <c r="P11" s="1621" t="str">
        <f>報7!$I$140</f>
        <v/>
      </c>
      <c r="Q11" s="53" t="str">
        <f>報7!$N$140</f>
        <v/>
      </c>
      <c r="R11" s="53" t="str">
        <f>報7!$C$142&amp;""</f>
        <v/>
      </c>
      <c r="S11" s="53" t="str">
        <f>IF(報7!$Q$148=1,"記入する",IF(報7!$Q$148=2,"記入しない",""))</f>
        <v/>
      </c>
      <c r="T11" s="53" t="str">
        <f>報7!P133</f>
        <v/>
      </c>
      <c r="V11" s="1815"/>
      <c r="W11" s="1122" t="str">
        <f ca="1">W6</f>
        <v/>
      </c>
    </row>
    <row r="12" spans="1:23">
      <c r="B12" s="53" t="str">
        <f>はじめに!$B$6&amp;""</f>
        <v/>
      </c>
      <c r="C12" s="53" t="str">
        <f t="shared" si="1"/>
        <v/>
      </c>
      <c r="D12" s="53">
        <v>7</v>
      </c>
      <c r="E12" s="53" t="str">
        <f t="shared" si="0"/>
        <v>_新規_7</v>
      </c>
      <c r="F12" s="53" t="str">
        <f t="shared" si="2"/>
        <v>新規</v>
      </c>
      <c r="G12" s="1005" t="str">
        <f>報7!$D$156</f>
        <v>事業所名を入力7</v>
      </c>
      <c r="H12" s="53" t="str">
        <f>報7!$D$157&amp;""</f>
        <v/>
      </c>
      <c r="I12" s="53" t="str">
        <f>報7!$C$158&amp;""</f>
        <v/>
      </c>
      <c r="J12" s="1005" t="str">
        <f ca="1">報7!$H$158</f>
        <v/>
      </c>
      <c r="K12" s="53" t="str">
        <f>報7!$M$158&amp;""</f>
        <v/>
      </c>
      <c r="L12" s="53" t="str">
        <f>報7!$C$159&amp;""</f>
        <v/>
      </c>
      <c r="M12" s="53" t="str">
        <f>報7!$H$159&amp;""</f>
        <v/>
      </c>
      <c r="N12" s="53">
        <f>報7!$A$166</f>
        <v>2023</v>
      </c>
      <c r="O12" s="1005" t="str">
        <f ca="1">報7!$C$165</f>
        <v/>
      </c>
      <c r="P12" s="1621" t="str">
        <f>報7!$I$165</f>
        <v/>
      </c>
      <c r="Q12" s="53" t="str">
        <f>報7!$N$165</f>
        <v/>
      </c>
      <c r="R12" s="53" t="str">
        <f>報7!$C$167&amp;""</f>
        <v/>
      </c>
      <c r="S12" s="53" t="str">
        <f>IF(報7!$Q$173=1,"記入する",IF(報7!$Q$173=2,"記入しない",""))</f>
        <v/>
      </c>
      <c r="T12" s="53" t="str">
        <f>報7!P158</f>
        <v/>
      </c>
      <c r="V12" s="1815"/>
    </row>
    <row r="13" spans="1:23">
      <c r="B13" s="53" t="str">
        <f>はじめに!$B$6&amp;""</f>
        <v/>
      </c>
      <c r="C13" s="53" t="str">
        <f t="shared" si="1"/>
        <v/>
      </c>
      <c r="D13" s="53">
        <v>8</v>
      </c>
      <c r="E13" s="53" t="str">
        <f t="shared" si="0"/>
        <v>_新規_8</v>
      </c>
      <c r="F13" s="53" t="str">
        <f t="shared" si="2"/>
        <v>新規</v>
      </c>
      <c r="G13" s="1005" t="str">
        <f>報7!$D$181</f>
        <v>事業所名を入力8</v>
      </c>
      <c r="H13" s="53" t="str">
        <f>報7!$D$182&amp;""</f>
        <v/>
      </c>
      <c r="I13" s="53" t="str">
        <f>報7!$C$183&amp;""</f>
        <v/>
      </c>
      <c r="J13" s="1005" t="str">
        <f ca="1">報7!$H$183</f>
        <v/>
      </c>
      <c r="K13" s="53" t="str">
        <f>報7!$M$183&amp;""</f>
        <v/>
      </c>
      <c r="L13" s="53" t="str">
        <f>報7!$C$184&amp;""</f>
        <v/>
      </c>
      <c r="M13" s="53" t="str">
        <f>報7!$H$184&amp;""</f>
        <v/>
      </c>
      <c r="N13" s="53">
        <f>報7!$A$191</f>
        <v>2023</v>
      </c>
      <c r="O13" s="1005" t="str">
        <f ca="1">報7!$C$190</f>
        <v/>
      </c>
      <c r="P13" s="1621" t="str">
        <f>報7!$I$190</f>
        <v/>
      </c>
      <c r="Q13" s="53" t="str">
        <f>報7!$N$190</f>
        <v/>
      </c>
      <c r="R13" s="53" t="str">
        <f>報7!$C$192&amp;""</f>
        <v/>
      </c>
      <c r="S13" s="53" t="str">
        <f>IF(報7!$Q$198=1,"記入する",IF(報7!$Q$198=2,"記入しない",""))</f>
        <v/>
      </c>
      <c r="T13" s="53" t="str">
        <f>報7!P183</f>
        <v/>
      </c>
      <c r="V13" s="1815"/>
      <c r="W13" t="s">
        <v>207</v>
      </c>
    </row>
    <row r="14" spans="1:23">
      <c r="B14" s="53" t="str">
        <f>はじめに!$B$6&amp;""</f>
        <v/>
      </c>
      <c r="C14" s="53" t="str">
        <f t="shared" si="1"/>
        <v/>
      </c>
      <c r="D14" s="53">
        <v>9</v>
      </c>
      <c r="E14" s="53" t="str">
        <f t="shared" si="0"/>
        <v>_新規_9</v>
      </c>
      <c r="F14" s="53" t="str">
        <f t="shared" si="2"/>
        <v>新規</v>
      </c>
      <c r="G14" s="1005" t="str">
        <f>報7!$D$206</f>
        <v>事業所名を入力9</v>
      </c>
      <c r="H14" s="53" t="str">
        <f>報7!$D$207&amp;""</f>
        <v/>
      </c>
      <c r="I14" s="53" t="str">
        <f>報7!$C$208&amp;""</f>
        <v/>
      </c>
      <c r="J14" s="1005" t="str">
        <f ca="1">報7!$H$208</f>
        <v/>
      </c>
      <c r="K14" s="53" t="str">
        <f>報7!$M$208&amp;""</f>
        <v/>
      </c>
      <c r="L14" s="53" t="str">
        <f>報7!$C$209&amp;""</f>
        <v/>
      </c>
      <c r="M14" s="53" t="str">
        <f>報7!$H$209&amp;""</f>
        <v/>
      </c>
      <c r="N14" s="53">
        <f>報7!$A$216</f>
        <v>2023</v>
      </c>
      <c r="O14" s="1005" t="str">
        <f ca="1">報7!$C$215</f>
        <v/>
      </c>
      <c r="P14" s="1621" t="str">
        <f>報7!$I$215</f>
        <v/>
      </c>
      <c r="Q14" s="53" t="str">
        <f>報7!$N$215</f>
        <v/>
      </c>
      <c r="R14" s="53" t="str">
        <f>報7!$C$217&amp;""</f>
        <v/>
      </c>
      <c r="S14" s="53" t="str">
        <f>IF(報7!$Q$223=1,"記入する",IF(報7!$Q$223=2,"記入しない",""))</f>
        <v/>
      </c>
      <c r="T14" s="53" t="str">
        <f>報7!P208</f>
        <v/>
      </c>
      <c r="V14" s="1815"/>
    </row>
    <row r="15" spans="1:23">
      <c r="B15" s="53" t="str">
        <f>はじめに!$B$6&amp;""</f>
        <v/>
      </c>
      <c r="C15" s="53" t="str">
        <f t="shared" si="1"/>
        <v/>
      </c>
      <c r="D15" s="53">
        <v>10</v>
      </c>
      <c r="E15" s="53" t="str">
        <f t="shared" si="0"/>
        <v>_新規_10</v>
      </c>
      <c r="F15" s="53" t="str">
        <f t="shared" si="2"/>
        <v>新規</v>
      </c>
      <c r="G15" s="1005" t="str">
        <f>報7!$D$231</f>
        <v>事業所名を入力10</v>
      </c>
      <c r="H15" s="53" t="str">
        <f>報7!$D$232&amp;""</f>
        <v/>
      </c>
      <c r="I15" s="53" t="str">
        <f>報7!$C$233&amp;""</f>
        <v/>
      </c>
      <c r="J15" s="1005" t="str">
        <f ca="1">報7!$H$233</f>
        <v/>
      </c>
      <c r="K15" s="53" t="str">
        <f>報7!$M$233&amp;""</f>
        <v/>
      </c>
      <c r="L15" s="53" t="str">
        <f>報7!$C$234&amp;""</f>
        <v/>
      </c>
      <c r="M15" s="53" t="str">
        <f>報7!$H$234&amp;""</f>
        <v/>
      </c>
      <c r="N15" s="53">
        <f>報7!$A$241</f>
        <v>2023</v>
      </c>
      <c r="O15" s="1005" t="str">
        <f ca="1">報7!$C$240</f>
        <v/>
      </c>
      <c r="P15" s="1621" t="str">
        <f>報7!$I$240</f>
        <v/>
      </c>
      <c r="Q15" s="53" t="str">
        <f>報7!$N$240&amp;""</f>
        <v/>
      </c>
      <c r="R15" s="53" t="str">
        <f>報7!$C$242&amp;""</f>
        <v/>
      </c>
      <c r="S15" s="53" t="str">
        <f>IF(報7!$Q$248=1,"記入する",IF(報7!$Q$248=2,"記入しない",""))</f>
        <v/>
      </c>
      <c r="T15" s="53" t="str">
        <f>報7!P233</f>
        <v/>
      </c>
      <c r="V15" s="1815"/>
    </row>
    <row r="16" spans="1:23">
      <c r="B16" s="53" t="str">
        <f>はじめに!$B$6&amp;""</f>
        <v/>
      </c>
      <c r="C16" s="53" t="str">
        <f t="shared" si="1"/>
        <v/>
      </c>
      <c r="D16" s="53">
        <v>11</v>
      </c>
      <c r="E16" s="53" t="str">
        <f t="shared" si="0"/>
        <v>_新規_11</v>
      </c>
      <c r="F16" s="53" t="str">
        <f t="shared" si="2"/>
        <v>新規</v>
      </c>
      <c r="G16" s="1005" t="str">
        <f>報7!$D$256</f>
        <v>事業所名を入力11</v>
      </c>
      <c r="H16" s="53" t="str">
        <f>報7!$D$257&amp;""</f>
        <v/>
      </c>
      <c r="I16" s="53" t="str">
        <f>報7!$C$258&amp;""</f>
        <v/>
      </c>
      <c r="J16" s="1005" t="str">
        <f ca="1">報7!$H$258</f>
        <v/>
      </c>
      <c r="K16" s="53" t="str">
        <f>報7!$M$258&amp;""</f>
        <v/>
      </c>
      <c r="L16" s="53" t="str">
        <f>報7!$C$259&amp;""</f>
        <v/>
      </c>
      <c r="M16" s="53" t="str">
        <f>報7!$H$259&amp;""</f>
        <v/>
      </c>
      <c r="N16" s="53">
        <f>報7!$A$266</f>
        <v>2023</v>
      </c>
      <c r="O16" s="1005" t="str">
        <f ca="1">報7!$C$265</f>
        <v/>
      </c>
      <c r="P16" s="1621" t="str">
        <f>報7!$I$265</f>
        <v/>
      </c>
      <c r="Q16" s="53" t="str">
        <f>報7!$N$265</f>
        <v/>
      </c>
      <c r="R16" s="53" t="str">
        <f>報7!$C$267&amp;""</f>
        <v/>
      </c>
      <c r="S16" s="53" t="str">
        <f>IF(報7!$Q$273=1,"記入する",IF(報7!$Q$273=2,"記入しない",""))</f>
        <v/>
      </c>
      <c r="T16" s="53" t="str">
        <f>報7!P258</f>
        <v/>
      </c>
      <c r="V16" s="1815"/>
    </row>
    <row r="17" spans="2:22">
      <c r="B17" s="53" t="str">
        <f>はじめに!$B$6&amp;""</f>
        <v/>
      </c>
      <c r="C17" s="53" t="str">
        <f t="shared" si="1"/>
        <v/>
      </c>
      <c r="D17" s="53">
        <v>12</v>
      </c>
      <c r="E17" s="53" t="str">
        <f t="shared" si="0"/>
        <v>_新規_12</v>
      </c>
      <c r="F17" s="53" t="str">
        <f t="shared" si="2"/>
        <v>新規</v>
      </c>
      <c r="G17" s="1005" t="str">
        <f>報7!$D$281</f>
        <v>事業所名を入力12</v>
      </c>
      <c r="H17" s="53" t="str">
        <f>報7!$D$282&amp;""</f>
        <v/>
      </c>
      <c r="I17" s="53" t="str">
        <f>報7!$C$283&amp;""</f>
        <v/>
      </c>
      <c r="J17" s="1005" t="str">
        <f ca="1">報7!$H$283</f>
        <v/>
      </c>
      <c r="K17" s="53" t="str">
        <f>報7!$M$283&amp;""</f>
        <v/>
      </c>
      <c r="L17" s="53" t="str">
        <f>報7!$C$284&amp;""</f>
        <v/>
      </c>
      <c r="M17" s="53" t="str">
        <f>報7!$H$284&amp;""</f>
        <v/>
      </c>
      <c r="N17" s="53">
        <f>報7!$A$291</f>
        <v>2023</v>
      </c>
      <c r="O17" s="1005" t="str">
        <f ca="1">報7!$C$290</f>
        <v/>
      </c>
      <c r="P17" s="1621" t="str">
        <f>報7!$I$290</f>
        <v/>
      </c>
      <c r="Q17" s="53" t="str">
        <f>報7!$N$290&amp;""</f>
        <v/>
      </c>
      <c r="R17" s="53" t="str">
        <f>報7!$C$292&amp;""</f>
        <v/>
      </c>
      <c r="S17" s="53" t="str">
        <f>IF(報7!$Q$298=1,"記入する",IF(報7!$Q$298=2,"記入しない",""))</f>
        <v/>
      </c>
      <c r="T17" s="53" t="str">
        <f>報7!P283</f>
        <v/>
      </c>
      <c r="V17" s="1815"/>
    </row>
    <row r="18" spans="2:22">
      <c r="B18" s="53" t="str">
        <f>はじめに!$B$6&amp;""</f>
        <v/>
      </c>
      <c r="C18" s="53" t="str">
        <f t="shared" si="1"/>
        <v/>
      </c>
      <c r="D18" s="53">
        <v>13</v>
      </c>
      <c r="E18" s="53" t="str">
        <f t="shared" si="0"/>
        <v>_新規_13</v>
      </c>
      <c r="F18" s="53" t="str">
        <f t="shared" si="2"/>
        <v>新規</v>
      </c>
      <c r="G18" s="1005" t="str">
        <f>報7!$D$306</f>
        <v>事業所名を入力13</v>
      </c>
      <c r="H18" s="53" t="str">
        <f>報7!$D$307&amp;""</f>
        <v/>
      </c>
      <c r="I18" s="53" t="str">
        <f>報7!$C$308&amp;""</f>
        <v/>
      </c>
      <c r="J18" s="1005" t="str">
        <f ca="1">報7!$H$308</f>
        <v/>
      </c>
      <c r="K18" s="53" t="str">
        <f>報7!$M$308&amp;""</f>
        <v/>
      </c>
      <c r="L18" s="53" t="str">
        <f>報7!$C$309&amp;""</f>
        <v/>
      </c>
      <c r="M18" s="53" t="str">
        <f>報7!$H$309&amp;""</f>
        <v/>
      </c>
      <c r="N18" s="53">
        <f>報7!$A$316</f>
        <v>2023</v>
      </c>
      <c r="O18" s="1005" t="str">
        <f ca="1">報7!$C$315</f>
        <v/>
      </c>
      <c r="P18" s="1621" t="str">
        <f>報7!$I$315</f>
        <v/>
      </c>
      <c r="Q18" s="53" t="str">
        <f>報7!$N$315</f>
        <v/>
      </c>
      <c r="R18" s="53" t="str">
        <f>報7!$C$317&amp;""</f>
        <v/>
      </c>
      <c r="S18" s="53" t="str">
        <f>IF(報7!$Q$323=1,"記入する",IF(報7!$Q$323=2,"記入しない",""))</f>
        <v/>
      </c>
      <c r="T18" s="53" t="str">
        <f>報7!P308</f>
        <v/>
      </c>
      <c r="V18" s="1815"/>
    </row>
    <row r="19" spans="2:22">
      <c r="B19" s="53" t="str">
        <f>はじめに!$B$6&amp;""</f>
        <v/>
      </c>
      <c r="C19" s="53" t="str">
        <f t="shared" si="1"/>
        <v/>
      </c>
      <c r="D19" s="53">
        <v>14</v>
      </c>
      <c r="E19" s="53" t="str">
        <f t="shared" si="0"/>
        <v>_新規_14</v>
      </c>
      <c r="F19" s="53" t="str">
        <f t="shared" si="2"/>
        <v>新規</v>
      </c>
      <c r="G19" s="1005" t="str">
        <f>報7!$D$331</f>
        <v>事業所名を入力14</v>
      </c>
      <c r="H19" s="53" t="str">
        <f>報7!$D$332&amp;""</f>
        <v/>
      </c>
      <c r="I19" s="53" t="str">
        <f>報7!$C$333&amp;""</f>
        <v/>
      </c>
      <c r="J19" s="1005" t="str">
        <f ca="1">報7!$H$333</f>
        <v/>
      </c>
      <c r="K19" s="53" t="str">
        <f>報7!$M$333&amp;""</f>
        <v/>
      </c>
      <c r="L19" s="53" t="str">
        <f>報7!$C$334&amp;""</f>
        <v/>
      </c>
      <c r="M19" s="53" t="str">
        <f>報7!$H$334&amp;""</f>
        <v/>
      </c>
      <c r="N19" s="53">
        <f>報7!$A$341</f>
        <v>2023</v>
      </c>
      <c r="O19" s="1005" t="str">
        <f ca="1">報7!$C$340</f>
        <v/>
      </c>
      <c r="P19" s="1621" t="str">
        <f>報7!$I$340</f>
        <v/>
      </c>
      <c r="Q19" s="53" t="str">
        <f>報7!$N$340&amp;""</f>
        <v/>
      </c>
      <c r="R19" s="53" t="str">
        <f>報7!$C$342&amp;""</f>
        <v/>
      </c>
      <c r="S19" s="53" t="str">
        <f>IF(報7!$Q$348=1,"記入する",IF(報7!$Q$348=2,"記入しない",""))</f>
        <v/>
      </c>
      <c r="T19" s="53" t="str">
        <f>報7!P333</f>
        <v/>
      </c>
      <c r="V19" s="1815"/>
    </row>
    <row r="20" spans="2:22">
      <c r="B20" s="53" t="str">
        <f>はじめに!$B$6&amp;""</f>
        <v/>
      </c>
      <c r="C20" s="53" t="str">
        <f t="shared" si="1"/>
        <v/>
      </c>
      <c r="D20" s="53">
        <v>15</v>
      </c>
      <c r="E20" s="53" t="str">
        <f t="shared" si="0"/>
        <v>_新規_15</v>
      </c>
      <c r="F20" s="53" t="str">
        <f t="shared" si="2"/>
        <v>新規</v>
      </c>
      <c r="G20" s="1005" t="str">
        <f>報7!$D$356</f>
        <v>事業所名を入力15</v>
      </c>
      <c r="H20" s="53" t="str">
        <f>報7!$D$357&amp;""</f>
        <v/>
      </c>
      <c r="I20" s="53" t="str">
        <f>報7!$C$358&amp;""</f>
        <v/>
      </c>
      <c r="J20" s="1005" t="str">
        <f ca="1">報7!$H$358</f>
        <v/>
      </c>
      <c r="K20" s="53" t="str">
        <f>報7!$M$358&amp;""</f>
        <v/>
      </c>
      <c r="L20" s="53" t="str">
        <f>報7!$C$359&amp;""</f>
        <v/>
      </c>
      <c r="M20" s="53" t="str">
        <f>報7!$H$359&amp;""</f>
        <v/>
      </c>
      <c r="N20" s="53">
        <f>報7!$A$366</f>
        <v>2023</v>
      </c>
      <c r="O20" s="1005" t="str">
        <f ca="1">報7!$C$365</f>
        <v/>
      </c>
      <c r="P20" s="1621" t="str">
        <f>報7!$I$365</f>
        <v/>
      </c>
      <c r="Q20" s="53" t="str">
        <f>報7!$N$365</f>
        <v/>
      </c>
      <c r="R20" s="53" t="str">
        <f>報7!$C$367&amp;""</f>
        <v/>
      </c>
      <c r="S20" s="53" t="str">
        <f>IF(報7!$Q$373=1,"記入する",IF(報7!$Q$373=2,"記入しない",""))</f>
        <v/>
      </c>
      <c r="T20" s="53" t="str">
        <f>報7!P358</f>
        <v/>
      </c>
      <c r="V20" s="1815"/>
    </row>
    <row r="21" spans="2:22">
      <c r="B21" s="53" t="str">
        <f>はじめに!$B$6&amp;""</f>
        <v/>
      </c>
      <c r="C21" s="53" t="str">
        <f t="shared" si="1"/>
        <v/>
      </c>
      <c r="D21" s="53">
        <v>16</v>
      </c>
      <c r="E21" s="53" t="str">
        <f t="shared" si="0"/>
        <v>_新規_16</v>
      </c>
      <c r="F21" s="53" t="str">
        <f t="shared" si="2"/>
        <v>新規</v>
      </c>
      <c r="G21" s="1005" t="str">
        <f>報7!$D$381</f>
        <v>事業所名を入力16</v>
      </c>
      <c r="H21" s="53" t="str">
        <f>報7!$D$382&amp;""</f>
        <v/>
      </c>
      <c r="I21" s="53" t="str">
        <f>報7!$C$383&amp;""</f>
        <v/>
      </c>
      <c r="J21" s="1005" t="str">
        <f ca="1">報7!$H$383</f>
        <v/>
      </c>
      <c r="K21" s="53" t="str">
        <f>報7!$M$383&amp;""</f>
        <v/>
      </c>
      <c r="L21" s="53" t="str">
        <f>報7!$C$384&amp;""</f>
        <v/>
      </c>
      <c r="M21" s="53" t="str">
        <f>報7!$H$384&amp;""</f>
        <v/>
      </c>
      <c r="N21" s="53">
        <f>報7!$A$391</f>
        <v>2023</v>
      </c>
      <c r="O21" s="1005" t="str">
        <f ca="1">報7!$C$390</f>
        <v/>
      </c>
      <c r="P21" s="1621" t="str">
        <f>報7!$I$390</f>
        <v/>
      </c>
      <c r="Q21" s="53" t="str">
        <f>報7!$N$390&amp;""</f>
        <v/>
      </c>
      <c r="R21" s="53" t="str">
        <f>報7!$C$392&amp;""</f>
        <v/>
      </c>
      <c r="S21" s="53" t="str">
        <f>IF(報7!$Q$398=1,"記入する",IF(報7!$Q$398=2,"記入しない",""))</f>
        <v/>
      </c>
      <c r="T21" s="53" t="str">
        <f>報7!P383</f>
        <v/>
      </c>
      <c r="V21" s="1815"/>
    </row>
    <row r="22" spans="2:22">
      <c r="B22" s="53" t="str">
        <f>はじめに!$B$6&amp;""</f>
        <v/>
      </c>
      <c r="C22" s="53" t="str">
        <f t="shared" si="1"/>
        <v/>
      </c>
      <c r="D22" s="53">
        <v>17</v>
      </c>
      <c r="E22" s="53" t="str">
        <f t="shared" si="0"/>
        <v>_新規_17</v>
      </c>
      <c r="F22" s="53" t="str">
        <f t="shared" si="2"/>
        <v>新規</v>
      </c>
      <c r="G22" s="1005" t="str">
        <f>報7!$D$406</f>
        <v>事業所名を入力17</v>
      </c>
      <c r="H22" s="53" t="str">
        <f>報7!$D$407&amp;""</f>
        <v/>
      </c>
      <c r="I22" s="53" t="str">
        <f>報7!$C$408&amp;""</f>
        <v/>
      </c>
      <c r="J22" s="1005" t="str">
        <f ca="1">報7!$H$408</f>
        <v/>
      </c>
      <c r="K22" s="53" t="str">
        <f>報7!$M$408&amp;""</f>
        <v/>
      </c>
      <c r="L22" s="53" t="str">
        <f>報7!$C$409&amp;""</f>
        <v/>
      </c>
      <c r="M22" s="53" t="str">
        <f>報7!$H$409&amp;""</f>
        <v/>
      </c>
      <c r="N22" s="53">
        <f>報7!$A$416</f>
        <v>2023</v>
      </c>
      <c r="O22" s="1005" t="str">
        <f ca="1">報7!$C$415</f>
        <v/>
      </c>
      <c r="P22" s="1621" t="str">
        <f>報7!$I$415</f>
        <v/>
      </c>
      <c r="Q22" s="53" t="str">
        <f>報7!$N$415</f>
        <v/>
      </c>
      <c r="R22" s="53" t="str">
        <f>報7!$C$417&amp;""</f>
        <v/>
      </c>
      <c r="S22" s="53" t="str">
        <f>IF(報7!$Q$423=1,"記入する",IF(報7!$Q$423=2,"記入しない",""))</f>
        <v/>
      </c>
      <c r="T22" s="53" t="str">
        <f>報7!P408</f>
        <v/>
      </c>
      <c r="V22" s="1815"/>
    </row>
    <row r="23" spans="2:22">
      <c r="B23" s="53" t="str">
        <f>はじめに!$B$6&amp;""</f>
        <v/>
      </c>
      <c r="C23" s="53" t="str">
        <f t="shared" si="1"/>
        <v/>
      </c>
      <c r="D23" s="53">
        <v>18</v>
      </c>
      <c r="E23" s="53" t="str">
        <f t="shared" si="0"/>
        <v>_新規_18</v>
      </c>
      <c r="F23" s="53" t="str">
        <f t="shared" si="2"/>
        <v>新規</v>
      </c>
      <c r="G23" s="1005" t="str">
        <f>報7!$D$431</f>
        <v>事業所名を入力18</v>
      </c>
      <c r="H23" s="53" t="str">
        <f>報7!$D$432&amp;""</f>
        <v/>
      </c>
      <c r="I23" s="53" t="str">
        <f>報7!$C$433&amp;""</f>
        <v/>
      </c>
      <c r="J23" s="1005" t="str">
        <f ca="1">報7!$H$433</f>
        <v/>
      </c>
      <c r="K23" s="53" t="str">
        <f>報7!$M$433&amp;""</f>
        <v/>
      </c>
      <c r="L23" s="53" t="str">
        <f>報7!$C$434&amp;""</f>
        <v/>
      </c>
      <c r="M23" s="53" t="str">
        <f>報7!$H$434&amp;""</f>
        <v/>
      </c>
      <c r="N23" s="53">
        <f>報7!$A$441</f>
        <v>2023</v>
      </c>
      <c r="O23" s="1005" t="str">
        <f ca="1">報7!$C$440</f>
        <v/>
      </c>
      <c r="P23" s="1621" t="str">
        <f>報7!$I$440</f>
        <v/>
      </c>
      <c r="Q23" s="53" t="str">
        <f>報7!$N$440&amp;""</f>
        <v/>
      </c>
      <c r="R23" s="53" t="str">
        <f>報7!$C$442&amp;""</f>
        <v/>
      </c>
      <c r="S23" s="53" t="str">
        <f>IF(報7!$Q$448=1,"記入する",IF(報7!$Q$448=2,"記入しない",""))</f>
        <v/>
      </c>
      <c r="T23" s="53" t="str">
        <f>報7!P433</f>
        <v/>
      </c>
      <c r="V23" s="1815"/>
    </row>
    <row r="24" spans="2:22">
      <c r="B24" s="53" t="str">
        <f>はじめに!$B$6&amp;""</f>
        <v/>
      </c>
      <c r="C24" s="53" t="str">
        <f t="shared" si="1"/>
        <v/>
      </c>
      <c r="D24" s="53">
        <v>19</v>
      </c>
      <c r="E24" s="53" t="str">
        <f t="shared" si="0"/>
        <v>_新規_19</v>
      </c>
      <c r="F24" s="53" t="str">
        <f t="shared" si="2"/>
        <v>新規</v>
      </c>
      <c r="G24" s="1005" t="str">
        <f>報7!$D$456</f>
        <v>事業所名を入力19</v>
      </c>
      <c r="H24" s="53" t="str">
        <f>報7!$D$457&amp;""</f>
        <v/>
      </c>
      <c r="I24" s="53" t="str">
        <f>報7!$C$458&amp;""</f>
        <v/>
      </c>
      <c r="J24" s="1005" t="str">
        <f ca="1">報7!$H$458</f>
        <v/>
      </c>
      <c r="K24" s="53" t="str">
        <f>報7!$M$458&amp;""</f>
        <v/>
      </c>
      <c r="L24" s="53" t="str">
        <f>報7!$C$459&amp;""</f>
        <v/>
      </c>
      <c r="M24" s="53" t="str">
        <f>報7!$H$459&amp;""</f>
        <v/>
      </c>
      <c r="N24" s="53">
        <f>報7!$A$466</f>
        <v>2023</v>
      </c>
      <c r="O24" s="1005" t="str">
        <f ca="1">報7!$C$465</f>
        <v/>
      </c>
      <c r="P24" s="1621" t="str">
        <f>報7!$I$465</f>
        <v/>
      </c>
      <c r="Q24" s="53" t="str">
        <f>報7!$N$465</f>
        <v/>
      </c>
      <c r="R24" s="53" t="str">
        <f>報7!$C$467&amp;""</f>
        <v/>
      </c>
      <c r="S24" s="53" t="str">
        <f>IF(報7!$Q$473=1,"記入する",IF(報7!$Q$473=2,"記入しない",""))</f>
        <v/>
      </c>
      <c r="T24" s="53" t="str">
        <f>報7!P458</f>
        <v/>
      </c>
      <c r="V24" s="1815"/>
    </row>
    <row r="25" spans="2:22">
      <c r="B25" s="53" t="str">
        <f>はじめに!$B$6&amp;""</f>
        <v/>
      </c>
      <c r="C25" s="53" t="str">
        <f t="shared" si="1"/>
        <v/>
      </c>
      <c r="D25" s="53">
        <v>20</v>
      </c>
      <c r="E25" s="53" t="str">
        <f t="shared" si="0"/>
        <v>_新規_20</v>
      </c>
      <c r="F25" s="53" t="str">
        <f t="shared" si="2"/>
        <v>新規</v>
      </c>
      <c r="G25" s="1005" t="str">
        <f>報7!$D$481</f>
        <v>事業所名を入力20</v>
      </c>
      <c r="H25" s="53" t="str">
        <f>報7!$D$482&amp;""</f>
        <v/>
      </c>
      <c r="I25" s="53" t="str">
        <f>報7!$C$483&amp;""</f>
        <v/>
      </c>
      <c r="J25" s="1005" t="str">
        <f ca="1">報7!$H$483</f>
        <v/>
      </c>
      <c r="K25" s="53" t="str">
        <f>報7!$M$483&amp;""</f>
        <v/>
      </c>
      <c r="L25" s="53" t="str">
        <f>報7!$C$484&amp;""</f>
        <v/>
      </c>
      <c r="M25" s="53" t="str">
        <f>報7!$H$484&amp;""</f>
        <v/>
      </c>
      <c r="N25" s="53">
        <f>報7!$A$491</f>
        <v>2023</v>
      </c>
      <c r="O25" s="1005" t="str">
        <f ca="1">報7!$C$490</f>
        <v/>
      </c>
      <c r="P25" s="1621" t="str">
        <f>報7!$I$490</f>
        <v/>
      </c>
      <c r="Q25" s="53" t="str">
        <f>報7!$N$490&amp;""</f>
        <v/>
      </c>
      <c r="R25" s="53" t="str">
        <f>報7!$C$492&amp;""</f>
        <v/>
      </c>
      <c r="S25" s="53" t="str">
        <f>IF(報7!$Q$498=1,"記入する",IF(報7!$Q$498=2,"記入しない",""))</f>
        <v/>
      </c>
      <c r="T25" s="53" t="str">
        <f>報7!P483</f>
        <v/>
      </c>
      <c r="V25" s="1815"/>
    </row>
    <row r="26" spans="2:22">
      <c r="B26" s="53" t="str">
        <f>はじめに!$B$6&amp;""</f>
        <v/>
      </c>
      <c r="C26" s="53" t="str">
        <f t="shared" si="1"/>
        <v/>
      </c>
      <c r="D26" s="53">
        <v>21</v>
      </c>
      <c r="E26" s="53" t="str">
        <f t="shared" si="0"/>
        <v>_新規_21</v>
      </c>
      <c r="F26" s="53" t="str">
        <f t="shared" si="2"/>
        <v>新規</v>
      </c>
      <c r="G26" s="1005" t="str">
        <f>報7!$D$506</f>
        <v>事業所名を入力21</v>
      </c>
      <c r="H26" s="53" t="str">
        <f>報7!$D$507&amp;""</f>
        <v/>
      </c>
      <c r="I26" s="53" t="str">
        <f>報7!$C$508&amp;""</f>
        <v/>
      </c>
      <c r="J26" s="1005" t="str">
        <f ca="1">報7!$H$508</f>
        <v/>
      </c>
      <c r="K26" s="53" t="str">
        <f>報7!$M$508&amp;""</f>
        <v/>
      </c>
      <c r="L26" s="53" t="str">
        <f>報7!$C$509&amp;""</f>
        <v/>
      </c>
      <c r="M26" s="53" t="str">
        <f>報7!$H$509&amp;""</f>
        <v/>
      </c>
      <c r="N26" s="53">
        <f>報7!$A$516</f>
        <v>2023</v>
      </c>
      <c r="O26" s="1005" t="str">
        <f ca="1">報7!$C$515</f>
        <v/>
      </c>
      <c r="P26" s="1621" t="str">
        <f>報7!$I$515</f>
        <v/>
      </c>
      <c r="Q26" s="53" t="str">
        <f>報7!$N$515</f>
        <v/>
      </c>
      <c r="R26" s="53" t="str">
        <f>報7!$C$517&amp;""</f>
        <v/>
      </c>
      <c r="S26" s="53" t="str">
        <f>IF(報7!$Q$523=1,"記入する",IF(報7!$Q$523=2,"記入しない",""))</f>
        <v/>
      </c>
      <c r="T26" s="53" t="str">
        <f>報7!P508</f>
        <v/>
      </c>
      <c r="V26" s="1815"/>
    </row>
    <row r="27" spans="2:22">
      <c r="B27" s="53" t="str">
        <f>はじめに!$B$6&amp;""</f>
        <v/>
      </c>
      <c r="C27" s="53" t="str">
        <f t="shared" si="1"/>
        <v/>
      </c>
      <c r="D27" s="53">
        <v>22</v>
      </c>
      <c r="E27" s="53" t="str">
        <f t="shared" si="0"/>
        <v>_新規_22</v>
      </c>
      <c r="F27" s="53" t="str">
        <f t="shared" si="2"/>
        <v>新規</v>
      </c>
      <c r="G27" s="1005" t="str">
        <f>報7!$D$531</f>
        <v>事業所名を入力22</v>
      </c>
      <c r="H27" s="53" t="str">
        <f>報7!$D$532&amp;""</f>
        <v/>
      </c>
      <c r="I27" s="53" t="str">
        <f>報7!$C$533&amp;""</f>
        <v/>
      </c>
      <c r="J27" s="1005" t="str">
        <f ca="1">報7!$H$533</f>
        <v/>
      </c>
      <c r="K27" s="53" t="str">
        <f>報7!$M$533&amp;""</f>
        <v/>
      </c>
      <c r="L27" s="53" t="str">
        <f>報7!$C$534&amp;""</f>
        <v/>
      </c>
      <c r="M27" s="53" t="str">
        <f>報7!$H$534&amp;""</f>
        <v/>
      </c>
      <c r="N27" s="53">
        <f>報7!$A$541</f>
        <v>2023</v>
      </c>
      <c r="O27" s="1005" t="str">
        <f ca="1">報7!$C$540</f>
        <v/>
      </c>
      <c r="P27" s="1621" t="str">
        <f>報7!$I$540</f>
        <v/>
      </c>
      <c r="Q27" s="53" t="str">
        <f>報7!$N$540&amp;""</f>
        <v/>
      </c>
      <c r="R27" s="53" t="str">
        <f>報7!$C$542&amp;""</f>
        <v/>
      </c>
      <c r="S27" s="53" t="str">
        <f>IF(報7!$Q$548=1,"記入する",IF(報7!$Q$548=2,"記入しない",""))</f>
        <v/>
      </c>
      <c r="T27" s="53" t="str">
        <f>報7!P533</f>
        <v/>
      </c>
      <c r="V27" s="1815"/>
    </row>
    <row r="28" spans="2:22">
      <c r="B28" s="53" t="str">
        <f>はじめに!$B$6&amp;""</f>
        <v/>
      </c>
      <c r="C28" s="53" t="str">
        <f t="shared" si="1"/>
        <v/>
      </c>
      <c r="D28" s="53">
        <v>23</v>
      </c>
      <c r="E28" s="53" t="str">
        <f t="shared" si="0"/>
        <v>_新規_23</v>
      </c>
      <c r="F28" s="53" t="str">
        <f t="shared" si="2"/>
        <v>新規</v>
      </c>
      <c r="G28" s="1005" t="str">
        <f>報7!$D$556</f>
        <v>事業所名を入力23</v>
      </c>
      <c r="H28" s="53" t="str">
        <f>報7!$D$557&amp;""</f>
        <v/>
      </c>
      <c r="I28" s="53" t="str">
        <f>報7!$C$558&amp;""</f>
        <v/>
      </c>
      <c r="J28" s="1005" t="str">
        <f ca="1">報7!$H$558</f>
        <v/>
      </c>
      <c r="K28" s="53" t="str">
        <f>報7!$M$558&amp;""</f>
        <v/>
      </c>
      <c r="L28" s="53" t="str">
        <f>報7!$C$559&amp;""</f>
        <v/>
      </c>
      <c r="M28" s="53" t="str">
        <f>報7!$H$559&amp;""</f>
        <v/>
      </c>
      <c r="N28" s="53">
        <f>報7!$A$566</f>
        <v>2023</v>
      </c>
      <c r="O28" s="1005" t="str">
        <f ca="1">報7!$C$565</f>
        <v/>
      </c>
      <c r="P28" s="1621" t="str">
        <f>報7!$I$565</f>
        <v/>
      </c>
      <c r="Q28" s="53" t="str">
        <f>報7!$N$565</f>
        <v/>
      </c>
      <c r="R28" s="53" t="str">
        <f>報7!$C$567&amp;""</f>
        <v/>
      </c>
      <c r="S28" s="53" t="str">
        <f>IF(報7!$Q$573=1,"記入する",IF(報7!$Q$573=2,"記入しない",""))</f>
        <v/>
      </c>
      <c r="T28" s="53" t="str">
        <f>報7!P558</f>
        <v/>
      </c>
      <c r="V28" s="1815"/>
    </row>
    <row r="29" spans="2:22">
      <c r="B29" s="53" t="str">
        <f>はじめに!$B$6&amp;""</f>
        <v/>
      </c>
      <c r="C29" s="53" t="str">
        <f t="shared" si="1"/>
        <v/>
      </c>
      <c r="D29" s="53">
        <v>24</v>
      </c>
      <c r="E29" s="53" t="str">
        <f t="shared" si="0"/>
        <v>_新規_24</v>
      </c>
      <c r="F29" s="53" t="str">
        <f t="shared" si="2"/>
        <v>新規</v>
      </c>
      <c r="G29" s="1005" t="str">
        <f>報7!$D$581</f>
        <v>事業所名を入力24</v>
      </c>
      <c r="H29" s="53" t="str">
        <f>報7!$D$582&amp;""</f>
        <v/>
      </c>
      <c r="I29" s="53" t="str">
        <f>報7!$C$583&amp;""</f>
        <v/>
      </c>
      <c r="J29" s="1005" t="str">
        <f ca="1">報7!$H$583</f>
        <v/>
      </c>
      <c r="K29" s="53" t="str">
        <f>報7!$M$583&amp;""</f>
        <v/>
      </c>
      <c r="L29" s="53" t="str">
        <f>報7!$C$584&amp;""</f>
        <v/>
      </c>
      <c r="M29" s="53" t="str">
        <f>報7!$H$584&amp;""</f>
        <v/>
      </c>
      <c r="N29" s="53">
        <f>報7!$A$591</f>
        <v>2023</v>
      </c>
      <c r="O29" s="1005" t="str">
        <f ca="1">報7!$C$590</f>
        <v/>
      </c>
      <c r="P29" s="1621" t="str">
        <f>報7!$I$590</f>
        <v/>
      </c>
      <c r="Q29" s="53" t="str">
        <f>報7!$N$590&amp;""</f>
        <v/>
      </c>
      <c r="R29" s="53" t="str">
        <f>報7!$C$592&amp;""</f>
        <v/>
      </c>
      <c r="S29" s="53" t="str">
        <f>IF(報7!$Q$598=1,"記入する",IF(報7!$Q$598=2,"記入しない",""))</f>
        <v/>
      </c>
      <c r="T29" s="53" t="str">
        <f>報7!P583</f>
        <v/>
      </c>
      <c r="V29" s="1815"/>
    </row>
    <row r="30" spans="2:22">
      <c r="B30" s="53" t="str">
        <f>はじめに!$B$6&amp;""</f>
        <v/>
      </c>
      <c r="C30" s="53" t="str">
        <f t="shared" si="1"/>
        <v/>
      </c>
      <c r="D30" s="53">
        <v>25</v>
      </c>
      <c r="E30" s="53" t="str">
        <f t="shared" si="0"/>
        <v>_新規_25</v>
      </c>
      <c r="F30" s="53" t="str">
        <f t="shared" si="2"/>
        <v>新規</v>
      </c>
      <c r="G30" s="1005" t="str">
        <f>報7!$D$606</f>
        <v>事業所名を入力25</v>
      </c>
      <c r="H30" s="53" t="str">
        <f>報7!$D$607&amp;""</f>
        <v/>
      </c>
      <c r="I30" s="53" t="str">
        <f>報7!$C$608&amp;""</f>
        <v/>
      </c>
      <c r="J30" s="1005" t="str">
        <f ca="1">報7!$H$608</f>
        <v/>
      </c>
      <c r="K30" s="53" t="str">
        <f>報7!$M$608&amp;""</f>
        <v/>
      </c>
      <c r="L30" s="53" t="str">
        <f>報7!$C$609&amp;""</f>
        <v/>
      </c>
      <c r="M30" s="53" t="str">
        <f>報7!$H$609&amp;""</f>
        <v/>
      </c>
      <c r="N30" s="53">
        <f>報7!$A$616</f>
        <v>2023</v>
      </c>
      <c r="O30" s="1005" t="str">
        <f ca="1">報7!$C$615</f>
        <v/>
      </c>
      <c r="P30" s="1621" t="str">
        <f>報7!$I$615</f>
        <v/>
      </c>
      <c r="Q30" s="53" t="str">
        <f>報7!$N$615</f>
        <v/>
      </c>
      <c r="R30" s="53" t="str">
        <f>報7!$C$617&amp;""</f>
        <v/>
      </c>
      <c r="S30" s="53" t="str">
        <f>IF(報7!$Q$623=1,"記入する",IF(報7!$Q$623=2,"記入しない",""))</f>
        <v/>
      </c>
      <c r="T30" s="53" t="str">
        <f>報7!P608</f>
        <v/>
      </c>
      <c r="V30" s="1815"/>
    </row>
    <row r="31" spans="2:22">
      <c r="B31" s="53" t="str">
        <f>はじめに!$B$6&amp;""</f>
        <v/>
      </c>
      <c r="C31" s="53" t="str">
        <f t="shared" si="1"/>
        <v/>
      </c>
      <c r="D31" s="53">
        <v>26</v>
      </c>
      <c r="E31" s="53" t="str">
        <f t="shared" si="0"/>
        <v>_新規_26</v>
      </c>
      <c r="F31" s="53" t="str">
        <f t="shared" si="2"/>
        <v>新規</v>
      </c>
      <c r="G31" s="1005" t="str">
        <f>報7!$D$631</f>
        <v>事業所名を入力26</v>
      </c>
      <c r="H31" s="53" t="str">
        <f>報7!$D$632&amp;""</f>
        <v/>
      </c>
      <c r="I31" s="53" t="str">
        <f>報7!$C$633&amp;""</f>
        <v/>
      </c>
      <c r="J31" s="1005" t="str">
        <f ca="1">報7!$H$633</f>
        <v/>
      </c>
      <c r="K31" s="53" t="str">
        <f>報7!$M$633&amp;""</f>
        <v/>
      </c>
      <c r="L31" s="53" t="str">
        <f>報7!$C$634&amp;""</f>
        <v/>
      </c>
      <c r="M31" s="53" t="str">
        <f>報7!$H$634&amp;""</f>
        <v/>
      </c>
      <c r="N31" s="53">
        <f>報7!$A$641</f>
        <v>2023</v>
      </c>
      <c r="O31" s="1005" t="str">
        <f ca="1">報7!$C$640</f>
        <v/>
      </c>
      <c r="P31" s="1621" t="str">
        <f>報7!$I$640</f>
        <v/>
      </c>
      <c r="Q31" s="53" t="str">
        <f>報7!$N$640&amp;""</f>
        <v/>
      </c>
      <c r="R31" s="53" t="str">
        <f>報7!$C$642&amp;""</f>
        <v/>
      </c>
      <c r="S31" s="53" t="str">
        <f>IF(報7!$Q$648=1,"記入する",IF(報7!$Q$648=2,"記入しない",""))</f>
        <v/>
      </c>
      <c r="T31" s="53" t="str">
        <f>報7!P633</f>
        <v/>
      </c>
      <c r="V31" s="1815"/>
    </row>
    <row r="32" spans="2:22">
      <c r="B32" s="53" t="str">
        <f>はじめに!$B$6&amp;""</f>
        <v/>
      </c>
      <c r="C32" s="53" t="str">
        <f t="shared" si="1"/>
        <v/>
      </c>
      <c r="D32" s="53">
        <v>27</v>
      </c>
      <c r="E32" s="53" t="str">
        <f t="shared" si="0"/>
        <v>_新規_27</v>
      </c>
      <c r="F32" s="53" t="str">
        <f t="shared" si="2"/>
        <v>新規</v>
      </c>
      <c r="G32" s="1005" t="str">
        <f>報7!$D$656</f>
        <v>事業所名を入力27</v>
      </c>
      <c r="H32" s="53" t="str">
        <f>報7!$D$657&amp;""</f>
        <v/>
      </c>
      <c r="I32" s="53" t="str">
        <f>報7!$C$658&amp;""</f>
        <v/>
      </c>
      <c r="J32" s="1005" t="str">
        <f ca="1">報7!$H$658</f>
        <v/>
      </c>
      <c r="K32" s="53" t="str">
        <f>報7!$M$658&amp;""</f>
        <v/>
      </c>
      <c r="L32" s="53" t="str">
        <f>報7!$C$659&amp;""</f>
        <v/>
      </c>
      <c r="M32" s="53" t="str">
        <f>報7!$H$659&amp;""</f>
        <v/>
      </c>
      <c r="N32" s="53">
        <f>報7!$A$666</f>
        <v>2023</v>
      </c>
      <c r="O32" s="1005" t="str">
        <f ca="1">報7!$C$665</f>
        <v/>
      </c>
      <c r="P32" s="1621" t="str">
        <f>報7!$I$665</f>
        <v/>
      </c>
      <c r="Q32" s="53" t="str">
        <f>報7!$N$665</f>
        <v/>
      </c>
      <c r="R32" s="53" t="str">
        <f>報7!$C$667&amp;""</f>
        <v/>
      </c>
      <c r="S32" s="53" t="str">
        <f>IF(報7!$Q$673=1,"記入する",IF(報7!$Q$673=2,"記入しない",""))</f>
        <v/>
      </c>
      <c r="T32" s="53" t="str">
        <f>報7!P658</f>
        <v/>
      </c>
      <c r="V32" s="1815"/>
    </row>
    <row r="33" spans="2:22">
      <c r="B33" s="53" t="str">
        <f>はじめに!$B$6&amp;""</f>
        <v/>
      </c>
      <c r="C33" s="53" t="str">
        <f t="shared" si="1"/>
        <v/>
      </c>
      <c r="D33" s="53">
        <v>28</v>
      </c>
      <c r="E33" s="53" t="str">
        <f t="shared" si="0"/>
        <v>_新規_28</v>
      </c>
      <c r="F33" s="53" t="str">
        <f t="shared" si="2"/>
        <v>新規</v>
      </c>
      <c r="G33" s="1005" t="str">
        <f>報7!$D$681</f>
        <v>事業所名を入力28</v>
      </c>
      <c r="H33" s="53" t="str">
        <f>報7!$D$682&amp;""</f>
        <v/>
      </c>
      <c r="I33" s="53" t="str">
        <f>報7!$C$683&amp;""</f>
        <v/>
      </c>
      <c r="J33" s="1005" t="str">
        <f ca="1">報7!$H$683</f>
        <v/>
      </c>
      <c r="K33" s="53" t="str">
        <f>報7!$M$683&amp;""</f>
        <v/>
      </c>
      <c r="L33" s="53" t="str">
        <f>報7!$C$684&amp;""</f>
        <v/>
      </c>
      <c r="M33" s="53" t="str">
        <f>報7!$H$684&amp;""</f>
        <v/>
      </c>
      <c r="N33" s="53">
        <f>報7!$A$691</f>
        <v>2023</v>
      </c>
      <c r="O33" s="1005" t="str">
        <f ca="1">報7!$C$690</f>
        <v/>
      </c>
      <c r="P33" s="1621" t="str">
        <f>報7!$I$690</f>
        <v/>
      </c>
      <c r="Q33" s="53" t="str">
        <f>報7!$N$690&amp;""</f>
        <v/>
      </c>
      <c r="R33" s="53" t="str">
        <f>報7!$C$692&amp;""</f>
        <v/>
      </c>
      <c r="S33" s="53" t="str">
        <f>IF(報7!$Q$698=1,"記入する",IF(報7!$Q$698=2,"記入しない",""))</f>
        <v/>
      </c>
      <c r="T33" s="53" t="str">
        <f>報7!P683</f>
        <v/>
      </c>
      <c r="V33" s="1815"/>
    </row>
    <row r="34" spans="2:22">
      <c r="B34" s="53" t="str">
        <f>はじめに!$B$6&amp;""</f>
        <v/>
      </c>
      <c r="C34" s="53" t="str">
        <f t="shared" si="1"/>
        <v/>
      </c>
      <c r="D34" s="53">
        <v>29</v>
      </c>
      <c r="E34" s="53" t="str">
        <f t="shared" si="0"/>
        <v>_新規_29</v>
      </c>
      <c r="F34" s="53" t="str">
        <f t="shared" si="2"/>
        <v>新規</v>
      </c>
      <c r="G34" s="1005" t="str">
        <f>報7!$D$706</f>
        <v>事業所名を入力29</v>
      </c>
      <c r="H34" s="53" t="str">
        <f>報7!$D$707&amp;""</f>
        <v/>
      </c>
      <c r="I34" s="53" t="str">
        <f>報7!$C$708&amp;""</f>
        <v/>
      </c>
      <c r="J34" s="1005" t="str">
        <f ca="1">報7!$H$708</f>
        <v/>
      </c>
      <c r="K34" s="53" t="str">
        <f>報7!$M$708&amp;""</f>
        <v/>
      </c>
      <c r="L34" s="53" t="str">
        <f>報7!$C$709&amp;""</f>
        <v/>
      </c>
      <c r="M34" s="53" t="str">
        <f>報7!$H$709&amp;""</f>
        <v/>
      </c>
      <c r="N34" s="53">
        <f>報7!$A$716</f>
        <v>2023</v>
      </c>
      <c r="O34" s="1005" t="str">
        <f ca="1">報7!$C$715</f>
        <v/>
      </c>
      <c r="P34" s="1621" t="str">
        <f>報7!$I$715</f>
        <v/>
      </c>
      <c r="Q34" s="53" t="str">
        <f>報7!$N$715</f>
        <v/>
      </c>
      <c r="R34" s="53" t="str">
        <f>報7!$C$717&amp;""</f>
        <v/>
      </c>
      <c r="S34" s="53" t="str">
        <f>IF(報7!$Q$723=1,"記入する",IF(報7!$Q$723=2,"記入しない",""))</f>
        <v/>
      </c>
      <c r="T34" s="53" t="str">
        <f>報7!P708</f>
        <v/>
      </c>
      <c r="V34" s="1815"/>
    </row>
    <row r="35" spans="2:22">
      <c r="B35" s="53" t="str">
        <f>はじめに!$B$6&amp;""</f>
        <v/>
      </c>
      <c r="C35" s="53" t="str">
        <f t="shared" si="1"/>
        <v/>
      </c>
      <c r="D35" s="53">
        <v>30</v>
      </c>
      <c r="E35" s="53" t="str">
        <f t="shared" si="0"/>
        <v>_新規_30</v>
      </c>
      <c r="F35" s="53" t="str">
        <f t="shared" si="2"/>
        <v>新規</v>
      </c>
      <c r="G35" s="1005" t="str">
        <f>報7!$D$731</f>
        <v>事業所名を入力30</v>
      </c>
      <c r="H35" s="53" t="str">
        <f>報7!$D$732&amp;""</f>
        <v/>
      </c>
      <c r="I35" s="53" t="str">
        <f>報7!$C$733&amp;""</f>
        <v/>
      </c>
      <c r="J35" s="1005" t="str">
        <f ca="1">報7!$H$733</f>
        <v/>
      </c>
      <c r="K35" s="53" t="str">
        <f>報7!$M$733&amp;""</f>
        <v/>
      </c>
      <c r="L35" s="53" t="str">
        <f>報7!$C$734&amp;""</f>
        <v/>
      </c>
      <c r="M35" s="53" t="str">
        <f>報7!$H$734&amp;""</f>
        <v/>
      </c>
      <c r="N35" s="53">
        <f>報7!$A$741</f>
        <v>2023</v>
      </c>
      <c r="O35" s="1005" t="str">
        <f ca="1">報7!$C$740</f>
        <v/>
      </c>
      <c r="P35" s="1621" t="str">
        <f>報7!$I$740</f>
        <v/>
      </c>
      <c r="Q35" s="53" t="str">
        <f>報7!$N$740&amp;""</f>
        <v/>
      </c>
      <c r="R35" s="53" t="str">
        <f>報7!$C$742&amp;""</f>
        <v/>
      </c>
      <c r="S35" s="53" t="str">
        <f>IF(報7!$Q$748=1,"記入する",IF(報7!$Q$748=2,"記入しない",""))</f>
        <v/>
      </c>
      <c r="T35" s="53" t="str">
        <f>報7!P733</f>
        <v/>
      </c>
      <c r="V35" s="1815"/>
    </row>
    <row r="36" spans="2:22">
      <c r="B36" s="53" t="str">
        <f>はじめに!$B$6&amp;""</f>
        <v/>
      </c>
      <c r="C36" s="53" t="str">
        <f t="shared" si="1"/>
        <v/>
      </c>
      <c r="D36" s="53">
        <v>31</v>
      </c>
      <c r="E36" s="53" t="str">
        <f t="shared" si="0"/>
        <v>_新規_31</v>
      </c>
      <c r="F36" s="53" t="str">
        <f t="shared" si="2"/>
        <v>新規</v>
      </c>
      <c r="G36" s="1005" t="str">
        <f>報7!$D$756</f>
        <v>事業所名を入力31</v>
      </c>
      <c r="H36" s="53" t="str">
        <f>報7!$D$757&amp;""</f>
        <v/>
      </c>
      <c r="I36" s="53" t="str">
        <f>報7!$C$758&amp;""</f>
        <v/>
      </c>
      <c r="J36" s="1005" t="str">
        <f ca="1">報7!$H$758</f>
        <v/>
      </c>
      <c r="K36" s="53" t="str">
        <f>報7!$M$758&amp;""</f>
        <v/>
      </c>
      <c r="L36" s="53" t="str">
        <f>報7!$C$759&amp;""</f>
        <v/>
      </c>
      <c r="M36" s="53" t="str">
        <f>報7!$H$759&amp;""</f>
        <v/>
      </c>
      <c r="N36" s="53">
        <f>報7!$A$766</f>
        <v>2023</v>
      </c>
      <c r="O36" s="1005" t="str">
        <f ca="1">報7!$C$765</f>
        <v/>
      </c>
      <c r="P36" s="1621" t="str">
        <f>報7!$I$765</f>
        <v/>
      </c>
      <c r="Q36" s="53" t="str">
        <f>報7!$N$765</f>
        <v/>
      </c>
      <c r="R36" s="53" t="str">
        <f>報7!$C$767&amp;""</f>
        <v/>
      </c>
      <c r="S36" s="53" t="str">
        <f>IF(報7!$Q$773=1,"記入する",IF(報7!$Q$773=2,"記入しない",""))</f>
        <v/>
      </c>
      <c r="T36" s="53" t="str">
        <f>報7!P758</f>
        <v/>
      </c>
      <c r="V36" s="1815"/>
    </row>
    <row r="37" spans="2:22">
      <c r="B37" s="53" t="str">
        <f>はじめに!$B$6&amp;""</f>
        <v/>
      </c>
      <c r="C37" s="53" t="str">
        <f t="shared" si="1"/>
        <v/>
      </c>
      <c r="D37" s="53">
        <v>32</v>
      </c>
      <c r="E37" s="53" t="str">
        <f t="shared" si="0"/>
        <v>_新規_32</v>
      </c>
      <c r="F37" s="53" t="str">
        <f t="shared" si="2"/>
        <v>新規</v>
      </c>
      <c r="G37" s="1005" t="str">
        <f>報7!$D$781</f>
        <v>事業所名を入力32</v>
      </c>
      <c r="H37" s="53" t="str">
        <f>報7!$D$782&amp;""</f>
        <v/>
      </c>
      <c r="I37" s="53" t="str">
        <f>報7!$C$783&amp;""</f>
        <v/>
      </c>
      <c r="J37" s="1005" t="str">
        <f ca="1">報7!$H$783</f>
        <v/>
      </c>
      <c r="K37" s="53" t="str">
        <f>報7!$M$783&amp;""</f>
        <v/>
      </c>
      <c r="L37" s="53" t="str">
        <f>報7!$C$784&amp;""</f>
        <v/>
      </c>
      <c r="M37" s="53" t="str">
        <f>報7!$H$784&amp;""</f>
        <v/>
      </c>
      <c r="N37" s="53">
        <f>報7!$A$791</f>
        <v>2023</v>
      </c>
      <c r="O37" s="1005" t="str">
        <f ca="1">報7!$C$790</f>
        <v/>
      </c>
      <c r="P37" s="1621" t="str">
        <f>報7!$I$790</f>
        <v/>
      </c>
      <c r="Q37" s="53" t="str">
        <f>報7!$N$790&amp;""</f>
        <v/>
      </c>
      <c r="R37" s="53" t="str">
        <f>報7!$C$792&amp;""</f>
        <v/>
      </c>
      <c r="S37" s="53" t="str">
        <f>IF(報7!$Q$798=1,"記入する",IF(報7!$Q$798=2,"記入しない",""))</f>
        <v/>
      </c>
      <c r="T37" s="53" t="str">
        <f>報7!P783</f>
        <v/>
      </c>
      <c r="V37" s="1815"/>
    </row>
    <row r="38" spans="2:22">
      <c r="B38" s="53" t="str">
        <f>はじめに!$B$6&amp;""</f>
        <v/>
      </c>
      <c r="C38" s="53" t="str">
        <f t="shared" si="1"/>
        <v/>
      </c>
      <c r="D38" s="53">
        <v>33</v>
      </c>
      <c r="E38" s="53" t="str">
        <f t="shared" si="0"/>
        <v>_新規_33</v>
      </c>
      <c r="F38" s="53" t="str">
        <f t="shared" si="2"/>
        <v>新規</v>
      </c>
      <c r="G38" s="1005" t="str">
        <f>報7!$D$806</f>
        <v>事業所名を入力33</v>
      </c>
      <c r="H38" s="53" t="str">
        <f>報7!$D$807&amp;""</f>
        <v/>
      </c>
      <c r="I38" s="53" t="str">
        <f>報7!$C$808&amp;""</f>
        <v/>
      </c>
      <c r="J38" s="1005" t="str">
        <f ca="1">報7!$H$808</f>
        <v/>
      </c>
      <c r="K38" s="53" t="str">
        <f>報7!$M$808&amp;""</f>
        <v/>
      </c>
      <c r="L38" s="53" t="str">
        <f>報7!$C$809&amp;""</f>
        <v/>
      </c>
      <c r="M38" s="53" t="str">
        <f>報7!$H$809&amp;""</f>
        <v/>
      </c>
      <c r="N38" s="53">
        <f>報7!$A$816</f>
        <v>2023</v>
      </c>
      <c r="O38" s="1005" t="str">
        <f ca="1">報7!$C$815</f>
        <v/>
      </c>
      <c r="P38" s="1621" t="str">
        <f>報7!$I$815</f>
        <v/>
      </c>
      <c r="Q38" s="53" t="str">
        <f>報7!$N$815</f>
        <v/>
      </c>
      <c r="R38" s="53" t="str">
        <f>報7!$C$817&amp;""</f>
        <v/>
      </c>
      <c r="S38" s="53" t="str">
        <f>IF(報7!$Q$823=1,"記入する",IF(報7!$Q$823=2,"記入しない",""))</f>
        <v/>
      </c>
      <c r="T38" s="53" t="str">
        <f>報7!P808</f>
        <v/>
      </c>
      <c r="V38" s="1815"/>
    </row>
    <row r="39" spans="2:22">
      <c r="B39" s="53" t="str">
        <f>はじめに!$B$6&amp;""</f>
        <v/>
      </c>
      <c r="C39" s="53" t="str">
        <f t="shared" si="1"/>
        <v/>
      </c>
      <c r="D39" s="53">
        <v>34</v>
      </c>
      <c r="E39" s="53" t="str">
        <f t="shared" si="0"/>
        <v>_新規_34</v>
      </c>
      <c r="F39" s="53" t="str">
        <f t="shared" si="2"/>
        <v>新規</v>
      </c>
      <c r="G39" s="1005" t="str">
        <f>報7!$D$831</f>
        <v>事業所名を入力34</v>
      </c>
      <c r="H39" s="53" t="str">
        <f>報7!$D$832&amp;""</f>
        <v/>
      </c>
      <c r="I39" s="53" t="str">
        <f>報7!$C$833&amp;""</f>
        <v/>
      </c>
      <c r="J39" s="1005" t="str">
        <f ca="1">報7!$H$833</f>
        <v/>
      </c>
      <c r="K39" s="53" t="str">
        <f>報7!$M$833&amp;""</f>
        <v/>
      </c>
      <c r="L39" s="53" t="str">
        <f>報7!$C$834&amp;""</f>
        <v/>
      </c>
      <c r="M39" s="53" t="str">
        <f>報7!$H$834&amp;""</f>
        <v/>
      </c>
      <c r="N39" s="53">
        <f>報7!$A$841</f>
        <v>2023</v>
      </c>
      <c r="O39" s="1005" t="str">
        <f ca="1">報7!$C$840</f>
        <v/>
      </c>
      <c r="P39" s="1621" t="str">
        <f>報7!$I$840</f>
        <v/>
      </c>
      <c r="Q39" s="53" t="str">
        <f>報7!$N$840&amp;""</f>
        <v/>
      </c>
      <c r="R39" s="53" t="str">
        <f>報7!$C$842&amp;""</f>
        <v/>
      </c>
      <c r="S39" s="53" t="str">
        <f>IF(報7!$Q$848=1,"記入する",IF(報7!$Q$848=2,"記入しない",""))</f>
        <v/>
      </c>
      <c r="T39" s="53" t="str">
        <f>報7!P833</f>
        <v/>
      </c>
      <c r="V39" s="1815"/>
    </row>
    <row r="40" spans="2:22">
      <c r="B40" s="53" t="str">
        <f>はじめに!$B$6&amp;""</f>
        <v/>
      </c>
      <c r="C40" s="53" t="str">
        <f t="shared" si="1"/>
        <v/>
      </c>
      <c r="D40" s="53">
        <v>35</v>
      </c>
      <c r="E40" s="53" t="str">
        <f t="shared" si="0"/>
        <v>_新規_35</v>
      </c>
      <c r="F40" s="53" t="str">
        <f t="shared" si="2"/>
        <v>新規</v>
      </c>
      <c r="G40" s="1005" t="str">
        <f>報7!$D$856</f>
        <v>事業所名を入力35</v>
      </c>
      <c r="H40" s="53" t="str">
        <f>報7!$D$857&amp;""</f>
        <v/>
      </c>
      <c r="I40" s="53" t="str">
        <f>報7!$C$858&amp;""</f>
        <v/>
      </c>
      <c r="J40" s="1005" t="str">
        <f ca="1">報7!$H$858</f>
        <v/>
      </c>
      <c r="K40" s="53" t="str">
        <f>報7!$M$858&amp;""</f>
        <v/>
      </c>
      <c r="L40" s="53" t="str">
        <f>報7!$C$859&amp;""</f>
        <v/>
      </c>
      <c r="M40" s="53" t="str">
        <f>報7!$H$859&amp;""</f>
        <v/>
      </c>
      <c r="N40" s="53">
        <f>報7!$A$866</f>
        <v>2023</v>
      </c>
      <c r="O40" s="1005" t="str">
        <f ca="1">報7!$C$865</f>
        <v/>
      </c>
      <c r="P40" s="1621" t="str">
        <f>報7!$I$865</f>
        <v/>
      </c>
      <c r="Q40" s="53" t="str">
        <f>報7!$N$865</f>
        <v/>
      </c>
      <c r="R40" s="53" t="str">
        <f>報7!$C$867&amp;""</f>
        <v/>
      </c>
      <c r="S40" s="53" t="str">
        <f>IF(報7!$Q$873=1,"記入する",IF(報7!$Q$873=2,"記入しない",""))</f>
        <v/>
      </c>
      <c r="T40" s="53" t="str">
        <f>報7!P858</f>
        <v/>
      </c>
      <c r="V40" s="1815"/>
    </row>
    <row r="41" spans="2:22">
      <c r="B41" s="53" t="str">
        <f>はじめに!$B$6&amp;""</f>
        <v/>
      </c>
      <c r="C41" s="53" t="str">
        <f t="shared" si="1"/>
        <v/>
      </c>
      <c r="D41" s="53">
        <v>36</v>
      </c>
      <c r="E41" s="53" t="str">
        <f t="shared" si="0"/>
        <v>_新規_36</v>
      </c>
      <c r="F41" s="53" t="str">
        <f t="shared" si="2"/>
        <v>新規</v>
      </c>
      <c r="G41" s="1005" t="str">
        <f>報7!$D$881</f>
        <v>事業所名を入力36</v>
      </c>
      <c r="H41" s="53" t="str">
        <f>報7!$D$882&amp;""</f>
        <v/>
      </c>
      <c r="I41" s="53" t="str">
        <f>報7!$C$883&amp;""</f>
        <v/>
      </c>
      <c r="J41" s="1005" t="str">
        <f ca="1">報7!$H$883</f>
        <v/>
      </c>
      <c r="K41" s="53" t="str">
        <f>報7!$M$883&amp;""</f>
        <v/>
      </c>
      <c r="L41" s="53" t="str">
        <f>報7!$C$884&amp;""</f>
        <v/>
      </c>
      <c r="M41" s="53" t="str">
        <f>報7!$H$884&amp;""</f>
        <v/>
      </c>
      <c r="N41" s="53">
        <f>報7!$A$891</f>
        <v>2023</v>
      </c>
      <c r="O41" s="1005" t="str">
        <f ca="1">報7!$C$890</f>
        <v/>
      </c>
      <c r="P41" s="1621" t="str">
        <f>報7!$I$890</f>
        <v/>
      </c>
      <c r="Q41" s="53" t="str">
        <f>報7!$N$890&amp;""</f>
        <v/>
      </c>
      <c r="R41" s="53" t="str">
        <f>報7!$C$892&amp;""</f>
        <v/>
      </c>
      <c r="S41" s="53" t="str">
        <f>IF(報7!$Q$898=1,"記入する",IF(報7!$Q$898=2,"記入しない",""))</f>
        <v/>
      </c>
      <c r="T41" s="53" t="str">
        <f>報7!P883</f>
        <v/>
      </c>
      <c r="V41" s="1815"/>
    </row>
    <row r="42" spans="2:22">
      <c r="B42" s="53" t="str">
        <f>はじめに!$B$6&amp;""</f>
        <v/>
      </c>
      <c r="C42" s="53" t="str">
        <f t="shared" si="1"/>
        <v/>
      </c>
      <c r="D42" s="53">
        <v>37</v>
      </c>
      <c r="E42" s="53" t="str">
        <f t="shared" si="0"/>
        <v>_新規_37</v>
      </c>
      <c r="F42" s="53" t="str">
        <f t="shared" si="2"/>
        <v>新規</v>
      </c>
      <c r="G42" s="1005" t="str">
        <f>報7!$D$906</f>
        <v>事業所名を入力37</v>
      </c>
      <c r="H42" s="53" t="str">
        <f>報7!$D$907&amp;""</f>
        <v/>
      </c>
      <c r="I42" s="53" t="str">
        <f>報7!$C$908&amp;""</f>
        <v/>
      </c>
      <c r="J42" s="1005" t="str">
        <f ca="1">報7!$H$908</f>
        <v/>
      </c>
      <c r="K42" s="53" t="str">
        <f>報7!$M$908&amp;""</f>
        <v/>
      </c>
      <c r="L42" s="53" t="str">
        <f>報7!$C$909&amp;""</f>
        <v/>
      </c>
      <c r="M42" s="53" t="str">
        <f>報7!$H$909&amp;""</f>
        <v/>
      </c>
      <c r="N42" s="53">
        <f>報7!$A$916</f>
        <v>2023</v>
      </c>
      <c r="O42" s="1005" t="str">
        <f ca="1">報7!$C$915</f>
        <v/>
      </c>
      <c r="P42" s="1621" t="str">
        <f>報7!$I$915</f>
        <v/>
      </c>
      <c r="Q42" s="53" t="str">
        <f>報7!$N$915</f>
        <v/>
      </c>
      <c r="R42" s="53" t="str">
        <f>報7!$C$917&amp;""</f>
        <v/>
      </c>
      <c r="S42" s="53" t="str">
        <f>IF(報7!$Q$923=1,"記入する",IF(報7!$Q$923=2,"記入しない",""))</f>
        <v/>
      </c>
      <c r="T42" s="53" t="str">
        <f>報7!P908</f>
        <v/>
      </c>
      <c r="V42" s="1815"/>
    </row>
    <row r="43" spans="2:22">
      <c r="B43" s="53" t="str">
        <f>はじめに!$B$6&amp;""</f>
        <v/>
      </c>
      <c r="C43" s="53" t="str">
        <f t="shared" si="1"/>
        <v/>
      </c>
      <c r="D43" s="53">
        <v>38</v>
      </c>
      <c r="E43" s="53" t="str">
        <f t="shared" si="0"/>
        <v>_新規_38</v>
      </c>
      <c r="F43" s="53" t="str">
        <f t="shared" si="2"/>
        <v>新規</v>
      </c>
      <c r="G43" s="1005" t="str">
        <f>報7!$D$931</f>
        <v>事業所名を入力38</v>
      </c>
      <c r="H43" s="53" t="str">
        <f>報7!$D$932&amp;""</f>
        <v/>
      </c>
      <c r="I43" s="53" t="str">
        <f>報7!$C$933&amp;""</f>
        <v/>
      </c>
      <c r="J43" s="1005" t="str">
        <f ca="1">報7!$H$933</f>
        <v/>
      </c>
      <c r="K43" s="53" t="str">
        <f>報7!$M$933&amp;""</f>
        <v/>
      </c>
      <c r="L43" s="53" t="str">
        <f>報7!$C$934&amp;""</f>
        <v/>
      </c>
      <c r="M43" s="53" t="str">
        <f>報7!$H$934&amp;""</f>
        <v/>
      </c>
      <c r="N43" s="53">
        <f>報7!$A$941</f>
        <v>2023</v>
      </c>
      <c r="O43" s="1005" t="str">
        <f ca="1">報7!$C$940</f>
        <v/>
      </c>
      <c r="P43" s="1621" t="str">
        <f>報7!$I$940</f>
        <v/>
      </c>
      <c r="Q43" s="53" t="str">
        <f>報7!$N$940&amp;""</f>
        <v/>
      </c>
      <c r="R43" s="53" t="str">
        <f>報7!$C$942&amp;""</f>
        <v/>
      </c>
      <c r="S43" s="53" t="str">
        <f>IF(報7!$Q$948=1,"記入する",IF(報7!$Q$948=2,"記入しない",""))</f>
        <v/>
      </c>
      <c r="T43" s="53" t="str">
        <f>報7!P933</f>
        <v/>
      </c>
      <c r="V43" s="1815"/>
    </row>
    <row r="44" spans="2:22">
      <c r="B44" s="53" t="str">
        <f>はじめに!$B$6&amp;""</f>
        <v/>
      </c>
      <c r="C44" s="53" t="str">
        <f t="shared" si="1"/>
        <v/>
      </c>
      <c r="D44" s="53">
        <v>39</v>
      </c>
      <c r="E44" s="53" t="str">
        <f t="shared" si="0"/>
        <v>_新規_39</v>
      </c>
      <c r="F44" s="53" t="str">
        <f t="shared" si="2"/>
        <v>新規</v>
      </c>
      <c r="G44" s="1005" t="str">
        <f>報7!$D$956</f>
        <v>事業所名を入力39</v>
      </c>
      <c r="H44" s="53" t="str">
        <f>報7!$D$957&amp;""</f>
        <v/>
      </c>
      <c r="I44" s="53" t="str">
        <f>報7!$C$958&amp;""</f>
        <v/>
      </c>
      <c r="J44" s="1005" t="str">
        <f ca="1">報7!$H$958</f>
        <v/>
      </c>
      <c r="K44" s="53" t="str">
        <f>報7!$M$958&amp;""</f>
        <v/>
      </c>
      <c r="L44" s="53" t="str">
        <f>報7!$C$959&amp;""</f>
        <v/>
      </c>
      <c r="M44" s="53" t="str">
        <f>報7!$H$959&amp;""</f>
        <v/>
      </c>
      <c r="N44" s="53">
        <f>報7!$A$966</f>
        <v>2023</v>
      </c>
      <c r="O44" s="1005" t="str">
        <f ca="1">報7!$C$965</f>
        <v/>
      </c>
      <c r="P44" s="1621" t="str">
        <f>報7!$I$965</f>
        <v/>
      </c>
      <c r="Q44" s="53" t="str">
        <f>報7!$N$965</f>
        <v/>
      </c>
      <c r="R44" s="53" t="str">
        <f>報7!$C$967&amp;""</f>
        <v/>
      </c>
      <c r="S44" s="53" t="str">
        <f>IF(報7!$Q$973=1,"記入する",IF(報7!$Q$973=2,"記入しない",""))</f>
        <v/>
      </c>
      <c r="T44" s="53" t="str">
        <f>報7!P958</f>
        <v/>
      </c>
      <c r="V44" s="1815"/>
    </row>
    <row r="45" spans="2:22">
      <c r="B45" s="53" t="str">
        <f>はじめに!$B$6&amp;""</f>
        <v/>
      </c>
      <c r="C45" s="53" t="str">
        <f t="shared" si="1"/>
        <v/>
      </c>
      <c r="D45" s="53">
        <v>40</v>
      </c>
      <c r="E45" s="53" t="str">
        <f t="shared" si="0"/>
        <v>_新規_40</v>
      </c>
      <c r="F45" s="53" t="str">
        <f t="shared" si="2"/>
        <v>新規</v>
      </c>
      <c r="G45" s="1005" t="str">
        <f>報7!$D$981</f>
        <v>事業所名を入力40</v>
      </c>
      <c r="H45" s="53" t="str">
        <f>報7!$D$982&amp;""</f>
        <v/>
      </c>
      <c r="I45" s="53" t="str">
        <f>報7!$C$983&amp;""</f>
        <v/>
      </c>
      <c r="J45" s="1005" t="str">
        <f ca="1">報7!$H$983</f>
        <v/>
      </c>
      <c r="K45" s="53" t="str">
        <f>報7!$M$983&amp;""</f>
        <v/>
      </c>
      <c r="L45" s="53" t="str">
        <f>報7!$C$984&amp;""</f>
        <v/>
      </c>
      <c r="M45" s="53" t="str">
        <f>報7!$H$984&amp;""</f>
        <v/>
      </c>
      <c r="N45" s="53">
        <f>報7!$A$991</f>
        <v>2023</v>
      </c>
      <c r="O45" s="1005" t="str">
        <f ca="1">報7!$C$990</f>
        <v/>
      </c>
      <c r="P45" s="1621" t="str">
        <f>報7!$I$990</f>
        <v/>
      </c>
      <c r="Q45" s="53" t="str">
        <f>報7!$N$990&amp;""</f>
        <v/>
      </c>
      <c r="R45" s="53" t="str">
        <f>報7!$C$992&amp;""</f>
        <v/>
      </c>
      <c r="S45" s="53" t="str">
        <f>IF(報7!$Q$998=1,"記入する",IF(報7!$Q$998=2,"記入しない",""))</f>
        <v/>
      </c>
      <c r="T45" s="53" t="str">
        <f>報7!P983</f>
        <v/>
      </c>
      <c r="V45" s="1815"/>
    </row>
  </sheetData>
  <mergeCells count="5">
    <mergeCell ref="N3:S3"/>
    <mergeCell ref="R4:S4"/>
    <mergeCell ref="N4:Q4"/>
    <mergeCell ref="G3:M4"/>
    <mergeCell ref="B4:F4"/>
  </mergeCells>
  <phoneticPr fontId="15"/>
  <conditionalFormatting sqref="R6">
    <cfRule type="expression" dxfId="939" priority="43">
      <formula>AND($J$6&lt;&gt;"",$J$6&gt;1500)</formula>
    </cfRule>
  </conditionalFormatting>
  <conditionalFormatting sqref="R7">
    <cfRule type="expression" dxfId="938" priority="42">
      <formula>AND($J$7&lt;&gt;"",$J$7&gt;1500)</formula>
    </cfRule>
  </conditionalFormatting>
  <conditionalFormatting sqref="R8">
    <cfRule type="expression" dxfId="937" priority="41">
      <formula>AND($J$8&lt;&gt;"",$J$8&gt;1500)</formula>
    </cfRule>
  </conditionalFormatting>
  <conditionalFormatting sqref="R9">
    <cfRule type="expression" dxfId="936" priority="40">
      <formula>AND($J$9&lt;&gt;"",$J$9&gt;1500)</formula>
    </cfRule>
  </conditionalFormatting>
  <conditionalFormatting sqref="R10">
    <cfRule type="expression" dxfId="935" priority="39">
      <formula>AND($J$10&lt;&gt;"",$J$10&gt;1500)</formula>
    </cfRule>
  </conditionalFormatting>
  <conditionalFormatting sqref="R11">
    <cfRule type="expression" dxfId="934" priority="38">
      <formula>AND($J$11&lt;&gt;"",$J$11&gt;1500)</formula>
    </cfRule>
  </conditionalFormatting>
  <conditionalFormatting sqref="R12">
    <cfRule type="expression" dxfId="933" priority="37">
      <formula>AND($J$12&lt;&gt;"",$J$12&gt;1500)</formula>
    </cfRule>
  </conditionalFormatting>
  <conditionalFormatting sqref="R13">
    <cfRule type="expression" dxfId="932" priority="36">
      <formula>AND($J$13&lt;&gt;"",$J$13&gt;1500)</formula>
    </cfRule>
  </conditionalFormatting>
  <conditionalFormatting sqref="R14">
    <cfRule type="expression" dxfId="931" priority="35">
      <formula>AND($J$14&lt;&gt;"",$J$14&gt;1500)</formula>
    </cfRule>
  </conditionalFormatting>
  <conditionalFormatting sqref="R15">
    <cfRule type="expression" dxfId="930" priority="34">
      <formula>AND($J$15&lt;&gt;"",$J$15&gt;1500)</formula>
    </cfRule>
  </conditionalFormatting>
  <conditionalFormatting sqref="R16">
    <cfRule type="expression" dxfId="929" priority="33">
      <formula>AND($J$16&lt;&gt;"",$J$16&gt;1500)</formula>
    </cfRule>
  </conditionalFormatting>
  <conditionalFormatting sqref="R17">
    <cfRule type="expression" dxfId="928" priority="32">
      <formula>AND($J$17&lt;&gt;"",$J$17&gt;1500)</formula>
    </cfRule>
  </conditionalFormatting>
  <conditionalFormatting sqref="R18">
    <cfRule type="expression" dxfId="927" priority="31">
      <formula>AND($J$18&lt;&gt;"",$J$18&gt;1500)</formula>
    </cfRule>
  </conditionalFormatting>
  <conditionalFormatting sqref="R19">
    <cfRule type="expression" dxfId="926" priority="30">
      <formula>AND($J$19&lt;&gt;"",$J$19&gt;1500)</formula>
    </cfRule>
  </conditionalFormatting>
  <conditionalFormatting sqref="R20">
    <cfRule type="expression" dxfId="925" priority="29">
      <formula>AND($J$20&lt;&gt;"",$J$20&gt;1500)</formula>
    </cfRule>
  </conditionalFormatting>
  <conditionalFormatting sqref="R21">
    <cfRule type="expression" dxfId="924" priority="28">
      <formula>AND($J$21&lt;&gt;"",$J$21&gt;1500)</formula>
    </cfRule>
  </conditionalFormatting>
  <conditionalFormatting sqref="R22">
    <cfRule type="expression" dxfId="923" priority="27">
      <formula>AND($J$22&lt;&gt;"",$J$22&gt;1500)</formula>
    </cfRule>
  </conditionalFormatting>
  <conditionalFormatting sqref="R23">
    <cfRule type="expression" dxfId="922" priority="26">
      <formula>AND($J$23&lt;&gt;"",$J$23&gt;1500)</formula>
    </cfRule>
  </conditionalFormatting>
  <conditionalFormatting sqref="R24">
    <cfRule type="expression" dxfId="921" priority="25">
      <formula>AND($J$24&lt;&gt;"",$J$24&gt;1500)</formula>
    </cfRule>
  </conditionalFormatting>
  <conditionalFormatting sqref="R25">
    <cfRule type="expression" dxfId="920" priority="24">
      <formula>AND($J$25&lt;&gt;"",$J$25&gt;1500)</formula>
    </cfRule>
  </conditionalFormatting>
  <conditionalFormatting sqref="R26">
    <cfRule type="expression" dxfId="919" priority="23">
      <formula>AND($J$26&lt;&gt;"",$J$26&gt;1500)</formula>
    </cfRule>
  </conditionalFormatting>
  <conditionalFormatting sqref="R27">
    <cfRule type="expression" dxfId="918" priority="22">
      <formula>AND($J$27&lt;&gt;"",$J$27&gt;1500)</formula>
    </cfRule>
  </conditionalFormatting>
  <conditionalFormatting sqref="R28">
    <cfRule type="expression" dxfId="917" priority="21">
      <formula>AND($J$28&lt;&gt;"",$J$28&gt;1500)</formula>
    </cfRule>
  </conditionalFormatting>
  <conditionalFormatting sqref="R29">
    <cfRule type="expression" dxfId="916" priority="20">
      <formula>AND($J$29&lt;&gt;"",$J$29&gt;1500)</formula>
    </cfRule>
  </conditionalFormatting>
  <conditionalFormatting sqref="R30">
    <cfRule type="expression" dxfId="915" priority="19">
      <formula>AND($J$30&lt;&gt;"",$J$30&gt;1500)</formula>
    </cfRule>
  </conditionalFormatting>
  <conditionalFormatting sqref="R31">
    <cfRule type="expression" dxfId="914" priority="18">
      <formula>AND($J$31&lt;&gt;"",$J$31&gt;1500)</formula>
    </cfRule>
  </conditionalFormatting>
  <conditionalFormatting sqref="R32">
    <cfRule type="expression" dxfId="913" priority="17">
      <formula>AND($J$32&lt;&gt;"",$J$32&gt;1500)</formula>
    </cfRule>
  </conditionalFormatting>
  <conditionalFormatting sqref="R33">
    <cfRule type="expression" dxfId="912" priority="16">
      <formula>AND($J$33&lt;&gt;"",$J$33&gt;1500)</formula>
    </cfRule>
  </conditionalFormatting>
  <conditionalFormatting sqref="R34">
    <cfRule type="expression" dxfId="911" priority="15">
      <formula>AND($J$34&lt;&gt;"",$J$34&gt;1500)</formula>
    </cfRule>
  </conditionalFormatting>
  <conditionalFormatting sqref="R35">
    <cfRule type="expression" dxfId="910" priority="14">
      <formula>AND($J$35&lt;&gt;"",$J$35&gt;1500)</formula>
    </cfRule>
  </conditionalFormatting>
  <conditionalFormatting sqref="R36">
    <cfRule type="expression" dxfId="909" priority="13">
      <formula>AND($J$36&lt;&gt;"",$J$36&gt;1500)</formula>
    </cfRule>
  </conditionalFormatting>
  <conditionalFormatting sqref="R37">
    <cfRule type="expression" dxfId="908" priority="12">
      <formula>AND($J$37&lt;&gt;"",$J$37&gt;1500)</formula>
    </cfRule>
  </conditionalFormatting>
  <conditionalFormatting sqref="R38">
    <cfRule type="expression" dxfId="907" priority="11">
      <formula>AND($J$38&lt;&gt;"",$J$38&gt;1500)</formula>
    </cfRule>
  </conditionalFormatting>
  <conditionalFormatting sqref="R39">
    <cfRule type="expression" dxfId="906" priority="10">
      <formula>AND($J$39&lt;&gt;"",$J$39&gt;1500)</formula>
    </cfRule>
  </conditionalFormatting>
  <conditionalFormatting sqref="R40">
    <cfRule type="expression" dxfId="905" priority="9">
      <formula>AND($J$40&lt;&gt;"",$J$40&gt;1500)</formula>
    </cfRule>
  </conditionalFormatting>
  <conditionalFormatting sqref="R41">
    <cfRule type="expression" dxfId="904" priority="8">
      <formula>AND($J$41&lt;&gt;"",$J$41&gt;1500)</formula>
    </cfRule>
  </conditionalFormatting>
  <conditionalFormatting sqref="R42">
    <cfRule type="expression" dxfId="903" priority="7">
      <formula>AND($J$42&lt;&gt;"",$J$42&gt;1500)</formula>
    </cfRule>
  </conditionalFormatting>
  <conditionalFormatting sqref="R43">
    <cfRule type="expression" dxfId="902" priority="6">
      <formula>AND($J$43&lt;&gt;"",$J$43&gt;1500)</formula>
    </cfRule>
  </conditionalFormatting>
  <conditionalFormatting sqref="R44">
    <cfRule type="expression" dxfId="901" priority="5">
      <formula>AND($J$44&lt;&gt;"",$J$44&gt;1500)</formula>
    </cfRule>
  </conditionalFormatting>
  <conditionalFormatting sqref="R45">
    <cfRule type="expression" dxfId="900" priority="4">
      <formula>AND($J$45&lt;&gt;"",$J$45&gt;1500)</formula>
    </cfRule>
  </conditionalFormatting>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6">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o29</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AM</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433" priority="8">
      <formula>ISERROR(D22)</formula>
    </cfRule>
  </conditionalFormatting>
  <conditionalFormatting sqref="B111:S112 B65:C65 Q65:Q110 H105:N105 H65:I104 L65:N104 H106:I110 L106:N110 B66:B110 F66:F104">
    <cfRule type="containsErrors" dxfId="432" priority="7">
      <formula>ISERROR(B65)</formula>
    </cfRule>
  </conditionalFormatting>
  <conditionalFormatting sqref="O105:P105">
    <cfRule type="containsErrors" dxfId="431" priority="6">
      <formula>ISERROR(O105)</formula>
    </cfRule>
  </conditionalFormatting>
  <conditionalFormatting sqref="R65:S110">
    <cfRule type="containsErrors" dxfId="430" priority="5">
      <formula>ISERROR(R65)</formula>
    </cfRule>
  </conditionalFormatting>
  <conditionalFormatting sqref="C106">
    <cfRule type="containsErrors" dxfId="429" priority="4">
      <formula>ISERROR(C106)</formula>
    </cfRule>
  </conditionalFormatting>
  <conditionalFormatting sqref="C107:C110">
    <cfRule type="containsErrors" dxfId="428" priority="3">
      <formula>ISERROR(C107)</formula>
    </cfRule>
  </conditionalFormatting>
  <conditionalFormatting sqref="D67 D69 D71 D73 D75 D77 D79 D81 D83 D85 D87 D89 D91 D93 D95 D97 D99 D101 D103">
    <cfRule type="containsErrors" dxfId="427" priority="2">
      <formula>ISERROR(D67)</formula>
    </cfRule>
  </conditionalFormatting>
  <conditionalFormatting sqref="C67 C69 C71 C73 C75 C77 C79 C81 C83 C85 C87 C89 C91 C93 C95 C97 C99 C101 C103">
    <cfRule type="containsErrors" dxfId="426" priority="1">
      <formula>ISERROR(C67)</formula>
    </cfRule>
  </conditionalFormatting>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7">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o30</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AN</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425" priority="8">
      <formula>ISERROR(D22)</formula>
    </cfRule>
  </conditionalFormatting>
  <conditionalFormatting sqref="B111:S112 B65:C65 Q65:Q110 H105:N105 H65:I104 L65:N104 H106:I110 L106:N110 B66:B110 F66:F104">
    <cfRule type="containsErrors" dxfId="424" priority="7">
      <formula>ISERROR(B65)</formula>
    </cfRule>
  </conditionalFormatting>
  <conditionalFormatting sqref="O105:P105">
    <cfRule type="containsErrors" dxfId="423" priority="6">
      <formula>ISERROR(O105)</formula>
    </cfRule>
  </conditionalFormatting>
  <conditionalFormatting sqref="R65:S110">
    <cfRule type="containsErrors" dxfId="422" priority="5">
      <formula>ISERROR(R65)</formula>
    </cfRule>
  </conditionalFormatting>
  <conditionalFormatting sqref="C106">
    <cfRule type="containsErrors" dxfId="421" priority="4">
      <formula>ISERROR(C106)</formula>
    </cfRule>
  </conditionalFormatting>
  <conditionalFormatting sqref="C107:C110">
    <cfRule type="containsErrors" dxfId="420" priority="3">
      <formula>ISERROR(C107)</formula>
    </cfRule>
  </conditionalFormatting>
  <conditionalFormatting sqref="D67 D69 D71 D73 D75 D77 D79 D81 D83 D85 D87 D89 D91 D93 D95 D97 D99 D101 D103">
    <cfRule type="containsErrors" dxfId="419" priority="2">
      <formula>ISERROR(D67)</formula>
    </cfRule>
  </conditionalFormatting>
  <conditionalFormatting sqref="C67 C69 C71 C73 C75 C77 C79 C81 C83 C85 C87 C89 C91 C93 C95 C97 C99 C101 C103">
    <cfRule type="containsErrors" dxfId="418" priority="1">
      <formula>ISERROR(C67)</formula>
    </cfRule>
  </conditionalFormatting>
  <pageMargins left="0.7" right="0.7" top="0.75" bottom="0.75" header="0.3" footer="0.3"/>
  <pageSetup paperSize="9"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8">
    <outlinePr summaryBelow="0" summaryRight="0"/>
  </sheetPr>
  <dimension ref="B1:U519"/>
  <sheetViews>
    <sheetView workbookViewId="0">
      <pane xSplit="6" ySplit="31" topLeftCell="G56"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o31</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AO</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417" priority="8">
      <formula>ISERROR(D22)</formula>
    </cfRule>
  </conditionalFormatting>
  <conditionalFormatting sqref="B111:S112 B65:C65 Q65:Q110 H105:N105 H65:I104 L65:N104 H106:I110 L106:N110 B66:B110 F66:F104">
    <cfRule type="containsErrors" dxfId="416" priority="7">
      <formula>ISERROR(B65)</formula>
    </cfRule>
  </conditionalFormatting>
  <conditionalFormatting sqref="O105:P105">
    <cfRule type="containsErrors" dxfId="415" priority="6">
      <formula>ISERROR(O105)</formula>
    </cfRule>
  </conditionalFormatting>
  <conditionalFormatting sqref="R65:S110">
    <cfRule type="containsErrors" dxfId="414" priority="5">
      <formula>ISERROR(R65)</formula>
    </cfRule>
  </conditionalFormatting>
  <conditionalFormatting sqref="C106">
    <cfRule type="containsErrors" dxfId="413" priority="4">
      <formula>ISERROR(C106)</formula>
    </cfRule>
  </conditionalFormatting>
  <conditionalFormatting sqref="C107:C110">
    <cfRule type="containsErrors" dxfId="412" priority="3">
      <formula>ISERROR(C107)</formula>
    </cfRule>
  </conditionalFormatting>
  <conditionalFormatting sqref="D67 D69 D71 D73 D75 D77 D79 D81 D83 D85 D87 D89 D91 D93 D95 D97 D99 D101 D103">
    <cfRule type="containsErrors" dxfId="411" priority="2">
      <formula>ISERROR(D67)</formula>
    </cfRule>
  </conditionalFormatting>
  <conditionalFormatting sqref="C67 C69 C71 C73 C75 C77 C79 C81 C83 C85 C87 C89 C91 C93 C95 C97 C99 C101 C103">
    <cfRule type="containsErrors" dxfId="410" priority="1">
      <formula>ISERROR(C67)</formula>
    </cfRule>
  </conditionalFormatting>
  <pageMargins left="0.7" right="0.7" top="0.75" bottom="0.75" header="0.3" footer="0.3"/>
  <pageSetup paperSize="9"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9">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o32</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AP</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409" priority="8">
      <formula>ISERROR(D22)</formula>
    </cfRule>
  </conditionalFormatting>
  <conditionalFormatting sqref="B111:S112 B65:C65 Q65:Q110 H105:N105 H65:I104 L65:N104 H106:I110 L106:N110 B66:B110 F66:F104">
    <cfRule type="containsErrors" dxfId="408" priority="7">
      <formula>ISERROR(B65)</formula>
    </cfRule>
  </conditionalFormatting>
  <conditionalFormatting sqref="O105:P105">
    <cfRule type="containsErrors" dxfId="407" priority="6">
      <formula>ISERROR(O105)</formula>
    </cfRule>
  </conditionalFormatting>
  <conditionalFormatting sqref="R65:S110">
    <cfRule type="containsErrors" dxfId="406" priority="5">
      <formula>ISERROR(R65)</formula>
    </cfRule>
  </conditionalFormatting>
  <conditionalFormatting sqref="C106">
    <cfRule type="containsErrors" dxfId="405" priority="4">
      <formula>ISERROR(C106)</formula>
    </cfRule>
  </conditionalFormatting>
  <conditionalFormatting sqref="C107:C110">
    <cfRule type="containsErrors" dxfId="404" priority="3">
      <formula>ISERROR(C107)</formula>
    </cfRule>
  </conditionalFormatting>
  <conditionalFormatting sqref="D67 D69 D71 D73 D75 D77 D79 D81 D83 D85 D87 D89 D91 D93 D95 D97 D99 D101 D103">
    <cfRule type="containsErrors" dxfId="403" priority="2">
      <formula>ISERROR(D67)</formula>
    </cfRule>
  </conditionalFormatting>
  <conditionalFormatting sqref="C67 C69 C71 C73 C75 C77 C79 C81 C83 C85 C87 C89 C91 C93 C95 C97 C99 C101 C103">
    <cfRule type="containsErrors" dxfId="402" priority="1">
      <formula>ISERROR(C67)</formula>
    </cfRule>
  </conditionalFormatting>
  <pageMargins left="0.7" right="0.7" top="0.75" bottom="0.75" header="0.3" footer="0.3"/>
  <pageSetup paperSize="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0">
    <outlinePr summaryBelow="0" summaryRight="0"/>
  </sheetPr>
  <dimension ref="B1:U519"/>
  <sheetViews>
    <sheetView workbookViewId="0">
      <pane xSplit="6" ySplit="31" topLeftCell="G56"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o33</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AQ</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401" priority="8">
      <formula>ISERROR(D22)</formula>
    </cfRule>
  </conditionalFormatting>
  <conditionalFormatting sqref="B111:S112 B65:C65 Q65:Q110 H105:N105 H65:I104 L65:N104 H106:I110 L106:N110 B66:B110 F66:F104">
    <cfRule type="containsErrors" dxfId="400" priority="7">
      <formula>ISERROR(B65)</formula>
    </cfRule>
  </conditionalFormatting>
  <conditionalFormatting sqref="O105:P105">
    <cfRule type="containsErrors" dxfId="399" priority="6">
      <formula>ISERROR(O105)</formula>
    </cfRule>
  </conditionalFormatting>
  <conditionalFormatting sqref="R65:S110">
    <cfRule type="containsErrors" dxfId="398" priority="5">
      <formula>ISERROR(R65)</formula>
    </cfRule>
  </conditionalFormatting>
  <conditionalFormatting sqref="C106">
    <cfRule type="containsErrors" dxfId="397" priority="4">
      <formula>ISERROR(C106)</formula>
    </cfRule>
  </conditionalFormatting>
  <conditionalFormatting sqref="C107:C110">
    <cfRule type="containsErrors" dxfId="396" priority="3">
      <formula>ISERROR(C107)</formula>
    </cfRule>
  </conditionalFormatting>
  <conditionalFormatting sqref="D67 D69 D71 D73 D75 D77 D79 D81 D83 D85 D87 D89 D91 D93 D95 D97 D99 D101 D103">
    <cfRule type="containsErrors" dxfId="395" priority="2">
      <formula>ISERROR(D67)</formula>
    </cfRule>
  </conditionalFormatting>
  <conditionalFormatting sqref="C67 C69 C71 C73 C75 C77 C79 C81 C83 C85 C87 C89 C91 C93 C95 C97 C99 C101 C103">
    <cfRule type="containsErrors" dxfId="394" priority="1">
      <formula>ISERROR(C67)</formula>
    </cfRule>
  </conditionalFormatting>
  <pageMargins left="0.7" right="0.7" top="0.75" bottom="0.75" header="0.3" footer="0.3"/>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1">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o34</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AR</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393" priority="8">
      <formula>ISERROR(D22)</formula>
    </cfRule>
  </conditionalFormatting>
  <conditionalFormatting sqref="B111:S112 B65:C65 Q65:Q110 H105:N105 H65:I104 L65:N104 H106:I110 L106:N110 B66:B110 F66:F104">
    <cfRule type="containsErrors" dxfId="392" priority="7">
      <formula>ISERROR(B65)</formula>
    </cfRule>
  </conditionalFormatting>
  <conditionalFormatting sqref="O105:P105">
    <cfRule type="containsErrors" dxfId="391" priority="6">
      <formula>ISERROR(O105)</formula>
    </cfRule>
  </conditionalFormatting>
  <conditionalFormatting sqref="R65:S110">
    <cfRule type="containsErrors" dxfId="390" priority="5">
      <formula>ISERROR(R65)</formula>
    </cfRule>
  </conditionalFormatting>
  <conditionalFormatting sqref="C106">
    <cfRule type="containsErrors" dxfId="389" priority="4">
      <formula>ISERROR(C106)</formula>
    </cfRule>
  </conditionalFormatting>
  <conditionalFormatting sqref="C107:C110">
    <cfRule type="containsErrors" dxfId="388" priority="3">
      <formula>ISERROR(C107)</formula>
    </cfRule>
  </conditionalFormatting>
  <conditionalFormatting sqref="D67 D69 D71 D73 D75 D77 D79 D81 D83 D85 D87 D89 D91 D93 D95 D97 D99 D101 D103">
    <cfRule type="containsErrors" dxfId="387" priority="2">
      <formula>ISERROR(D67)</formula>
    </cfRule>
  </conditionalFormatting>
  <conditionalFormatting sqref="C67 C69 C71 C73 C75 C77 C79 C81 C83 C85 C87 C89 C91 C93 C95 C97 C99 C101 C103">
    <cfRule type="containsErrors" dxfId="386" priority="1">
      <formula>ISERROR(C67)</formula>
    </cfRule>
  </conditionalFormatting>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62">
    <outlinePr summaryBelow="0" summaryRight="0"/>
  </sheetPr>
  <dimension ref="B1:U519"/>
  <sheetViews>
    <sheetView workbookViewId="0">
      <pane xSplit="6" ySplit="31" topLeftCell="G56"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o35</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AS</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385" priority="8">
      <formula>ISERROR(D22)</formula>
    </cfRule>
  </conditionalFormatting>
  <conditionalFormatting sqref="B111:S112 B65:C65 Q65:Q110 H105:N105 H65:I104 L65:N104 H106:I110 L106:N110 B66:B110 F66:F104">
    <cfRule type="containsErrors" dxfId="384" priority="7">
      <formula>ISERROR(B65)</formula>
    </cfRule>
  </conditionalFormatting>
  <conditionalFormatting sqref="O105:P105">
    <cfRule type="containsErrors" dxfId="383" priority="6">
      <formula>ISERROR(O105)</formula>
    </cfRule>
  </conditionalFormatting>
  <conditionalFormatting sqref="R65:S110">
    <cfRule type="containsErrors" dxfId="382" priority="5">
      <formula>ISERROR(R65)</formula>
    </cfRule>
  </conditionalFormatting>
  <conditionalFormatting sqref="C106">
    <cfRule type="containsErrors" dxfId="381" priority="4">
      <formula>ISERROR(C106)</formula>
    </cfRule>
  </conditionalFormatting>
  <conditionalFormatting sqref="C107:C110">
    <cfRule type="containsErrors" dxfId="380" priority="3">
      <formula>ISERROR(C107)</formula>
    </cfRule>
  </conditionalFormatting>
  <conditionalFormatting sqref="D67 D69 D71 D73 D75 D77 D79 D81 D83 D85 D87 D89 D91 D93 D95 D97 D99 D101 D103">
    <cfRule type="containsErrors" dxfId="379" priority="2">
      <formula>ISERROR(D67)</formula>
    </cfRule>
  </conditionalFormatting>
  <conditionalFormatting sqref="C67 C69 C71 C73 C75 C77 C79 C81 C83 C85 C87 C89 C91 C93 C95 C97 C99 C101 C103">
    <cfRule type="containsErrors" dxfId="378" priority="1">
      <formula>ISERROR(C67)</formula>
    </cfRule>
  </conditionalFormatting>
  <pageMargins left="0.7" right="0.7" top="0.75" bottom="0.75" header="0.3" footer="0.3"/>
  <pageSetup paperSize="9"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3">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o36</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AT</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377" priority="8">
      <formula>ISERROR(D22)</formula>
    </cfRule>
  </conditionalFormatting>
  <conditionalFormatting sqref="B111:S112 B65:C65 Q65:Q110 H105:N105 H65:I104 L65:N104 H106:I110 L106:N110 B66:B110 F66:F104">
    <cfRule type="containsErrors" dxfId="376" priority="7">
      <formula>ISERROR(B65)</formula>
    </cfRule>
  </conditionalFormatting>
  <conditionalFormatting sqref="O105:P105">
    <cfRule type="containsErrors" dxfId="375" priority="6">
      <formula>ISERROR(O105)</formula>
    </cfRule>
  </conditionalFormatting>
  <conditionalFormatting sqref="R65:S110">
    <cfRule type="containsErrors" dxfId="374" priority="5">
      <formula>ISERROR(R65)</formula>
    </cfRule>
  </conditionalFormatting>
  <conditionalFormatting sqref="C106">
    <cfRule type="containsErrors" dxfId="373" priority="4">
      <formula>ISERROR(C106)</formula>
    </cfRule>
  </conditionalFormatting>
  <conditionalFormatting sqref="C107:C110">
    <cfRule type="containsErrors" dxfId="372" priority="3">
      <formula>ISERROR(C107)</formula>
    </cfRule>
  </conditionalFormatting>
  <conditionalFormatting sqref="D67 D69 D71 D73 D75 D77 D79 D81 D83 D85 D87 D89 D91 D93 D95 D97 D99 D101 D103">
    <cfRule type="containsErrors" dxfId="371" priority="2">
      <formula>ISERROR(D67)</formula>
    </cfRule>
  </conditionalFormatting>
  <conditionalFormatting sqref="C67 C69 C71 C73 C75 C77 C79 C81 C83 C85 C87 C89 C91 C93 C95 C97 C99 C101 C103">
    <cfRule type="containsErrors" dxfId="370" priority="1">
      <formula>ISERROR(C67)</formula>
    </cfRule>
  </conditionalFormatting>
  <pageMargins left="0.7" right="0.7" top="0.75" bottom="0.75" header="0.3" footer="0.3"/>
  <pageSetup paperSize="9"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4">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o37</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AU</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369" priority="8">
      <formula>ISERROR(D22)</formula>
    </cfRule>
  </conditionalFormatting>
  <conditionalFormatting sqref="B111:S112 B65:C65 Q65:Q110 H105:N105 H65:I104 L65:N104 H106:I110 L106:N110 B66:B110 F66:F104">
    <cfRule type="containsErrors" dxfId="368" priority="7">
      <formula>ISERROR(B65)</formula>
    </cfRule>
  </conditionalFormatting>
  <conditionalFormatting sqref="O105:P105">
    <cfRule type="containsErrors" dxfId="367" priority="6">
      <formula>ISERROR(O105)</formula>
    </cfRule>
  </conditionalFormatting>
  <conditionalFormatting sqref="R65:S110">
    <cfRule type="containsErrors" dxfId="366" priority="5">
      <formula>ISERROR(R65)</formula>
    </cfRule>
  </conditionalFormatting>
  <conditionalFormatting sqref="C106">
    <cfRule type="containsErrors" dxfId="365" priority="4">
      <formula>ISERROR(C106)</formula>
    </cfRule>
  </conditionalFormatting>
  <conditionalFormatting sqref="C107:C110">
    <cfRule type="containsErrors" dxfId="364" priority="3">
      <formula>ISERROR(C107)</formula>
    </cfRule>
  </conditionalFormatting>
  <conditionalFormatting sqref="D67 D69 D71 D73 D75 D77 D79 D81 D83 D85 D87 D89 D91 D93 D95 D97 D99 D101 D103">
    <cfRule type="containsErrors" dxfId="363" priority="2">
      <formula>ISERROR(D67)</formula>
    </cfRule>
  </conditionalFormatting>
  <conditionalFormatting sqref="C67 C69 C71 C73 C75 C77 C79 C81 C83 C85 C87 C89 C91 C93 C95 C97 C99 C101 C103">
    <cfRule type="containsErrors" dxfId="362" priority="1">
      <formula>ISERROR(C67)</formula>
    </cfRule>
  </conditionalFormatting>
  <pageMargins left="0.7" right="0.7" top="0.75" bottom="0.75" header="0.3" footer="0.3"/>
  <pageSetup paperSize="9"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5">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o38</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AV</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361" priority="8">
      <formula>ISERROR(D22)</formula>
    </cfRule>
  </conditionalFormatting>
  <conditionalFormatting sqref="B111:S112 B65:C65 Q65:Q110 H105:N105 H65:I104 L65:N104 H106:I110 L106:N110 B66:B110 F66:F104">
    <cfRule type="containsErrors" dxfId="360" priority="7">
      <formula>ISERROR(B65)</formula>
    </cfRule>
  </conditionalFormatting>
  <conditionalFormatting sqref="O105:P105">
    <cfRule type="containsErrors" dxfId="359" priority="6">
      <formula>ISERROR(O105)</formula>
    </cfRule>
  </conditionalFormatting>
  <conditionalFormatting sqref="R65:S110">
    <cfRule type="containsErrors" dxfId="358" priority="5">
      <formula>ISERROR(R65)</formula>
    </cfRule>
  </conditionalFormatting>
  <conditionalFormatting sqref="C106">
    <cfRule type="containsErrors" dxfId="357" priority="4">
      <formula>ISERROR(C106)</formula>
    </cfRule>
  </conditionalFormatting>
  <conditionalFormatting sqref="C107:C110">
    <cfRule type="containsErrors" dxfId="356" priority="3">
      <formula>ISERROR(C107)</formula>
    </cfRule>
  </conditionalFormatting>
  <conditionalFormatting sqref="D67 D69 D71 D73 D75 D77 D79 D81 D83 D85 D87 D89 D91 D93 D95 D97 D99 D101 D103">
    <cfRule type="containsErrors" dxfId="355" priority="2">
      <formula>ISERROR(D67)</formula>
    </cfRule>
  </conditionalFormatting>
  <conditionalFormatting sqref="C67 C69 C71 C73 C75 C77 C79 C81 C83 C85 C87 C89 C91 C93 C95 C97 C99 C101 C103">
    <cfRule type="containsErrors" dxfId="354" priority="1">
      <formula>ISERROR(C67)</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1"/>
  <dimension ref="A1:EZ6"/>
  <sheetViews>
    <sheetView topLeftCell="P1" zoomScale="85" zoomScaleNormal="85" workbookViewId="0">
      <selection activeCell="AC9" sqref="AC9"/>
    </sheetView>
  </sheetViews>
  <sheetFormatPr defaultRowHeight="13.5"/>
  <cols>
    <col min="8" max="8" width="10.5" bestFit="1" customWidth="1"/>
  </cols>
  <sheetData>
    <row r="1" spans="1:156" s="1437" customFormat="1" ht="29.25" customHeight="1">
      <c r="B1" s="1439" t="s">
        <v>4656</v>
      </c>
      <c r="E1" s="1534"/>
      <c r="F1" s="1535"/>
      <c r="G1" s="1557"/>
      <c r="H1" s="1448"/>
      <c r="Q1" s="1558"/>
      <c r="R1" s="1558"/>
      <c r="S1" s="1558"/>
      <c r="T1" s="1558"/>
      <c r="U1" s="1449"/>
      <c r="V1" s="1544"/>
      <c r="W1" s="1544"/>
      <c r="X1" s="1544"/>
      <c r="Y1" s="1544"/>
      <c r="Z1" s="1559"/>
      <c r="AA1" s="1559"/>
      <c r="AB1" s="1559"/>
      <c r="AC1" s="1558"/>
      <c r="AE1" s="1545"/>
      <c r="AI1" s="1545"/>
      <c r="AK1" s="1535"/>
      <c r="AL1" s="1449"/>
      <c r="AM1" s="1560"/>
      <c r="AN1" s="1560"/>
      <c r="AO1" s="1560"/>
      <c r="AP1" s="1535"/>
      <c r="AQ1" s="1560"/>
      <c r="AR1" s="1451"/>
      <c r="AS1" s="1449"/>
      <c r="AT1" s="1451"/>
      <c r="AU1" s="1450"/>
      <c r="AV1" s="1535"/>
      <c r="AW1" s="1450"/>
      <c r="AX1" s="1535"/>
      <c r="AY1" s="1561"/>
      <c r="AZ1" s="1449"/>
      <c r="BA1" s="1449"/>
      <c r="BB1" s="1450"/>
      <c r="BC1" s="1535"/>
      <c r="BD1" s="1535"/>
      <c r="BE1" s="1449"/>
      <c r="BF1" s="1451"/>
      <c r="BG1" s="1449"/>
      <c r="BH1" s="1558"/>
      <c r="BI1" s="1450"/>
      <c r="BJ1" s="1535"/>
      <c r="BK1" s="1450"/>
      <c r="BL1" s="1535"/>
      <c r="BN1" s="1562"/>
      <c r="BQ1" s="1563"/>
      <c r="BT1" s="1564"/>
      <c r="BW1" s="1563"/>
      <c r="BZ1" s="1563"/>
      <c r="CC1" s="1565"/>
      <c r="CK1" s="1566"/>
      <c r="CN1" s="1565" t="s">
        <v>4657</v>
      </c>
      <c r="CO1" s="1565"/>
      <c r="CP1" s="1565"/>
      <c r="CQ1" s="1565"/>
      <c r="CR1" s="1565"/>
      <c r="CS1" s="1565"/>
      <c r="CT1" s="1565"/>
      <c r="CU1" s="1565"/>
      <c r="CV1" s="1565"/>
      <c r="CW1" s="1858" t="s">
        <v>4658</v>
      </c>
      <c r="CX1" s="1859"/>
      <c r="CY1" s="1859"/>
      <c r="CZ1" s="1859"/>
      <c r="DA1" s="1859"/>
      <c r="DB1" s="1859"/>
      <c r="DC1" s="1859"/>
      <c r="DD1" s="1859"/>
      <c r="DE1" s="1859"/>
      <c r="DF1" s="1859"/>
      <c r="DG1" s="1859"/>
      <c r="DH1" s="1859"/>
      <c r="DI1" s="1859"/>
      <c r="DJ1" s="1859"/>
      <c r="DK1" s="1859"/>
      <c r="DL1" s="1859"/>
      <c r="DM1" s="1859"/>
      <c r="DN1" s="1859"/>
      <c r="DO1" s="1859"/>
      <c r="DP1" s="1859"/>
      <c r="DQ1" s="1859"/>
      <c r="DR1" s="1859"/>
      <c r="DS1" s="1859"/>
      <c r="DT1" s="1859"/>
      <c r="DU1" s="1859"/>
      <c r="DV1" s="1859"/>
      <c r="DW1" s="1859"/>
      <c r="DX1" s="1859"/>
      <c r="DY1" s="1859"/>
      <c r="DZ1" s="1859"/>
      <c r="EA1" s="1859"/>
      <c r="EB1" s="1859"/>
      <c r="EC1" s="1859"/>
      <c r="ED1" s="1859"/>
      <c r="EE1" s="1859"/>
      <c r="EF1" s="1859"/>
      <c r="EG1" s="1859"/>
      <c r="EH1" s="1859"/>
      <c r="EI1" s="1859"/>
      <c r="EJ1" s="1559"/>
      <c r="EK1" s="1559"/>
      <c r="EL1" s="1559"/>
      <c r="EM1" s="1559"/>
      <c r="EN1" s="1559"/>
      <c r="EO1" s="1559"/>
      <c r="EP1" s="1559"/>
      <c r="EQ1" s="1559"/>
      <c r="ER1" s="1559"/>
      <c r="ES1" s="1559"/>
      <c r="ET1" s="1559"/>
      <c r="EU1" s="1559"/>
      <c r="EV1" s="1559"/>
      <c r="EW1" s="1559"/>
      <c r="EX1" s="1559"/>
      <c r="EZ1" s="1442"/>
    </row>
    <row r="2" spans="1:156" s="1437" customFormat="1" ht="15.75" customHeight="1">
      <c r="A2" s="1558"/>
      <c r="B2" s="1438"/>
      <c r="D2" s="1537"/>
      <c r="E2" s="1441"/>
      <c r="F2" s="1442"/>
      <c r="G2" s="1443" t="s">
        <v>4535</v>
      </c>
      <c r="H2" s="1444"/>
      <c r="I2" s="1444"/>
      <c r="J2" s="1444"/>
      <c r="K2" s="1444"/>
      <c r="L2" s="1444"/>
      <c r="M2" s="1444"/>
      <c r="N2" s="1444"/>
      <c r="O2" s="1444"/>
      <c r="P2" s="1444"/>
      <c r="Q2" s="1444"/>
      <c r="R2" s="1444"/>
      <c r="S2" s="1444"/>
      <c r="T2" s="1444"/>
      <c r="U2" s="1444"/>
      <c r="V2" s="1444"/>
      <c r="W2" s="1444"/>
      <c r="X2" s="1444"/>
      <c r="Y2" s="1444"/>
      <c r="Z2" s="1444"/>
      <c r="AA2" s="1444"/>
      <c r="AB2" s="1444"/>
      <c r="AC2" s="1446" t="s">
        <v>4659</v>
      </c>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1443"/>
      <c r="AZ2" s="1444"/>
      <c r="BA2" s="1444"/>
      <c r="BB2" s="1444"/>
      <c r="BC2" s="1444"/>
      <c r="BD2" s="1444"/>
      <c r="BE2" s="1444"/>
      <c r="BF2" s="1444"/>
      <c r="BG2" s="1444"/>
      <c r="BH2" s="1444"/>
      <c r="BI2" s="1444"/>
      <c r="BJ2" s="1444"/>
      <c r="BK2" s="1444"/>
      <c r="BL2" s="1444"/>
      <c r="BM2" s="1446" t="s">
        <v>4660</v>
      </c>
      <c r="BN2" s="1444"/>
      <c r="BO2" s="1444"/>
      <c r="BP2" s="1444"/>
      <c r="BQ2" s="1444"/>
      <c r="BR2" s="1444"/>
      <c r="BS2" s="1444"/>
      <c r="BT2" s="1444"/>
      <c r="BU2" s="1444"/>
      <c r="BV2" s="1444"/>
      <c r="BW2" s="1444"/>
      <c r="BX2" s="1444"/>
      <c r="BY2" s="1444"/>
      <c r="BZ2" s="1444"/>
      <c r="CA2" s="1444"/>
      <c r="CB2" s="1444"/>
      <c r="CC2" s="1444"/>
      <c r="CD2" s="1444"/>
      <c r="CE2" s="1444"/>
      <c r="CF2" s="1444"/>
      <c r="CG2" s="1444"/>
      <c r="CH2" s="1444"/>
      <c r="CI2" s="1444"/>
      <c r="CJ2" s="1444"/>
      <c r="CK2" s="1444"/>
      <c r="CL2" s="1444"/>
      <c r="CM2" s="1444"/>
      <c r="CN2" s="1444"/>
      <c r="CO2" s="1444"/>
      <c r="CP2" s="1444"/>
      <c r="CQ2" s="1444"/>
      <c r="CR2" s="1444"/>
      <c r="CS2" s="1444"/>
      <c r="CT2" s="1444"/>
      <c r="CU2" s="1444"/>
      <c r="CV2" s="1444"/>
      <c r="CW2" s="1446" t="s">
        <v>4541</v>
      </c>
      <c r="CX2" s="1444"/>
      <c r="CY2" s="1444"/>
      <c r="CZ2" s="1444"/>
      <c r="DA2" s="1444"/>
      <c r="DB2" s="1444"/>
      <c r="DC2" s="1444"/>
      <c r="DD2" s="1444"/>
      <c r="DE2" s="1444"/>
      <c r="DF2" s="1444"/>
      <c r="DG2" s="1444"/>
      <c r="DH2" s="1444"/>
      <c r="DI2" s="1444"/>
      <c r="DJ2" s="1444"/>
      <c r="DK2" s="1444"/>
      <c r="DL2" s="1444"/>
      <c r="DM2" s="1444"/>
      <c r="DN2" s="1444"/>
      <c r="DO2" s="1444"/>
      <c r="DP2" s="1444"/>
      <c r="DQ2" s="1444"/>
      <c r="DR2" s="1444"/>
      <c r="DS2" s="1444"/>
      <c r="DT2" s="1444"/>
      <c r="DU2" s="1444"/>
      <c r="DV2" s="1444"/>
      <c r="DW2" s="1444"/>
      <c r="DX2" s="1444"/>
      <c r="DY2" s="1444"/>
      <c r="DZ2" s="1444"/>
      <c r="EA2" s="1444"/>
      <c r="EB2" s="1444"/>
      <c r="EC2" s="1444"/>
      <c r="ED2" s="1444"/>
      <c r="EE2" s="1444"/>
      <c r="EF2" s="1444"/>
      <c r="EG2" s="1444"/>
      <c r="EH2" s="1444"/>
      <c r="EI2" s="1444"/>
      <c r="EJ2" s="1444"/>
      <c r="EK2" s="1444"/>
      <c r="EL2" s="1444"/>
      <c r="EM2" s="1444"/>
      <c r="EN2" s="1444"/>
      <c r="EO2" s="1444"/>
      <c r="EP2" s="1444"/>
      <c r="EQ2" s="1444"/>
      <c r="ER2" s="1444"/>
      <c r="ES2" s="1444"/>
      <c r="ET2" s="1444"/>
      <c r="EU2" s="1444"/>
      <c r="EV2" s="1444"/>
      <c r="EW2" s="1444"/>
      <c r="EX2" s="1447"/>
    </row>
    <row r="3" spans="1:156" s="1437" customFormat="1" ht="25.5" customHeight="1">
      <c r="A3" s="1442"/>
      <c r="B3" s="1438"/>
      <c r="D3" s="1452"/>
      <c r="E3" s="1441"/>
      <c r="F3" s="1442"/>
      <c r="G3" s="1443" t="s">
        <v>4543</v>
      </c>
      <c r="H3" s="1453"/>
      <c r="I3" s="1453"/>
      <c r="J3" s="1453"/>
      <c r="K3" s="1453"/>
      <c r="L3" s="1443" t="s">
        <v>4544</v>
      </c>
      <c r="M3" s="1453"/>
      <c r="N3" s="1453"/>
      <c r="O3" s="1453"/>
      <c r="P3" s="1453"/>
      <c r="Q3" s="1453"/>
      <c r="R3" s="1453"/>
      <c r="S3" s="1453"/>
      <c r="T3" s="1453"/>
      <c r="U3" s="1453"/>
      <c r="V3" s="1454"/>
      <c r="W3" s="1454"/>
      <c r="X3" s="1454"/>
      <c r="Y3" s="1454"/>
      <c r="Z3" s="1455" t="s">
        <v>4661</v>
      </c>
      <c r="AA3" s="1456"/>
      <c r="AB3" s="1860" t="s">
        <v>4662</v>
      </c>
      <c r="AC3" s="1443" t="s">
        <v>4663</v>
      </c>
      <c r="AD3" s="1453"/>
      <c r="AE3" s="1453"/>
      <c r="AF3" s="1453"/>
      <c r="AG3" s="1453"/>
      <c r="AH3" s="1453"/>
      <c r="AI3" s="1453"/>
      <c r="AJ3" s="1457"/>
      <c r="AK3" s="1453" t="s">
        <v>4664</v>
      </c>
      <c r="AL3" s="1454"/>
      <c r="AM3" s="1454"/>
      <c r="AN3" s="1458"/>
      <c r="AO3" s="1453"/>
      <c r="AP3" s="1453"/>
      <c r="AQ3" s="1454"/>
      <c r="AR3" s="1459"/>
      <c r="AS3" s="1454"/>
      <c r="AT3" s="1459"/>
      <c r="AU3" s="1458"/>
      <c r="AV3" s="1453"/>
      <c r="AW3" s="1458"/>
      <c r="AX3" s="1453"/>
      <c r="AY3" s="1443" t="s">
        <v>4665</v>
      </c>
      <c r="AZ3" s="1454"/>
      <c r="BA3" s="1454"/>
      <c r="BB3" s="1458"/>
      <c r="BC3" s="1453"/>
      <c r="BD3" s="1453"/>
      <c r="BE3" s="1454"/>
      <c r="BF3" s="1459"/>
      <c r="BG3" s="1454"/>
      <c r="BH3" s="1459"/>
      <c r="BI3" s="1458"/>
      <c r="BJ3" s="1453"/>
      <c r="BK3" s="1458"/>
      <c r="BL3" s="1453"/>
      <c r="BM3" s="1443" t="s">
        <v>4666</v>
      </c>
      <c r="BN3" s="1454"/>
      <c r="BO3" s="1453"/>
      <c r="BP3" s="1453"/>
      <c r="BQ3" s="1454"/>
      <c r="BR3" s="1453"/>
      <c r="BS3" s="1453"/>
      <c r="BT3" s="1454"/>
      <c r="BU3" s="1453"/>
      <c r="BV3" s="1453"/>
      <c r="BW3" s="1454"/>
      <c r="BX3" s="1453"/>
      <c r="BY3" s="1453"/>
      <c r="BZ3" s="1454"/>
      <c r="CA3" s="1453"/>
      <c r="CB3" s="1454"/>
      <c r="CC3" s="1443" t="s">
        <v>4667</v>
      </c>
      <c r="CD3" s="1453"/>
      <c r="CE3" s="1453"/>
      <c r="CF3" s="1453"/>
      <c r="CG3" s="1453"/>
      <c r="CH3" s="1453"/>
      <c r="CI3" s="1453"/>
      <c r="CJ3" s="1453"/>
      <c r="CK3" s="1454"/>
      <c r="CL3" s="1453"/>
      <c r="CM3" s="1453"/>
      <c r="CN3" s="1567" t="s">
        <v>4668</v>
      </c>
      <c r="CO3" s="1454"/>
      <c r="CP3" s="1454"/>
      <c r="CQ3" s="1454"/>
      <c r="CR3" s="1454"/>
      <c r="CS3" s="1454"/>
      <c r="CT3" s="1454"/>
      <c r="CU3" s="1454"/>
      <c r="CV3" s="1454"/>
      <c r="CW3" s="1443" t="s">
        <v>4669</v>
      </c>
      <c r="CX3" s="1453"/>
      <c r="CY3" s="1453"/>
      <c r="CZ3" s="1453"/>
      <c r="DA3" s="1453"/>
      <c r="DB3" s="1453"/>
      <c r="DC3" s="1453"/>
      <c r="DD3" s="1453"/>
      <c r="DE3" s="1453"/>
      <c r="DF3" s="1453"/>
      <c r="DG3" s="1453"/>
      <c r="DH3" s="1453"/>
      <c r="DI3" s="1453"/>
      <c r="DJ3" s="1453"/>
      <c r="DK3" s="1453"/>
      <c r="DL3" s="1453"/>
      <c r="DM3" s="1453"/>
      <c r="DN3" s="1453"/>
      <c r="DO3" s="1453"/>
      <c r="DP3" s="1453"/>
      <c r="DQ3" s="1453"/>
      <c r="DR3" s="1453"/>
      <c r="DS3" s="1453"/>
      <c r="DT3" s="1453"/>
      <c r="DU3" s="1453"/>
      <c r="DV3" s="1453"/>
      <c r="DW3" s="1453"/>
      <c r="DX3" s="1453"/>
      <c r="DY3" s="1453"/>
      <c r="DZ3" s="1453"/>
      <c r="EA3" s="1453"/>
      <c r="EB3" s="1453"/>
      <c r="EC3" s="1453"/>
      <c r="ED3" s="1453"/>
      <c r="EE3" s="1453"/>
      <c r="EF3" s="1453"/>
      <c r="EG3" s="1453"/>
      <c r="EH3" s="1453"/>
      <c r="EI3" s="1453"/>
      <c r="EJ3" s="1862" t="s">
        <v>4670</v>
      </c>
      <c r="EK3" s="1863"/>
      <c r="EL3" s="1863"/>
      <c r="EM3" s="1863"/>
      <c r="EN3" s="1863"/>
      <c r="EO3" s="1863"/>
      <c r="EP3" s="1863"/>
      <c r="EQ3" s="1863"/>
      <c r="ER3" s="1863"/>
      <c r="ES3" s="1863"/>
      <c r="ET3" s="1863"/>
      <c r="EU3" s="1863"/>
      <c r="EV3" s="1863"/>
      <c r="EW3" s="1863"/>
      <c r="EX3" s="1864"/>
    </row>
    <row r="4" spans="1:156" s="1437" customFormat="1" ht="24.75" customHeight="1">
      <c r="B4" s="1462" t="s">
        <v>4556</v>
      </c>
      <c r="C4" s="1463"/>
      <c r="D4" s="1463"/>
      <c r="E4" s="1464"/>
      <c r="F4" s="1463"/>
      <c r="G4" s="1465" t="s">
        <v>4557</v>
      </c>
      <c r="H4" s="1466"/>
      <c r="I4" s="1467" t="s">
        <v>4558</v>
      </c>
      <c r="J4" s="1466"/>
      <c r="K4" s="1466"/>
      <c r="L4" s="1465" t="s">
        <v>4559</v>
      </c>
      <c r="M4" s="1466"/>
      <c r="N4" s="1468"/>
      <c r="O4" s="1469" t="s">
        <v>4560</v>
      </c>
      <c r="P4" s="1470"/>
      <c r="Q4" s="1466" t="s">
        <v>4561</v>
      </c>
      <c r="R4" s="1466"/>
      <c r="S4" s="1466"/>
      <c r="T4" s="1466"/>
      <c r="U4" s="1468"/>
      <c r="V4" s="1471" t="s">
        <v>4562</v>
      </c>
      <c r="W4" s="1471"/>
      <c r="X4" s="1471"/>
      <c r="Y4" s="1471"/>
      <c r="Z4" s="1465" t="s">
        <v>4563</v>
      </c>
      <c r="AA4" s="1466"/>
      <c r="AB4" s="1861"/>
      <c r="AC4" s="1465" t="s">
        <v>4565</v>
      </c>
      <c r="AD4" s="1466"/>
      <c r="AE4" s="1473" t="s">
        <v>4566</v>
      </c>
      <c r="AF4" s="1466"/>
      <c r="AG4" s="1466"/>
      <c r="AH4" s="1466"/>
      <c r="AI4" s="1473" t="s">
        <v>4567</v>
      </c>
      <c r="AJ4" s="1474"/>
      <c r="AK4" s="1475" t="s">
        <v>4568</v>
      </c>
      <c r="AL4" s="1476"/>
      <c r="AM4" s="1476"/>
      <c r="AN4" s="1477"/>
      <c r="AO4" s="1475"/>
      <c r="AP4" s="1478" t="s">
        <v>4569</v>
      </c>
      <c r="AQ4" s="1476"/>
      <c r="AR4" s="1479"/>
      <c r="AS4" s="1476"/>
      <c r="AT4" s="1479"/>
      <c r="AU4" s="1477"/>
      <c r="AV4" s="1475"/>
      <c r="AW4" s="1480"/>
      <c r="AX4" s="1865" t="s">
        <v>4671</v>
      </c>
      <c r="AY4" s="1475" t="s">
        <v>4568</v>
      </c>
      <c r="AZ4" s="1476"/>
      <c r="BA4" s="1476"/>
      <c r="BB4" s="1477"/>
      <c r="BC4" s="1475"/>
      <c r="BD4" s="1478" t="s">
        <v>4569</v>
      </c>
      <c r="BE4" s="1476"/>
      <c r="BF4" s="1479"/>
      <c r="BG4" s="1476"/>
      <c r="BH4" s="1479"/>
      <c r="BI4" s="1477"/>
      <c r="BJ4" s="1475"/>
      <c r="BK4" s="1480"/>
      <c r="BL4" s="1865" t="s">
        <v>4671</v>
      </c>
      <c r="BM4" s="1483">
        <v>1</v>
      </c>
      <c r="BN4" s="1484"/>
      <c r="BO4" s="1485"/>
      <c r="BP4" s="1486">
        <v>2</v>
      </c>
      <c r="BQ4" s="1484"/>
      <c r="BR4" s="1485"/>
      <c r="BS4" s="1486">
        <v>3</v>
      </c>
      <c r="BT4" s="1484"/>
      <c r="BU4" s="1485"/>
      <c r="BV4" s="1486">
        <v>4</v>
      </c>
      <c r="BW4" s="1484"/>
      <c r="BX4" s="1485"/>
      <c r="BY4" s="1486">
        <v>5</v>
      </c>
      <c r="BZ4" s="1484"/>
      <c r="CA4" s="1485"/>
      <c r="CB4" s="1487" t="s">
        <v>4577</v>
      </c>
      <c r="CC4" s="1482" t="s">
        <v>4672</v>
      </c>
      <c r="CD4" s="1568"/>
      <c r="CE4" s="1473" t="s">
        <v>4673</v>
      </c>
      <c r="CF4" s="1569"/>
      <c r="CG4" s="1569"/>
      <c r="CH4" s="1569"/>
      <c r="CI4" s="1569"/>
      <c r="CJ4" s="1569"/>
      <c r="CK4" s="1568"/>
      <c r="CL4" s="1473" t="s">
        <v>4567</v>
      </c>
      <c r="CM4" s="1569"/>
      <c r="CN4" s="1867" t="s">
        <v>4674</v>
      </c>
      <c r="CO4" s="1471" t="s">
        <v>4578</v>
      </c>
      <c r="CP4" s="1471"/>
      <c r="CQ4" s="1491" t="s">
        <v>4579</v>
      </c>
      <c r="CR4" s="1492"/>
      <c r="CS4" s="1491" t="s">
        <v>4580</v>
      </c>
      <c r="CT4" s="1492"/>
      <c r="CU4" s="1493" t="s">
        <v>4577</v>
      </c>
      <c r="CV4" s="1471"/>
      <c r="CW4" s="1494" t="s">
        <v>4581</v>
      </c>
      <c r="CX4" s="1495"/>
      <c r="CY4" s="1495"/>
      <c r="CZ4" s="1496" t="s">
        <v>4582</v>
      </c>
      <c r="DA4" s="1495"/>
      <c r="DB4" s="1495"/>
      <c r="DC4" s="1496" t="s">
        <v>4583</v>
      </c>
      <c r="DD4" s="1495"/>
      <c r="DE4" s="1495"/>
      <c r="DF4" s="1496" t="s">
        <v>4584</v>
      </c>
      <c r="DG4" s="1495"/>
      <c r="DH4" s="1495"/>
      <c r="DI4" s="1496" t="s">
        <v>4585</v>
      </c>
      <c r="DJ4" s="1495"/>
      <c r="DK4" s="1495"/>
      <c r="DL4" s="1496" t="s">
        <v>4586</v>
      </c>
      <c r="DM4" s="1495"/>
      <c r="DN4" s="1495"/>
      <c r="DO4" s="1496" t="s">
        <v>4587</v>
      </c>
      <c r="DP4" s="1495"/>
      <c r="DQ4" s="1495"/>
      <c r="DR4" s="1496" t="s">
        <v>4588</v>
      </c>
      <c r="DS4" s="1495"/>
      <c r="DT4" s="1495"/>
      <c r="DU4" s="1496" t="s">
        <v>4589</v>
      </c>
      <c r="DV4" s="1495"/>
      <c r="DW4" s="1495"/>
      <c r="DX4" s="1496" t="s">
        <v>4590</v>
      </c>
      <c r="DY4" s="1495"/>
      <c r="DZ4" s="1495"/>
      <c r="EA4" s="1496" t="s">
        <v>4591</v>
      </c>
      <c r="EB4" s="1495"/>
      <c r="EC4" s="1495"/>
      <c r="ED4" s="1496" t="s">
        <v>4592</v>
      </c>
      <c r="EE4" s="1495"/>
      <c r="EF4" s="1495"/>
      <c r="EG4" s="1496" t="s">
        <v>4593</v>
      </c>
      <c r="EH4" s="1495"/>
      <c r="EI4" s="1495"/>
      <c r="EJ4" s="1494" t="s">
        <v>4594</v>
      </c>
      <c r="EK4" s="1495"/>
      <c r="EL4" s="1495"/>
      <c r="EM4" s="1496" t="s">
        <v>4595</v>
      </c>
      <c r="EN4" s="1495"/>
      <c r="EO4" s="1495"/>
      <c r="EP4" s="1496" t="s">
        <v>4596</v>
      </c>
      <c r="EQ4" s="1495"/>
      <c r="ER4" s="1495"/>
      <c r="ES4" s="1496" t="s">
        <v>4597</v>
      </c>
      <c r="ET4" s="1495"/>
      <c r="EU4" s="1495"/>
      <c r="EV4" s="1496" t="s">
        <v>4598</v>
      </c>
      <c r="EW4" s="1495"/>
      <c r="EX4" s="1570"/>
    </row>
    <row r="5" spans="1:156" s="1437" customFormat="1" ht="60.75" customHeight="1" thickBot="1">
      <c r="A5" s="1500"/>
      <c r="B5" s="1501" t="s">
        <v>594</v>
      </c>
      <c r="C5" s="1502" t="s">
        <v>595</v>
      </c>
      <c r="D5" s="1503" t="s">
        <v>2586</v>
      </c>
      <c r="E5" s="1502" t="s">
        <v>2587</v>
      </c>
      <c r="F5" s="1504" t="s">
        <v>2588</v>
      </c>
      <c r="G5" s="1505" t="s">
        <v>5832</v>
      </c>
      <c r="H5" s="1502" t="s">
        <v>599</v>
      </c>
      <c r="I5" s="1506" t="s">
        <v>132</v>
      </c>
      <c r="J5" s="1507" t="s">
        <v>600</v>
      </c>
      <c r="K5" s="1508" t="s">
        <v>4604</v>
      </c>
      <c r="L5" s="1571" t="s">
        <v>602</v>
      </c>
      <c r="M5" s="1572" t="s">
        <v>603</v>
      </c>
      <c r="N5" s="1510" t="s">
        <v>604</v>
      </c>
      <c r="O5" s="1509" t="s">
        <v>605</v>
      </c>
      <c r="P5" s="1510" t="s">
        <v>606</v>
      </c>
      <c r="Q5" s="1604" t="s">
        <v>607</v>
      </c>
      <c r="R5" s="1605" t="s">
        <v>608</v>
      </c>
      <c r="S5" s="1605" t="s">
        <v>609</v>
      </c>
      <c r="T5" s="1606" t="s">
        <v>4689</v>
      </c>
      <c r="U5" s="1607" t="s">
        <v>4690</v>
      </c>
      <c r="V5" s="1511" t="s">
        <v>2589</v>
      </c>
      <c r="W5" s="1512" t="s">
        <v>610</v>
      </c>
      <c r="X5" s="1513" t="s">
        <v>4605</v>
      </c>
      <c r="Y5" s="1514" t="s">
        <v>612</v>
      </c>
      <c r="Z5" s="1505" t="s">
        <v>613</v>
      </c>
      <c r="AA5" s="1502" t="s">
        <v>614</v>
      </c>
      <c r="AB5" s="1861"/>
      <c r="AC5" s="1505" t="s">
        <v>4606</v>
      </c>
      <c r="AD5" s="1502" t="s">
        <v>4607</v>
      </c>
      <c r="AE5" s="1515" t="s">
        <v>4606</v>
      </c>
      <c r="AF5" s="1516" t="s">
        <v>4608</v>
      </c>
      <c r="AG5" s="1503" t="s">
        <v>4609</v>
      </c>
      <c r="AH5" s="1517" t="s">
        <v>4610</v>
      </c>
      <c r="AI5" s="1515" t="s">
        <v>4606</v>
      </c>
      <c r="AJ5" s="1518" t="s">
        <v>4611</v>
      </c>
      <c r="AK5" s="1509" t="s">
        <v>4612</v>
      </c>
      <c r="AL5" s="1519" t="s">
        <v>4613</v>
      </c>
      <c r="AM5" s="1519" t="s">
        <v>4614</v>
      </c>
      <c r="AN5" s="1502" t="s">
        <v>4615</v>
      </c>
      <c r="AO5" s="1520" t="s">
        <v>4307</v>
      </c>
      <c r="AP5" s="1515" t="s">
        <v>4612</v>
      </c>
      <c r="AQ5" s="1502" t="s">
        <v>4616</v>
      </c>
      <c r="AR5" s="1520" t="s">
        <v>4617</v>
      </c>
      <c r="AS5" s="1502" t="s">
        <v>4618</v>
      </c>
      <c r="AT5" s="1520" t="s">
        <v>4619</v>
      </c>
      <c r="AU5" s="1521" t="s">
        <v>4615</v>
      </c>
      <c r="AV5" s="1522" t="s">
        <v>4307</v>
      </c>
      <c r="AW5" s="1523" t="s">
        <v>4620</v>
      </c>
      <c r="AX5" s="1866"/>
      <c r="AY5" s="1509" t="s">
        <v>4612</v>
      </c>
      <c r="AZ5" s="1519">
        <v>6725</v>
      </c>
      <c r="BA5" s="1519" t="s">
        <v>4614</v>
      </c>
      <c r="BB5" s="1502" t="s">
        <v>4615</v>
      </c>
      <c r="BC5" s="1520" t="s">
        <v>4307</v>
      </c>
      <c r="BD5" s="1515" t="s">
        <v>4612</v>
      </c>
      <c r="BE5" s="1502" t="s">
        <v>4613</v>
      </c>
      <c r="BF5" s="1520" t="s">
        <v>4617</v>
      </c>
      <c r="BG5" s="1502" t="s">
        <v>4614</v>
      </c>
      <c r="BH5" s="1520" t="s">
        <v>4619</v>
      </c>
      <c r="BI5" s="1521" t="s">
        <v>4615</v>
      </c>
      <c r="BJ5" s="1522" t="s">
        <v>4307</v>
      </c>
      <c r="BK5" s="1523" t="s">
        <v>4620</v>
      </c>
      <c r="BL5" s="1866"/>
      <c r="BM5" s="1506" t="s">
        <v>4621</v>
      </c>
      <c r="BN5" s="1525" t="s">
        <v>4622</v>
      </c>
      <c r="BO5" s="1502" t="s">
        <v>4692</v>
      </c>
      <c r="BP5" s="1506" t="s">
        <v>4621</v>
      </c>
      <c r="BQ5" s="1525" t="s">
        <v>4622</v>
      </c>
      <c r="BR5" s="1502" t="s">
        <v>4692</v>
      </c>
      <c r="BS5" s="1506" t="s">
        <v>4621</v>
      </c>
      <c r="BT5" s="1525" t="s">
        <v>4622</v>
      </c>
      <c r="BU5" s="1502" t="s">
        <v>4692</v>
      </c>
      <c r="BV5" s="1506" t="s">
        <v>4621</v>
      </c>
      <c r="BW5" s="1525" t="s">
        <v>4622</v>
      </c>
      <c r="BX5" s="1502" t="s">
        <v>4692</v>
      </c>
      <c r="BY5" s="1506" t="s">
        <v>4621</v>
      </c>
      <c r="BZ5" s="1525" t="s">
        <v>4622</v>
      </c>
      <c r="CA5" s="1502" t="s">
        <v>4692</v>
      </c>
      <c r="CB5" s="1526" t="s">
        <v>4622</v>
      </c>
      <c r="CC5" s="1573" t="s">
        <v>4675</v>
      </c>
      <c r="CD5" s="1533" t="s">
        <v>4676</v>
      </c>
      <c r="CE5" s="1574" t="s">
        <v>4675</v>
      </c>
      <c r="CF5" s="1575" t="s">
        <v>4677</v>
      </c>
      <c r="CG5" s="1576" t="s">
        <v>4678</v>
      </c>
      <c r="CH5" s="1576" t="s">
        <v>4679</v>
      </c>
      <c r="CI5" s="1576" t="s">
        <v>4680</v>
      </c>
      <c r="CJ5" s="1576" t="s">
        <v>4681</v>
      </c>
      <c r="CK5" s="1577" t="s">
        <v>4682</v>
      </c>
      <c r="CL5" s="1574" t="s">
        <v>4675</v>
      </c>
      <c r="CM5" s="1502" t="s">
        <v>4676</v>
      </c>
      <c r="CN5" s="1868"/>
      <c r="CO5" s="1578" t="s">
        <v>4683</v>
      </c>
      <c r="CP5" s="1502" t="s">
        <v>4630</v>
      </c>
      <c r="CQ5" s="1579" t="s">
        <v>4683</v>
      </c>
      <c r="CR5" s="1502" t="s">
        <v>4630</v>
      </c>
      <c r="CS5" s="1579" t="s">
        <v>4683</v>
      </c>
      <c r="CT5" s="1502" t="s">
        <v>4630</v>
      </c>
      <c r="CU5" s="1579" t="s">
        <v>4683</v>
      </c>
      <c r="CV5" s="1502" t="s">
        <v>4630</v>
      </c>
      <c r="CW5" s="1527" t="s">
        <v>4631</v>
      </c>
      <c r="CX5" s="1528" t="s">
        <v>4632</v>
      </c>
      <c r="CY5" s="1529" t="s">
        <v>4633</v>
      </c>
      <c r="CZ5" s="1530" t="s">
        <v>4631</v>
      </c>
      <c r="DA5" s="1531" t="s">
        <v>4632</v>
      </c>
      <c r="DB5" s="1529" t="s">
        <v>4633</v>
      </c>
      <c r="DC5" s="1530" t="s">
        <v>4631</v>
      </c>
      <c r="DD5" s="1531" t="s">
        <v>4632</v>
      </c>
      <c r="DE5" s="1529" t="s">
        <v>4633</v>
      </c>
      <c r="DF5" s="1530" t="s">
        <v>4631</v>
      </c>
      <c r="DG5" s="1531" t="s">
        <v>4632</v>
      </c>
      <c r="DH5" s="1529" t="s">
        <v>4633</v>
      </c>
      <c r="DI5" s="1530" t="s">
        <v>4631</v>
      </c>
      <c r="DJ5" s="1531" t="s">
        <v>4632</v>
      </c>
      <c r="DK5" s="1529" t="s">
        <v>4633</v>
      </c>
      <c r="DL5" s="1530" t="s">
        <v>4631</v>
      </c>
      <c r="DM5" s="1531" t="s">
        <v>4632</v>
      </c>
      <c r="DN5" s="1529" t="s">
        <v>4633</v>
      </c>
      <c r="DO5" s="1530" t="s">
        <v>4631</v>
      </c>
      <c r="DP5" s="1531" t="s">
        <v>4632</v>
      </c>
      <c r="DQ5" s="1529" t="s">
        <v>4633</v>
      </c>
      <c r="DR5" s="1530" t="s">
        <v>4631</v>
      </c>
      <c r="DS5" s="1531" t="s">
        <v>4632</v>
      </c>
      <c r="DT5" s="1529" t="s">
        <v>4633</v>
      </c>
      <c r="DU5" s="1530" t="s">
        <v>4631</v>
      </c>
      <c r="DV5" s="1531" t="s">
        <v>4632</v>
      </c>
      <c r="DW5" s="1529" t="s">
        <v>4633</v>
      </c>
      <c r="DX5" s="1530" t="s">
        <v>4631</v>
      </c>
      <c r="DY5" s="1531" t="s">
        <v>4632</v>
      </c>
      <c r="DZ5" s="1529" t="s">
        <v>4633</v>
      </c>
      <c r="EA5" s="1530" t="s">
        <v>4631</v>
      </c>
      <c r="EB5" s="1531" t="s">
        <v>4632</v>
      </c>
      <c r="EC5" s="1529" t="s">
        <v>4633</v>
      </c>
      <c r="ED5" s="1530" t="s">
        <v>4631</v>
      </c>
      <c r="EE5" s="1531" t="s">
        <v>4632</v>
      </c>
      <c r="EF5" s="1529" t="s">
        <v>4633</v>
      </c>
      <c r="EG5" s="1530" t="s">
        <v>4631</v>
      </c>
      <c r="EH5" s="1531" t="s">
        <v>4632</v>
      </c>
      <c r="EI5" s="1529" t="s">
        <v>4633</v>
      </c>
      <c r="EJ5" s="1527" t="s">
        <v>4631</v>
      </c>
      <c r="EK5" s="1528" t="s">
        <v>4632</v>
      </c>
      <c r="EL5" s="1529" t="s">
        <v>4633</v>
      </c>
      <c r="EM5" s="1530" t="s">
        <v>4631</v>
      </c>
      <c r="EN5" s="1531" t="s">
        <v>4632</v>
      </c>
      <c r="EO5" s="1529" t="s">
        <v>4633</v>
      </c>
      <c r="EP5" s="1530" t="s">
        <v>4631</v>
      </c>
      <c r="EQ5" s="1531" t="s">
        <v>4632</v>
      </c>
      <c r="ER5" s="1529" t="s">
        <v>4633</v>
      </c>
      <c r="ES5" s="1530" t="s">
        <v>4631</v>
      </c>
      <c r="ET5" s="1531" t="s">
        <v>4632</v>
      </c>
      <c r="EU5" s="1529" t="s">
        <v>4633</v>
      </c>
      <c r="EV5" s="1530" t="s">
        <v>4631</v>
      </c>
      <c r="EW5" s="1531" t="s">
        <v>4632</v>
      </c>
      <c r="EX5" s="1529" t="s">
        <v>4633</v>
      </c>
    </row>
    <row r="6" spans="1:156" ht="30" customHeight="1" thickBot="1">
      <c r="B6" s="1587" t="str">
        <f>はじめに!B6&amp;""</f>
        <v/>
      </c>
      <c r="C6" s="1587" t="str">
        <f>計1!D14</f>
        <v/>
      </c>
      <c r="D6" s="1587">
        <f>計1!D28</f>
        <v>2024</v>
      </c>
      <c r="E6" s="1587" t="str">
        <f>Q6&amp;R6&amp;S6&amp;T6&amp;U6</f>
        <v/>
      </c>
      <c r="F6" s="1587" t="str">
        <f>計1!M2</f>
        <v/>
      </c>
      <c r="G6" s="1587" t="str">
        <f>計1!D14</f>
        <v/>
      </c>
      <c r="H6" s="1608" t="str">
        <f>計1!S5</f>
        <v/>
      </c>
      <c r="I6" s="1587" t="str">
        <f>計1!I7</f>
        <v/>
      </c>
      <c r="J6" s="1587" t="str">
        <f>計1!I8</f>
        <v/>
      </c>
      <c r="K6" s="1587" t="str">
        <f>計1!I9</f>
        <v/>
      </c>
      <c r="L6" s="1587" t="str">
        <f>計1!D14</f>
        <v/>
      </c>
      <c r="M6" s="1587" t="str">
        <f>計1!D15</f>
        <v/>
      </c>
      <c r="N6" s="1587" t="str">
        <f>計1!D16</f>
        <v/>
      </c>
      <c r="O6" s="1587" t="str">
        <f>計1!F17</f>
        <v/>
      </c>
      <c r="P6" s="1587" t="str">
        <f>計1!F18</f>
        <v/>
      </c>
      <c r="Q6" s="1587" t="str">
        <f>IF(計1!P7=TRUE,"1号","")</f>
        <v/>
      </c>
      <c r="R6" s="1587" t="str">
        <f>IF(計1!P8=TRUE,"2号","")</f>
        <v/>
      </c>
      <c r="S6" s="1587" t="str">
        <f>IF(計1!P7=TRUE,"3号","")</f>
        <v/>
      </c>
      <c r="T6" s="1587" t="str">
        <f>IF(計1!P10=TRUE,"任12","")</f>
        <v/>
      </c>
      <c r="U6" s="1587" t="str">
        <f>IF(計1!P11=TRUE,"任3","")</f>
        <v/>
      </c>
      <c r="V6" s="1587">
        <f ca="1">計1!G23</f>
        <v>0</v>
      </c>
      <c r="W6" s="1587">
        <f>計1!L23</f>
        <v>0</v>
      </c>
      <c r="X6" s="1587">
        <f>計1!L24</f>
        <v>0</v>
      </c>
      <c r="Y6" s="1587">
        <f>計1!G25</f>
        <v>0</v>
      </c>
      <c r="Z6" s="1587">
        <f>計1!D28</f>
        <v>2024</v>
      </c>
      <c r="AA6" s="1587">
        <f>計1!G28</f>
        <v>2026</v>
      </c>
      <c r="AB6" s="1587" t="str">
        <f>計1!A31&amp;""</f>
        <v/>
      </c>
      <c r="AC6" s="1587" t="str">
        <f>IF(計2!P4=TRUE,"有","")</f>
        <v/>
      </c>
      <c r="AD6" s="1587" t="str">
        <f>計2!E4</f>
        <v/>
      </c>
      <c r="AE6" s="1587" t="str">
        <f>IF(計2!P5=TRUE,"有","")</f>
        <v/>
      </c>
      <c r="AF6" s="1587" t="str">
        <f>計2!E5</f>
        <v/>
      </c>
      <c r="AG6" s="1587" t="str">
        <f>計2!E6</f>
        <v/>
      </c>
      <c r="AH6" s="1587" t="str">
        <f>計2!E7</f>
        <v/>
      </c>
      <c r="AI6" s="1587" t="str">
        <f>IF(計2!P8=TRUE,"有","")</f>
        <v/>
      </c>
      <c r="AJ6" s="1587" t="str">
        <f>計2!D8</f>
        <v/>
      </c>
      <c r="AK6" s="1587" t="str">
        <f>IF(Q6&amp;R6&amp;T6="","",計2!A14)</f>
        <v/>
      </c>
      <c r="AL6" s="1587" t="str">
        <f>IF(Q6&amp;R6&amp;T6="","",計2!C13)</f>
        <v/>
      </c>
      <c r="AM6" s="1587" t="str">
        <f>IF(Q6&amp;R6&amp;T6="","",計2!F13)</f>
        <v/>
      </c>
      <c r="AN6" s="1587" t="str">
        <f>IF(Q6&amp;R6&amp;T6="","",計2!J13)</f>
        <v/>
      </c>
      <c r="AO6" s="1587" t="str">
        <f>IF(Q6&amp;R6&amp;T6="","",計2!M13)</f>
        <v/>
      </c>
      <c r="AP6" s="1587" t="str">
        <f>IF(Q6&amp;R6&amp;T6="","",計2!A16)</f>
        <v/>
      </c>
      <c r="AQ6" s="1587" t="str">
        <f>IF(Q6&amp;R6&amp;T6="","",計2!C15&amp;"")</f>
        <v/>
      </c>
      <c r="AR6" s="1587" t="str">
        <f>IF(Q6&amp;R6&amp;T6="","",計2!D17)</f>
        <v/>
      </c>
      <c r="AS6" s="1587" t="str">
        <f>IF(Q6&amp;R6&amp;T6="","",計2!F15&amp;"")</f>
        <v/>
      </c>
      <c r="AT6" s="1587" t="str">
        <f>IF(Q6&amp;R6&amp;T6="","",計2!G17)</f>
        <v/>
      </c>
      <c r="AU6" s="1587" t="str">
        <f>IF(Q6&amp;R6&amp;T6="","",計2!J15&amp;"")</f>
        <v/>
      </c>
      <c r="AV6" s="1587" t="str">
        <f>IF(Q6&amp;R6&amp;T6="","",計2!M15)</f>
        <v/>
      </c>
      <c r="AW6" s="1587" t="str">
        <f>IF(Q6&amp;R6&amp;T6="","",計2!K17)</f>
        <v/>
      </c>
      <c r="AX6" s="1587" t="str">
        <f>IF(Q6&amp;R6&amp;T6="","",計2!C18&amp;"")</f>
        <v/>
      </c>
      <c r="AY6" s="1587" t="str">
        <f>IF(S6&amp;U6="","",計2!A24)</f>
        <v/>
      </c>
      <c r="AZ6" s="1587" t="str">
        <f>IF(S6&amp;U6="","",計2!C23&amp;"")</f>
        <v/>
      </c>
      <c r="BA6" s="1587" t="str">
        <f>IF(S6&amp;U6="","",計2!F23&amp;"")</f>
        <v/>
      </c>
      <c r="BB6" s="1587" t="str">
        <f>IF(S6&amp;U6="","",計2!J23&amp;"")</f>
        <v/>
      </c>
      <c r="BC6" s="1587" t="str">
        <f>IF(S6&amp;U6="","",計2!M23)</f>
        <v/>
      </c>
      <c r="BD6" s="1587" t="str">
        <f>IF(S6&amp;U6="","",計2!A26)</f>
        <v/>
      </c>
      <c r="BE6" s="1587" t="str">
        <f>IF(S6&amp;U6="","",計2!C25)</f>
        <v/>
      </c>
      <c r="BF6" s="1587" t="str">
        <f>IF(S6&amp;U6="","",計2!D27)</f>
        <v/>
      </c>
      <c r="BG6" s="1587" t="str">
        <f>IF(S6&amp;U6="","",計2!F25)</f>
        <v/>
      </c>
      <c r="BH6" s="1587" t="str">
        <f>IF(S6&amp;U6="","",計2!G27)</f>
        <v/>
      </c>
      <c r="BI6" s="1587" t="str">
        <f>IF(S6&amp;U6="","",計2!J25&amp;"")</f>
        <v/>
      </c>
      <c r="BJ6" s="1587" t="str">
        <f>IF(S6&amp;U6="","",計2!M25)</f>
        <v/>
      </c>
      <c r="BK6" s="1587" t="str">
        <f>IF(S6&amp;U6="","",計2!K27)</f>
        <v/>
      </c>
      <c r="BL6" s="1587" t="str">
        <f>IF(S6&amp;U6="","",計2!C28&amp;"")</f>
        <v/>
      </c>
      <c r="BM6" s="1587" t="str">
        <f>計3!B6&amp;""</f>
        <v/>
      </c>
      <c r="BN6" s="1587" t="str">
        <f>計3!H6&amp;""</f>
        <v/>
      </c>
      <c r="BO6" s="1587" t="str">
        <f>計3!N6&amp;""</f>
        <v/>
      </c>
      <c r="BP6" s="1587" t="str">
        <f>計3!B7&amp;""</f>
        <v/>
      </c>
      <c r="BQ6" s="1587" t="str">
        <f>計3!H7&amp;""</f>
        <v/>
      </c>
      <c r="BR6" s="1587" t="str">
        <f>計3!N7&amp;""</f>
        <v/>
      </c>
      <c r="BS6" s="1587" t="str">
        <f>計3!B8&amp;""</f>
        <v/>
      </c>
      <c r="BT6" s="1587" t="str">
        <f>計3!H8&amp;""</f>
        <v/>
      </c>
      <c r="BU6" s="1587" t="str">
        <f>計3!N8&amp;""</f>
        <v/>
      </c>
      <c r="BV6" s="1587" t="str">
        <f>計3!B9&amp;""</f>
        <v/>
      </c>
      <c r="BW6" s="1587" t="str">
        <f>計3!H9&amp;""</f>
        <v/>
      </c>
      <c r="BX6" s="1587" t="str">
        <f>計3!N9&amp;""</f>
        <v/>
      </c>
      <c r="BY6" s="1587" t="str">
        <f>計3!B10&amp;""</f>
        <v/>
      </c>
      <c r="BZ6" s="1587" t="str">
        <f>計3!H10&amp;""</f>
        <v/>
      </c>
      <c r="CA6" s="1587" t="str">
        <f>計3!N10&amp;""</f>
        <v/>
      </c>
      <c r="CB6" s="1587" t="str">
        <f>計3!AA11&amp;""</f>
        <v/>
      </c>
      <c r="CC6" s="1587" t="str">
        <f>計3!V14</f>
        <v/>
      </c>
      <c r="CD6" s="1587" t="str">
        <f>計3!C15&amp;""</f>
        <v/>
      </c>
      <c r="CE6" s="1587" t="str">
        <f>計3!V16</f>
        <v/>
      </c>
      <c r="CF6" s="1587" t="str">
        <f>計3!C17&amp;""</f>
        <v/>
      </c>
      <c r="CG6" s="1587" t="str">
        <f>計3!F17&amp;""</f>
        <v/>
      </c>
      <c r="CH6" s="1587" t="str">
        <f>計3!C18&amp;""</f>
        <v/>
      </c>
      <c r="CI6" s="1587" t="str">
        <f>計3!F18&amp;""</f>
        <v/>
      </c>
      <c r="CJ6" s="1587" t="str">
        <f>計3!C19&amp;""</f>
        <v/>
      </c>
      <c r="CK6" s="1587" t="str">
        <f>計3!F19&amp;""</f>
        <v/>
      </c>
      <c r="CL6" s="1587" t="str">
        <f>計3!V20</f>
        <v/>
      </c>
      <c r="CM6" s="1587" t="str">
        <f>計3!C21&amp;""</f>
        <v/>
      </c>
      <c r="CN6" s="1587" t="str">
        <f>計3!V25</f>
        <v>←導入予定（1:あり、2:なし）</v>
      </c>
      <c r="CO6" s="1611" t="str">
        <f>計3!D28&amp;""</f>
        <v>0</v>
      </c>
      <c r="CP6" s="1611" t="str">
        <f>計3!D29&amp;""</f>
        <v>0</v>
      </c>
      <c r="CQ6" s="1611" t="str">
        <f>計3!H28&amp;""</f>
        <v>0</v>
      </c>
      <c r="CR6" s="1611" t="str">
        <f>計3!H29&amp;""</f>
        <v>0</v>
      </c>
      <c r="CS6" s="1611" t="str">
        <f>計3!L28&amp;""</f>
        <v>0</v>
      </c>
      <c r="CT6" s="1611" t="str">
        <f>計3!L29&amp;""</f>
        <v>0</v>
      </c>
      <c r="CU6" s="1611">
        <f>計3!P28</f>
        <v>0</v>
      </c>
      <c r="CV6" s="1611">
        <f>計3!P29</f>
        <v>0</v>
      </c>
      <c r="CW6" s="1587" t="str">
        <f>計4!$S$9</f>
        <v/>
      </c>
      <c r="CX6" s="1587" t="str">
        <f>計4!$T$9</f>
        <v/>
      </c>
      <c r="CY6" s="1587" t="str">
        <f>計4!$L$6&amp;""</f>
        <v/>
      </c>
      <c r="CZ6" s="1587" t="str">
        <f>計4!$S$13</f>
        <v/>
      </c>
      <c r="DA6" s="1587" t="str">
        <f>計4!$T$13</f>
        <v/>
      </c>
      <c r="DB6" s="1587" t="str">
        <f>計4!$L$10&amp;""</f>
        <v/>
      </c>
      <c r="DC6" s="1587" t="str">
        <f>計4!$S$17</f>
        <v/>
      </c>
      <c r="DD6" s="1587" t="str">
        <f>計4!$T$17</f>
        <v/>
      </c>
      <c r="DE6" s="1587" t="str">
        <f>計4!$L$14&amp;""</f>
        <v/>
      </c>
      <c r="DF6" s="1587" t="str">
        <f>計4!$S$21</f>
        <v/>
      </c>
      <c r="DG6" s="1587" t="str">
        <f>計4!$T$21</f>
        <v/>
      </c>
      <c r="DH6" s="1587" t="str">
        <f>計4!$L$18&amp;""</f>
        <v/>
      </c>
      <c r="DI6" s="1587" t="str">
        <f>計4!$S$25</f>
        <v/>
      </c>
      <c r="DJ6" s="1587" t="str">
        <f>計4!$T$25</f>
        <v/>
      </c>
      <c r="DK6" s="1587" t="str">
        <f>計4!$L$22&amp;""</f>
        <v/>
      </c>
      <c r="DL6" s="1587" t="str">
        <f>計4!$S$29</f>
        <v/>
      </c>
      <c r="DM6" s="1587" t="str">
        <f>計4!$T$29</f>
        <v/>
      </c>
      <c r="DN6" s="1587" t="str">
        <f>計4!$L$26&amp;""</f>
        <v/>
      </c>
      <c r="DO6" s="1587" t="str">
        <f>計4!$S$33</f>
        <v/>
      </c>
      <c r="DP6" s="1587" t="str">
        <f>計4!$T$33</f>
        <v/>
      </c>
      <c r="DQ6" s="1587" t="str">
        <f>計4!$L$30&amp;""</f>
        <v/>
      </c>
      <c r="DR6" s="1587" t="str">
        <f>計4!$S$37</f>
        <v/>
      </c>
      <c r="DS6" s="1587" t="str">
        <f>計4!$T$37</f>
        <v/>
      </c>
      <c r="DT6" s="1587" t="str">
        <f>計4!$L$34&amp;""</f>
        <v/>
      </c>
      <c r="DU6" s="1587" t="str">
        <f>計4!$S$41</f>
        <v/>
      </c>
      <c r="DV6" s="1587" t="str">
        <f>計4!$T$41</f>
        <v/>
      </c>
      <c r="DW6" s="1587" t="str">
        <f>計4!$L$38&amp;""</f>
        <v/>
      </c>
      <c r="DX6" s="1587" t="str">
        <f>計4!$S$45</f>
        <v/>
      </c>
      <c r="DY6" s="1587" t="str">
        <f>計4!$T$45</f>
        <v/>
      </c>
      <c r="DZ6" s="1587" t="str">
        <f>計4!$L$42&amp;""</f>
        <v/>
      </c>
      <c r="EA6" s="1587" t="str">
        <f>計4!$S$54</f>
        <v/>
      </c>
      <c r="EB6" s="1587" t="str">
        <f>計4!$T$54</f>
        <v/>
      </c>
      <c r="EC6" s="1587" t="str">
        <f>計4!$L$51&amp;""</f>
        <v/>
      </c>
      <c r="ED6" s="1587" t="str">
        <f>計4!$S$58</f>
        <v/>
      </c>
      <c r="EE6" s="1587" t="str">
        <f>計4!$T$58</f>
        <v/>
      </c>
      <c r="EF6" s="1587" t="str">
        <f>計4!$L$55&amp;""</f>
        <v/>
      </c>
      <c r="EG6" s="1587" t="str">
        <f>計4!$S$62</f>
        <v/>
      </c>
      <c r="EH6" s="1587" t="str">
        <f>計4!$T$62</f>
        <v/>
      </c>
      <c r="EI6" s="1587" t="str">
        <f>計4!$L$59&amp;""</f>
        <v/>
      </c>
      <c r="EJ6" s="1587" t="str">
        <f>計4!$S$71</f>
        <v/>
      </c>
      <c r="EK6" s="1587" t="str">
        <f>計4!$T$71</f>
        <v/>
      </c>
      <c r="EL6" s="1587" t="str">
        <f>計4!$L$68&amp;""</f>
        <v/>
      </c>
      <c r="EM6" s="1587" t="str">
        <f>計4!$S$75</f>
        <v/>
      </c>
      <c r="EN6" s="1587" t="str">
        <f>計4!$T$75</f>
        <v/>
      </c>
      <c r="EO6" s="1587" t="str">
        <f>計4!$L$72&amp;""</f>
        <v/>
      </c>
      <c r="EP6" s="1587" t="str">
        <f>計4!$S$79</f>
        <v/>
      </c>
      <c r="EQ6" s="1587" t="str">
        <f>計4!$T$79</f>
        <v/>
      </c>
      <c r="ER6" s="1587" t="str">
        <f>計4!$L$76&amp;""</f>
        <v/>
      </c>
      <c r="ES6" s="1587" t="str">
        <f>計4!$S$83</f>
        <v/>
      </c>
      <c r="ET6" s="1587" t="str">
        <f>計4!$T$83</f>
        <v/>
      </c>
      <c r="EU6" s="1587" t="str">
        <f>計4!$L$80&amp;""</f>
        <v/>
      </c>
      <c r="EV6" s="1587" t="str">
        <f>計4!$S$87</f>
        <v/>
      </c>
      <c r="EW6" s="1587" t="str">
        <f>計4!$T$87</f>
        <v/>
      </c>
      <c r="EX6" s="1587" t="str">
        <f>計4!$L$84&amp;""</f>
        <v/>
      </c>
    </row>
  </sheetData>
  <mergeCells count="6">
    <mergeCell ref="CW1:EI1"/>
    <mergeCell ref="AB3:AB5"/>
    <mergeCell ref="EJ3:EX3"/>
    <mergeCell ref="AX4:AX5"/>
    <mergeCell ref="BL4:BL5"/>
    <mergeCell ref="CN4:CN5"/>
  </mergeCells>
  <phoneticPr fontId="15"/>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6">
    <outlinePr summaryBelow="0" summaryRight="0"/>
  </sheetPr>
  <dimension ref="B1:U519"/>
  <sheetViews>
    <sheetView workbookViewId="0">
      <pane xSplit="6" ySplit="31" topLeftCell="G56"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o39</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AW</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353" priority="8">
      <formula>ISERROR(D22)</formula>
    </cfRule>
  </conditionalFormatting>
  <conditionalFormatting sqref="B111:S112 B65:C65 Q65:Q110 H105:N105 H65:I104 L65:N104 H106:I110 L106:N110 B66:B110 F66:F104">
    <cfRule type="containsErrors" dxfId="352" priority="7">
      <formula>ISERROR(B65)</formula>
    </cfRule>
  </conditionalFormatting>
  <conditionalFormatting sqref="O105:P105">
    <cfRule type="containsErrors" dxfId="351" priority="6">
      <formula>ISERROR(O105)</formula>
    </cfRule>
  </conditionalFormatting>
  <conditionalFormatting sqref="R65:S110">
    <cfRule type="containsErrors" dxfId="350" priority="5">
      <formula>ISERROR(R65)</formula>
    </cfRule>
  </conditionalFormatting>
  <conditionalFormatting sqref="C106">
    <cfRule type="containsErrors" dxfId="349" priority="4">
      <formula>ISERROR(C106)</formula>
    </cfRule>
  </conditionalFormatting>
  <conditionalFormatting sqref="C107:C110">
    <cfRule type="containsErrors" dxfId="348" priority="3">
      <formula>ISERROR(C107)</formula>
    </cfRule>
  </conditionalFormatting>
  <conditionalFormatting sqref="D67 D69 D71 D73 D75 D77 D79 D81 D83 D85 D87 D89 D91 D93 D95 D97 D99 D101 D103">
    <cfRule type="containsErrors" dxfId="347" priority="2">
      <formula>ISERROR(D67)</formula>
    </cfRule>
  </conditionalFormatting>
  <conditionalFormatting sqref="C67 C69 C71 C73 C75 C77 C79 C81 C83 C85 C87 C89 C91 C93 C95 C97 C99 C101 C103">
    <cfRule type="containsErrors" dxfId="346" priority="1">
      <formula>ISERROR(C67)</formula>
    </cfRule>
  </conditionalFormatting>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7">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o40</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AX</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345" priority="8">
      <formula>ISERROR(D22)</formula>
    </cfRule>
  </conditionalFormatting>
  <conditionalFormatting sqref="B111:S112 B65:C65 Q65:Q110 H105:N105 H65:I104 L65:N104 H106:I110 L106:N110 B66:B110 F66:F104">
    <cfRule type="containsErrors" dxfId="344" priority="7">
      <formula>ISERROR(B65)</formula>
    </cfRule>
  </conditionalFormatting>
  <conditionalFormatting sqref="O105:P105">
    <cfRule type="containsErrors" dxfId="343" priority="6">
      <formula>ISERROR(O105)</formula>
    </cfRule>
  </conditionalFormatting>
  <conditionalFormatting sqref="R65:S110">
    <cfRule type="containsErrors" dxfId="342" priority="5">
      <formula>ISERROR(R65)</formula>
    </cfRule>
  </conditionalFormatting>
  <conditionalFormatting sqref="C106">
    <cfRule type="containsErrors" dxfId="341" priority="4">
      <formula>ISERROR(C106)</formula>
    </cfRule>
  </conditionalFormatting>
  <conditionalFormatting sqref="C107:C110">
    <cfRule type="containsErrors" dxfId="340" priority="3">
      <formula>ISERROR(C107)</formula>
    </cfRule>
  </conditionalFormatting>
  <conditionalFormatting sqref="D67 D69 D71 D73 D75 D77 D79 D81 D83 D85 D87 D89 D91 D93 D95 D97 D99 D101 D103">
    <cfRule type="containsErrors" dxfId="339" priority="2">
      <formula>ISERROR(D67)</formula>
    </cfRule>
  </conditionalFormatting>
  <conditionalFormatting sqref="C67 C69 C71 C73 C75 C77 C79 C81 C83 C85 C87 C89 C91 C93 C95 C97 C99 C101 C103">
    <cfRule type="containsErrors" dxfId="338" priority="1">
      <formula>ISERROR(C67)</formula>
    </cfRule>
  </conditionalFormatting>
  <pageMargins left="0.7" right="0.7" top="0.75" bottom="0.75" header="0.3" footer="0.3"/>
  <pageSetup paperSize="9"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8">
    <outlinePr summaryBelow="0" summaryRight="0"/>
  </sheetPr>
  <dimension ref="B1:U519"/>
  <sheetViews>
    <sheetView workbookViewId="0">
      <pane xSplit="6" ySplit="31" topLeftCell="G52"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o41</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AY</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337" priority="8">
      <formula>ISERROR(D22)</formula>
    </cfRule>
  </conditionalFormatting>
  <conditionalFormatting sqref="B111:S112 B65:C65 Q65:Q110 H105:N105 H65:I104 L65:N104 H106:I110 L106:N110 B66:B110 F66:F104">
    <cfRule type="containsErrors" dxfId="336" priority="7">
      <formula>ISERROR(B65)</formula>
    </cfRule>
  </conditionalFormatting>
  <conditionalFormatting sqref="O105:P105">
    <cfRule type="containsErrors" dxfId="335" priority="6">
      <formula>ISERROR(O105)</formula>
    </cfRule>
  </conditionalFormatting>
  <conditionalFormatting sqref="R65:S110">
    <cfRule type="containsErrors" dxfId="334" priority="5">
      <formula>ISERROR(R65)</formula>
    </cfRule>
  </conditionalFormatting>
  <conditionalFormatting sqref="C106">
    <cfRule type="containsErrors" dxfId="333" priority="4">
      <formula>ISERROR(C106)</formula>
    </cfRule>
  </conditionalFormatting>
  <conditionalFormatting sqref="C107:C110">
    <cfRule type="containsErrors" dxfId="332" priority="3">
      <formula>ISERROR(C107)</formula>
    </cfRule>
  </conditionalFormatting>
  <conditionalFormatting sqref="D67 D69 D71 D73 D75 D77 D79 D81 D83 D85 D87 D89 D91 D93 D95 D97 D99 D101 D103">
    <cfRule type="containsErrors" dxfId="331" priority="2">
      <formula>ISERROR(D67)</formula>
    </cfRule>
  </conditionalFormatting>
  <conditionalFormatting sqref="C67 C69 C71 C73 C75 C77 C79 C81 C83 C85 C87 C89 C91 C93 C95 C97 C99 C101 C103">
    <cfRule type="containsErrors" dxfId="330" priority="1">
      <formula>ISERROR(C67)</formula>
    </cfRule>
  </conditionalFormatting>
  <pageMargins left="0.7" right="0.7" top="0.75" bottom="0.75" header="0.3" footer="0.3"/>
  <pageSetup paperSize="9"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9">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o42</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AZ</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329" priority="8">
      <formula>ISERROR(D22)</formula>
    </cfRule>
  </conditionalFormatting>
  <conditionalFormatting sqref="B111:S112 B65:C65 Q65:Q110 H105:N105 H65:I104 L65:N104 H106:I110 L106:N110 B66:B110 F66:F104">
    <cfRule type="containsErrors" dxfId="328" priority="7">
      <formula>ISERROR(B65)</formula>
    </cfRule>
  </conditionalFormatting>
  <conditionalFormatting sqref="O105:P105">
    <cfRule type="containsErrors" dxfId="327" priority="6">
      <formula>ISERROR(O105)</formula>
    </cfRule>
  </conditionalFormatting>
  <conditionalFormatting sqref="R65:S110">
    <cfRule type="containsErrors" dxfId="326" priority="5">
      <formula>ISERROR(R65)</formula>
    </cfRule>
  </conditionalFormatting>
  <conditionalFormatting sqref="C106">
    <cfRule type="containsErrors" dxfId="325" priority="4">
      <formula>ISERROR(C106)</formula>
    </cfRule>
  </conditionalFormatting>
  <conditionalFormatting sqref="C107:C110">
    <cfRule type="containsErrors" dxfId="324" priority="3">
      <formula>ISERROR(C107)</formula>
    </cfRule>
  </conditionalFormatting>
  <conditionalFormatting sqref="D67 D69 D71 D73 D75 D77 D79 D81 D83 D85 D87 D89 D91 D93 D95 D97 D99 D101 D103">
    <cfRule type="containsErrors" dxfId="323" priority="2">
      <formula>ISERROR(D67)</formula>
    </cfRule>
  </conditionalFormatting>
  <conditionalFormatting sqref="C67 C69 C71 C73 C75 C77 C79 C81 C83 C85 C87 C89 C91 C93 C95 C97 C99 C101 C103">
    <cfRule type="containsErrors" dxfId="322" priority="1">
      <formula>ISERROR(C67)</formula>
    </cfRule>
  </conditionalFormatting>
  <pageMargins left="0.7" right="0.7" top="0.75" bottom="0.75" header="0.3" footer="0.3"/>
  <pageSetup paperSize="9"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0">
    <outlinePr summaryBelow="0" summaryRight="0"/>
  </sheetPr>
  <dimension ref="B1:U519"/>
  <sheetViews>
    <sheetView workbookViewId="0">
      <pane xSplit="6" ySplit="31" topLeftCell="G53" activePane="bottomRight" state="frozen"/>
      <selection activeCell="J22" sqref="J22"/>
      <selection pane="topRight" activeCell="J22" sqref="J22"/>
      <selection pane="bottomLeft" activeCell="J22" sqref="J22"/>
      <selection pane="bottomRight" activeCell="J22" sqref="J22"/>
    </sheetView>
  </sheetViews>
  <sheetFormatPr defaultColWidth="9" defaultRowHeight="13.5" outlineLevelRow="1"/>
  <cols>
    <col min="1" max="1" width="0.875" style="1010" customWidth="1"/>
    <col min="2" max="2" width="2.5" style="1010" customWidth="1"/>
    <col min="3" max="3" width="8.375" style="1010" customWidth="1"/>
    <col min="4" max="4" width="5.5" style="1010" customWidth="1"/>
    <col min="5" max="5" width="6.125" style="1010" customWidth="1"/>
    <col min="6" max="6" width="4.375" style="1019" customWidth="1"/>
    <col min="7" max="7" width="6.875" style="1010" customWidth="1"/>
    <col min="8" max="8" width="4.375" style="1017" customWidth="1"/>
    <col min="9" max="9" width="5" style="1017" customWidth="1"/>
    <col min="10" max="10" width="9.375" style="1010" customWidth="1"/>
    <col min="11" max="11" width="6.125" style="1010" customWidth="1"/>
    <col min="12" max="12" width="4.5" style="1017" customWidth="1"/>
    <col min="13" max="13" width="6.875" style="1010" customWidth="1"/>
    <col min="14" max="14" width="7.5" style="1010" customWidth="1"/>
    <col min="15" max="16" width="5.625" style="1010" customWidth="1"/>
    <col min="17" max="17" width="4.375" style="1017" customWidth="1"/>
    <col min="18" max="19" width="10.625" style="1010" customWidth="1"/>
    <col min="20" max="20" width="0.875" style="1010" customWidth="1"/>
    <col min="21" max="23" width="9" style="1010"/>
    <col min="24" max="24" width="18.125" style="1010" customWidth="1"/>
    <col min="25" max="16384" width="9" style="1010"/>
  </cols>
  <sheetData>
    <row r="1" spans="2:21" ht="27.6" customHeight="1">
      <c r="B1" s="2256" t="s">
        <v>4229</v>
      </c>
      <c r="C1" s="2256"/>
      <c r="D1" s="2256"/>
      <c r="E1" s="2256"/>
      <c r="F1" s="2256"/>
      <c r="G1" s="2256"/>
      <c r="H1" s="2256"/>
      <c r="I1" s="2256"/>
      <c r="J1" s="2256"/>
      <c r="K1" s="2256"/>
      <c r="L1" s="2256"/>
      <c r="M1" s="2256"/>
      <c r="N1" s="1105" t="str">
        <f ca="1">RIGHT(CELL("filename",B3),LEN(CELL("filename",B3))-FIND("]",CELL("filename",B3)))</f>
        <v>o43</v>
      </c>
      <c r="O1" s="1008"/>
      <c r="P1" s="1008"/>
      <c r="Q1" s="1008"/>
      <c r="R1" s="1009"/>
      <c r="S1" s="1008"/>
      <c r="U1" s="1011"/>
    </row>
    <row r="2" spans="2:21" ht="14.45" customHeight="1" collapsed="1">
      <c r="B2" s="1013"/>
      <c r="C2" s="1013"/>
      <c r="D2" s="1013"/>
      <c r="E2" s="1013"/>
      <c r="F2" s="1013"/>
      <c r="G2" s="1013"/>
      <c r="H2" s="1013"/>
      <c r="I2" s="1013"/>
      <c r="J2" s="1013"/>
      <c r="K2" s="1013"/>
      <c r="L2" s="1013"/>
      <c r="M2" s="1013"/>
      <c r="N2" s="1014"/>
      <c r="O2" s="1014"/>
      <c r="P2" s="1015"/>
      <c r="Q2" s="1015"/>
      <c r="R2" s="1016"/>
      <c r="S2" s="1017"/>
    </row>
    <row r="3" spans="2:21" ht="14.45" hidden="1" customHeight="1" outlineLevel="1">
      <c r="B3" s="1018"/>
    </row>
    <row r="4" spans="2:21" ht="14.45" hidden="1" customHeight="1" outlineLevel="1">
      <c r="B4" s="1020"/>
      <c r="E4" s="1021"/>
      <c r="G4" s="1022"/>
      <c r="H4" s="1022"/>
      <c r="I4" s="1022"/>
      <c r="J4" s="1022"/>
      <c r="K4" s="1022"/>
      <c r="L4" s="1022"/>
      <c r="M4" s="102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10" t="s">
        <v>4251</v>
      </c>
    </row>
    <row r="19" spans="2:19" s="1024" customFormat="1" ht="14.45" customHeight="1" collapsed="1">
      <c r="C19" s="2257" t="s">
        <v>4230</v>
      </c>
      <c r="D19" s="2257"/>
      <c r="E19" s="2258" t="str">
        <f>はじめに!B8</f>
        <v>新規</v>
      </c>
      <c r="F19" s="2258"/>
      <c r="G19" s="2258"/>
      <c r="H19" s="2258"/>
      <c r="I19" s="2258"/>
      <c r="J19" s="1025" t="s">
        <v>4231</v>
      </c>
      <c r="L19" s="1105"/>
      <c r="M19" s="2275" t="s">
        <v>4250</v>
      </c>
      <c r="N19" s="2275"/>
      <c r="O19" s="2275"/>
      <c r="P19" s="1012" t="str">
        <f ca="1">LEFT(ADDRESS(1,VALUE(RIGHT(N1,LEN(N1)-1))+10,4 ),LEN(ADDRESS(1,VALUE(RIGHT(N1,LEN(N1)-1))+10,4 ))-1)</f>
        <v>BA</v>
      </c>
      <c r="Q19" s="1106"/>
      <c r="R19" s="1024" t="str">
        <f ca="1">"'"&amp;RIGHT(CELL("filename",'使用量_1,2'!B1),LEN(CELL("filename",'使用量_1,2'!B1))-FIND("]",CELL("filename",'使用量_1,2'!B1)))&amp;"'"</f>
        <v>'使用量_1,2'</v>
      </c>
      <c r="S19" s="1024" t="str">
        <f ca="1">"'"&amp;RIGHT(CELL("filename",外部供給!B1),LEN(CELL("filename",外部供給!B1))-FIND("]",CELL("filename",外部供給!B1)))&amp;"'"</f>
        <v>'外部供給'</v>
      </c>
    </row>
    <row r="20" spans="2:19" ht="6.6" customHeight="1" thickBot="1"/>
    <row r="21" spans="2:19" ht="13.5" customHeight="1" thickBot="1">
      <c r="B21" s="1026"/>
      <c r="C21" s="1027"/>
      <c r="D21" s="1027"/>
      <c r="E21" s="1027"/>
      <c r="F21" s="1027"/>
      <c r="G21" s="1027"/>
      <c r="H21" s="1027"/>
      <c r="I21" s="1027"/>
      <c r="J21" s="1028"/>
      <c r="K21" s="2259" t="s">
        <v>4232</v>
      </c>
      <c r="L21" s="2259"/>
      <c r="M21" s="2259"/>
      <c r="N21" s="2259"/>
      <c r="O21" s="2259"/>
      <c r="P21" s="2259"/>
      <c r="Q21" s="2259"/>
      <c r="R21" s="1029" t="s">
        <v>2684</v>
      </c>
      <c r="S21" s="1029" t="s">
        <v>571</v>
      </c>
    </row>
    <row r="22" spans="2:19" ht="26.25" customHeight="1" thickBot="1">
      <c r="B22" s="2260" t="s">
        <v>4233</v>
      </c>
      <c r="C22" s="2261"/>
      <c r="D22" s="2261"/>
      <c r="E22" s="2261"/>
      <c r="F22" s="2261"/>
      <c r="G22" s="2261"/>
      <c r="H22" s="2261"/>
      <c r="I22" s="2262"/>
      <c r="J22" s="1030">
        <f ca="1">(J112)*0.0258</f>
        <v>0</v>
      </c>
      <c r="K22" s="2259"/>
      <c r="L22" s="2259"/>
      <c r="M22" s="2259"/>
      <c r="N22" s="2259"/>
      <c r="O22" s="2259"/>
      <c r="P22" s="2259"/>
      <c r="Q22" s="2259"/>
      <c r="R22" s="1031">
        <f ca="1">IF(R112&gt;0,R112,0)</f>
        <v>0</v>
      </c>
      <c r="S22" s="1031">
        <f ca="1">IF(S112&gt;0,S112,0)</f>
        <v>0</v>
      </c>
    </row>
    <row r="23" spans="2:19" ht="15" hidden="1" customHeight="1">
      <c r="F23" s="1010"/>
      <c r="H23" s="1010"/>
      <c r="I23" s="1010"/>
      <c r="L23" s="1010"/>
      <c r="Q23" s="1010"/>
    </row>
    <row r="24" spans="2:19" ht="15" hidden="1" customHeight="1">
      <c r="F24" s="1010"/>
      <c r="H24" s="1010"/>
      <c r="I24" s="1010"/>
      <c r="L24" s="1010"/>
      <c r="Q24" s="1010"/>
    </row>
    <row r="25" spans="2:19" ht="22.5" hidden="1" customHeight="1">
      <c r="F25" s="1010"/>
      <c r="H25" s="1010"/>
      <c r="I25" s="1010"/>
      <c r="L25" s="1010"/>
      <c r="Q25" s="1010"/>
    </row>
    <row r="26" spans="2:19" ht="11.25" hidden="1" customHeight="1"/>
    <row r="27" spans="2:19" ht="11.25" hidden="1" customHeight="1"/>
    <row r="28" spans="2:19" ht="15">
      <c r="H28" s="1033"/>
    </row>
    <row r="29" spans="2:19" ht="15" customHeight="1">
      <c r="B29" s="2283" t="s">
        <v>188</v>
      </c>
      <c r="C29" s="2284"/>
      <c r="D29" s="2284"/>
      <c r="E29" s="2284"/>
      <c r="F29" s="2285"/>
      <c r="G29" s="2292" t="s">
        <v>4234</v>
      </c>
      <c r="H29" s="2293"/>
      <c r="I29" s="2293"/>
      <c r="J29" s="2294"/>
      <c r="K29" s="2270" t="s">
        <v>4235</v>
      </c>
      <c r="L29" s="2271"/>
      <c r="M29" s="2272"/>
      <c r="N29" s="2273" t="s">
        <v>4236</v>
      </c>
      <c r="O29" s="2274" t="s">
        <v>4237</v>
      </c>
      <c r="P29" s="2274"/>
      <c r="Q29" s="2274"/>
      <c r="R29" s="2274"/>
      <c r="S29" s="2274"/>
    </row>
    <row r="30" spans="2:19" ht="15" customHeight="1">
      <c r="B30" s="2286"/>
      <c r="C30" s="2287"/>
      <c r="D30" s="2287"/>
      <c r="E30" s="2287"/>
      <c r="F30" s="2288"/>
      <c r="G30" s="2263" t="s">
        <v>4238</v>
      </c>
      <c r="H30" s="2268" t="s">
        <v>244</v>
      </c>
      <c r="I30" s="2281" t="s">
        <v>2681</v>
      </c>
      <c r="J30" s="2263" t="s">
        <v>4239</v>
      </c>
      <c r="K30" s="2263" t="s">
        <v>4240</v>
      </c>
      <c r="L30" s="2268" t="s">
        <v>244</v>
      </c>
      <c r="M30" s="2263" t="s">
        <v>4241</v>
      </c>
      <c r="N30" s="2273"/>
      <c r="O30" s="2265" t="s">
        <v>2682</v>
      </c>
      <c r="P30" s="2265"/>
      <c r="Q30" s="2266" t="s">
        <v>244</v>
      </c>
      <c r="R30" s="2267" t="s">
        <v>4242</v>
      </c>
      <c r="S30" s="2267"/>
    </row>
    <row r="31" spans="2:19" ht="18.75" customHeight="1">
      <c r="B31" s="2289"/>
      <c r="C31" s="2290"/>
      <c r="D31" s="2290"/>
      <c r="E31" s="2290"/>
      <c r="F31" s="2291"/>
      <c r="G31" s="2264"/>
      <c r="H31" s="2269"/>
      <c r="I31" s="2282"/>
      <c r="J31" s="2264"/>
      <c r="K31" s="2264"/>
      <c r="L31" s="2269"/>
      <c r="M31" s="2264"/>
      <c r="N31" s="2273"/>
      <c r="O31" s="1034" t="s">
        <v>2684</v>
      </c>
      <c r="P31" s="1035" t="s">
        <v>2685</v>
      </c>
      <c r="Q31" s="2266"/>
      <c r="R31" s="1034" t="s">
        <v>2684</v>
      </c>
      <c r="S31" s="1034" t="s">
        <v>2685</v>
      </c>
    </row>
    <row r="32" spans="2:19" ht="15.75" customHeight="1">
      <c r="B32" s="2276" t="s">
        <v>2686</v>
      </c>
      <c r="C32" s="2278" t="s">
        <v>2687</v>
      </c>
      <c r="D32" s="2279"/>
      <c r="E32" s="2279"/>
      <c r="F32" s="2280"/>
      <c r="G32" s="1094">
        <f ca="1">INDIRECT($R$19&amp;"!"&amp;$P$19&amp;ROW('使用量_1,2'!K32))</f>
        <v>0</v>
      </c>
      <c r="H32" s="1036" t="str">
        <f>係数!I32</f>
        <v>kL</v>
      </c>
      <c r="I32" s="1037">
        <f>係数!G32</f>
        <v>38.200000000000003</v>
      </c>
      <c r="J32" s="1102">
        <f t="shared" ref="J32:J62" ca="1" si="0">ROUND(ROUND(G32,0)*I32,0)</f>
        <v>0</v>
      </c>
      <c r="K32" s="1094">
        <f ca="1">INDIRECT($S$19&amp;"!"&amp;$P$19&amp;ROW('使用量_1,2'!O32))</f>
        <v>0</v>
      </c>
      <c r="L32" s="1036" t="s">
        <v>4243</v>
      </c>
      <c r="M32" s="1038">
        <f t="shared" ref="M32:M53" ca="1" si="1">ROUND(ROUND(K32,0)*I32,0)</f>
        <v>0</v>
      </c>
      <c r="N32" s="1039">
        <f t="shared" ref="N32:N57" ca="1" si="2">J32-M32</f>
        <v>0</v>
      </c>
      <c r="O32" s="1040">
        <f>係数!J32</f>
        <v>1.8700000000000001E-2</v>
      </c>
      <c r="P32" s="1040">
        <f>係数!K32</f>
        <v>1.8700000000000001E-2</v>
      </c>
      <c r="Q32" s="1041" t="s">
        <v>2689</v>
      </c>
      <c r="R32" s="1039">
        <f ca="1">ROUND(N32*O32*44/12,0)</f>
        <v>0</v>
      </c>
      <c r="S32" s="1042">
        <f ca="1">R32</f>
        <v>0</v>
      </c>
    </row>
    <row r="33" spans="2:19" ht="15.75" customHeight="1">
      <c r="B33" s="2277"/>
      <c r="C33" s="2278" t="s">
        <v>2691</v>
      </c>
      <c r="D33" s="2279"/>
      <c r="E33" s="2279"/>
      <c r="F33" s="2280"/>
      <c r="G33" s="1094">
        <f ca="1">INDIRECT($R$19&amp;"!"&amp;$P$19&amp;ROW('使用量_1,2'!K33))</f>
        <v>0</v>
      </c>
      <c r="H33" s="1036" t="str">
        <f>係数!I33</f>
        <v>kL</v>
      </c>
      <c r="I33" s="1037">
        <f>係数!G33</f>
        <v>35.299999999999997</v>
      </c>
      <c r="J33" s="1102">
        <f t="shared" ca="1" si="0"/>
        <v>0</v>
      </c>
      <c r="K33" s="1094">
        <f ca="1">INDIRECT($S$19&amp;"!"&amp;$P$19&amp;ROW('使用量_1,2'!O33))</f>
        <v>0</v>
      </c>
      <c r="L33" s="1036" t="s">
        <v>4243</v>
      </c>
      <c r="M33" s="1038">
        <f t="shared" ca="1" si="1"/>
        <v>0</v>
      </c>
      <c r="N33" s="1039">
        <f t="shared" ca="1" si="2"/>
        <v>0</v>
      </c>
      <c r="O33" s="1040">
        <f>係数!J33</f>
        <v>1.84E-2</v>
      </c>
      <c r="P33" s="1040">
        <f>係数!K33</f>
        <v>1.84E-2</v>
      </c>
      <c r="Q33" s="1041" t="s">
        <v>2689</v>
      </c>
      <c r="R33" s="1039">
        <f t="shared" ref="R33:R57" ca="1" si="3">ROUND(N33*O33*44/12,0)</f>
        <v>0</v>
      </c>
      <c r="S33" s="1042">
        <f t="shared" ref="S33:S62" ca="1" si="4">R33</f>
        <v>0</v>
      </c>
    </row>
    <row r="34" spans="2:19" ht="15.75" customHeight="1">
      <c r="B34" s="2277"/>
      <c r="C34" s="2278" t="s">
        <v>2692</v>
      </c>
      <c r="D34" s="2279"/>
      <c r="E34" s="2279"/>
      <c r="F34" s="2280"/>
      <c r="G34" s="1094">
        <f ca="1">INDIRECT($R$19&amp;"!"&amp;$P$19&amp;ROW('使用量_1,2'!K34))</f>
        <v>0</v>
      </c>
      <c r="H34" s="1036" t="str">
        <f>係数!I34</f>
        <v>kL</v>
      </c>
      <c r="I34" s="1037">
        <f>係数!G34</f>
        <v>34.6</v>
      </c>
      <c r="J34" s="1102">
        <f t="shared" ca="1" si="0"/>
        <v>0</v>
      </c>
      <c r="K34" s="1094">
        <f ca="1">INDIRECT($S$19&amp;"!"&amp;$P$19&amp;ROW('使用量_1,2'!O34))</f>
        <v>0</v>
      </c>
      <c r="L34" s="1036" t="s">
        <v>4243</v>
      </c>
      <c r="M34" s="1038">
        <f t="shared" ca="1" si="1"/>
        <v>0</v>
      </c>
      <c r="N34" s="1039">
        <f t="shared" ca="1" si="2"/>
        <v>0</v>
      </c>
      <c r="O34" s="1040">
        <f>係数!J34</f>
        <v>1.83E-2</v>
      </c>
      <c r="P34" s="1040">
        <f>係数!K34</f>
        <v>1.83E-2</v>
      </c>
      <c r="Q34" s="1041" t="s">
        <v>2689</v>
      </c>
      <c r="R34" s="1039">
        <f t="shared" ca="1" si="3"/>
        <v>0</v>
      </c>
      <c r="S34" s="1042">
        <f t="shared" ca="1" si="4"/>
        <v>0</v>
      </c>
    </row>
    <row r="35" spans="2:19" ht="15.75" customHeight="1">
      <c r="B35" s="2277"/>
      <c r="C35" s="2278" t="s">
        <v>2693</v>
      </c>
      <c r="D35" s="2279"/>
      <c r="E35" s="2279"/>
      <c r="F35" s="2280"/>
      <c r="G35" s="1094">
        <f ca="1">INDIRECT($R$19&amp;"!"&amp;$P$19&amp;ROW('使用量_1,2'!K35))</f>
        <v>0</v>
      </c>
      <c r="H35" s="1036" t="str">
        <f>係数!I35</f>
        <v>kL</v>
      </c>
      <c r="I35" s="1037">
        <f>係数!G35</f>
        <v>33.6</v>
      </c>
      <c r="J35" s="1102">
        <f t="shared" ca="1" si="0"/>
        <v>0</v>
      </c>
      <c r="K35" s="1094">
        <f ca="1">INDIRECT($S$19&amp;"!"&amp;$P$19&amp;ROW('使用量_1,2'!O35))</f>
        <v>0</v>
      </c>
      <c r="L35" s="1036" t="s">
        <v>4243</v>
      </c>
      <c r="M35" s="1038">
        <f t="shared" ca="1" si="1"/>
        <v>0</v>
      </c>
      <c r="N35" s="1039">
        <f t="shared" ca="1" si="2"/>
        <v>0</v>
      </c>
      <c r="O35" s="1040">
        <f>係数!J35</f>
        <v>1.8200000000000001E-2</v>
      </c>
      <c r="P35" s="1040">
        <f>係数!K35</f>
        <v>1.8200000000000001E-2</v>
      </c>
      <c r="Q35" s="1041" t="s">
        <v>2689</v>
      </c>
      <c r="R35" s="1039">
        <f t="shared" ca="1" si="3"/>
        <v>0</v>
      </c>
      <c r="S35" s="1042">
        <f t="shared" ca="1" si="4"/>
        <v>0</v>
      </c>
    </row>
    <row r="36" spans="2:19" ht="15.75" customHeight="1">
      <c r="B36" s="2277"/>
      <c r="C36" s="2278" t="s">
        <v>2694</v>
      </c>
      <c r="D36" s="2279"/>
      <c r="E36" s="2279"/>
      <c r="F36" s="2280"/>
      <c r="G36" s="1094">
        <f ca="1">INDIRECT($R$19&amp;"!"&amp;$P$19&amp;ROW('使用量_1,2'!K36))</f>
        <v>0</v>
      </c>
      <c r="H36" s="1036" t="str">
        <f>係数!I36</f>
        <v>kL</v>
      </c>
      <c r="I36" s="1037">
        <f>係数!G36</f>
        <v>36.700000000000003</v>
      </c>
      <c r="J36" s="1102">
        <f t="shared" ca="1" si="0"/>
        <v>0</v>
      </c>
      <c r="K36" s="1094">
        <f ca="1">INDIRECT($S$19&amp;"!"&amp;$P$19&amp;ROW('使用量_1,2'!O36))</f>
        <v>0</v>
      </c>
      <c r="L36" s="1036" t="s">
        <v>4243</v>
      </c>
      <c r="M36" s="1038">
        <f t="shared" ca="1" si="1"/>
        <v>0</v>
      </c>
      <c r="N36" s="1039">
        <f t="shared" ca="1" si="2"/>
        <v>0</v>
      </c>
      <c r="O36" s="1040">
        <f>係数!J36</f>
        <v>1.8499999999999999E-2</v>
      </c>
      <c r="P36" s="1040">
        <f>係数!K36</f>
        <v>1.8499999999999999E-2</v>
      </c>
      <c r="Q36" s="1041" t="s">
        <v>2689</v>
      </c>
      <c r="R36" s="1039">
        <f t="shared" ca="1" si="3"/>
        <v>0</v>
      </c>
      <c r="S36" s="1042">
        <f t="shared" ca="1" si="4"/>
        <v>0</v>
      </c>
    </row>
    <row r="37" spans="2:19" ht="15.75" customHeight="1">
      <c r="B37" s="2277"/>
      <c r="C37" s="2278" t="s">
        <v>2695</v>
      </c>
      <c r="D37" s="2279"/>
      <c r="E37" s="2279"/>
      <c r="F37" s="2280"/>
      <c r="G37" s="1094">
        <f ca="1">INDIRECT($R$19&amp;"!"&amp;$P$19&amp;ROW('使用量_1,2'!K37))</f>
        <v>0</v>
      </c>
      <c r="H37" s="1036" t="str">
        <f>係数!I37</f>
        <v>kL</v>
      </c>
      <c r="I37" s="1037">
        <f>係数!G37</f>
        <v>37.700000000000003</v>
      </c>
      <c r="J37" s="1102">
        <f t="shared" ca="1" si="0"/>
        <v>0</v>
      </c>
      <c r="K37" s="1094">
        <f ca="1">INDIRECT($S$19&amp;"!"&amp;$P$19&amp;ROW('使用量_1,2'!O37))</f>
        <v>0</v>
      </c>
      <c r="L37" s="1036" t="s">
        <v>4243</v>
      </c>
      <c r="M37" s="1038">
        <f t="shared" ca="1" si="1"/>
        <v>0</v>
      </c>
      <c r="N37" s="1039">
        <f t="shared" ca="1" si="2"/>
        <v>0</v>
      </c>
      <c r="O37" s="1040">
        <f>係数!J37</f>
        <v>1.8700000000000001E-2</v>
      </c>
      <c r="P37" s="1040">
        <f>係数!K37</f>
        <v>1.8700000000000001E-2</v>
      </c>
      <c r="Q37" s="1041" t="s">
        <v>2689</v>
      </c>
      <c r="R37" s="1039">
        <f t="shared" ca="1" si="3"/>
        <v>0</v>
      </c>
      <c r="S37" s="1042">
        <f t="shared" ca="1" si="4"/>
        <v>0</v>
      </c>
    </row>
    <row r="38" spans="2:19" ht="15.75" customHeight="1">
      <c r="B38" s="2277"/>
      <c r="C38" s="2278" t="s">
        <v>2696</v>
      </c>
      <c r="D38" s="2279"/>
      <c r="E38" s="2279"/>
      <c r="F38" s="2280"/>
      <c r="G38" s="1094">
        <f ca="1">INDIRECT($R$19&amp;"!"&amp;$P$19&amp;ROW('使用量_1,2'!K38))</f>
        <v>0</v>
      </c>
      <c r="H38" s="1036" t="str">
        <f>係数!I38</f>
        <v>kL</v>
      </c>
      <c r="I38" s="1037">
        <f>係数!G38</f>
        <v>39.1</v>
      </c>
      <c r="J38" s="1102">
        <f t="shared" ca="1" si="0"/>
        <v>0</v>
      </c>
      <c r="K38" s="1094">
        <f ca="1">INDIRECT($S$19&amp;"!"&amp;$P$19&amp;ROW('使用量_1,2'!O38))</f>
        <v>0</v>
      </c>
      <c r="L38" s="1036" t="s">
        <v>4243</v>
      </c>
      <c r="M38" s="1038">
        <f t="shared" ca="1" si="1"/>
        <v>0</v>
      </c>
      <c r="N38" s="1039">
        <f t="shared" ca="1" si="2"/>
        <v>0</v>
      </c>
      <c r="O38" s="1040">
        <f>係数!J38</f>
        <v>1.89E-2</v>
      </c>
      <c r="P38" s="1040">
        <f>係数!K38</f>
        <v>1.89E-2</v>
      </c>
      <c r="Q38" s="1041" t="s">
        <v>2689</v>
      </c>
      <c r="R38" s="1039">
        <f t="shared" ca="1" si="3"/>
        <v>0</v>
      </c>
      <c r="S38" s="1042">
        <f t="shared" ca="1" si="4"/>
        <v>0</v>
      </c>
    </row>
    <row r="39" spans="2:19" ht="15.75" customHeight="1">
      <c r="B39" s="2277"/>
      <c r="C39" s="2278" t="s">
        <v>2697</v>
      </c>
      <c r="D39" s="2279"/>
      <c r="E39" s="2279"/>
      <c r="F39" s="2280"/>
      <c r="G39" s="1094">
        <f ca="1">INDIRECT($R$19&amp;"!"&amp;$P$19&amp;ROW('使用量_1,2'!K39))</f>
        <v>0</v>
      </c>
      <c r="H39" s="1036" t="str">
        <f>係数!I39</f>
        <v>kL</v>
      </c>
      <c r="I39" s="1037">
        <f>係数!G39</f>
        <v>41.9</v>
      </c>
      <c r="J39" s="1102">
        <f t="shared" ca="1" si="0"/>
        <v>0</v>
      </c>
      <c r="K39" s="1094">
        <f ca="1">INDIRECT($S$19&amp;"!"&amp;$P$19&amp;ROW('使用量_1,2'!O39))</f>
        <v>0</v>
      </c>
      <c r="L39" s="1036" t="s">
        <v>4243</v>
      </c>
      <c r="M39" s="1038">
        <f t="shared" ca="1" si="1"/>
        <v>0</v>
      </c>
      <c r="N39" s="1039">
        <f t="shared" ca="1" si="2"/>
        <v>0</v>
      </c>
      <c r="O39" s="1040">
        <f>係数!J39</f>
        <v>1.95E-2</v>
      </c>
      <c r="P39" s="1040">
        <f>係数!K39</f>
        <v>1.95E-2</v>
      </c>
      <c r="Q39" s="1041" t="s">
        <v>2689</v>
      </c>
      <c r="R39" s="1039">
        <f t="shared" ca="1" si="3"/>
        <v>0</v>
      </c>
      <c r="S39" s="1042">
        <f t="shared" ca="1" si="4"/>
        <v>0</v>
      </c>
    </row>
    <row r="40" spans="2:19" ht="15.75" customHeight="1">
      <c r="B40" s="2277"/>
      <c r="C40" s="2278" t="s">
        <v>2698</v>
      </c>
      <c r="D40" s="2279"/>
      <c r="E40" s="2279"/>
      <c r="F40" s="2280"/>
      <c r="G40" s="1094">
        <f ca="1">INDIRECT($R$19&amp;"!"&amp;$P$19&amp;ROW('使用量_1,2'!K40))</f>
        <v>0</v>
      </c>
      <c r="H40" s="1036" t="str">
        <f>係数!I40</f>
        <v>t</v>
      </c>
      <c r="I40" s="1037">
        <f>係数!G40</f>
        <v>40.9</v>
      </c>
      <c r="J40" s="1102">
        <f t="shared" ca="1" si="0"/>
        <v>0</v>
      </c>
      <c r="K40" s="1094">
        <f ca="1">INDIRECT($S$19&amp;"!"&amp;$P$19&amp;ROW('使用量_1,2'!O40))</f>
        <v>0</v>
      </c>
      <c r="L40" s="1036" t="s">
        <v>369</v>
      </c>
      <c r="M40" s="1038">
        <f t="shared" ca="1" si="1"/>
        <v>0</v>
      </c>
      <c r="N40" s="1039">
        <f t="shared" ca="1" si="2"/>
        <v>0</v>
      </c>
      <c r="O40" s="1040">
        <f>係数!J40</f>
        <v>2.0799999999999999E-2</v>
      </c>
      <c r="P40" s="1040">
        <f>係数!K40</f>
        <v>2.0799999999999999E-2</v>
      </c>
      <c r="Q40" s="1041" t="s">
        <v>2689</v>
      </c>
      <c r="R40" s="1039">
        <f t="shared" ca="1" si="3"/>
        <v>0</v>
      </c>
      <c r="S40" s="1042">
        <f t="shared" ca="1" si="4"/>
        <v>0</v>
      </c>
    </row>
    <row r="41" spans="2:19" ht="15.75" customHeight="1">
      <c r="B41" s="2277"/>
      <c r="C41" s="2278" t="s">
        <v>2700</v>
      </c>
      <c r="D41" s="2279"/>
      <c r="E41" s="2279"/>
      <c r="F41" s="2280"/>
      <c r="G41" s="1094">
        <f ca="1">INDIRECT($R$19&amp;"!"&amp;$P$19&amp;ROW('使用量_1,2'!K41))</f>
        <v>0</v>
      </c>
      <c r="H41" s="1036" t="str">
        <f>係数!I41</f>
        <v>t</v>
      </c>
      <c r="I41" s="1037">
        <f>係数!G41</f>
        <v>29.9</v>
      </c>
      <c r="J41" s="1102">
        <f t="shared" ca="1" si="0"/>
        <v>0</v>
      </c>
      <c r="K41" s="1094">
        <f ca="1">INDIRECT($S$19&amp;"!"&amp;$P$19&amp;ROW('使用量_1,2'!O41))</f>
        <v>0</v>
      </c>
      <c r="L41" s="1036" t="s">
        <v>369</v>
      </c>
      <c r="M41" s="1038">
        <f t="shared" ca="1" si="1"/>
        <v>0</v>
      </c>
      <c r="N41" s="1039">
        <f t="shared" ca="1" si="2"/>
        <v>0</v>
      </c>
      <c r="O41" s="1040">
        <f>係数!J41</f>
        <v>2.5399999999999999E-2</v>
      </c>
      <c r="P41" s="1040">
        <f>係数!K41</f>
        <v>2.5399999999999999E-2</v>
      </c>
      <c r="Q41" s="1041" t="s">
        <v>2689</v>
      </c>
      <c r="R41" s="1039">
        <f t="shared" ca="1" si="3"/>
        <v>0</v>
      </c>
      <c r="S41" s="1042">
        <f t="shared" ca="1" si="4"/>
        <v>0</v>
      </c>
    </row>
    <row r="42" spans="2:19" ht="15.75" customHeight="1">
      <c r="B42" s="2277"/>
      <c r="C42" s="2301" t="s">
        <v>2701</v>
      </c>
      <c r="D42" s="2297" t="s">
        <v>2702</v>
      </c>
      <c r="E42" s="2297"/>
      <c r="F42" s="2297"/>
      <c r="G42" s="1094">
        <f ca="1">INDIRECT($R$19&amp;"!"&amp;$P$19&amp;ROW('使用量_1,2'!K42))</f>
        <v>0</v>
      </c>
      <c r="H42" s="1036" t="str">
        <f>係数!I42</f>
        <v>t</v>
      </c>
      <c r="I42" s="1037">
        <f>係数!G42</f>
        <v>50.8</v>
      </c>
      <c r="J42" s="1102">
        <f t="shared" ca="1" si="0"/>
        <v>0</v>
      </c>
      <c r="K42" s="1094">
        <f ca="1">INDIRECT($S$19&amp;"!"&amp;$P$19&amp;ROW('使用量_1,2'!O42))</f>
        <v>0</v>
      </c>
      <c r="L42" s="1036" t="s">
        <v>369</v>
      </c>
      <c r="M42" s="1038">
        <f t="shared" ca="1" si="1"/>
        <v>0</v>
      </c>
      <c r="N42" s="1039">
        <f t="shared" ca="1" si="2"/>
        <v>0</v>
      </c>
      <c r="O42" s="1040">
        <f>係数!J42</f>
        <v>1.61E-2</v>
      </c>
      <c r="P42" s="1040">
        <f>係数!K42</f>
        <v>1.61E-2</v>
      </c>
      <c r="Q42" s="1041" t="s">
        <v>2689</v>
      </c>
      <c r="R42" s="1039">
        <f t="shared" ca="1" si="3"/>
        <v>0</v>
      </c>
      <c r="S42" s="1042">
        <f t="shared" ca="1" si="4"/>
        <v>0</v>
      </c>
    </row>
    <row r="43" spans="2:19" ht="15.75" customHeight="1">
      <c r="B43" s="2277"/>
      <c r="C43" s="2296"/>
      <c r="D43" s="2297" t="s">
        <v>2703</v>
      </c>
      <c r="E43" s="2297"/>
      <c r="F43" s="2297"/>
      <c r="G43" s="1094">
        <f ca="1">INDIRECT($R$19&amp;"!"&amp;$P$19&amp;ROW('使用量_1,2'!K43))</f>
        <v>0</v>
      </c>
      <c r="H43" s="1036" t="str">
        <f>係数!I43</f>
        <v>千㎥</v>
      </c>
      <c r="I43" s="1037">
        <f>係数!G43</f>
        <v>44.9</v>
      </c>
      <c r="J43" s="1102">
        <f t="shared" ca="1" si="0"/>
        <v>0</v>
      </c>
      <c r="K43" s="1094">
        <f ca="1">INDIRECT($S$19&amp;"!"&amp;$P$19&amp;ROW('使用量_1,2'!O43))</f>
        <v>0</v>
      </c>
      <c r="L43" s="1036" t="s">
        <v>4244</v>
      </c>
      <c r="M43" s="1038">
        <f t="shared" ca="1" si="1"/>
        <v>0</v>
      </c>
      <c r="N43" s="1039">
        <f t="shared" ca="1" si="2"/>
        <v>0</v>
      </c>
      <c r="O43" s="1040">
        <f>係数!J43</f>
        <v>1.4200000000000001E-2</v>
      </c>
      <c r="P43" s="1040">
        <f>係数!K43</f>
        <v>1.4200000000000001E-2</v>
      </c>
      <c r="Q43" s="1041" t="s">
        <v>2689</v>
      </c>
      <c r="R43" s="1039">
        <f t="shared" ca="1" si="3"/>
        <v>0</v>
      </c>
      <c r="S43" s="1042">
        <f t="shared" ca="1" si="4"/>
        <v>0</v>
      </c>
    </row>
    <row r="44" spans="2:19" ht="15.75" customHeight="1">
      <c r="B44" s="2277"/>
      <c r="C44" s="2295" t="s">
        <v>2705</v>
      </c>
      <c r="D44" s="2297" t="s">
        <v>2706</v>
      </c>
      <c r="E44" s="2297"/>
      <c r="F44" s="2297"/>
      <c r="G44" s="1094">
        <f ca="1">INDIRECT($R$19&amp;"!"&amp;$P$19&amp;ROW('使用量_1,2'!K44))</f>
        <v>0</v>
      </c>
      <c r="H44" s="1036" t="str">
        <f>係数!I44</f>
        <v>t</v>
      </c>
      <c r="I44" s="1037">
        <f>係数!G44</f>
        <v>54.6</v>
      </c>
      <c r="J44" s="1102">
        <f t="shared" ca="1" si="0"/>
        <v>0</v>
      </c>
      <c r="K44" s="1094">
        <f ca="1">INDIRECT($S$19&amp;"!"&amp;$P$19&amp;ROW('使用量_1,2'!O44))</f>
        <v>0</v>
      </c>
      <c r="L44" s="1036" t="s">
        <v>369</v>
      </c>
      <c r="M44" s="1038">
        <f t="shared" ca="1" si="1"/>
        <v>0</v>
      </c>
      <c r="N44" s="1039">
        <f t="shared" ca="1" si="2"/>
        <v>0</v>
      </c>
      <c r="O44" s="1040">
        <f>係数!J44</f>
        <v>1.35E-2</v>
      </c>
      <c r="P44" s="1040">
        <f>係数!K44</f>
        <v>1.35E-2</v>
      </c>
      <c r="Q44" s="1041" t="s">
        <v>2689</v>
      </c>
      <c r="R44" s="1039">
        <f t="shared" ca="1" si="3"/>
        <v>0</v>
      </c>
      <c r="S44" s="1042">
        <f t="shared" ca="1" si="4"/>
        <v>0</v>
      </c>
    </row>
    <row r="45" spans="2:19" ht="15.75" customHeight="1">
      <c r="B45" s="2277"/>
      <c r="C45" s="2296"/>
      <c r="D45" s="2297" t="s">
        <v>2707</v>
      </c>
      <c r="E45" s="2297"/>
      <c r="F45" s="2297"/>
      <c r="G45" s="1094">
        <f ca="1">INDIRECT($R$19&amp;"!"&amp;$P$19&amp;ROW('使用量_1,2'!K45))</f>
        <v>0</v>
      </c>
      <c r="H45" s="1036" t="str">
        <f>係数!I45</f>
        <v>千㎥</v>
      </c>
      <c r="I45" s="1037">
        <f>係数!G45</f>
        <v>43.5</v>
      </c>
      <c r="J45" s="1102">
        <f t="shared" ca="1" si="0"/>
        <v>0</v>
      </c>
      <c r="K45" s="1094">
        <f ca="1">INDIRECT($S$19&amp;"!"&amp;$P$19&amp;ROW('使用量_1,2'!O45))</f>
        <v>0</v>
      </c>
      <c r="L45" s="1036" t="s">
        <v>4244</v>
      </c>
      <c r="M45" s="1038">
        <f t="shared" ca="1" si="1"/>
        <v>0</v>
      </c>
      <c r="N45" s="1039">
        <f t="shared" ca="1" si="2"/>
        <v>0</v>
      </c>
      <c r="O45" s="1040">
        <f>係数!J45</f>
        <v>1.3899999999999999E-2</v>
      </c>
      <c r="P45" s="1040">
        <f>係数!K45</f>
        <v>1.3899999999999999E-2</v>
      </c>
      <c r="Q45" s="1041" t="s">
        <v>2689</v>
      </c>
      <c r="R45" s="1039">
        <f t="shared" ca="1" si="3"/>
        <v>0</v>
      </c>
      <c r="S45" s="1042">
        <f t="shared" ca="1" si="4"/>
        <v>0</v>
      </c>
    </row>
    <row r="46" spans="2:19" ht="15.75" customHeight="1">
      <c r="B46" s="2277"/>
      <c r="C46" s="2298" t="s">
        <v>2708</v>
      </c>
      <c r="D46" s="2297" t="s">
        <v>2709</v>
      </c>
      <c r="E46" s="2297"/>
      <c r="F46" s="2297"/>
      <c r="G46" s="1094">
        <f ca="1">INDIRECT($R$19&amp;"!"&amp;$P$19&amp;ROW('使用量_1,2'!K46))</f>
        <v>0</v>
      </c>
      <c r="H46" s="1036" t="str">
        <f>係数!I46</f>
        <v>t</v>
      </c>
      <c r="I46" s="1037">
        <f>係数!G46</f>
        <v>29</v>
      </c>
      <c r="J46" s="1102">
        <f t="shared" ca="1" si="0"/>
        <v>0</v>
      </c>
      <c r="K46" s="1094">
        <f ca="1">INDIRECT($S$19&amp;"!"&amp;$P$19&amp;ROW('使用量_1,2'!O46))</f>
        <v>0</v>
      </c>
      <c r="L46" s="1036" t="s">
        <v>369</v>
      </c>
      <c r="M46" s="1038">
        <f t="shared" ca="1" si="1"/>
        <v>0</v>
      </c>
      <c r="N46" s="1039">
        <f t="shared" ca="1" si="2"/>
        <v>0</v>
      </c>
      <c r="O46" s="1040">
        <f>係数!J46</f>
        <v>2.4500000000000001E-2</v>
      </c>
      <c r="P46" s="1040">
        <f>係数!K46</f>
        <v>2.4500000000000001E-2</v>
      </c>
      <c r="Q46" s="1041" t="s">
        <v>2689</v>
      </c>
      <c r="R46" s="1039">
        <f t="shared" ca="1" si="3"/>
        <v>0</v>
      </c>
      <c r="S46" s="1042">
        <f t="shared" ca="1" si="4"/>
        <v>0</v>
      </c>
    </row>
    <row r="47" spans="2:19" ht="15.75" customHeight="1">
      <c r="B47" s="2277"/>
      <c r="C47" s="2299"/>
      <c r="D47" s="2297" t="s">
        <v>2710</v>
      </c>
      <c r="E47" s="2297"/>
      <c r="F47" s="2297"/>
      <c r="G47" s="1094">
        <f ca="1">INDIRECT($R$19&amp;"!"&amp;$P$19&amp;ROW('使用量_1,2'!K47))</f>
        <v>0</v>
      </c>
      <c r="H47" s="1036" t="str">
        <f>係数!I47</f>
        <v>t</v>
      </c>
      <c r="I47" s="1037">
        <f>係数!G47</f>
        <v>25.7</v>
      </c>
      <c r="J47" s="1102">
        <f t="shared" ca="1" si="0"/>
        <v>0</v>
      </c>
      <c r="K47" s="1094">
        <f ca="1">INDIRECT($S$19&amp;"!"&amp;$P$19&amp;ROW('使用量_1,2'!O47))</f>
        <v>0</v>
      </c>
      <c r="L47" s="1036" t="s">
        <v>369</v>
      </c>
      <c r="M47" s="1038">
        <f t="shared" ca="1" si="1"/>
        <v>0</v>
      </c>
      <c r="N47" s="1039">
        <f t="shared" ca="1" si="2"/>
        <v>0</v>
      </c>
      <c r="O47" s="1040">
        <f>係数!J47</f>
        <v>2.47E-2</v>
      </c>
      <c r="P47" s="1040">
        <f>係数!K47</f>
        <v>2.47E-2</v>
      </c>
      <c r="Q47" s="1041" t="s">
        <v>2689</v>
      </c>
      <c r="R47" s="1039">
        <f t="shared" ca="1" si="3"/>
        <v>0</v>
      </c>
      <c r="S47" s="1042">
        <f t="shared" ca="1" si="4"/>
        <v>0</v>
      </c>
    </row>
    <row r="48" spans="2:19" ht="15.75" customHeight="1">
      <c r="B48" s="2277"/>
      <c r="C48" s="2300"/>
      <c r="D48" s="2297" t="s">
        <v>2711</v>
      </c>
      <c r="E48" s="2297"/>
      <c r="F48" s="2297"/>
      <c r="G48" s="1094">
        <f ca="1">INDIRECT($R$19&amp;"!"&amp;$P$19&amp;ROW('使用量_1,2'!K48))</f>
        <v>0</v>
      </c>
      <c r="H48" s="1036" t="str">
        <f>係数!I48</f>
        <v>t</v>
      </c>
      <c r="I48" s="1037">
        <f>係数!G48</f>
        <v>26.9</v>
      </c>
      <c r="J48" s="1102">
        <f t="shared" ca="1" si="0"/>
        <v>0</v>
      </c>
      <c r="K48" s="1094">
        <f ca="1">INDIRECT($S$19&amp;"!"&amp;$P$19&amp;ROW('使用量_1,2'!O48))</f>
        <v>0</v>
      </c>
      <c r="L48" s="1036" t="s">
        <v>369</v>
      </c>
      <c r="M48" s="1038">
        <f t="shared" ca="1" si="1"/>
        <v>0</v>
      </c>
      <c r="N48" s="1039">
        <f t="shared" ca="1" si="2"/>
        <v>0</v>
      </c>
      <c r="O48" s="1040">
        <f>係数!J48</f>
        <v>2.5499999999999998E-2</v>
      </c>
      <c r="P48" s="1040">
        <f>係数!K48</f>
        <v>2.5499999999999998E-2</v>
      </c>
      <c r="Q48" s="1041" t="s">
        <v>2689</v>
      </c>
      <c r="R48" s="1039">
        <f t="shared" ca="1" si="3"/>
        <v>0</v>
      </c>
      <c r="S48" s="1042">
        <f t="shared" ca="1" si="4"/>
        <v>0</v>
      </c>
    </row>
    <row r="49" spans="2:19" ht="15.75" customHeight="1">
      <c r="B49" s="2277"/>
      <c r="C49" s="2278" t="s">
        <v>2712</v>
      </c>
      <c r="D49" s="2279"/>
      <c r="E49" s="2279"/>
      <c r="F49" s="2280"/>
      <c r="G49" s="1094">
        <f ca="1">INDIRECT($R$19&amp;"!"&amp;$P$19&amp;ROW('使用量_1,2'!K49))</f>
        <v>0</v>
      </c>
      <c r="H49" s="1036" t="str">
        <f>係数!I49</f>
        <v>t</v>
      </c>
      <c r="I49" s="1037">
        <f>係数!G49</f>
        <v>29.4</v>
      </c>
      <c r="J49" s="1102">
        <f t="shared" ca="1" si="0"/>
        <v>0</v>
      </c>
      <c r="K49" s="1094">
        <f ca="1">INDIRECT($S$19&amp;"!"&amp;$P$19&amp;ROW('使用量_1,2'!O49))</f>
        <v>0</v>
      </c>
      <c r="L49" s="1036" t="s">
        <v>369</v>
      </c>
      <c r="M49" s="1038">
        <f t="shared" ca="1" si="1"/>
        <v>0</v>
      </c>
      <c r="N49" s="1039">
        <f t="shared" ca="1" si="2"/>
        <v>0</v>
      </c>
      <c r="O49" s="1040">
        <f>係数!J49</f>
        <v>2.9399999999999999E-2</v>
      </c>
      <c r="P49" s="1040">
        <f>係数!K49</f>
        <v>2.9399999999999999E-2</v>
      </c>
      <c r="Q49" s="1041" t="s">
        <v>2689</v>
      </c>
      <c r="R49" s="1039">
        <f t="shared" ca="1" si="3"/>
        <v>0</v>
      </c>
      <c r="S49" s="1042">
        <f t="shared" ca="1" si="4"/>
        <v>0</v>
      </c>
    </row>
    <row r="50" spans="2:19" ht="15.75" customHeight="1">
      <c r="B50" s="2277"/>
      <c r="C50" s="2278" t="s">
        <v>2713</v>
      </c>
      <c r="D50" s="2279"/>
      <c r="E50" s="2279"/>
      <c r="F50" s="2280"/>
      <c r="G50" s="1094">
        <f ca="1">INDIRECT($R$19&amp;"!"&amp;$P$19&amp;ROW('使用量_1,2'!K50))</f>
        <v>0</v>
      </c>
      <c r="H50" s="1036" t="str">
        <f>係数!I50</f>
        <v>t</v>
      </c>
      <c r="I50" s="1037">
        <f>係数!G50</f>
        <v>37.299999999999997</v>
      </c>
      <c r="J50" s="1102">
        <f t="shared" ca="1" si="0"/>
        <v>0</v>
      </c>
      <c r="K50" s="1094">
        <f ca="1">INDIRECT($S$19&amp;"!"&amp;$P$19&amp;ROW('使用量_1,2'!O50))</f>
        <v>0</v>
      </c>
      <c r="L50" s="1036" t="s">
        <v>369</v>
      </c>
      <c r="M50" s="1038">
        <f t="shared" ca="1" si="1"/>
        <v>0</v>
      </c>
      <c r="N50" s="1039">
        <f t="shared" ca="1" si="2"/>
        <v>0</v>
      </c>
      <c r="O50" s="1040">
        <f>係数!J50</f>
        <v>2.0899999999999998E-2</v>
      </c>
      <c r="P50" s="1040">
        <f>係数!K50</f>
        <v>2.0899999999999998E-2</v>
      </c>
      <c r="Q50" s="1041" t="s">
        <v>2689</v>
      </c>
      <c r="R50" s="1039">
        <f t="shared" ca="1" si="3"/>
        <v>0</v>
      </c>
      <c r="S50" s="1042">
        <f t="shared" ca="1" si="4"/>
        <v>0</v>
      </c>
    </row>
    <row r="51" spans="2:19" ht="15.75" customHeight="1">
      <c r="B51" s="2277"/>
      <c r="C51" s="2278" t="s">
        <v>2714</v>
      </c>
      <c r="D51" s="2279"/>
      <c r="E51" s="2279"/>
      <c r="F51" s="2280"/>
      <c r="G51" s="1094">
        <f ca="1">INDIRECT($R$19&amp;"!"&amp;$P$19&amp;ROW('使用量_1,2'!K51))</f>
        <v>0</v>
      </c>
      <c r="H51" s="1036" t="str">
        <f>係数!I51</f>
        <v>千㎥</v>
      </c>
      <c r="I51" s="1037">
        <f>係数!G51</f>
        <v>21.1</v>
      </c>
      <c r="J51" s="1102">
        <f t="shared" ca="1" si="0"/>
        <v>0</v>
      </c>
      <c r="K51" s="1094">
        <f ca="1">INDIRECT($S$19&amp;"!"&amp;$P$19&amp;ROW('使用量_1,2'!O51))</f>
        <v>0</v>
      </c>
      <c r="L51" s="1036" t="s">
        <v>4244</v>
      </c>
      <c r="M51" s="1038">
        <f t="shared" ca="1" si="1"/>
        <v>0</v>
      </c>
      <c r="N51" s="1039">
        <f t="shared" ca="1" si="2"/>
        <v>0</v>
      </c>
      <c r="O51" s="1040">
        <f>係数!J51</f>
        <v>1.0999999999999999E-2</v>
      </c>
      <c r="P51" s="1040">
        <f>係数!K51</f>
        <v>1.0999999999999999E-2</v>
      </c>
      <c r="Q51" s="1041" t="s">
        <v>2689</v>
      </c>
      <c r="R51" s="1039">
        <f t="shared" ca="1" si="3"/>
        <v>0</v>
      </c>
      <c r="S51" s="1042">
        <f t="shared" ca="1" si="4"/>
        <v>0</v>
      </c>
    </row>
    <row r="52" spans="2:19" ht="15.75" customHeight="1">
      <c r="B52" s="2277"/>
      <c r="C52" s="2278" t="s">
        <v>2715</v>
      </c>
      <c r="D52" s="2279"/>
      <c r="E52" s="2279"/>
      <c r="F52" s="2280"/>
      <c r="G52" s="1094">
        <f ca="1">INDIRECT($R$19&amp;"!"&amp;$P$19&amp;ROW('使用量_1,2'!K52))</f>
        <v>0</v>
      </c>
      <c r="H52" s="1036" t="str">
        <f>係数!I52</f>
        <v>千㎥</v>
      </c>
      <c r="I52" s="1043">
        <f>係数!G52</f>
        <v>3.41</v>
      </c>
      <c r="J52" s="1102">
        <f t="shared" ca="1" si="0"/>
        <v>0</v>
      </c>
      <c r="K52" s="1094">
        <f ca="1">INDIRECT($S$19&amp;"!"&amp;$P$19&amp;ROW('使用量_1,2'!O52))</f>
        <v>0</v>
      </c>
      <c r="L52" s="1036" t="s">
        <v>4244</v>
      </c>
      <c r="M52" s="1038">
        <f t="shared" ca="1" si="1"/>
        <v>0</v>
      </c>
      <c r="N52" s="1039">
        <f t="shared" ca="1" si="2"/>
        <v>0</v>
      </c>
      <c r="O52" s="1040">
        <f>係数!J52</f>
        <v>2.63E-2</v>
      </c>
      <c r="P52" s="1040">
        <f>係数!K52</f>
        <v>2.63E-2</v>
      </c>
      <c r="Q52" s="1041" t="s">
        <v>2689</v>
      </c>
      <c r="R52" s="1039">
        <f t="shared" ca="1" si="3"/>
        <v>0</v>
      </c>
      <c r="S52" s="1042">
        <f t="shared" ca="1" si="4"/>
        <v>0</v>
      </c>
    </row>
    <row r="53" spans="2:19" ht="15.75" customHeight="1">
      <c r="B53" s="2277"/>
      <c r="C53" s="2278" t="s">
        <v>2716</v>
      </c>
      <c r="D53" s="2279"/>
      <c r="E53" s="2279"/>
      <c r="F53" s="2280"/>
      <c r="G53" s="1094">
        <f ca="1">INDIRECT($R$19&amp;"!"&amp;$P$19&amp;ROW('使用量_1,2'!K53))</f>
        <v>0</v>
      </c>
      <c r="H53" s="1036" t="str">
        <f>係数!I53</f>
        <v>千㎥</v>
      </c>
      <c r="I53" s="1043">
        <f>係数!G53</f>
        <v>8.41</v>
      </c>
      <c r="J53" s="1102">
        <f t="shared" ca="1" si="0"/>
        <v>0</v>
      </c>
      <c r="K53" s="1094">
        <f ca="1">INDIRECT($S$19&amp;"!"&amp;$P$19&amp;ROW('使用量_1,2'!O53))</f>
        <v>0</v>
      </c>
      <c r="L53" s="1036" t="s">
        <v>4244</v>
      </c>
      <c r="M53" s="1038">
        <f t="shared" ca="1" si="1"/>
        <v>0</v>
      </c>
      <c r="N53" s="1039">
        <f t="shared" ca="1" si="2"/>
        <v>0</v>
      </c>
      <c r="O53" s="1040">
        <f>係数!J53</f>
        <v>3.8399999999999997E-2</v>
      </c>
      <c r="P53" s="1040">
        <f>係数!K53</f>
        <v>3.8399999999999997E-2</v>
      </c>
      <c r="Q53" s="1041" t="s">
        <v>2689</v>
      </c>
      <c r="R53" s="1039">
        <f t="shared" ca="1" si="3"/>
        <v>0</v>
      </c>
      <c r="S53" s="1042">
        <f t="shared" ca="1" si="4"/>
        <v>0</v>
      </c>
    </row>
    <row r="54" spans="2:19" ht="15.75" customHeight="1">
      <c r="B54" s="2277"/>
      <c r="C54" s="2308" t="s">
        <v>2717</v>
      </c>
      <c r="D54" s="2309"/>
      <c r="E54" s="2309"/>
      <c r="F54" s="2310"/>
      <c r="G54" s="1094">
        <f ca="1">INDIRECT($R$19&amp;"!"&amp;$P$19&amp;ROW('使用量_1,2'!K54))</f>
        <v>0</v>
      </c>
      <c r="H54" s="1036" t="str">
        <f>係数!I54</f>
        <v>千㎥</v>
      </c>
      <c r="I54" s="1044">
        <f>係数!G54</f>
        <v>44.8</v>
      </c>
      <c r="J54" s="1102">
        <f t="shared" ca="1" si="0"/>
        <v>0</v>
      </c>
      <c r="K54" s="1094">
        <f ca="1">INDIRECT($S$19&amp;"!"&amp;$P$19&amp;ROW('使用量_1,2'!O54))</f>
        <v>0</v>
      </c>
      <c r="L54" s="1036" t="s">
        <v>4244</v>
      </c>
      <c r="M54" s="1038">
        <f ca="1">ROUND(ROUND(K54,0)*I54,0)</f>
        <v>0</v>
      </c>
      <c r="N54" s="1039">
        <f t="shared" ca="1" si="2"/>
        <v>0</v>
      </c>
      <c r="O54" s="1040">
        <f>係数!J54</f>
        <v>1.3599999999999999E-2</v>
      </c>
      <c r="P54" s="1040">
        <f>係数!K54</f>
        <v>1.3599999999999999E-2</v>
      </c>
      <c r="Q54" s="1041" t="s">
        <v>2689</v>
      </c>
      <c r="R54" s="1039">
        <f t="shared" ca="1" si="3"/>
        <v>0</v>
      </c>
      <c r="S54" s="1042">
        <f t="shared" ca="1" si="4"/>
        <v>0</v>
      </c>
    </row>
    <row r="55" spans="2:19" ht="15.75" customHeight="1">
      <c r="B55" s="2277"/>
      <c r="C55" s="1082" t="s">
        <v>371</v>
      </c>
      <c r="D55" s="2316" t="str">
        <f>係数!D55&amp;""</f>
        <v/>
      </c>
      <c r="E55" s="2316"/>
      <c r="F55" s="2317"/>
      <c r="G55" s="1094">
        <f ca="1">INDIRECT($R$19&amp;"!"&amp;$P$19&amp;ROW('使用量_1,2'!K55))</f>
        <v>0</v>
      </c>
      <c r="H55" s="1036">
        <f>係数!I55</f>
        <v>0</v>
      </c>
      <c r="I55" s="1044">
        <f>係数!G55</f>
        <v>0</v>
      </c>
      <c r="J55" s="1102">
        <f t="shared" ca="1" si="0"/>
        <v>0</v>
      </c>
      <c r="K55" s="1094">
        <f ca="1">INDIRECT($S$19&amp;"!"&amp;$P$19&amp;ROW('使用量_1,2'!O55))</f>
        <v>0</v>
      </c>
      <c r="L55" s="1036" t="s">
        <v>4244</v>
      </c>
      <c r="M55" s="1038">
        <f t="shared" ref="M55:M57" ca="1" si="5">ROUND(ROUND(K55,0)*I55,0)</f>
        <v>0</v>
      </c>
      <c r="N55" s="1039">
        <f t="shared" ca="1" si="2"/>
        <v>0</v>
      </c>
      <c r="O55" s="1040">
        <f>係数!J55</f>
        <v>0</v>
      </c>
      <c r="P55" s="1040">
        <f>係数!K55</f>
        <v>0</v>
      </c>
      <c r="Q55" s="1041" t="s">
        <v>2689</v>
      </c>
      <c r="R55" s="1039">
        <f t="shared" ca="1" si="3"/>
        <v>0</v>
      </c>
      <c r="S55" s="1042">
        <f t="shared" ca="1" si="4"/>
        <v>0</v>
      </c>
    </row>
    <row r="56" spans="2:19" ht="15.75" customHeight="1">
      <c r="B56" s="2277"/>
      <c r="C56" s="1082"/>
      <c r="D56" s="2316" t="str">
        <f>係数!D56&amp;""</f>
        <v/>
      </c>
      <c r="E56" s="2316"/>
      <c r="F56" s="2317"/>
      <c r="G56" s="1094">
        <f ca="1">INDIRECT($R$19&amp;"!"&amp;$P$19&amp;ROW('使用量_1,2'!K56))</f>
        <v>0</v>
      </c>
      <c r="H56" s="1036">
        <f>係数!I56</f>
        <v>0</v>
      </c>
      <c r="I56" s="1044">
        <f>係数!G56</f>
        <v>0</v>
      </c>
      <c r="J56" s="1102">
        <f t="shared" ca="1" si="0"/>
        <v>0</v>
      </c>
      <c r="K56" s="1094">
        <f ca="1">INDIRECT($S$19&amp;"!"&amp;$P$19&amp;ROW('使用量_1,2'!O56))</f>
        <v>0</v>
      </c>
      <c r="L56" s="1036" t="s">
        <v>4244</v>
      </c>
      <c r="M56" s="1038">
        <f t="shared" ca="1" si="5"/>
        <v>0</v>
      </c>
      <c r="N56" s="1039">
        <f t="shared" ca="1" si="2"/>
        <v>0</v>
      </c>
      <c r="O56" s="1040">
        <f>係数!J56</f>
        <v>0</v>
      </c>
      <c r="P56" s="1040">
        <f>係数!K56</f>
        <v>0</v>
      </c>
      <c r="Q56" s="1041" t="s">
        <v>2689</v>
      </c>
      <c r="R56" s="1039">
        <f t="shared" ca="1" si="3"/>
        <v>0</v>
      </c>
      <c r="S56" s="1042">
        <f t="shared" ca="1" si="4"/>
        <v>0</v>
      </c>
    </row>
    <row r="57" spans="2:19" ht="15.75" customHeight="1">
      <c r="B57" s="2277"/>
      <c r="C57" s="1082"/>
      <c r="D57" s="2316" t="str">
        <f>係数!D57&amp;""</f>
        <v/>
      </c>
      <c r="E57" s="2316"/>
      <c r="F57" s="2317"/>
      <c r="G57" s="1094">
        <f ca="1">INDIRECT($R$19&amp;"!"&amp;$P$19&amp;ROW('使用量_1,2'!K57))</f>
        <v>0</v>
      </c>
      <c r="H57" s="1036">
        <f>係数!I57</f>
        <v>0</v>
      </c>
      <c r="I57" s="1044">
        <f>係数!G57</f>
        <v>0</v>
      </c>
      <c r="J57" s="1102">
        <f t="shared" ca="1" si="0"/>
        <v>0</v>
      </c>
      <c r="K57" s="1094">
        <f ca="1">INDIRECT($S$19&amp;"!"&amp;$P$19&amp;ROW('使用量_1,2'!O57))</f>
        <v>0</v>
      </c>
      <c r="L57" s="1036" t="s">
        <v>4244</v>
      </c>
      <c r="M57" s="1038">
        <f t="shared" ca="1" si="5"/>
        <v>0</v>
      </c>
      <c r="N57" s="1039">
        <f t="shared" ca="1" si="2"/>
        <v>0</v>
      </c>
      <c r="O57" s="1040">
        <f>係数!J57</f>
        <v>0</v>
      </c>
      <c r="P57" s="1040">
        <f>係数!K57</f>
        <v>0</v>
      </c>
      <c r="Q57" s="1041" t="s">
        <v>2689</v>
      </c>
      <c r="R57" s="1039">
        <f t="shared" ca="1" si="3"/>
        <v>0</v>
      </c>
      <c r="S57" s="1042">
        <f t="shared" ca="1" si="4"/>
        <v>0</v>
      </c>
    </row>
    <row r="58" spans="2:19" ht="15.75" customHeight="1">
      <c r="B58" s="2277"/>
      <c r="C58" s="2305" t="s">
        <v>2721</v>
      </c>
      <c r="D58" s="2306"/>
      <c r="E58" s="2306"/>
      <c r="F58" s="2307"/>
      <c r="G58" s="1045"/>
      <c r="H58" s="1045"/>
      <c r="I58" s="1046"/>
      <c r="J58" s="1103">
        <f ca="1">SUM(J32:J57)</f>
        <v>0</v>
      </c>
      <c r="K58" s="1045"/>
      <c r="L58" s="1045"/>
      <c r="M58" s="1103">
        <f ca="1">SUM(M32:M57)</f>
        <v>0</v>
      </c>
      <c r="N58" s="1103">
        <f ca="1">SUM(N32:N57)</f>
        <v>0</v>
      </c>
      <c r="O58" s="1045"/>
      <c r="P58" s="1045"/>
      <c r="Q58" s="1049"/>
      <c r="R58" s="1103">
        <f ca="1">SUM(R32:R57)</f>
        <v>0</v>
      </c>
      <c r="S58" s="1103">
        <f ca="1">SUM(S32:S57)</f>
        <v>0</v>
      </c>
    </row>
    <row r="59" spans="2:19" ht="15.75" customHeight="1">
      <c r="B59" s="2276" t="s">
        <v>220</v>
      </c>
      <c r="C59" s="2302" t="s">
        <v>2722</v>
      </c>
      <c r="D59" s="2303"/>
      <c r="E59" s="2303"/>
      <c r="F59" s="2304"/>
      <c r="G59" s="1094">
        <f ca="1">INDIRECT($R$19&amp;"!"&amp;$P$19&amp;ROW('使用量_1,2'!K59))</f>
        <v>0</v>
      </c>
      <c r="H59" s="1036" t="str">
        <f>係数!I59</f>
        <v>GJ</v>
      </c>
      <c r="I59" s="1096">
        <f>係数!G59</f>
        <v>1.02</v>
      </c>
      <c r="J59" s="1102">
        <f t="shared" ca="1" si="0"/>
        <v>0</v>
      </c>
      <c r="K59" s="1094">
        <f ca="1">INDIRECT($S$19&amp;"!"&amp;$P$19&amp;ROW('使用量_1,2'!O59))</f>
        <v>0</v>
      </c>
      <c r="L59" s="1036" t="s">
        <v>382</v>
      </c>
      <c r="M59" s="1038">
        <f ca="1">ROUND(ROUND(K59,0)*I59,0)</f>
        <v>0</v>
      </c>
      <c r="N59" s="1039">
        <f ca="1">+G59-K59</f>
        <v>0</v>
      </c>
      <c r="O59" s="1040">
        <f>係数!J59</f>
        <v>0.06</v>
      </c>
      <c r="P59" s="1040">
        <f>係数!K59</f>
        <v>0.06</v>
      </c>
      <c r="Q59" s="1051" t="s">
        <v>2723</v>
      </c>
      <c r="R59" s="1039">
        <f ca="1">ROUND(N59*O59,0)</f>
        <v>0</v>
      </c>
      <c r="S59" s="1042">
        <f t="shared" ca="1" si="4"/>
        <v>0</v>
      </c>
    </row>
    <row r="60" spans="2:19" ht="15.75" customHeight="1">
      <c r="B60" s="2277"/>
      <c r="C60" s="2302" t="s">
        <v>2724</v>
      </c>
      <c r="D60" s="2303"/>
      <c r="E60" s="2303"/>
      <c r="F60" s="2304"/>
      <c r="G60" s="1094">
        <f ca="1">INDIRECT($R$19&amp;"!"&amp;$P$19&amp;ROW('使用量_1,2'!K60))</f>
        <v>0</v>
      </c>
      <c r="H60" s="1036" t="str">
        <f>係数!I60</f>
        <v>GJ</v>
      </c>
      <c r="I60" s="1096">
        <f>係数!G60</f>
        <v>1.36</v>
      </c>
      <c r="J60" s="1102">
        <f t="shared" ca="1" si="0"/>
        <v>0</v>
      </c>
      <c r="K60" s="1094">
        <f ca="1">INDIRECT($S$19&amp;"!"&amp;$P$19&amp;ROW('使用量_1,2'!O60))</f>
        <v>0</v>
      </c>
      <c r="L60" s="1036" t="s">
        <v>382</v>
      </c>
      <c r="M60" s="1038">
        <f ca="1">ROUND(ROUND(K60,0)*I60,0)</f>
        <v>0</v>
      </c>
      <c r="N60" s="1039">
        <f ca="1">+G60-K60</f>
        <v>0</v>
      </c>
      <c r="O60" s="1040">
        <f>係数!J60</f>
        <v>5.7000000000000002E-2</v>
      </c>
      <c r="P60" s="1040">
        <f>係数!K60</f>
        <v>5.7000000000000002E-2</v>
      </c>
      <c r="Q60" s="1051" t="s">
        <v>2723</v>
      </c>
      <c r="R60" s="1039">
        <f ca="1">ROUND(N60*O60,0)</f>
        <v>0</v>
      </c>
      <c r="S60" s="1042">
        <f t="shared" ca="1" si="4"/>
        <v>0</v>
      </c>
    </row>
    <row r="61" spans="2:19" ht="15.75" customHeight="1">
      <c r="B61" s="2277"/>
      <c r="C61" s="2302" t="s">
        <v>2725</v>
      </c>
      <c r="D61" s="2303"/>
      <c r="E61" s="2303"/>
      <c r="F61" s="2304"/>
      <c r="G61" s="1094">
        <f ca="1">INDIRECT($R$19&amp;"!"&amp;$P$19&amp;ROW('使用量_1,2'!K61))</f>
        <v>0</v>
      </c>
      <c r="H61" s="1036" t="str">
        <f>係数!I61</f>
        <v>GJ</v>
      </c>
      <c r="I61" s="1096">
        <f>係数!G61</f>
        <v>1.36</v>
      </c>
      <c r="J61" s="1102">
        <f t="shared" ca="1" si="0"/>
        <v>0</v>
      </c>
      <c r="K61" s="1094">
        <f ca="1">INDIRECT($S$19&amp;"!"&amp;$P$19&amp;ROW('使用量_1,2'!O61))</f>
        <v>0</v>
      </c>
      <c r="L61" s="1036" t="s">
        <v>382</v>
      </c>
      <c r="M61" s="1038">
        <f ca="1">ROUND(ROUND(K61,0)*I61,0)</f>
        <v>0</v>
      </c>
      <c r="N61" s="1039">
        <f ca="1">+G61-K61</f>
        <v>0</v>
      </c>
      <c r="O61" s="1040">
        <f>係数!J61</f>
        <v>5.7000000000000002E-2</v>
      </c>
      <c r="P61" s="1040">
        <f>係数!K61</f>
        <v>5.7000000000000002E-2</v>
      </c>
      <c r="Q61" s="1051" t="s">
        <v>2723</v>
      </c>
      <c r="R61" s="1039">
        <f ca="1">ROUND(N61*O61,0)</f>
        <v>0</v>
      </c>
      <c r="S61" s="1042">
        <f t="shared" ca="1" si="4"/>
        <v>0</v>
      </c>
    </row>
    <row r="62" spans="2:19" ht="15.75" customHeight="1">
      <c r="B62" s="2277"/>
      <c r="C62" s="2302" t="s">
        <v>2726</v>
      </c>
      <c r="D62" s="2303"/>
      <c r="E62" s="2303"/>
      <c r="F62" s="2304"/>
      <c r="G62" s="1094">
        <f ca="1">INDIRECT($R$19&amp;"!"&amp;$P$19&amp;ROW('使用量_1,2'!K62))</f>
        <v>0</v>
      </c>
      <c r="H62" s="1036" t="str">
        <f>係数!I62</f>
        <v>GJ</v>
      </c>
      <c r="I62" s="1096">
        <f>係数!G62</f>
        <v>1.36</v>
      </c>
      <c r="J62" s="1102">
        <f t="shared" ca="1" si="0"/>
        <v>0</v>
      </c>
      <c r="K62" s="1094">
        <f ca="1">INDIRECT($S$19&amp;"!"&amp;$P$19&amp;ROW('使用量_1,2'!O62))</f>
        <v>0</v>
      </c>
      <c r="L62" s="1036" t="s">
        <v>382</v>
      </c>
      <c r="M62" s="1038">
        <f ca="1">ROUND(ROUND(K62,0)*I62,0)</f>
        <v>0</v>
      </c>
      <c r="N62" s="1039">
        <f ca="1">+G62-K62</f>
        <v>0</v>
      </c>
      <c r="O62" s="1040">
        <f>係数!J62</f>
        <v>5.7000000000000002E-2</v>
      </c>
      <c r="P62" s="1040">
        <f>係数!K62</f>
        <v>5.7000000000000002E-2</v>
      </c>
      <c r="Q62" s="1051" t="s">
        <v>2723</v>
      </c>
      <c r="R62" s="1039">
        <f ca="1">ROUND(N62*O62,0)</f>
        <v>0</v>
      </c>
      <c r="S62" s="1042">
        <f t="shared" ca="1" si="4"/>
        <v>0</v>
      </c>
    </row>
    <row r="63" spans="2:19" ht="15.75" customHeight="1">
      <c r="B63" s="2327"/>
      <c r="C63" s="2305" t="s">
        <v>2721</v>
      </c>
      <c r="D63" s="2306"/>
      <c r="E63" s="2306"/>
      <c r="F63" s="2307"/>
      <c r="G63" s="1048">
        <f ca="1">SUM(G59:G62)</f>
        <v>0</v>
      </c>
      <c r="H63" s="1052" t="s">
        <v>382</v>
      </c>
      <c r="I63" s="1046"/>
      <c r="J63" s="1103">
        <f ca="1">SUM(J59:J62)</f>
        <v>0</v>
      </c>
      <c r="K63" s="1048">
        <f ca="1">SUM(K59:K62)</f>
        <v>0</v>
      </c>
      <c r="L63" s="1052" t="s">
        <v>382</v>
      </c>
      <c r="M63" s="1047">
        <f ca="1">SUM(M59:M62)</f>
        <v>0</v>
      </c>
      <c r="N63" s="1048">
        <f ca="1">SUM(N59:N62)</f>
        <v>0</v>
      </c>
      <c r="O63" s="1045"/>
      <c r="P63" s="1045"/>
      <c r="Q63" s="1049"/>
      <c r="R63" s="1050">
        <f ca="1">SUM(R59:R62)</f>
        <v>0</v>
      </c>
      <c r="S63" s="1050">
        <f ca="1">SUM(S59:S62)</f>
        <v>0</v>
      </c>
    </row>
    <row r="64" spans="2:19" ht="15.75" customHeight="1">
      <c r="B64" s="1083"/>
      <c r="C64" s="1084"/>
      <c r="D64" s="1085"/>
      <c r="E64" s="1085"/>
      <c r="F64" s="1086"/>
      <c r="G64" s="1048"/>
      <c r="H64" s="1052"/>
      <c r="I64" s="1087"/>
      <c r="J64" s="1047"/>
      <c r="K64" s="1048"/>
      <c r="L64" s="1052"/>
      <c r="M64" s="1047"/>
      <c r="N64" s="1048"/>
      <c r="O64" s="1088"/>
      <c r="P64" s="1088"/>
      <c r="Q64" s="1089"/>
      <c r="R64" s="1050"/>
      <c r="S64" s="1050"/>
    </row>
    <row r="65" spans="2:19" ht="17.45" customHeight="1">
      <c r="B65" s="2276" t="s">
        <v>2727</v>
      </c>
      <c r="C65" s="2321" t="str">
        <f>'使用量_1,2'!C65</f>
        <v>登録番号+メニュー</v>
      </c>
      <c r="D65" s="2323" t="e">
        <f>'使用量_1,2'!E65</f>
        <v>#N/A</v>
      </c>
      <c r="E65" s="2324"/>
      <c r="F65" s="1053" t="s">
        <v>2728</v>
      </c>
      <c r="G65" s="1094">
        <f ca="1">INDIRECT($R$19&amp;"!"&amp;$P$19&amp;ROW('使用量_1,2'!K65))</f>
        <v>0</v>
      </c>
      <c r="H65" s="1036" t="s">
        <v>4245</v>
      </c>
      <c r="I65" s="1043">
        <f>係数!G65</f>
        <v>9.9700000000000006</v>
      </c>
      <c r="J65" s="1102">
        <f t="shared" ref="J65:J104" ca="1" si="6">ROUND(ROUND(G65,0)*I65,0)</f>
        <v>0</v>
      </c>
      <c r="K65" s="1094">
        <f ca="1">INDIRECT($S$19&amp;"!"&amp;$P$19&amp;ROW('使用量_1,2'!O65))</f>
        <v>0</v>
      </c>
      <c r="L65" s="1036" t="s">
        <v>4245</v>
      </c>
      <c r="M65" s="1054"/>
      <c r="N65" s="1039">
        <f ca="1">+J65</f>
        <v>0</v>
      </c>
      <c r="O65" s="1040" t="e">
        <f>係数!J65</f>
        <v>#N/A</v>
      </c>
      <c r="P65" s="1040" t="e">
        <f>係数!K65</f>
        <v>#N/A</v>
      </c>
      <c r="Q65" s="1051" t="s">
        <v>2730</v>
      </c>
      <c r="R65" s="1055" t="str">
        <f>IF(ISNA(D65),"",ROUND((G65-K65)*O65*1000,0))</f>
        <v/>
      </c>
      <c r="S65" s="1055" t="str">
        <f>IF(ISNA(D65),"",ROUND((G65-K65)*P65*1000,0))</f>
        <v/>
      </c>
    </row>
    <row r="66" spans="2:19" ht="17.45" customHeight="1">
      <c r="B66" s="2277"/>
      <c r="C66" s="2322"/>
      <c r="D66" s="2325"/>
      <c r="E66" s="2326"/>
      <c r="F66" s="1053" t="s">
        <v>2731</v>
      </c>
      <c r="G66" s="1095">
        <f ca="1">INDIRECT($R$19&amp;"!"&amp;$P$19&amp;ROW('使用量_1,2'!K66))</f>
        <v>0</v>
      </c>
      <c r="H66" s="1036" t="s">
        <v>4245</v>
      </c>
      <c r="I66" s="1043">
        <f>係数!G66</f>
        <v>9.2799999999999994</v>
      </c>
      <c r="J66" s="1102">
        <f t="shared" ca="1" si="6"/>
        <v>0</v>
      </c>
      <c r="K66" s="1094">
        <f ca="1">INDIRECT($S$19&amp;"!"&amp;$P$19&amp;ROW('使用量_1,2'!O66))</f>
        <v>0</v>
      </c>
      <c r="L66" s="1036" t="s">
        <v>4245</v>
      </c>
      <c r="M66" s="1054"/>
      <c r="N66" s="1039">
        <f t="shared" ref="N66:N109" ca="1" si="7">+J66</f>
        <v>0</v>
      </c>
      <c r="O66" s="1040" t="e">
        <f>係数!J66</f>
        <v>#N/A</v>
      </c>
      <c r="P66" s="1040" t="e">
        <f>係数!K66</f>
        <v>#N/A</v>
      </c>
      <c r="Q66" s="1051" t="s">
        <v>2730</v>
      </c>
      <c r="R66" s="1055" t="str">
        <f>IF(ISNA(D65),"",ROUND((G66-K66)*O66*1000,0))</f>
        <v/>
      </c>
      <c r="S66" s="1055" t="str">
        <f>IF(ISNA(D65),"",ROUND((G66-K66)*P66*1000,0))</f>
        <v/>
      </c>
    </row>
    <row r="67" spans="2:19" ht="17.45" customHeight="1">
      <c r="B67" s="2277"/>
      <c r="C67" s="2321" t="str">
        <f>'使用量_1,2'!C67</f>
        <v>登録番号+メニュー</v>
      </c>
      <c r="D67" s="2323" t="e">
        <f>'使用量_1,2'!E67</f>
        <v>#N/A</v>
      </c>
      <c r="E67" s="2324"/>
      <c r="F67" s="1053" t="s">
        <v>2728</v>
      </c>
      <c r="G67" s="1095">
        <f ca="1">INDIRECT($R$19&amp;"!"&amp;$P$19&amp;ROW('使用量_1,2'!K67))</f>
        <v>0</v>
      </c>
      <c r="H67" s="1036" t="s">
        <v>4245</v>
      </c>
      <c r="I67" s="1043">
        <f>係数!G67</f>
        <v>9.9700000000000006</v>
      </c>
      <c r="J67" s="1102">
        <f t="shared" ca="1" si="6"/>
        <v>0</v>
      </c>
      <c r="K67" s="1094">
        <f ca="1">INDIRECT($S$19&amp;"!"&amp;$P$19&amp;ROW('使用量_1,2'!O67))</f>
        <v>0</v>
      </c>
      <c r="L67" s="1036" t="s">
        <v>4245</v>
      </c>
      <c r="M67" s="1054"/>
      <c r="N67" s="1039">
        <f t="shared" ca="1" si="7"/>
        <v>0</v>
      </c>
      <c r="O67" s="1040" t="e">
        <f>係数!J67</f>
        <v>#N/A</v>
      </c>
      <c r="P67" s="1040" t="e">
        <f>係数!K67</f>
        <v>#N/A</v>
      </c>
      <c r="Q67" s="1051" t="s">
        <v>2730</v>
      </c>
      <c r="R67" s="1055" t="str">
        <f>IF(ISNA(D67),"",ROUND((G67-K67)*O67*1000,0))</f>
        <v/>
      </c>
      <c r="S67" s="1055" t="str">
        <f>IF(ISNA(D67),"",ROUND((G67-K67)*P67*1000,0))</f>
        <v/>
      </c>
    </row>
    <row r="68" spans="2:19" ht="17.45" customHeight="1">
      <c r="B68" s="2277"/>
      <c r="C68" s="2322"/>
      <c r="D68" s="2325"/>
      <c r="E68" s="2326"/>
      <c r="F68" s="1053" t="s">
        <v>2731</v>
      </c>
      <c r="G68" s="1095">
        <f ca="1">INDIRECT($R$19&amp;"!"&amp;$P$19&amp;ROW('使用量_1,2'!K68))</f>
        <v>0</v>
      </c>
      <c r="H68" s="1036" t="s">
        <v>4245</v>
      </c>
      <c r="I68" s="1043">
        <f>係数!G68</f>
        <v>9.2799999999999994</v>
      </c>
      <c r="J68" s="1102">
        <f t="shared" ca="1" si="6"/>
        <v>0</v>
      </c>
      <c r="K68" s="1094">
        <f ca="1">INDIRECT($S$19&amp;"!"&amp;$P$19&amp;ROW('使用量_1,2'!O68))</f>
        <v>0</v>
      </c>
      <c r="L68" s="1036" t="s">
        <v>4245</v>
      </c>
      <c r="M68" s="1054"/>
      <c r="N68" s="1039">
        <f t="shared" ca="1" si="7"/>
        <v>0</v>
      </c>
      <c r="O68" s="1040" t="e">
        <f>係数!J68</f>
        <v>#N/A</v>
      </c>
      <c r="P68" s="1040" t="e">
        <f>係数!K68</f>
        <v>#N/A</v>
      </c>
      <c r="Q68" s="1051" t="s">
        <v>2730</v>
      </c>
      <c r="R68" s="1055" t="str">
        <f>IF(ISNA(D67),"",ROUND((G68-K68)*O68*1000,0))</f>
        <v/>
      </c>
      <c r="S68" s="1055" t="str">
        <f>IF(ISNA(D67),"",ROUND((G68-K68)*P68*1000,0))</f>
        <v/>
      </c>
    </row>
    <row r="69" spans="2:19" ht="17.45" customHeight="1">
      <c r="B69" s="2277"/>
      <c r="C69" s="2321" t="str">
        <f>'使用量_1,2'!C69</f>
        <v>登録番号+メニュー</v>
      </c>
      <c r="D69" s="2323" t="e">
        <f>'使用量_1,2'!E69</f>
        <v>#N/A</v>
      </c>
      <c r="E69" s="2324"/>
      <c r="F69" s="1053" t="s">
        <v>2728</v>
      </c>
      <c r="G69" s="1095">
        <f ca="1">INDIRECT($R$19&amp;"!"&amp;$P$19&amp;ROW('使用量_1,2'!K69))</f>
        <v>0</v>
      </c>
      <c r="H69" s="1036" t="s">
        <v>4245</v>
      </c>
      <c r="I69" s="1043">
        <f>係数!G69</f>
        <v>9.9700000000000006</v>
      </c>
      <c r="J69" s="1102">
        <f t="shared" ca="1" si="6"/>
        <v>0</v>
      </c>
      <c r="K69" s="1094">
        <f ca="1">INDIRECT($S$19&amp;"!"&amp;$P$19&amp;ROW('使用量_1,2'!O69))</f>
        <v>0</v>
      </c>
      <c r="L69" s="1036" t="s">
        <v>4245</v>
      </c>
      <c r="M69" s="1054"/>
      <c r="N69" s="1039">
        <f t="shared" ca="1" si="7"/>
        <v>0</v>
      </c>
      <c r="O69" s="1040" t="e">
        <f>係数!J69</f>
        <v>#N/A</v>
      </c>
      <c r="P69" s="1040" t="e">
        <f>係数!K69</f>
        <v>#N/A</v>
      </c>
      <c r="Q69" s="1051" t="s">
        <v>2730</v>
      </c>
      <c r="R69" s="1055" t="str">
        <f>IF(ISNA(D69),"",ROUND((G69-K69)*O69*1000,0))</f>
        <v/>
      </c>
      <c r="S69" s="1055" t="str">
        <f>IF(ISNA(D69),"",ROUND((G69-K69)*P69*1000,0))</f>
        <v/>
      </c>
    </row>
    <row r="70" spans="2:19" ht="17.45" customHeight="1">
      <c r="B70" s="2277"/>
      <c r="C70" s="2322"/>
      <c r="D70" s="2325"/>
      <c r="E70" s="2326"/>
      <c r="F70" s="1053" t="s">
        <v>2731</v>
      </c>
      <c r="G70" s="1095">
        <f ca="1">INDIRECT($R$19&amp;"!"&amp;$P$19&amp;ROW('使用量_1,2'!K70))</f>
        <v>0</v>
      </c>
      <c r="H70" s="1036" t="s">
        <v>4245</v>
      </c>
      <c r="I70" s="1043">
        <f>係数!G70</f>
        <v>9.2799999999999994</v>
      </c>
      <c r="J70" s="1102">
        <f t="shared" ca="1" si="6"/>
        <v>0</v>
      </c>
      <c r="K70" s="1094">
        <f ca="1">INDIRECT($S$19&amp;"!"&amp;$P$19&amp;ROW('使用量_1,2'!O70))</f>
        <v>0</v>
      </c>
      <c r="L70" s="1036" t="s">
        <v>4245</v>
      </c>
      <c r="M70" s="1054"/>
      <c r="N70" s="1039">
        <f t="shared" ca="1" si="7"/>
        <v>0</v>
      </c>
      <c r="O70" s="1040" t="e">
        <f>係数!J70</f>
        <v>#N/A</v>
      </c>
      <c r="P70" s="1040" t="e">
        <f>係数!K70</f>
        <v>#N/A</v>
      </c>
      <c r="Q70" s="1051" t="s">
        <v>2730</v>
      </c>
      <c r="R70" s="1055" t="str">
        <f>IF(ISNA(D69),"",ROUND((G70-K70)*O70*1000,0))</f>
        <v/>
      </c>
      <c r="S70" s="1055" t="str">
        <f>IF(ISNA(D69),"",ROUND((G70-K70)*P70*1000,0))</f>
        <v/>
      </c>
    </row>
    <row r="71" spans="2:19" ht="17.45" customHeight="1">
      <c r="B71" s="2277"/>
      <c r="C71" s="2321" t="str">
        <f>'使用量_1,2'!C71</f>
        <v>登録番号+メニュー</v>
      </c>
      <c r="D71" s="2323" t="e">
        <f>'使用量_1,2'!E71</f>
        <v>#N/A</v>
      </c>
      <c r="E71" s="2324"/>
      <c r="F71" s="1053" t="s">
        <v>2728</v>
      </c>
      <c r="G71" s="1095">
        <f ca="1">INDIRECT($R$19&amp;"!"&amp;$P$19&amp;ROW('使用量_1,2'!K71))</f>
        <v>0</v>
      </c>
      <c r="H71" s="1036" t="s">
        <v>4245</v>
      </c>
      <c r="I71" s="1043">
        <f>係数!G71</f>
        <v>9.9700000000000006</v>
      </c>
      <c r="J71" s="1102">
        <f t="shared" ca="1" si="6"/>
        <v>0</v>
      </c>
      <c r="K71" s="1094">
        <f ca="1">INDIRECT($S$19&amp;"!"&amp;$P$19&amp;ROW('使用量_1,2'!O71))</f>
        <v>0</v>
      </c>
      <c r="L71" s="1036" t="s">
        <v>4245</v>
      </c>
      <c r="M71" s="1054"/>
      <c r="N71" s="1039">
        <f t="shared" ca="1" si="7"/>
        <v>0</v>
      </c>
      <c r="O71" s="1040" t="e">
        <f>係数!J71</f>
        <v>#N/A</v>
      </c>
      <c r="P71" s="1040" t="e">
        <f>係数!K71</f>
        <v>#N/A</v>
      </c>
      <c r="Q71" s="1051" t="s">
        <v>2730</v>
      </c>
      <c r="R71" s="1055" t="str">
        <f>IF(ISNA(D71),"",ROUND((G71-K71)*O71*1000,0))</f>
        <v/>
      </c>
      <c r="S71" s="1055" t="str">
        <f>IF(ISNA(D71),"",ROUND((G71-K71)*P71*1000,0))</f>
        <v/>
      </c>
    </row>
    <row r="72" spans="2:19" ht="17.45" customHeight="1">
      <c r="B72" s="2277"/>
      <c r="C72" s="2322"/>
      <c r="D72" s="2325"/>
      <c r="E72" s="2326"/>
      <c r="F72" s="1053" t="s">
        <v>2731</v>
      </c>
      <c r="G72" s="1095">
        <f ca="1">INDIRECT($R$19&amp;"!"&amp;$P$19&amp;ROW('使用量_1,2'!K72))</f>
        <v>0</v>
      </c>
      <c r="H72" s="1036" t="s">
        <v>4245</v>
      </c>
      <c r="I72" s="1043">
        <f>係数!G72</f>
        <v>9.2799999999999994</v>
      </c>
      <c r="J72" s="1102">
        <f t="shared" ca="1" si="6"/>
        <v>0</v>
      </c>
      <c r="K72" s="1094">
        <f ca="1">INDIRECT($S$19&amp;"!"&amp;$P$19&amp;ROW('使用量_1,2'!O72))</f>
        <v>0</v>
      </c>
      <c r="L72" s="1036" t="s">
        <v>4245</v>
      </c>
      <c r="M72" s="1054"/>
      <c r="N72" s="1039">
        <f t="shared" ca="1" si="7"/>
        <v>0</v>
      </c>
      <c r="O72" s="1040" t="e">
        <f>係数!J72</f>
        <v>#N/A</v>
      </c>
      <c r="P72" s="1040" t="e">
        <f>係数!K72</f>
        <v>#N/A</v>
      </c>
      <c r="Q72" s="1051" t="s">
        <v>2730</v>
      </c>
      <c r="R72" s="1055" t="str">
        <f>IF(ISNA(D71),"",ROUND((G72-K72)*O72*1000,0))</f>
        <v/>
      </c>
      <c r="S72" s="1055" t="str">
        <f>IF(ISNA(D71),"",ROUND((G72-K72)*P72*1000,0))</f>
        <v/>
      </c>
    </row>
    <row r="73" spans="2:19" ht="17.45" customHeight="1">
      <c r="B73" s="2277"/>
      <c r="C73" s="2321" t="str">
        <f>'使用量_1,2'!C73</f>
        <v>登録番号+メニュー</v>
      </c>
      <c r="D73" s="2323" t="e">
        <f>'使用量_1,2'!E73</f>
        <v>#N/A</v>
      </c>
      <c r="E73" s="2324"/>
      <c r="F73" s="1053" t="s">
        <v>2728</v>
      </c>
      <c r="G73" s="1095">
        <f ca="1">INDIRECT($R$19&amp;"!"&amp;$P$19&amp;ROW('使用量_1,2'!K73))</f>
        <v>0</v>
      </c>
      <c r="H73" s="1036" t="s">
        <v>4245</v>
      </c>
      <c r="I73" s="1043">
        <f>係数!G73</f>
        <v>9.9700000000000006</v>
      </c>
      <c r="J73" s="1102">
        <f t="shared" ca="1" si="6"/>
        <v>0</v>
      </c>
      <c r="K73" s="1094">
        <f ca="1">INDIRECT($S$19&amp;"!"&amp;$P$19&amp;ROW('使用量_1,2'!O73))</f>
        <v>0</v>
      </c>
      <c r="L73" s="1036" t="s">
        <v>4245</v>
      </c>
      <c r="M73" s="1054"/>
      <c r="N73" s="1039">
        <f t="shared" ca="1" si="7"/>
        <v>0</v>
      </c>
      <c r="O73" s="1040" t="e">
        <f>係数!J73</f>
        <v>#N/A</v>
      </c>
      <c r="P73" s="1040" t="e">
        <f>係数!K73</f>
        <v>#N/A</v>
      </c>
      <c r="Q73" s="1051" t="s">
        <v>2730</v>
      </c>
      <c r="R73" s="1055" t="str">
        <f>IF(ISNA(D73),"",ROUND((G73-K73)*O73*1000,0))</f>
        <v/>
      </c>
      <c r="S73" s="1055" t="str">
        <f>IF(ISNA(D73),"",ROUND((G73-K73)*P73*1000,0))</f>
        <v/>
      </c>
    </row>
    <row r="74" spans="2:19" ht="17.45" customHeight="1">
      <c r="B74" s="2277"/>
      <c r="C74" s="2322"/>
      <c r="D74" s="2325"/>
      <c r="E74" s="2326"/>
      <c r="F74" s="1053" t="s">
        <v>2731</v>
      </c>
      <c r="G74" s="1095">
        <f ca="1">INDIRECT($R$19&amp;"!"&amp;$P$19&amp;ROW('使用量_1,2'!K74))</f>
        <v>0</v>
      </c>
      <c r="H74" s="1036" t="s">
        <v>4245</v>
      </c>
      <c r="I74" s="1043">
        <f>係数!G74</f>
        <v>9.2799999999999994</v>
      </c>
      <c r="J74" s="1102">
        <f t="shared" ca="1" si="6"/>
        <v>0</v>
      </c>
      <c r="K74" s="1094">
        <f ca="1">INDIRECT($S$19&amp;"!"&amp;$P$19&amp;ROW('使用量_1,2'!O74))</f>
        <v>0</v>
      </c>
      <c r="L74" s="1036" t="s">
        <v>4245</v>
      </c>
      <c r="M74" s="1054"/>
      <c r="N74" s="1039">
        <f t="shared" ca="1" si="7"/>
        <v>0</v>
      </c>
      <c r="O74" s="1040" t="e">
        <f>係数!J74</f>
        <v>#N/A</v>
      </c>
      <c r="P74" s="1040" t="e">
        <f>係数!K74</f>
        <v>#N/A</v>
      </c>
      <c r="Q74" s="1051" t="s">
        <v>2730</v>
      </c>
      <c r="R74" s="1055" t="str">
        <f>IF(ISNA(D73),"",ROUND((G74-K74)*O74*1000,0))</f>
        <v/>
      </c>
      <c r="S74" s="1055" t="str">
        <f>IF(ISNA(D73),"",ROUND((G74-K74)*P74*1000,0))</f>
        <v/>
      </c>
    </row>
    <row r="75" spans="2:19" ht="17.45" customHeight="1">
      <c r="B75" s="2277"/>
      <c r="C75" s="2321" t="str">
        <f>'使用量_1,2'!C75</f>
        <v>登録番号+メニュー</v>
      </c>
      <c r="D75" s="2323" t="e">
        <f>'使用量_1,2'!E75</f>
        <v>#N/A</v>
      </c>
      <c r="E75" s="2324"/>
      <c r="F75" s="1053" t="s">
        <v>2728</v>
      </c>
      <c r="G75" s="1095">
        <f ca="1">INDIRECT($R$19&amp;"!"&amp;$P$19&amp;ROW('使用量_1,2'!K75))</f>
        <v>0</v>
      </c>
      <c r="H75" s="1036" t="s">
        <v>4245</v>
      </c>
      <c r="I75" s="1043">
        <f>係数!G75</f>
        <v>9.9700000000000006</v>
      </c>
      <c r="J75" s="1102">
        <f t="shared" ca="1" si="6"/>
        <v>0</v>
      </c>
      <c r="K75" s="1094">
        <f ca="1">INDIRECT($S$19&amp;"!"&amp;$P$19&amp;ROW('使用量_1,2'!O75))</f>
        <v>0</v>
      </c>
      <c r="L75" s="1036" t="s">
        <v>4245</v>
      </c>
      <c r="M75" s="1054"/>
      <c r="N75" s="1039">
        <f t="shared" ca="1" si="7"/>
        <v>0</v>
      </c>
      <c r="O75" s="1040" t="e">
        <f>係数!J75</f>
        <v>#N/A</v>
      </c>
      <c r="P75" s="1040" t="e">
        <f>係数!K75</f>
        <v>#N/A</v>
      </c>
      <c r="Q75" s="1051" t="s">
        <v>2730</v>
      </c>
      <c r="R75" s="1055" t="str">
        <f>IF(ISNA(D75),"",ROUND((G75-K75)*O75*1000,0))</f>
        <v/>
      </c>
      <c r="S75" s="1055" t="str">
        <f>IF(ISNA(D75),"",ROUND((G75-K75)*P75*1000,0))</f>
        <v/>
      </c>
    </row>
    <row r="76" spans="2:19" ht="17.45" customHeight="1">
      <c r="B76" s="2277"/>
      <c r="C76" s="2322"/>
      <c r="D76" s="2325"/>
      <c r="E76" s="2326"/>
      <c r="F76" s="1053" t="s">
        <v>2731</v>
      </c>
      <c r="G76" s="1095">
        <f ca="1">INDIRECT($R$19&amp;"!"&amp;$P$19&amp;ROW('使用量_1,2'!K76))</f>
        <v>0</v>
      </c>
      <c r="H76" s="1036" t="s">
        <v>4245</v>
      </c>
      <c r="I76" s="1043">
        <f>係数!G76</f>
        <v>9.2799999999999994</v>
      </c>
      <c r="J76" s="1102">
        <f t="shared" ca="1" si="6"/>
        <v>0</v>
      </c>
      <c r="K76" s="1094">
        <f ca="1">INDIRECT($S$19&amp;"!"&amp;$P$19&amp;ROW('使用量_1,2'!O76))</f>
        <v>0</v>
      </c>
      <c r="L76" s="1036" t="s">
        <v>4245</v>
      </c>
      <c r="M76" s="1054"/>
      <c r="N76" s="1039">
        <f t="shared" ca="1" si="7"/>
        <v>0</v>
      </c>
      <c r="O76" s="1040" t="e">
        <f>係数!J76</f>
        <v>#N/A</v>
      </c>
      <c r="P76" s="1040" t="e">
        <f>係数!K76</f>
        <v>#N/A</v>
      </c>
      <c r="Q76" s="1051" t="s">
        <v>2730</v>
      </c>
      <c r="R76" s="1055" t="str">
        <f>IF(ISNA(D75),"",ROUND((G76-K76)*O76*1000,0))</f>
        <v/>
      </c>
      <c r="S76" s="1055" t="str">
        <f>IF(ISNA(D75),"",ROUND((G76-K76)*P76*1000,0))</f>
        <v/>
      </c>
    </row>
    <row r="77" spans="2:19" ht="17.45" customHeight="1">
      <c r="B77" s="2277"/>
      <c r="C77" s="2321" t="str">
        <f>'使用量_1,2'!C77</f>
        <v>登録番号+メニュー</v>
      </c>
      <c r="D77" s="2323" t="e">
        <f>'使用量_1,2'!E77</f>
        <v>#N/A</v>
      </c>
      <c r="E77" s="2324"/>
      <c r="F77" s="1053" t="s">
        <v>2728</v>
      </c>
      <c r="G77" s="1095">
        <f ca="1">INDIRECT($R$19&amp;"!"&amp;$P$19&amp;ROW('使用量_1,2'!K77))</f>
        <v>0</v>
      </c>
      <c r="H77" s="1036" t="s">
        <v>4245</v>
      </c>
      <c r="I77" s="1043">
        <f>係数!G77</f>
        <v>9.9700000000000006</v>
      </c>
      <c r="J77" s="1102">
        <f t="shared" ca="1" si="6"/>
        <v>0</v>
      </c>
      <c r="K77" s="1094">
        <f ca="1">INDIRECT($S$19&amp;"!"&amp;$P$19&amp;ROW('使用量_1,2'!O77))</f>
        <v>0</v>
      </c>
      <c r="L77" s="1036" t="s">
        <v>4245</v>
      </c>
      <c r="M77" s="1054"/>
      <c r="N77" s="1039">
        <f t="shared" ca="1" si="7"/>
        <v>0</v>
      </c>
      <c r="O77" s="1040" t="e">
        <f>係数!J77</f>
        <v>#N/A</v>
      </c>
      <c r="P77" s="1040" t="e">
        <f>係数!K77</f>
        <v>#N/A</v>
      </c>
      <c r="Q77" s="1051" t="s">
        <v>2730</v>
      </c>
      <c r="R77" s="1055" t="str">
        <f>IF(ISNA(D77),"",ROUND((G77-K77)*O77*1000,0))</f>
        <v/>
      </c>
      <c r="S77" s="1055" t="str">
        <f>IF(ISNA(D77),"",ROUND((G77-K77)*P77*1000,0))</f>
        <v/>
      </c>
    </row>
    <row r="78" spans="2:19" ht="17.45" customHeight="1" collapsed="1">
      <c r="B78" s="2277"/>
      <c r="C78" s="2322"/>
      <c r="D78" s="2325"/>
      <c r="E78" s="2326"/>
      <c r="F78" s="1053" t="s">
        <v>2731</v>
      </c>
      <c r="G78" s="1095">
        <f ca="1">INDIRECT($R$19&amp;"!"&amp;$P$19&amp;ROW('使用量_1,2'!K78))</f>
        <v>0</v>
      </c>
      <c r="H78" s="1036" t="s">
        <v>4245</v>
      </c>
      <c r="I78" s="1043">
        <f>係数!G78</f>
        <v>9.2799999999999994</v>
      </c>
      <c r="J78" s="1102">
        <f t="shared" ca="1" si="6"/>
        <v>0</v>
      </c>
      <c r="K78" s="1094">
        <f ca="1">INDIRECT($S$19&amp;"!"&amp;$P$19&amp;ROW('使用量_1,2'!O78))</f>
        <v>0</v>
      </c>
      <c r="L78" s="1036" t="s">
        <v>4245</v>
      </c>
      <c r="M78" s="1054"/>
      <c r="N78" s="1039">
        <f t="shared" ca="1" si="7"/>
        <v>0</v>
      </c>
      <c r="O78" s="1040" t="e">
        <f>係数!J78</f>
        <v>#N/A</v>
      </c>
      <c r="P78" s="1040" t="e">
        <f>係数!K78</f>
        <v>#N/A</v>
      </c>
      <c r="Q78" s="1051" t="s">
        <v>2730</v>
      </c>
      <c r="R78" s="1055" t="str">
        <f>IF(ISNA(D77),"",ROUND((G78-K78)*O78*1000,0))</f>
        <v/>
      </c>
      <c r="S78" s="1055" t="str">
        <f>IF(ISNA(D77),"",ROUND((G78-K78)*P78*1000,0))</f>
        <v/>
      </c>
    </row>
    <row r="79" spans="2:19" ht="17.45" hidden="1" customHeight="1" outlineLevel="1">
      <c r="B79" s="2277"/>
      <c r="C79" s="2321" t="str">
        <f>'使用量_1,2'!C79</f>
        <v>登録番号+メニュー</v>
      </c>
      <c r="D79" s="2323" t="e">
        <f>'使用量_1,2'!E79</f>
        <v>#N/A</v>
      </c>
      <c r="E79" s="2324"/>
      <c r="F79" s="1053" t="s">
        <v>2728</v>
      </c>
      <c r="G79" s="1095">
        <f ca="1">INDIRECT($R$19&amp;"!"&amp;$P$19&amp;ROW('使用量_1,2'!K79))</f>
        <v>0</v>
      </c>
      <c r="H79" s="1036" t="s">
        <v>4245</v>
      </c>
      <c r="I79" s="1043">
        <f>係数!G79</f>
        <v>9.9700000000000006</v>
      </c>
      <c r="J79" s="1102">
        <f t="shared" ca="1" si="6"/>
        <v>0</v>
      </c>
      <c r="K79" s="1094">
        <f ca="1">INDIRECT($S$19&amp;"!"&amp;$P$19&amp;ROW('使用量_1,2'!O79))</f>
        <v>0</v>
      </c>
      <c r="L79" s="1036" t="s">
        <v>4245</v>
      </c>
      <c r="M79" s="1054"/>
      <c r="N79" s="1039">
        <f t="shared" ca="1" si="7"/>
        <v>0</v>
      </c>
      <c r="O79" s="1040" t="e">
        <f>係数!J79</f>
        <v>#N/A</v>
      </c>
      <c r="P79" s="1040" t="e">
        <f>係数!K79</f>
        <v>#N/A</v>
      </c>
      <c r="Q79" s="1051" t="s">
        <v>2730</v>
      </c>
      <c r="R79" s="1055" t="str">
        <f>IF(ISNA(D79),"",ROUND((G79-K79)*O79*1000,0))</f>
        <v/>
      </c>
      <c r="S79" s="1055" t="str">
        <f>IF(ISNA(D79),"",ROUND((G79-K79)*P79*1000,0))</f>
        <v/>
      </c>
    </row>
    <row r="80" spans="2:19" ht="17.45" hidden="1" customHeight="1" outlineLevel="1">
      <c r="B80" s="2277"/>
      <c r="C80" s="2322"/>
      <c r="D80" s="2325"/>
      <c r="E80" s="2326"/>
      <c r="F80" s="1053" t="s">
        <v>2731</v>
      </c>
      <c r="G80" s="1095">
        <f ca="1">INDIRECT($R$19&amp;"!"&amp;$P$19&amp;ROW('使用量_1,2'!K80))</f>
        <v>0</v>
      </c>
      <c r="H80" s="1036" t="s">
        <v>4245</v>
      </c>
      <c r="I80" s="1043">
        <f>係数!G80</f>
        <v>9.2799999999999994</v>
      </c>
      <c r="J80" s="1102">
        <f t="shared" ca="1" si="6"/>
        <v>0</v>
      </c>
      <c r="K80" s="1094">
        <f ca="1">INDIRECT($S$19&amp;"!"&amp;$P$19&amp;ROW('使用量_1,2'!O80))</f>
        <v>0</v>
      </c>
      <c r="L80" s="1036" t="s">
        <v>4245</v>
      </c>
      <c r="M80" s="1054"/>
      <c r="N80" s="1039">
        <f t="shared" ca="1" si="7"/>
        <v>0</v>
      </c>
      <c r="O80" s="1040" t="e">
        <f>係数!J80</f>
        <v>#N/A</v>
      </c>
      <c r="P80" s="1040" t="e">
        <f>係数!K80</f>
        <v>#N/A</v>
      </c>
      <c r="Q80" s="1051" t="s">
        <v>2730</v>
      </c>
      <c r="R80" s="1055" t="str">
        <f>IF(ISNA(D79),"",ROUND((G80-K80)*O80*1000,0))</f>
        <v/>
      </c>
      <c r="S80" s="1055" t="str">
        <f>IF(ISNA(D79),"",ROUND((G80-K80)*P80*1000,0))</f>
        <v/>
      </c>
    </row>
    <row r="81" spans="2:19" ht="17.45" hidden="1" customHeight="1" outlineLevel="1">
      <c r="B81" s="2277"/>
      <c r="C81" s="2321" t="str">
        <f>'使用量_1,2'!C81</f>
        <v>登録番号+メニュー</v>
      </c>
      <c r="D81" s="2323" t="e">
        <f>'使用量_1,2'!E81</f>
        <v>#N/A</v>
      </c>
      <c r="E81" s="2324"/>
      <c r="F81" s="1053" t="s">
        <v>2728</v>
      </c>
      <c r="G81" s="1095">
        <f ca="1">INDIRECT($R$19&amp;"!"&amp;$P$19&amp;ROW('使用量_1,2'!K81))</f>
        <v>0</v>
      </c>
      <c r="H81" s="1036" t="s">
        <v>4245</v>
      </c>
      <c r="I81" s="1043">
        <f>係数!G81</f>
        <v>9.9700000000000006</v>
      </c>
      <c r="J81" s="1102">
        <f t="shared" ca="1" si="6"/>
        <v>0</v>
      </c>
      <c r="K81" s="1094">
        <f ca="1">INDIRECT($S$19&amp;"!"&amp;$P$19&amp;ROW('使用量_1,2'!O81))</f>
        <v>0</v>
      </c>
      <c r="L81" s="1036" t="s">
        <v>4245</v>
      </c>
      <c r="M81" s="1054"/>
      <c r="N81" s="1039">
        <f t="shared" ca="1" si="7"/>
        <v>0</v>
      </c>
      <c r="O81" s="1040" t="e">
        <f>係数!J81</f>
        <v>#N/A</v>
      </c>
      <c r="P81" s="1040" t="e">
        <f>係数!K81</f>
        <v>#N/A</v>
      </c>
      <c r="Q81" s="1051" t="s">
        <v>2730</v>
      </c>
      <c r="R81" s="1055" t="str">
        <f>IF(ISNA(D81),"",ROUND((G81-K81)*O81*1000,0))</f>
        <v/>
      </c>
      <c r="S81" s="1055" t="str">
        <f>IF(ISNA(D81),"",ROUND((G81-K81)*P81*1000,0))</f>
        <v/>
      </c>
    </row>
    <row r="82" spans="2:19" ht="17.45" hidden="1" customHeight="1" outlineLevel="1">
      <c r="B82" s="2277"/>
      <c r="C82" s="2322"/>
      <c r="D82" s="2325"/>
      <c r="E82" s="2326"/>
      <c r="F82" s="1053" t="s">
        <v>2731</v>
      </c>
      <c r="G82" s="1095">
        <f ca="1">INDIRECT($R$19&amp;"!"&amp;$P$19&amp;ROW('使用量_1,2'!K82))</f>
        <v>0</v>
      </c>
      <c r="H82" s="1036" t="s">
        <v>4245</v>
      </c>
      <c r="I82" s="1043">
        <f>係数!G82</f>
        <v>9.2799999999999994</v>
      </c>
      <c r="J82" s="1102">
        <f t="shared" ca="1" si="6"/>
        <v>0</v>
      </c>
      <c r="K82" s="1094">
        <f ca="1">INDIRECT($S$19&amp;"!"&amp;$P$19&amp;ROW('使用量_1,2'!O82))</f>
        <v>0</v>
      </c>
      <c r="L82" s="1036" t="s">
        <v>4245</v>
      </c>
      <c r="M82" s="1054"/>
      <c r="N82" s="1039">
        <f t="shared" ca="1" si="7"/>
        <v>0</v>
      </c>
      <c r="O82" s="1040" t="e">
        <f>係数!J82</f>
        <v>#N/A</v>
      </c>
      <c r="P82" s="1040" t="e">
        <f>係数!K82</f>
        <v>#N/A</v>
      </c>
      <c r="Q82" s="1051" t="s">
        <v>2730</v>
      </c>
      <c r="R82" s="1055" t="str">
        <f>IF(ISNA(D81),"",ROUND((G82-K82)*O82*1000,0))</f>
        <v/>
      </c>
      <c r="S82" s="1055" t="str">
        <f>IF(ISNA(D81),"",ROUND((G82-K82)*P82*1000,0))</f>
        <v/>
      </c>
    </row>
    <row r="83" spans="2:19" ht="17.45" hidden="1" customHeight="1" outlineLevel="1">
      <c r="B83" s="2277"/>
      <c r="C83" s="2321" t="str">
        <f>'使用量_1,2'!C83</f>
        <v>登録番号+メニュー</v>
      </c>
      <c r="D83" s="2323" t="e">
        <f>'使用量_1,2'!E83</f>
        <v>#N/A</v>
      </c>
      <c r="E83" s="2324"/>
      <c r="F83" s="1053" t="s">
        <v>2728</v>
      </c>
      <c r="G83" s="1095">
        <f ca="1">INDIRECT($R$19&amp;"!"&amp;$P$19&amp;ROW('使用量_1,2'!K83))</f>
        <v>0</v>
      </c>
      <c r="H83" s="1036" t="s">
        <v>4245</v>
      </c>
      <c r="I83" s="1043">
        <f>係数!G83</f>
        <v>9.9700000000000006</v>
      </c>
      <c r="J83" s="1102">
        <f t="shared" ca="1" si="6"/>
        <v>0</v>
      </c>
      <c r="K83" s="1094">
        <f ca="1">INDIRECT($S$19&amp;"!"&amp;$P$19&amp;ROW('使用量_1,2'!O83))</f>
        <v>0</v>
      </c>
      <c r="L83" s="1036" t="s">
        <v>4245</v>
      </c>
      <c r="M83" s="1054"/>
      <c r="N83" s="1039">
        <f t="shared" ca="1" si="7"/>
        <v>0</v>
      </c>
      <c r="O83" s="1040" t="e">
        <f>係数!J83</f>
        <v>#N/A</v>
      </c>
      <c r="P83" s="1040" t="e">
        <f>係数!K83</f>
        <v>#N/A</v>
      </c>
      <c r="Q83" s="1051" t="s">
        <v>2730</v>
      </c>
      <c r="R83" s="1055" t="str">
        <f>IF(ISNA(D83),"",ROUND((G83-K83)*O83*1000,0))</f>
        <v/>
      </c>
      <c r="S83" s="1055" t="str">
        <f>IF(ISNA(D83),"",ROUND((G83-K83)*P83*1000,0))</f>
        <v/>
      </c>
    </row>
    <row r="84" spans="2:19" ht="17.45" hidden="1" customHeight="1" outlineLevel="1">
      <c r="B84" s="2277"/>
      <c r="C84" s="2322"/>
      <c r="D84" s="2325"/>
      <c r="E84" s="2326"/>
      <c r="F84" s="1053" t="s">
        <v>2731</v>
      </c>
      <c r="G84" s="1095">
        <f ca="1">INDIRECT($R$19&amp;"!"&amp;$P$19&amp;ROW('使用量_1,2'!K84))</f>
        <v>0</v>
      </c>
      <c r="H84" s="1036" t="s">
        <v>4245</v>
      </c>
      <c r="I84" s="1043">
        <f>係数!G84</f>
        <v>9.2799999999999994</v>
      </c>
      <c r="J84" s="1102">
        <f t="shared" ca="1" si="6"/>
        <v>0</v>
      </c>
      <c r="K84" s="1094">
        <f ca="1">INDIRECT($S$19&amp;"!"&amp;$P$19&amp;ROW('使用量_1,2'!O84))</f>
        <v>0</v>
      </c>
      <c r="L84" s="1036" t="s">
        <v>4245</v>
      </c>
      <c r="M84" s="1054"/>
      <c r="N84" s="1039">
        <f t="shared" ca="1" si="7"/>
        <v>0</v>
      </c>
      <c r="O84" s="1040" t="e">
        <f>係数!J84</f>
        <v>#N/A</v>
      </c>
      <c r="P84" s="1040" t="e">
        <f>係数!K84</f>
        <v>#N/A</v>
      </c>
      <c r="Q84" s="1051" t="s">
        <v>2730</v>
      </c>
      <c r="R84" s="1055" t="str">
        <f>IF(ISNA(D83),"",ROUND((G84-K84)*O84*1000,0))</f>
        <v/>
      </c>
      <c r="S84" s="1055" t="str">
        <f>IF(ISNA(D83),"",ROUND((G84-K84)*P84*1000,0))</f>
        <v/>
      </c>
    </row>
    <row r="85" spans="2:19" ht="17.45" hidden="1" customHeight="1" outlineLevel="1">
      <c r="B85" s="2277"/>
      <c r="C85" s="2321" t="str">
        <f>'使用量_1,2'!C85</f>
        <v>登録番号+メニュー</v>
      </c>
      <c r="D85" s="2323" t="e">
        <f>'使用量_1,2'!E85</f>
        <v>#N/A</v>
      </c>
      <c r="E85" s="2324"/>
      <c r="F85" s="1053" t="s">
        <v>2728</v>
      </c>
      <c r="G85" s="1095">
        <f ca="1">INDIRECT($R$19&amp;"!"&amp;$P$19&amp;ROW('使用量_1,2'!K85))</f>
        <v>0</v>
      </c>
      <c r="H85" s="1036" t="s">
        <v>4245</v>
      </c>
      <c r="I85" s="1043">
        <f>係数!G85</f>
        <v>9.9700000000000006</v>
      </c>
      <c r="J85" s="1102">
        <f t="shared" ca="1" si="6"/>
        <v>0</v>
      </c>
      <c r="K85" s="1094">
        <f ca="1">INDIRECT($S$19&amp;"!"&amp;$P$19&amp;ROW('使用量_1,2'!O85))</f>
        <v>0</v>
      </c>
      <c r="L85" s="1036" t="s">
        <v>4245</v>
      </c>
      <c r="M85" s="1054"/>
      <c r="N85" s="1039">
        <f t="shared" ca="1" si="7"/>
        <v>0</v>
      </c>
      <c r="O85" s="1040" t="e">
        <f>係数!J85</f>
        <v>#N/A</v>
      </c>
      <c r="P85" s="1040" t="e">
        <f>係数!K85</f>
        <v>#N/A</v>
      </c>
      <c r="Q85" s="1051" t="s">
        <v>2730</v>
      </c>
      <c r="R85" s="1055" t="str">
        <f>IF(ISNA(D85),"",ROUND((G85-K85)*O85*1000,0))</f>
        <v/>
      </c>
      <c r="S85" s="1055" t="str">
        <f>IF(ISNA(D85),"",ROUND((G85-K85)*P85*1000,0))</f>
        <v/>
      </c>
    </row>
    <row r="86" spans="2:19" ht="17.45" hidden="1" customHeight="1" outlineLevel="1">
      <c r="B86" s="2277"/>
      <c r="C86" s="2322"/>
      <c r="D86" s="2325"/>
      <c r="E86" s="2326"/>
      <c r="F86" s="1053" t="s">
        <v>2731</v>
      </c>
      <c r="G86" s="1095">
        <f ca="1">INDIRECT($R$19&amp;"!"&amp;$P$19&amp;ROW('使用量_1,2'!K86))</f>
        <v>0</v>
      </c>
      <c r="H86" s="1036" t="s">
        <v>4245</v>
      </c>
      <c r="I86" s="1043">
        <f>係数!G86</f>
        <v>9.2799999999999994</v>
      </c>
      <c r="J86" s="1102">
        <f t="shared" ca="1" si="6"/>
        <v>0</v>
      </c>
      <c r="K86" s="1094">
        <f ca="1">INDIRECT($S$19&amp;"!"&amp;$P$19&amp;ROW('使用量_1,2'!O86))</f>
        <v>0</v>
      </c>
      <c r="L86" s="1036" t="s">
        <v>4245</v>
      </c>
      <c r="M86" s="1054"/>
      <c r="N86" s="1039">
        <f t="shared" ca="1" si="7"/>
        <v>0</v>
      </c>
      <c r="O86" s="1040" t="e">
        <f>係数!J86</f>
        <v>#N/A</v>
      </c>
      <c r="P86" s="1040" t="e">
        <f>係数!K86</f>
        <v>#N/A</v>
      </c>
      <c r="Q86" s="1051" t="s">
        <v>2730</v>
      </c>
      <c r="R86" s="1055" t="str">
        <f>IF(ISNA(D85),"",ROUND((G86-K86)*O86*1000,0))</f>
        <v/>
      </c>
      <c r="S86" s="1055" t="str">
        <f>IF(ISNA(D85),"",ROUND((G86-K86)*P86*1000,0))</f>
        <v/>
      </c>
    </row>
    <row r="87" spans="2:19" ht="17.45" hidden="1" customHeight="1" outlineLevel="1">
      <c r="B87" s="2277"/>
      <c r="C87" s="2321" t="str">
        <f>'使用量_1,2'!C87</f>
        <v>登録番号+メニュー</v>
      </c>
      <c r="D87" s="2323" t="e">
        <f>'使用量_1,2'!E87</f>
        <v>#N/A</v>
      </c>
      <c r="E87" s="2324"/>
      <c r="F87" s="1053" t="s">
        <v>2728</v>
      </c>
      <c r="G87" s="1095">
        <f ca="1">INDIRECT($R$19&amp;"!"&amp;$P$19&amp;ROW('使用量_1,2'!K87))</f>
        <v>0</v>
      </c>
      <c r="H87" s="1036" t="s">
        <v>4245</v>
      </c>
      <c r="I87" s="1043">
        <f>係数!G87</f>
        <v>9.9700000000000006</v>
      </c>
      <c r="J87" s="1102">
        <f t="shared" ca="1" si="6"/>
        <v>0</v>
      </c>
      <c r="K87" s="1094">
        <f ca="1">INDIRECT($S$19&amp;"!"&amp;$P$19&amp;ROW('使用量_1,2'!O87))</f>
        <v>0</v>
      </c>
      <c r="L87" s="1036" t="s">
        <v>4245</v>
      </c>
      <c r="M87" s="1054"/>
      <c r="N87" s="1039">
        <f t="shared" ca="1" si="7"/>
        <v>0</v>
      </c>
      <c r="O87" s="1040" t="e">
        <f>係数!J87</f>
        <v>#N/A</v>
      </c>
      <c r="P87" s="1040" t="e">
        <f>係数!K87</f>
        <v>#N/A</v>
      </c>
      <c r="Q87" s="1051" t="s">
        <v>2730</v>
      </c>
      <c r="R87" s="1055" t="str">
        <f>IF(ISNA(D87),"",ROUND((G87-K87)*O87*1000,0))</f>
        <v/>
      </c>
      <c r="S87" s="1055" t="str">
        <f>IF(ISNA(D87),"",ROUND((G87-K87)*P87*1000,0))</f>
        <v/>
      </c>
    </row>
    <row r="88" spans="2:19" ht="17.45" hidden="1" customHeight="1" outlineLevel="1">
      <c r="B88" s="2277"/>
      <c r="C88" s="2322"/>
      <c r="D88" s="2325"/>
      <c r="E88" s="2326"/>
      <c r="F88" s="1053" t="s">
        <v>2731</v>
      </c>
      <c r="G88" s="1095">
        <f ca="1">INDIRECT($R$19&amp;"!"&amp;$P$19&amp;ROW('使用量_1,2'!K88))</f>
        <v>0</v>
      </c>
      <c r="H88" s="1036" t="s">
        <v>4245</v>
      </c>
      <c r="I88" s="1043">
        <f>係数!G88</f>
        <v>9.2799999999999994</v>
      </c>
      <c r="J88" s="1102">
        <f t="shared" ca="1" si="6"/>
        <v>0</v>
      </c>
      <c r="K88" s="1094">
        <f ca="1">INDIRECT($S$19&amp;"!"&amp;$P$19&amp;ROW('使用量_1,2'!O88))</f>
        <v>0</v>
      </c>
      <c r="L88" s="1036" t="s">
        <v>4245</v>
      </c>
      <c r="M88" s="1054"/>
      <c r="N88" s="1039">
        <f t="shared" ca="1" si="7"/>
        <v>0</v>
      </c>
      <c r="O88" s="1040" t="e">
        <f>係数!J88</f>
        <v>#N/A</v>
      </c>
      <c r="P88" s="1040" t="e">
        <f>係数!K88</f>
        <v>#N/A</v>
      </c>
      <c r="Q88" s="1051" t="s">
        <v>2730</v>
      </c>
      <c r="R88" s="1055" t="str">
        <f>IF(ISNA(D87),"",ROUND((G88-K88)*O88*1000,0))</f>
        <v/>
      </c>
      <c r="S88" s="1055" t="str">
        <f>IF(ISNA(D87),"",ROUND((G88-K88)*P88*1000,0))</f>
        <v/>
      </c>
    </row>
    <row r="89" spans="2:19" ht="17.45" hidden="1" customHeight="1" outlineLevel="1">
      <c r="B89" s="2277"/>
      <c r="C89" s="2321" t="str">
        <f>'使用量_1,2'!C89</f>
        <v>登録番号+メニュー</v>
      </c>
      <c r="D89" s="2323" t="e">
        <f>'使用量_1,2'!E89</f>
        <v>#N/A</v>
      </c>
      <c r="E89" s="2324"/>
      <c r="F89" s="1053" t="s">
        <v>2728</v>
      </c>
      <c r="G89" s="1095">
        <f ca="1">INDIRECT($R$19&amp;"!"&amp;$P$19&amp;ROW('使用量_1,2'!K89))</f>
        <v>0</v>
      </c>
      <c r="H89" s="1036" t="s">
        <v>4245</v>
      </c>
      <c r="I89" s="1043">
        <f>係数!G89</f>
        <v>9.9700000000000006</v>
      </c>
      <c r="J89" s="1102">
        <f t="shared" ca="1" si="6"/>
        <v>0</v>
      </c>
      <c r="K89" s="1094">
        <f ca="1">INDIRECT($S$19&amp;"!"&amp;$P$19&amp;ROW('使用量_1,2'!O89))</f>
        <v>0</v>
      </c>
      <c r="L89" s="1036" t="s">
        <v>4245</v>
      </c>
      <c r="M89" s="1054"/>
      <c r="N89" s="1039">
        <f t="shared" ca="1" si="7"/>
        <v>0</v>
      </c>
      <c r="O89" s="1040" t="e">
        <f>係数!J89</f>
        <v>#N/A</v>
      </c>
      <c r="P89" s="1040" t="e">
        <f>係数!K89</f>
        <v>#N/A</v>
      </c>
      <c r="Q89" s="1051" t="s">
        <v>2730</v>
      </c>
      <c r="R89" s="1055" t="str">
        <f>IF(ISNA(D89),"",ROUND((G89-K89)*O89*1000,0))</f>
        <v/>
      </c>
      <c r="S89" s="1055" t="str">
        <f>IF(ISNA(D89),"",ROUND((G89-K89)*P89*1000,0))</f>
        <v/>
      </c>
    </row>
    <row r="90" spans="2:19" ht="17.45" hidden="1" customHeight="1" outlineLevel="1">
      <c r="B90" s="2277"/>
      <c r="C90" s="2322"/>
      <c r="D90" s="2325"/>
      <c r="E90" s="2326"/>
      <c r="F90" s="1053" t="s">
        <v>2731</v>
      </c>
      <c r="G90" s="1095">
        <f ca="1">INDIRECT($R$19&amp;"!"&amp;$P$19&amp;ROW('使用量_1,2'!K90))</f>
        <v>0</v>
      </c>
      <c r="H90" s="1036" t="s">
        <v>4245</v>
      </c>
      <c r="I90" s="1043">
        <f>係数!G90</f>
        <v>9.2799999999999994</v>
      </c>
      <c r="J90" s="1102">
        <f t="shared" ca="1" si="6"/>
        <v>0</v>
      </c>
      <c r="K90" s="1094">
        <f ca="1">INDIRECT($S$19&amp;"!"&amp;$P$19&amp;ROW('使用量_1,2'!O90))</f>
        <v>0</v>
      </c>
      <c r="L90" s="1036" t="s">
        <v>4245</v>
      </c>
      <c r="M90" s="1054"/>
      <c r="N90" s="1039">
        <f t="shared" ca="1" si="7"/>
        <v>0</v>
      </c>
      <c r="O90" s="1040" t="e">
        <f>係数!J90</f>
        <v>#N/A</v>
      </c>
      <c r="P90" s="1040" t="e">
        <f>係数!K90</f>
        <v>#N/A</v>
      </c>
      <c r="Q90" s="1051" t="s">
        <v>2730</v>
      </c>
      <c r="R90" s="1055" t="str">
        <f>IF(ISNA(D89),"",ROUND((G90-K90)*O90*1000,0))</f>
        <v/>
      </c>
      <c r="S90" s="1055" t="str">
        <f>IF(ISNA(D89),"",ROUND((G90-K90)*P90*1000,0))</f>
        <v/>
      </c>
    </row>
    <row r="91" spans="2:19" ht="17.45" hidden="1" customHeight="1" outlineLevel="1">
      <c r="B91" s="2277"/>
      <c r="C91" s="2321" t="str">
        <f>'使用量_1,2'!C91</f>
        <v>登録番号+メニュー</v>
      </c>
      <c r="D91" s="2323" t="e">
        <f>'使用量_1,2'!E91</f>
        <v>#N/A</v>
      </c>
      <c r="E91" s="2324"/>
      <c r="F91" s="1053" t="s">
        <v>2728</v>
      </c>
      <c r="G91" s="1095">
        <f ca="1">INDIRECT($R$19&amp;"!"&amp;$P$19&amp;ROW('使用量_1,2'!K91))</f>
        <v>0</v>
      </c>
      <c r="H91" s="1036" t="s">
        <v>4245</v>
      </c>
      <c r="I91" s="1043">
        <f>係数!G91</f>
        <v>9.9700000000000006</v>
      </c>
      <c r="J91" s="1102">
        <f t="shared" ca="1" si="6"/>
        <v>0</v>
      </c>
      <c r="K91" s="1094">
        <f ca="1">INDIRECT($S$19&amp;"!"&amp;$P$19&amp;ROW('使用量_1,2'!O91))</f>
        <v>0</v>
      </c>
      <c r="L91" s="1036" t="s">
        <v>4245</v>
      </c>
      <c r="M91" s="1054"/>
      <c r="N91" s="1039">
        <f t="shared" ca="1" si="7"/>
        <v>0</v>
      </c>
      <c r="O91" s="1040" t="e">
        <f>係数!J91</f>
        <v>#N/A</v>
      </c>
      <c r="P91" s="1040" t="e">
        <f>係数!K91</f>
        <v>#N/A</v>
      </c>
      <c r="Q91" s="1051" t="s">
        <v>2730</v>
      </c>
      <c r="R91" s="1055" t="str">
        <f>IF(ISNA(D91),"",ROUND((G91-K91)*O91*1000,0))</f>
        <v/>
      </c>
      <c r="S91" s="1055" t="str">
        <f>IF(ISNA(D91),"",ROUND((G91-K91)*P91*1000,0))</f>
        <v/>
      </c>
    </row>
    <row r="92" spans="2:19" ht="17.45" hidden="1" customHeight="1" outlineLevel="1">
      <c r="B92" s="2277"/>
      <c r="C92" s="2322"/>
      <c r="D92" s="2325"/>
      <c r="E92" s="2326"/>
      <c r="F92" s="1053" t="s">
        <v>2731</v>
      </c>
      <c r="G92" s="1095">
        <f ca="1">INDIRECT($R$19&amp;"!"&amp;$P$19&amp;ROW('使用量_1,2'!K92))</f>
        <v>0</v>
      </c>
      <c r="H92" s="1036" t="s">
        <v>4245</v>
      </c>
      <c r="I92" s="1043">
        <f>係数!G92</f>
        <v>9.2799999999999994</v>
      </c>
      <c r="J92" s="1102">
        <f t="shared" ca="1" si="6"/>
        <v>0</v>
      </c>
      <c r="K92" s="1094">
        <f ca="1">INDIRECT($S$19&amp;"!"&amp;$P$19&amp;ROW('使用量_1,2'!O92))</f>
        <v>0</v>
      </c>
      <c r="L92" s="1036" t="s">
        <v>4245</v>
      </c>
      <c r="M92" s="1054"/>
      <c r="N92" s="1039">
        <f t="shared" ca="1" si="7"/>
        <v>0</v>
      </c>
      <c r="O92" s="1040" t="e">
        <f>係数!J92</f>
        <v>#N/A</v>
      </c>
      <c r="P92" s="1040" t="e">
        <f>係数!K92</f>
        <v>#N/A</v>
      </c>
      <c r="Q92" s="1051" t="s">
        <v>2730</v>
      </c>
      <c r="R92" s="1055" t="str">
        <f>IF(ISNA(D91),"",ROUND((G92-K92)*O92*1000,0))</f>
        <v/>
      </c>
      <c r="S92" s="1055" t="str">
        <f>IF(ISNA(D91),"",ROUND((G92-K92)*P92*1000,0))</f>
        <v/>
      </c>
    </row>
    <row r="93" spans="2:19" ht="17.45" hidden="1" customHeight="1" outlineLevel="1">
      <c r="B93" s="2277"/>
      <c r="C93" s="2321" t="str">
        <f>'使用量_1,2'!C93</f>
        <v>登録番号+メニュー</v>
      </c>
      <c r="D93" s="2323" t="e">
        <f>'使用量_1,2'!E93</f>
        <v>#N/A</v>
      </c>
      <c r="E93" s="2324"/>
      <c r="F93" s="1053" t="s">
        <v>2728</v>
      </c>
      <c r="G93" s="1095">
        <f ca="1">INDIRECT($R$19&amp;"!"&amp;$P$19&amp;ROW('使用量_1,2'!K93))</f>
        <v>0</v>
      </c>
      <c r="H93" s="1036" t="s">
        <v>4245</v>
      </c>
      <c r="I93" s="1043">
        <f>係数!G93</f>
        <v>9.9700000000000006</v>
      </c>
      <c r="J93" s="1102">
        <f t="shared" ca="1" si="6"/>
        <v>0</v>
      </c>
      <c r="K93" s="1094">
        <f ca="1">INDIRECT($S$19&amp;"!"&amp;$P$19&amp;ROW('使用量_1,2'!O93))</f>
        <v>0</v>
      </c>
      <c r="L93" s="1036" t="s">
        <v>4245</v>
      </c>
      <c r="M93" s="1054"/>
      <c r="N93" s="1039">
        <f t="shared" ca="1" si="7"/>
        <v>0</v>
      </c>
      <c r="O93" s="1040" t="e">
        <f>係数!J93</f>
        <v>#N/A</v>
      </c>
      <c r="P93" s="1040" t="e">
        <f>係数!K93</f>
        <v>#N/A</v>
      </c>
      <c r="Q93" s="1051" t="s">
        <v>2730</v>
      </c>
      <c r="R93" s="1055" t="str">
        <f>IF(ISNA(D93),"",ROUND((G93-K93)*O93*1000,0))</f>
        <v/>
      </c>
      <c r="S93" s="1055" t="str">
        <f>IF(ISNA(D93),"",ROUND((G93-K93)*P93*1000,0))</f>
        <v/>
      </c>
    </row>
    <row r="94" spans="2:19" ht="17.45" hidden="1" customHeight="1" outlineLevel="1">
      <c r="B94" s="2277"/>
      <c r="C94" s="2322"/>
      <c r="D94" s="2325"/>
      <c r="E94" s="2326"/>
      <c r="F94" s="1053" t="s">
        <v>2731</v>
      </c>
      <c r="G94" s="1095">
        <f ca="1">INDIRECT($R$19&amp;"!"&amp;$P$19&amp;ROW('使用量_1,2'!K94))</f>
        <v>0</v>
      </c>
      <c r="H94" s="1036" t="s">
        <v>4245</v>
      </c>
      <c r="I94" s="1043">
        <f>係数!G94</f>
        <v>9.2799999999999994</v>
      </c>
      <c r="J94" s="1102">
        <f t="shared" ca="1" si="6"/>
        <v>0</v>
      </c>
      <c r="K94" s="1094">
        <f ca="1">INDIRECT($S$19&amp;"!"&amp;$P$19&amp;ROW('使用量_1,2'!O94))</f>
        <v>0</v>
      </c>
      <c r="L94" s="1036" t="s">
        <v>4245</v>
      </c>
      <c r="M94" s="1054"/>
      <c r="N94" s="1039">
        <f t="shared" ca="1" si="7"/>
        <v>0</v>
      </c>
      <c r="O94" s="1040" t="e">
        <f>係数!J94</f>
        <v>#N/A</v>
      </c>
      <c r="P94" s="1040" t="e">
        <f>係数!K94</f>
        <v>#N/A</v>
      </c>
      <c r="Q94" s="1051" t="s">
        <v>2730</v>
      </c>
      <c r="R94" s="1055" t="str">
        <f>IF(ISNA(D93),"",ROUND((G94-K94)*O94*1000,0))</f>
        <v/>
      </c>
      <c r="S94" s="1055" t="str">
        <f>IF(ISNA(D93),"",ROUND((G94-K94)*P94*1000,0))</f>
        <v/>
      </c>
    </row>
    <row r="95" spans="2:19" ht="17.45" hidden="1" customHeight="1" outlineLevel="1">
      <c r="B95" s="2277"/>
      <c r="C95" s="2321" t="str">
        <f>'使用量_1,2'!C95</f>
        <v>登録番号+メニュー</v>
      </c>
      <c r="D95" s="2323" t="e">
        <f>'使用量_1,2'!E95</f>
        <v>#N/A</v>
      </c>
      <c r="E95" s="2324"/>
      <c r="F95" s="1053" t="s">
        <v>2728</v>
      </c>
      <c r="G95" s="1095">
        <f ca="1">INDIRECT($R$19&amp;"!"&amp;$P$19&amp;ROW('使用量_1,2'!K95))</f>
        <v>0</v>
      </c>
      <c r="H95" s="1036" t="s">
        <v>4245</v>
      </c>
      <c r="I95" s="1043">
        <f>係数!G95</f>
        <v>9.9700000000000006</v>
      </c>
      <c r="J95" s="1102">
        <f t="shared" ca="1" si="6"/>
        <v>0</v>
      </c>
      <c r="K95" s="1094">
        <f ca="1">INDIRECT($S$19&amp;"!"&amp;$P$19&amp;ROW('使用量_1,2'!O95))</f>
        <v>0</v>
      </c>
      <c r="L95" s="1036" t="s">
        <v>4245</v>
      </c>
      <c r="M95" s="1054"/>
      <c r="N95" s="1039">
        <f t="shared" ca="1" si="7"/>
        <v>0</v>
      </c>
      <c r="O95" s="1040" t="e">
        <f>係数!J95</f>
        <v>#N/A</v>
      </c>
      <c r="P95" s="1040" t="e">
        <f>係数!K95</f>
        <v>#N/A</v>
      </c>
      <c r="Q95" s="1051" t="s">
        <v>2730</v>
      </c>
      <c r="R95" s="1055" t="str">
        <f>IF(ISNA(D95),"",ROUND((G95-K95)*O95*1000,0))</f>
        <v/>
      </c>
      <c r="S95" s="1055" t="str">
        <f>IF(ISNA(D95),"",ROUND((G95-K95)*P95*1000,0))</f>
        <v/>
      </c>
    </row>
    <row r="96" spans="2:19" ht="17.45" hidden="1" customHeight="1" outlineLevel="1">
      <c r="B96" s="2277"/>
      <c r="C96" s="2322"/>
      <c r="D96" s="2325"/>
      <c r="E96" s="2326"/>
      <c r="F96" s="1053" t="s">
        <v>2731</v>
      </c>
      <c r="G96" s="1095">
        <f ca="1">INDIRECT($R$19&amp;"!"&amp;$P$19&amp;ROW('使用量_1,2'!K96))</f>
        <v>0</v>
      </c>
      <c r="H96" s="1036" t="s">
        <v>4245</v>
      </c>
      <c r="I96" s="1043">
        <f>係数!G96</f>
        <v>9.2799999999999994</v>
      </c>
      <c r="J96" s="1102">
        <f t="shared" ca="1" si="6"/>
        <v>0</v>
      </c>
      <c r="K96" s="1094">
        <f ca="1">INDIRECT($S$19&amp;"!"&amp;$P$19&amp;ROW('使用量_1,2'!O96))</f>
        <v>0</v>
      </c>
      <c r="L96" s="1036" t="s">
        <v>4245</v>
      </c>
      <c r="M96" s="1054"/>
      <c r="N96" s="1039">
        <f t="shared" ca="1" si="7"/>
        <v>0</v>
      </c>
      <c r="O96" s="1040" t="e">
        <f>係数!J96</f>
        <v>#N/A</v>
      </c>
      <c r="P96" s="1040" t="e">
        <f>係数!K96</f>
        <v>#N/A</v>
      </c>
      <c r="Q96" s="1051" t="s">
        <v>2730</v>
      </c>
      <c r="R96" s="1055" t="str">
        <f>IF(ISNA(D95),"",ROUND((G96-K96)*O96*1000,0))</f>
        <v/>
      </c>
      <c r="S96" s="1055" t="str">
        <f>IF(ISNA(D95),"",ROUND((G96-K96)*P96*1000,0))</f>
        <v/>
      </c>
    </row>
    <row r="97" spans="2:19" ht="17.45" hidden="1" customHeight="1" outlineLevel="1">
      <c r="B97" s="2277"/>
      <c r="C97" s="2321" t="str">
        <f>'使用量_1,2'!C97</f>
        <v>登録番号+メニュー</v>
      </c>
      <c r="D97" s="2323" t="e">
        <f>'使用量_1,2'!E97</f>
        <v>#N/A</v>
      </c>
      <c r="E97" s="2324"/>
      <c r="F97" s="1053" t="s">
        <v>2728</v>
      </c>
      <c r="G97" s="1095">
        <f ca="1">INDIRECT($R$19&amp;"!"&amp;$P$19&amp;ROW('使用量_1,2'!K97))</f>
        <v>0</v>
      </c>
      <c r="H97" s="1036" t="s">
        <v>4245</v>
      </c>
      <c r="I97" s="1043">
        <f>係数!G97</f>
        <v>9.9700000000000006</v>
      </c>
      <c r="J97" s="1102">
        <f t="shared" ca="1" si="6"/>
        <v>0</v>
      </c>
      <c r="K97" s="1094">
        <f ca="1">INDIRECT($S$19&amp;"!"&amp;$P$19&amp;ROW('使用量_1,2'!O97))</f>
        <v>0</v>
      </c>
      <c r="L97" s="1036" t="s">
        <v>4245</v>
      </c>
      <c r="M97" s="1054"/>
      <c r="N97" s="1039">
        <f t="shared" ca="1" si="7"/>
        <v>0</v>
      </c>
      <c r="O97" s="1040" t="e">
        <f>係数!J97</f>
        <v>#N/A</v>
      </c>
      <c r="P97" s="1040" t="e">
        <f>係数!K97</f>
        <v>#N/A</v>
      </c>
      <c r="Q97" s="1051" t="s">
        <v>2730</v>
      </c>
      <c r="R97" s="1055" t="str">
        <f>IF(ISNA(D97),"",ROUND((G97-K97)*O97*1000,0))</f>
        <v/>
      </c>
      <c r="S97" s="1055" t="str">
        <f>IF(ISNA(D97),"",ROUND((G97-K97)*P97*1000,0))</f>
        <v/>
      </c>
    </row>
    <row r="98" spans="2:19" ht="17.45" hidden="1" customHeight="1" outlineLevel="1">
      <c r="B98" s="2277"/>
      <c r="C98" s="2322"/>
      <c r="D98" s="2325"/>
      <c r="E98" s="2326"/>
      <c r="F98" s="1053" t="s">
        <v>2731</v>
      </c>
      <c r="G98" s="1095">
        <f ca="1">INDIRECT($R$19&amp;"!"&amp;$P$19&amp;ROW('使用量_1,2'!K98))</f>
        <v>0</v>
      </c>
      <c r="H98" s="1036" t="s">
        <v>4245</v>
      </c>
      <c r="I98" s="1043">
        <f>係数!G98</f>
        <v>9.2799999999999994</v>
      </c>
      <c r="J98" s="1102">
        <f t="shared" ca="1" si="6"/>
        <v>0</v>
      </c>
      <c r="K98" s="1094">
        <f ca="1">INDIRECT($S$19&amp;"!"&amp;$P$19&amp;ROW('使用量_1,2'!O98))</f>
        <v>0</v>
      </c>
      <c r="L98" s="1036" t="s">
        <v>4245</v>
      </c>
      <c r="M98" s="1054"/>
      <c r="N98" s="1039">
        <f t="shared" ca="1" si="7"/>
        <v>0</v>
      </c>
      <c r="O98" s="1040" t="e">
        <f>係数!J98</f>
        <v>#N/A</v>
      </c>
      <c r="P98" s="1040" t="e">
        <f>係数!K98</f>
        <v>#N/A</v>
      </c>
      <c r="Q98" s="1051" t="s">
        <v>2730</v>
      </c>
      <c r="R98" s="1055" t="str">
        <f>IF(ISNA(D97),"",ROUND((G98-K98)*O98*1000,0))</f>
        <v/>
      </c>
      <c r="S98" s="1055" t="str">
        <f>IF(ISNA(D97),"",ROUND((G98-K98)*P98*1000,0))</f>
        <v/>
      </c>
    </row>
    <row r="99" spans="2:19" ht="17.45" hidden="1" customHeight="1" outlineLevel="1">
      <c r="B99" s="2277"/>
      <c r="C99" s="2321" t="str">
        <f>'使用量_1,2'!C99</f>
        <v>登録番号+メニュー</v>
      </c>
      <c r="D99" s="2323" t="e">
        <f>'使用量_1,2'!E99</f>
        <v>#N/A</v>
      </c>
      <c r="E99" s="2324"/>
      <c r="F99" s="1053" t="s">
        <v>2728</v>
      </c>
      <c r="G99" s="1095">
        <f ca="1">INDIRECT($R$19&amp;"!"&amp;$P$19&amp;ROW('使用量_1,2'!K99))</f>
        <v>0</v>
      </c>
      <c r="H99" s="1036" t="s">
        <v>4245</v>
      </c>
      <c r="I99" s="1043">
        <f>係数!G99</f>
        <v>9.9700000000000006</v>
      </c>
      <c r="J99" s="1102">
        <f t="shared" ca="1" si="6"/>
        <v>0</v>
      </c>
      <c r="K99" s="1094">
        <f ca="1">INDIRECT($S$19&amp;"!"&amp;$P$19&amp;ROW('使用量_1,2'!O99))</f>
        <v>0</v>
      </c>
      <c r="L99" s="1036" t="s">
        <v>4245</v>
      </c>
      <c r="M99" s="1054"/>
      <c r="N99" s="1039">
        <f t="shared" ca="1" si="7"/>
        <v>0</v>
      </c>
      <c r="O99" s="1040" t="e">
        <f>係数!J99</f>
        <v>#N/A</v>
      </c>
      <c r="P99" s="1040" t="e">
        <f>係数!K99</f>
        <v>#N/A</v>
      </c>
      <c r="Q99" s="1051" t="s">
        <v>2730</v>
      </c>
      <c r="R99" s="1055" t="str">
        <f>IF(ISNA(D99),"",ROUND((G99-K99)*O99*1000,0))</f>
        <v/>
      </c>
      <c r="S99" s="1055" t="str">
        <f>IF(ISNA(D99),"",ROUND((G99-K99)*P99*1000,0))</f>
        <v/>
      </c>
    </row>
    <row r="100" spans="2:19" ht="17.45" hidden="1" customHeight="1" outlineLevel="1">
      <c r="B100" s="2277"/>
      <c r="C100" s="2322"/>
      <c r="D100" s="2325"/>
      <c r="E100" s="2326"/>
      <c r="F100" s="1053" t="s">
        <v>2731</v>
      </c>
      <c r="G100" s="1095">
        <f ca="1">INDIRECT($R$19&amp;"!"&amp;$P$19&amp;ROW('使用量_1,2'!K100))</f>
        <v>0</v>
      </c>
      <c r="H100" s="1036" t="s">
        <v>4245</v>
      </c>
      <c r="I100" s="1043">
        <f>係数!G100</f>
        <v>9.2799999999999994</v>
      </c>
      <c r="J100" s="1102">
        <f t="shared" ca="1" si="6"/>
        <v>0</v>
      </c>
      <c r="K100" s="1094">
        <f ca="1">INDIRECT($S$19&amp;"!"&amp;$P$19&amp;ROW('使用量_1,2'!O100))</f>
        <v>0</v>
      </c>
      <c r="L100" s="1036" t="s">
        <v>4245</v>
      </c>
      <c r="M100" s="1054"/>
      <c r="N100" s="1039">
        <f t="shared" ca="1" si="7"/>
        <v>0</v>
      </c>
      <c r="O100" s="1040" t="e">
        <f>係数!J100</f>
        <v>#N/A</v>
      </c>
      <c r="P100" s="1040" t="e">
        <f>係数!K100</f>
        <v>#N/A</v>
      </c>
      <c r="Q100" s="1051" t="s">
        <v>2730</v>
      </c>
      <c r="R100" s="1055" t="str">
        <f>IF(ISNA(D99),"",ROUND((G100-K100)*O100*1000,0))</f>
        <v/>
      </c>
      <c r="S100" s="1055" t="str">
        <f>IF(ISNA(D99),"",ROUND((G100-K100)*P100*1000,0))</f>
        <v/>
      </c>
    </row>
    <row r="101" spans="2:19" ht="17.45" hidden="1" customHeight="1" outlineLevel="1">
      <c r="B101" s="2277"/>
      <c r="C101" s="2321" t="str">
        <f>'使用量_1,2'!C101</f>
        <v>登録番号+メニュー</v>
      </c>
      <c r="D101" s="2323" t="e">
        <f>'使用量_1,2'!E101</f>
        <v>#N/A</v>
      </c>
      <c r="E101" s="2324"/>
      <c r="F101" s="1053" t="s">
        <v>2728</v>
      </c>
      <c r="G101" s="1095">
        <f ca="1">INDIRECT($R$19&amp;"!"&amp;$P$19&amp;ROW('使用量_1,2'!K101))</f>
        <v>0</v>
      </c>
      <c r="H101" s="1036" t="s">
        <v>4245</v>
      </c>
      <c r="I101" s="1043">
        <f>係数!G101</f>
        <v>9.9700000000000006</v>
      </c>
      <c r="J101" s="1102">
        <f t="shared" ca="1" si="6"/>
        <v>0</v>
      </c>
      <c r="K101" s="1094">
        <f ca="1">INDIRECT($S$19&amp;"!"&amp;$P$19&amp;ROW('使用量_1,2'!O101))</f>
        <v>0</v>
      </c>
      <c r="L101" s="1036" t="s">
        <v>4245</v>
      </c>
      <c r="M101" s="1054"/>
      <c r="N101" s="1039">
        <f t="shared" ca="1" si="7"/>
        <v>0</v>
      </c>
      <c r="O101" s="1040" t="e">
        <f>係数!J101</f>
        <v>#N/A</v>
      </c>
      <c r="P101" s="1040" t="e">
        <f>係数!K101</f>
        <v>#N/A</v>
      </c>
      <c r="Q101" s="1051" t="s">
        <v>2730</v>
      </c>
      <c r="R101" s="1055" t="str">
        <f>IF(ISNA(D101),"",ROUND((G101-K101)*O101*1000,0))</f>
        <v/>
      </c>
      <c r="S101" s="1055" t="str">
        <f>IF(ISNA(D101),"",ROUND((G101-K101)*P101*1000,0))</f>
        <v/>
      </c>
    </row>
    <row r="102" spans="2:19" ht="17.45" hidden="1" customHeight="1" outlineLevel="1">
      <c r="B102" s="2277"/>
      <c r="C102" s="2322"/>
      <c r="D102" s="2325"/>
      <c r="E102" s="2326"/>
      <c r="F102" s="1053" t="s">
        <v>2731</v>
      </c>
      <c r="G102" s="1095">
        <f ca="1">INDIRECT($R$19&amp;"!"&amp;$P$19&amp;ROW('使用量_1,2'!K102))</f>
        <v>0</v>
      </c>
      <c r="H102" s="1036" t="s">
        <v>4245</v>
      </c>
      <c r="I102" s="1043">
        <f>係数!G102</f>
        <v>9.2799999999999994</v>
      </c>
      <c r="J102" s="1102">
        <f t="shared" ca="1" si="6"/>
        <v>0</v>
      </c>
      <c r="K102" s="1094">
        <f ca="1">INDIRECT($S$19&amp;"!"&amp;$P$19&amp;ROW('使用量_1,2'!O102))</f>
        <v>0</v>
      </c>
      <c r="L102" s="1036" t="s">
        <v>4245</v>
      </c>
      <c r="M102" s="1054"/>
      <c r="N102" s="1039">
        <f t="shared" ca="1" si="7"/>
        <v>0</v>
      </c>
      <c r="O102" s="1040" t="e">
        <f>係数!J102</f>
        <v>#N/A</v>
      </c>
      <c r="P102" s="1040" t="e">
        <f>係数!K102</f>
        <v>#N/A</v>
      </c>
      <c r="Q102" s="1051" t="s">
        <v>2730</v>
      </c>
      <c r="R102" s="1055" t="str">
        <f>IF(ISNA(D101),"",ROUND((G102-K102)*O102*1000,0))</f>
        <v/>
      </c>
      <c r="S102" s="1055" t="str">
        <f>IF(ISNA(D101),"",ROUND((G102-K102)*P102*1000,0))</f>
        <v/>
      </c>
    </row>
    <row r="103" spans="2:19" ht="17.45" hidden="1" customHeight="1" outlineLevel="1">
      <c r="B103" s="2277"/>
      <c r="C103" s="2321" t="str">
        <f>'使用量_1,2'!C103</f>
        <v>登録番号+メニュー</v>
      </c>
      <c r="D103" s="2323" t="e">
        <f>'使用量_1,2'!E103</f>
        <v>#N/A</v>
      </c>
      <c r="E103" s="2324"/>
      <c r="F103" s="1053" t="s">
        <v>2728</v>
      </c>
      <c r="G103" s="1095">
        <f ca="1">INDIRECT($R$19&amp;"!"&amp;$P$19&amp;ROW('使用量_1,2'!K103))</f>
        <v>0</v>
      </c>
      <c r="H103" s="1036" t="s">
        <v>4245</v>
      </c>
      <c r="I103" s="1043">
        <f>係数!G103</f>
        <v>9.9700000000000006</v>
      </c>
      <c r="J103" s="1102">
        <f t="shared" ca="1" si="6"/>
        <v>0</v>
      </c>
      <c r="K103" s="1094">
        <f ca="1">INDIRECT($S$19&amp;"!"&amp;$P$19&amp;ROW('使用量_1,2'!O103))</f>
        <v>0</v>
      </c>
      <c r="L103" s="1036" t="s">
        <v>4245</v>
      </c>
      <c r="M103" s="1054"/>
      <c r="N103" s="1039">
        <f t="shared" ca="1" si="7"/>
        <v>0</v>
      </c>
      <c r="O103" s="1040" t="e">
        <f>係数!J103</f>
        <v>#N/A</v>
      </c>
      <c r="P103" s="1040" t="e">
        <f>係数!K103</f>
        <v>#N/A</v>
      </c>
      <c r="Q103" s="1051" t="s">
        <v>2730</v>
      </c>
      <c r="R103" s="1055" t="str">
        <f>IF(ISNA(D103),"",ROUND((G103-K103)*O103*1000,0))</f>
        <v/>
      </c>
      <c r="S103" s="1055" t="str">
        <f>IF(ISNA(D103),"",ROUND((G103-K103)*P103*1000,0))</f>
        <v/>
      </c>
    </row>
    <row r="104" spans="2:19" ht="17.45" hidden="1" customHeight="1" outlineLevel="1">
      <c r="B104" s="2277"/>
      <c r="C104" s="2322"/>
      <c r="D104" s="2325"/>
      <c r="E104" s="2326"/>
      <c r="F104" s="1053" t="s">
        <v>2731</v>
      </c>
      <c r="G104" s="1095">
        <f ca="1">INDIRECT($R$19&amp;"!"&amp;$P$19&amp;ROW('使用量_1,2'!K104))</f>
        <v>0</v>
      </c>
      <c r="H104" s="1036" t="s">
        <v>4245</v>
      </c>
      <c r="I104" s="1043">
        <f>係数!G104</f>
        <v>9.2799999999999994</v>
      </c>
      <c r="J104" s="1102">
        <f t="shared" ca="1" si="6"/>
        <v>0</v>
      </c>
      <c r="K104" s="1094">
        <f ca="1">INDIRECT($S$19&amp;"!"&amp;$P$19&amp;ROW('使用量_1,2'!O104))</f>
        <v>0</v>
      </c>
      <c r="L104" s="1036" t="s">
        <v>4245</v>
      </c>
      <c r="M104" s="1054"/>
      <c r="N104" s="1039">
        <f t="shared" ca="1" si="7"/>
        <v>0</v>
      </c>
      <c r="O104" s="1040" t="e">
        <f>係数!J104</f>
        <v>#N/A</v>
      </c>
      <c r="P104" s="1040" t="e">
        <f>係数!K104</f>
        <v>#N/A</v>
      </c>
      <c r="Q104" s="1051" t="s">
        <v>2730</v>
      </c>
      <c r="R104" s="1055" t="str">
        <f>IF(ISNA(D103),"",ROUND((G104-K104)*O104*1000,0))</f>
        <v/>
      </c>
      <c r="S104" s="1055" t="str">
        <f>IF(ISNA(D103),"",ROUND((G104-K104)*P104*1000,0))</f>
        <v/>
      </c>
    </row>
    <row r="105" spans="2:19" ht="17.45" hidden="1" customHeight="1" outlineLevel="1">
      <c r="B105" s="2277"/>
      <c r="C105" s="2328" t="s">
        <v>4098</v>
      </c>
      <c r="D105" s="2329"/>
      <c r="E105" s="2329"/>
      <c r="F105" s="2330"/>
      <c r="G105" s="1047"/>
      <c r="H105" s="1052"/>
      <c r="I105" s="1097"/>
      <c r="J105" s="1047"/>
      <c r="K105" s="1098"/>
      <c r="L105" s="1052"/>
      <c r="M105" s="1099"/>
      <c r="N105" s="1050"/>
      <c r="O105" s="1100"/>
      <c r="P105" s="1100"/>
      <c r="Q105" s="1101"/>
      <c r="R105" s="1050"/>
      <c r="S105" s="1050"/>
    </row>
    <row r="106" spans="2:19" ht="17.45" hidden="1" customHeight="1" outlineLevel="1">
      <c r="B106" s="2277"/>
      <c r="C106" s="2318" t="str">
        <f>'使用量_1,2'!C106&amp;""</f>
        <v/>
      </c>
      <c r="D106" s="2319"/>
      <c r="E106" s="2319"/>
      <c r="F106" s="2320"/>
      <c r="G106" s="1095">
        <f ca="1">INDIRECT($R$19&amp;"!"&amp;$P$19&amp;ROW('使用量_1,2'!K106))</f>
        <v>0</v>
      </c>
      <c r="H106" s="1036" t="s">
        <v>4245</v>
      </c>
      <c r="I106" s="1043">
        <f>係数!G106</f>
        <v>9.76</v>
      </c>
      <c r="J106" s="1102">
        <f t="shared" ref="J106:J110" ca="1" si="8">ROUND(ROUND(G106,0)*I106,0)</f>
        <v>0</v>
      </c>
      <c r="K106" s="1094">
        <f ca="1">INDIRECT($S$19&amp;"!"&amp;$P$19&amp;ROW('使用量_1,2'!O106))</f>
        <v>0</v>
      </c>
      <c r="L106" s="1036" t="s">
        <v>4245</v>
      </c>
      <c r="M106" s="1054"/>
      <c r="N106" s="1039"/>
      <c r="O106" s="1040">
        <f>係数!J106</f>
        <v>0</v>
      </c>
      <c r="P106" s="1040">
        <f>係数!K106</f>
        <v>0</v>
      </c>
      <c r="Q106" s="1051"/>
      <c r="R106" s="1055">
        <f ca="1">IF(ISNA(C106),"",ROUND((G106-K106)*O106*1000,0))</f>
        <v>0</v>
      </c>
      <c r="S106" s="1055">
        <f ca="1">IF(ISNA(C106),"",ROUND((G106-K106)*P106*1000,0))</f>
        <v>0</v>
      </c>
    </row>
    <row r="107" spans="2:19" ht="17.45" hidden="1" customHeight="1" outlineLevel="1">
      <c r="B107" s="2277"/>
      <c r="C107" s="2318" t="str">
        <f>'使用量_1,2'!C107&amp;""</f>
        <v/>
      </c>
      <c r="D107" s="2319"/>
      <c r="E107" s="2319"/>
      <c r="F107" s="2320"/>
      <c r="G107" s="1095">
        <f ca="1">INDIRECT($R$19&amp;"!"&amp;$P$19&amp;ROW('使用量_1,2'!K107))</f>
        <v>0</v>
      </c>
      <c r="H107" s="1036" t="s">
        <v>4245</v>
      </c>
      <c r="I107" s="1043">
        <f>係数!G107</f>
        <v>9.76</v>
      </c>
      <c r="J107" s="1102">
        <f t="shared" ca="1" si="8"/>
        <v>0</v>
      </c>
      <c r="K107" s="1094">
        <f ca="1">INDIRECT($S$19&amp;"!"&amp;$P$19&amp;ROW('使用量_1,2'!O107))</f>
        <v>0</v>
      </c>
      <c r="L107" s="1036" t="s">
        <v>4245</v>
      </c>
      <c r="M107" s="1054"/>
      <c r="N107" s="1039"/>
      <c r="O107" s="1040">
        <f>係数!J107</f>
        <v>0</v>
      </c>
      <c r="P107" s="1040">
        <f>係数!K107</f>
        <v>0</v>
      </c>
      <c r="Q107" s="1051"/>
      <c r="R107" s="1055">
        <f t="shared" ref="R107:R110" ca="1" si="9">IF(ISNA(C107),"",ROUND((G107-K107)*O107*1000,0))</f>
        <v>0</v>
      </c>
      <c r="S107" s="1055">
        <f t="shared" ref="S107:S110" ca="1" si="10">IF(ISNA(C107),"",ROUND((G107-K107)*P107*1000,0))</f>
        <v>0</v>
      </c>
    </row>
    <row r="108" spans="2:19" ht="17.45" hidden="1" customHeight="1" outlineLevel="1">
      <c r="B108" s="2277"/>
      <c r="C108" s="2318" t="str">
        <f>'使用量_1,2'!C108&amp;""</f>
        <v/>
      </c>
      <c r="D108" s="2319"/>
      <c r="E108" s="2319"/>
      <c r="F108" s="2320"/>
      <c r="G108" s="1095">
        <f ca="1">INDIRECT($R$19&amp;"!"&amp;$P$19&amp;ROW('使用量_1,2'!K108))</f>
        <v>0</v>
      </c>
      <c r="H108" s="1036" t="s">
        <v>4245</v>
      </c>
      <c r="I108" s="1043">
        <f>係数!G108</f>
        <v>9.76</v>
      </c>
      <c r="J108" s="1102">
        <f t="shared" ca="1" si="8"/>
        <v>0</v>
      </c>
      <c r="K108" s="1094">
        <f ca="1">INDIRECT($S$19&amp;"!"&amp;$P$19&amp;ROW('使用量_1,2'!O108))</f>
        <v>0</v>
      </c>
      <c r="L108" s="1036" t="s">
        <v>4245</v>
      </c>
      <c r="M108" s="1054"/>
      <c r="N108" s="1039"/>
      <c r="O108" s="1040">
        <f>係数!J108</f>
        <v>0</v>
      </c>
      <c r="P108" s="1040">
        <f>係数!K108</f>
        <v>0</v>
      </c>
      <c r="Q108" s="1051"/>
      <c r="R108" s="1055">
        <f t="shared" ca="1" si="9"/>
        <v>0</v>
      </c>
      <c r="S108" s="1055">
        <f t="shared" ca="1" si="10"/>
        <v>0</v>
      </c>
    </row>
    <row r="109" spans="2:19" ht="17.45" hidden="1" customHeight="1" outlineLevel="1">
      <c r="B109" s="2277"/>
      <c r="C109" s="2318" t="str">
        <f>'使用量_1,2'!C109&amp;""</f>
        <v/>
      </c>
      <c r="D109" s="2319"/>
      <c r="E109" s="2319"/>
      <c r="F109" s="2320"/>
      <c r="G109" s="1095">
        <f ca="1">INDIRECT($R$19&amp;"!"&amp;$P$19&amp;ROW('使用量_1,2'!K109))</f>
        <v>0</v>
      </c>
      <c r="H109" s="1036" t="s">
        <v>4245</v>
      </c>
      <c r="I109" s="1043">
        <f>係数!G109</f>
        <v>9.76</v>
      </c>
      <c r="J109" s="1102">
        <f t="shared" ca="1" si="8"/>
        <v>0</v>
      </c>
      <c r="K109" s="1094">
        <f ca="1">INDIRECT($S$19&amp;"!"&amp;$P$19&amp;ROW('使用量_1,2'!O109))</f>
        <v>0</v>
      </c>
      <c r="L109" s="1036" t="s">
        <v>4245</v>
      </c>
      <c r="M109" s="1054"/>
      <c r="N109" s="1039">
        <f t="shared" ca="1" si="7"/>
        <v>0</v>
      </c>
      <c r="O109" s="1040">
        <f>係数!J109</f>
        <v>0</v>
      </c>
      <c r="P109" s="1040">
        <f>係数!K109</f>
        <v>0</v>
      </c>
      <c r="Q109" s="1051" t="s">
        <v>2730</v>
      </c>
      <c r="R109" s="1055">
        <f t="shared" ca="1" si="9"/>
        <v>0</v>
      </c>
      <c r="S109" s="1055">
        <f t="shared" ca="1" si="10"/>
        <v>0</v>
      </c>
    </row>
    <row r="110" spans="2:19" ht="17.45" hidden="1" customHeight="1" outlineLevel="1">
      <c r="B110" s="2277"/>
      <c r="C110" s="2318" t="str">
        <f>'使用量_1,2'!C110&amp;""</f>
        <v/>
      </c>
      <c r="D110" s="2319"/>
      <c r="E110" s="2319"/>
      <c r="F110" s="2320"/>
      <c r="G110" s="1095">
        <f ca="1">INDIRECT($R$19&amp;"!"&amp;$P$19&amp;ROW('使用量_1,2'!K110))</f>
        <v>0</v>
      </c>
      <c r="H110" s="1036" t="s">
        <v>4245</v>
      </c>
      <c r="I110" s="1090">
        <f>係数!G110</f>
        <v>9.76</v>
      </c>
      <c r="J110" s="1102">
        <f t="shared" ca="1" si="8"/>
        <v>0</v>
      </c>
      <c r="K110" s="1094">
        <f ca="1">INDIRECT($S$19&amp;"!"&amp;$P$19&amp;ROW('使用量_1,2'!O110))</f>
        <v>0</v>
      </c>
      <c r="L110" s="1036" t="s">
        <v>4245</v>
      </c>
      <c r="M110" s="1091"/>
      <c r="N110" s="1092"/>
      <c r="O110" s="1040">
        <f>係数!J110</f>
        <v>0</v>
      </c>
      <c r="P110" s="1040">
        <f>係数!K110</f>
        <v>0</v>
      </c>
      <c r="Q110" s="1093"/>
      <c r="R110" s="1055">
        <f t="shared" ca="1" si="9"/>
        <v>0</v>
      </c>
      <c r="S110" s="1055">
        <f t="shared" ca="1" si="10"/>
        <v>0</v>
      </c>
    </row>
    <row r="111" spans="2:19" ht="17.45" customHeight="1" thickBot="1">
      <c r="B111" s="2277"/>
      <c r="C111" s="2311" t="s">
        <v>2721</v>
      </c>
      <c r="D111" s="2311"/>
      <c r="E111" s="2311"/>
      <c r="F111" s="2311"/>
      <c r="G111" s="1056">
        <f ca="1">SUM(G65:G109)</f>
        <v>0</v>
      </c>
      <c r="H111" s="1057" t="s">
        <v>4245</v>
      </c>
      <c r="I111" s="1058"/>
      <c r="J111" s="1059">
        <f ca="1">SUM(J65:J109)</f>
        <v>0</v>
      </c>
      <c r="K111" s="1060"/>
      <c r="L111" s="1061" t="s">
        <v>4246</v>
      </c>
      <c r="M111" s="1062"/>
      <c r="N111" s="1063"/>
      <c r="O111" s="1063"/>
      <c r="P111" s="1063"/>
      <c r="Q111" s="1064"/>
      <c r="R111" s="1065">
        <f ca="1">SUM(R65:R109)</f>
        <v>0</v>
      </c>
      <c r="S111" s="1065">
        <f ca="1">SUM(S65:S109)</f>
        <v>0</v>
      </c>
    </row>
    <row r="112" spans="2:19" ht="17.45" customHeight="1" thickTop="1">
      <c r="B112" s="2312" t="s">
        <v>4247</v>
      </c>
      <c r="C112" s="2313"/>
      <c r="D112" s="2313"/>
      <c r="E112" s="2313"/>
      <c r="F112" s="2314"/>
      <c r="G112" s="1066"/>
      <c r="H112" s="1067"/>
      <c r="I112" s="1068"/>
      <c r="J112" s="1069">
        <f ca="1">ROUND(J58+J63+J111,0)</f>
        <v>0</v>
      </c>
      <c r="K112" s="1070"/>
      <c r="L112" s="1071"/>
      <c r="M112" s="1072"/>
      <c r="N112" s="1070"/>
      <c r="O112" s="1073"/>
      <c r="P112" s="1074"/>
      <c r="Q112" s="1071"/>
      <c r="R112" s="1074">
        <f ca="1">+R58+R63+R111</f>
        <v>0</v>
      </c>
      <c r="S112" s="1074">
        <f ca="1">+S58+S63+S111</f>
        <v>0</v>
      </c>
    </row>
    <row r="113" spans="2:19" ht="13.5" customHeight="1">
      <c r="B113" s="2315" t="s">
        <v>4248</v>
      </c>
      <c r="C113" s="2315"/>
      <c r="D113" s="2315"/>
      <c r="E113" s="2315"/>
      <c r="F113" s="2315"/>
      <c r="G113" s="2315"/>
      <c r="H113" s="2315"/>
      <c r="I113" s="2315"/>
      <c r="J113" s="2315"/>
      <c r="K113" s="2315"/>
      <c r="L113" s="2315"/>
      <c r="M113" s="2315"/>
      <c r="N113" s="2315"/>
      <c r="O113" s="2315"/>
      <c r="P113" s="2315"/>
      <c r="Q113" s="2315"/>
      <c r="R113" s="2315"/>
      <c r="S113" s="2315"/>
    </row>
    <row r="114" spans="2:19">
      <c r="B114" s="2315"/>
      <c r="C114" s="2315"/>
      <c r="D114" s="2315"/>
      <c r="E114" s="2315"/>
      <c r="F114" s="2315"/>
      <c r="G114" s="2315"/>
      <c r="H114" s="2315"/>
      <c r="I114" s="2315"/>
      <c r="J114" s="2315"/>
      <c r="K114" s="2315"/>
      <c r="L114" s="2315"/>
      <c r="M114" s="2315"/>
      <c r="N114" s="2315"/>
      <c r="O114" s="2315"/>
      <c r="P114" s="2315"/>
      <c r="Q114" s="2315"/>
      <c r="R114" s="2315"/>
      <c r="S114" s="2315"/>
    </row>
    <row r="115" spans="2:19" ht="14.25">
      <c r="B115" s="1032" t="s">
        <v>4249</v>
      </c>
      <c r="C115" s="1075"/>
      <c r="D115" s="1075"/>
      <c r="E115" s="1075"/>
      <c r="F115" s="1076"/>
      <c r="G115" s="1075"/>
      <c r="H115" s="1077"/>
      <c r="I115" s="1077"/>
      <c r="J115" s="1078"/>
      <c r="K115" s="1079"/>
      <c r="L115" s="1080"/>
      <c r="M115" s="1079"/>
      <c r="N115" s="1075"/>
      <c r="O115" s="1075"/>
      <c r="P115" s="1075"/>
      <c r="Q115" s="1080"/>
      <c r="R115" s="1081"/>
    </row>
    <row r="116" spans="2:19">
      <c r="E116" s="1017"/>
      <c r="F116" s="1017"/>
      <c r="G116" s="101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1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15"/>
  <conditionalFormatting sqref="R22:S22 F65 D65">
    <cfRule type="containsErrors" dxfId="321" priority="8">
      <formula>ISERROR(D22)</formula>
    </cfRule>
  </conditionalFormatting>
  <conditionalFormatting sqref="B111:S112 B65:C65 Q65:Q110 H105:N105 H65:I104 L65:N104 H106:I110 L106:N110 B66:B110 F66:F104">
    <cfRule type="containsErrors" dxfId="320" priority="7">
      <formula>ISERROR(B65)</formula>
    </cfRule>
  </conditionalFormatting>
  <conditionalFormatting sqref="O105:P105">
    <cfRule type="containsErrors" dxfId="319" priority="6">
      <formula>ISERROR(O105)</formula>
    </cfRule>
  </conditionalFormatting>
  <conditionalFormatting sqref="R65:S110">
    <cfRule type="containsErrors" dxfId="318" priority="5">
      <formula>ISERROR(R65)</formula>
    </cfRule>
  </conditionalFormatting>
  <conditionalFormatting sqref="C106">
    <cfRule type="containsErrors" dxfId="317" priority="4">
      <formula>ISERROR(C106)</formula>
    </cfRule>
  </conditionalFormatting>
  <conditionalFormatting sqref="C107:C110">
    <cfRule type="containsErrors" dxfId="316" priority="3">
      <formula>ISERROR(C107)</formula>
    </cfRule>
  </conditionalFormatting>
  <conditionalFormatting sqref="D67 D69 D71 D73 D75 D77 D79 D81 D83 D85 D87 D89 D91 D93 D95 D97 D99 D101 D103">
    <cfRule type="containsErrors" dxfId="315" priority="2">
      <formula>ISERROR(D67)</formula>
    </cfRule>
  </conditionalFormatting>
  <conditionalFormatting sqref="C67 C69 C71 C73 C75 C77 C79 C81 C83 C85 C87 C89 C91 C93 C95 C97 C99 C101 C103">
    <cfRule type="containsErrors" dxfId="314" priority="1">
      <formula>ISERROR(C67)</formula>
    </cfRule>
  </conditionalFormatting>
  <pageMargins left="0.7" right="0.7" top="0.75" bottom="0.75" header="0.3" footer="0.3"/>
  <pageSetup paperSize="9"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1"/>
  <dimension ref="A1:BQ252"/>
  <sheetViews>
    <sheetView zoomScale="80" zoomScaleNormal="80" workbookViewId="0">
      <pane xSplit="1" ySplit="1" topLeftCell="S38" activePane="bottomRight" state="frozen"/>
      <selection activeCell="W37" sqref="W37"/>
      <selection pane="topRight" activeCell="W37" sqref="W37"/>
      <selection pane="bottomLeft" activeCell="W37" sqref="W37"/>
      <selection pane="bottomRight" activeCell="AN38" sqref="AN38"/>
    </sheetView>
  </sheetViews>
  <sheetFormatPr defaultRowHeight="13.5"/>
  <cols>
    <col min="5" max="5" width="9.625" bestFit="1" customWidth="1"/>
  </cols>
  <sheetData>
    <row r="1" spans="1:69" ht="56.25">
      <c r="A1" s="462" t="s">
        <v>594</v>
      </c>
      <c r="B1" s="463" t="s">
        <v>595</v>
      </c>
      <c r="C1" s="464" t="s">
        <v>2586</v>
      </c>
      <c r="D1" s="465" t="s">
        <v>2587</v>
      </c>
      <c r="E1" s="466" t="s">
        <v>2588</v>
      </c>
      <c r="F1" s="467" t="s">
        <v>5987</v>
      </c>
      <c r="G1" s="468" t="s">
        <v>599</v>
      </c>
      <c r="H1" s="469" t="s">
        <v>132</v>
      </c>
      <c r="I1" s="470" t="s">
        <v>600</v>
      </c>
      <c r="J1" s="471" t="s">
        <v>601</v>
      </c>
      <c r="K1" s="472" t="s">
        <v>602</v>
      </c>
      <c r="L1" s="471" t="s">
        <v>603</v>
      </c>
      <c r="M1" s="473" t="s">
        <v>604</v>
      </c>
      <c r="N1" s="474" t="s">
        <v>605</v>
      </c>
      <c r="O1" s="473" t="s">
        <v>606</v>
      </c>
      <c r="P1" s="475" t="s">
        <v>607</v>
      </c>
      <c r="Q1" s="476" t="s">
        <v>608</v>
      </c>
      <c r="R1" s="476" t="s">
        <v>609</v>
      </c>
      <c r="S1" s="477" t="s">
        <v>5844</v>
      </c>
      <c r="T1" s="477" t="s">
        <v>5845</v>
      </c>
      <c r="U1" s="478" t="s">
        <v>2589</v>
      </c>
      <c r="V1" s="479" t="s">
        <v>610</v>
      </c>
      <c r="W1" s="479" t="s">
        <v>611</v>
      </c>
      <c r="X1" s="480" t="s">
        <v>612</v>
      </c>
      <c r="Y1" s="472" t="s">
        <v>613</v>
      </c>
      <c r="Z1" s="468" t="s">
        <v>614</v>
      </c>
      <c r="AA1" s="481" t="s">
        <v>2590</v>
      </c>
      <c r="AB1" s="472" t="s">
        <v>616</v>
      </c>
      <c r="AC1" s="468" t="s">
        <v>617</v>
      </c>
      <c r="AD1" s="482" t="s">
        <v>618</v>
      </c>
      <c r="AE1" s="470" t="s">
        <v>619</v>
      </c>
      <c r="AF1" s="470" t="s">
        <v>620</v>
      </c>
      <c r="AG1" s="468" t="s">
        <v>621</v>
      </c>
      <c r="AH1" s="482" t="s">
        <v>622</v>
      </c>
      <c r="AI1" s="468" t="s">
        <v>623</v>
      </c>
      <c r="AJ1" s="472" t="s">
        <v>624</v>
      </c>
      <c r="AK1" s="483" t="s">
        <v>665</v>
      </c>
      <c r="AL1" s="483" t="s">
        <v>2591</v>
      </c>
      <c r="AM1" s="468" t="s">
        <v>627</v>
      </c>
      <c r="AN1" s="484" t="s">
        <v>628</v>
      </c>
      <c r="AO1" s="482" t="s">
        <v>629</v>
      </c>
      <c r="AP1" s="468" t="s">
        <v>630</v>
      </c>
      <c r="AQ1" s="484" t="s">
        <v>2592</v>
      </c>
      <c r="AR1" s="468" t="s">
        <v>632</v>
      </c>
      <c r="AS1" s="484" t="s">
        <v>2593</v>
      </c>
      <c r="AT1" s="468" t="s">
        <v>634</v>
      </c>
      <c r="AU1" s="485" t="s">
        <v>635</v>
      </c>
      <c r="AV1" s="485" t="s">
        <v>2594</v>
      </c>
      <c r="AW1" s="486" t="s">
        <v>2595</v>
      </c>
      <c r="AX1" s="472" t="s">
        <v>624</v>
      </c>
      <c r="AY1" s="483" t="s">
        <v>665</v>
      </c>
      <c r="AZ1" s="483" t="s">
        <v>2591</v>
      </c>
      <c r="BA1" s="468" t="s">
        <v>627</v>
      </c>
      <c r="BB1" s="484" t="s">
        <v>628</v>
      </c>
      <c r="BC1" s="482" t="s">
        <v>629</v>
      </c>
      <c r="BD1" s="468" t="s">
        <v>630</v>
      </c>
      <c r="BE1" s="484" t="s">
        <v>2592</v>
      </c>
      <c r="BF1" s="468" t="s">
        <v>632</v>
      </c>
      <c r="BG1" s="484" t="s">
        <v>2593</v>
      </c>
      <c r="BH1" s="468" t="s">
        <v>634</v>
      </c>
      <c r="BI1" s="485" t="s">
        <v>635</v>
      </c>
      <c r="BJ1" s="485" t="s">
        <v>2594</v>
      </c>
      <c r="BK1" s="486" t="s">
        <v>2595</v>
      </c>
      <c r="BL1" s="1679" t="s">
        <v>4774</v>
      </c>
      <c r="BM1" s="1680" t="s">
        <v>4775</v>
      </c>
      <c r="BN1" s="1681" t="s">
        <v>4776</v>
      </c>
      <c r="BO1" s="1680" t="s">
        <v>4777</v>
      </c>
      <c r="BP1" s="1681" t="s">
        <v>4778</v>
      </c>
      <c r="BQ1" s="1680" t="s">
        <v>4779</v>
      </c>
    </row>
    <row r="2" spans="1:69" ht="409.5">
      <c r="A2" s="1787" t="s">
        <v>1249</v>
      </c>
      <c r="B2" s="1788" t="s">
        <v>1250</v>
      </c>
      <c r="C2" s="426">
        <v>2023</v>
      </c>
      <c r="D2" s="487" t="s">
        <v>5702</v>
      </c>
      <c r="E2" s="1789">
        <v>1075114</v>
      </c>
      <c r="F2" s="418" t="s">
        <v>1250</v>
      </c>
      <c r="G2" s="419">
        <v>45130</v>
      </c>
      <c r="H2" s="1790" t="s">
        <v>1251</v>
      </c>
      <c r="I2" s="1791" t="s">
        <v>1250</v>
      </c>
      <c r="J2" s="1792" t="s">
        <v>1252</v>
      </c>
      <c r="K2" s="1788" t="s">
        <v>1250</v>
      </c>
      <c r="L2" s="1792" t="s">
        <v>1253</v>
      </c>
      <c r="M2" s="1793" t="s">
        <v>1251</v>
      </c>
      <c r="N2" s="1790" t="s">
        <v>86</v>
      </c>
      <c r="O2" s="1793" t="s">
        <v>87</v>
      </c>
      <c r="P2" s="420"/>
      <c r="Q2" s="421"/>
      <c r="R2" s="421"/>
      <c r="S2" s="422" t="s">
        <v>5865</v>
      </c>
      <c r="T2" s="1794"/>
      <c r="U2" s="423">
        <v>1452.0498</v>
      </c>
      <c r="V2" s="424">
        <v>10</v>
      </c>
      <c r="W2" s="424">
        <v>0</v>
      </c>
      <c r="X2" s="425"/>
      <c r="Y2" s="426">
        <v>2023</v>
      </c>
      <c r="Z2" s="417">
        <v>2025</v>
      </c>
      <c r="AA2" s="1795" t="s">
        <v>5200</v>
      </c>
      <c r="AB2" s="427"/>
      <c r="AC2" s="1793"/>
      <c r="AD2" s="428" t="s">
        <v>5863</v>
      </c>
      <c r="AE2" s="1791" t="s">
        <v>1254</v>
      </c>
      <c r="AF2" s="1791" t="s">
        <v>1251</v>
      </c>
      <c r="AG2" s="1793" t="s">
        <v>1255</v>
      </c>
      <c r="AH2" s="428"/>
      <c r="AI2" s="1793"/>
      <c r="AJ2" s="429">
        <v>2022</v>
      </c>
      <c r="AK2" s="424">
        <v>2978</v>
      </c>
      <c r="AL2" s="424">
        <v>2974</v>
      </c>
      <c r="AM2" s="430">
        <v>5.3634367779036491</v>
      </c>
      <c r="AN2" s="1796" t="s">
        <v>1256</v>
      </c>
      <c r="AO2" s="432">
        <v>2025</v>
      </c>
      <c r="AP2" s="425">
        <v>2867</v>
      </c>
      <c r="AQ2" s="433">
        <v>3.72</v>
      </c>
      <c r="AR2" s="425">
        <v>2864</v>
      </c>
      <c r="AS2" s="433">
        <v>3.69</v>
      </c>
      <c r="AT2" s="434">
        <v>5.09</v>
      </c>
      <c r="AU2" s="1796" t="s">
        <v>1256</v>
      </c>
      <c r="AV2" s="435">
        <v>5.09</v>
      </c>
      <c r="AW2" s="1797" t="s">
        <v>5201</v>
      </c>
      <c r="AX2" s="429">
        <v>2022</v>
      </c>
      <c r="AY2" s="424">
        <v>0</v>
      </c>
      <c r="AZ2" s="424">
        <v>0</v>
      </c>
      <c r="BA2" s="430"/>
      <c r="BB2" s="431"/>
      <c r="BC2" s="432">
        <v>2025</v>
      </c>
      <c r="BD2" s="425"/>
      <c r="BE2" s="433"/>
      <c r="BF2" s="425"/>
      <c r="BG2" s="433"/>
      <c r="BH2" s="434"/>
      <c r="BI2" s="431"/>
      <c r="BJ2" s="435"/>
      <c r="BK2" s="1797"/>
      <c r="BL2" s="1798"/>
      <c r="BM2" s="1799">
        <v>0</v>
      </c>
      <c r="BN2" s="1800"/>
      <c r="BO2" s="1799">
        <v>0</v>
      </c>
      <c r="BP2" s="1800"/>
      <c r="BQ2" s="1799">
        <v>0</v>
      </c>
    </row>
    <row r="3" spans="1:69" ht="409.5">
      <c r="A3" s="1787" t="s">
        <v>1766</v>
      </c>
      <c r="B3" s="1788" t="s">
        <v>1767</v>
      </c>
      <c r="C3" s="426">
        <v>2023</v>
      </c>
      <c r="D3" s="487" t="s">
        <v>681</v>
      </c>
      <c r="E3" s="1789">
        <v>1017228</v>
      </c>
      <c r="F3" s="418" t="s">
        <v>1767</v>
      </c>
      <c r="G3" s="419">
        <v>45119</v>
      </c>
      <c r="H3" s="1790" t="s">
        <v>1768</v>
      </c>
      <c r="I3" s="1791" t="s">
        <v>1767</v>
      </c>
      <c r="J3" s="1792" t="s">
        <v>1769</v>
      </c>
      <c r="K3" s="1788" t="s">
        <v>1767</v>
      </c>
      <c r="L3" s="1792" t="s">
        <v>1770</v>
      </c>
      <c r="M3" s="1793" t="s">
        <v>1771</v>
      </c>
      <c r="N3" s="1790" t="s">
        <v>12</v>
      </c>
      <c r="O3" s="1793" t="s">
        <v>21</v>
      </c>
      <c r="P3" s="420" t="s">
        <v>683</v>
      </c>
      <c r="Q3" s="421"/>
      <c r="R3" s="421"/>
      <c r="S3" s="422"/>
      <c r="T3" s="1794"/>
      <c r="U3" s="423">
        <v>1703.9867999999999</v>
      </c>
      <c r="V3" s="424">
        <v>1</v>
      </c>
      <c r="W3" s="424">
        <v>1</v>
      </c>
      <c r="X3" s="425"/>
      <c r="Y3" s="426">
        <v>2023</v>
      </c>
      <c r="Z3" s="417">
        <v>2025</v>
      </c>
      <c r="AA3" s="1795" t="s">
        <v>5202</v>
      </c>
      <c r="AB3" s="427"/>
      <c r="AC3" s="1793" t="s">
        <v>1772</v>
      </c>
      <c r="AD3" s="428" t="s">
        <v>5863</v>
      </c>
      <c r="AE3" s="1791" t="s">
        <v>1773</v>
      </c>
      <c r="AF3" s="1791" t="s">
        <v>1768</v>
      </c>
      <c r="AG3" s="1793" t="s">
        <v>1774</v>
      </c>
      <c r="AH3" s="428"/>
      <c r="AI3" s="1793"/>
      <c r="AJ3" s="429">
        <v>2022</v>
      </c>
      <c r="AK3" s="424">
        <v>3311</v>
      </c>
      <c r="AL3" s="424">
        <v>1108</v>
      </c>
      <c r="AM3" s="430"/>
      <c r="AN3" s="1796"/>
      <c r="AO3" s="432">
        <v>2025</v>
      </c>
      <c r="AP3" s="425">
        <v>3278</v>
      </c>
      <c r="AQ3" s="433">
        <v>0.99</v>
      </c>
      <c r="AR3" s="425">
        <v>1097</v>
      </c>
      <c r="AS3" s="433">
        <v>0.99</v>
      </c>
      <c r="AT3" s="434"/>
      <c r="AU3" s="1796"/>
      <c r="AV3" s="435"/>
      <c r="AW3" s="1797" t="s">
        <v>5203</v>
      </c>
      <c r="AX3" s="429">
        <v>2022</v>
      </c>
      <c r="AY3" s="424">
        <v>0</v>
      </c>
      <c r="AZ3" s="424">
        <v>0</v>
      </c>
      <c r="BA3" s="430"/>
      <c r="BB3" s="431"/>
      <c r="BC3" s="432">
        <v>2025</v>
      </c>
      <c r="BD3" s="425"/>
      <c r="BE3" s="433"/>
      <c r="BF3" s="425"/>
      <c r="BG3" s="433"/>
      <c r="BH3" s="434"/>
      <c r="BI3" s="431"/>
      <c r="BJ3" s="435"/>
      <c r="BK3" s="1797"/>
      <c r="BL3" s="1798"/>
      <c r="BM3" s="1799">
        <v>0</v>
      </c>
      <c r="BN3" s="1800"/>
      <c r="BO3" s="1799">
        <v>0</v>
      </c>
      <c r="BP3" s="1800"/>
      <c r="BQ3" s="1799">
        <v>0</v>
      </c>
    </row>
    <row r="4" spans="1:69" ht="409.5">
      <c r="A4" s="1787" t="s">
        <v>2111</v>
      </c>
      <c r="B4" s="1788" t="s">
        <v>2112</v>
      </c>
      <c r="C4" s="426">
        <v>2023</v>
      </c>
      <c r="D4" s="487" t="s">
        <v>681</v>
      </c>
      <c r="E4" s="1789">
        <v>1033315</v>
      </c>
      <c r="F4" s="418" t="s">
        <v>2112</v>
      </c>
      <c r="G4" s="419">
        <v>45133</v>
      </c>
      <c r="H4" s="1790" t="s">
        <v>2113</v>
      </c>
      <c r="I4" s="1791" t="s">
        <v>2112</v>
      </c>
      <c r="J4" s="1792" t="s">
        <v>2114</v>
      </c>
      <c r="K4" s="1788" t="s">
        <v>2112</v>
      </c>
      <c r="L4" s="1792" t="s">
        <v>2114</v>
      </c>
      <c r="M4" s="1793" t="s">
        <v>2113</v>
      </c>
      <c r="N4" s="1790" t="s">
        <v>37</v>
      </c>
      <c r="O4" s="1793" t="s">
        <v>38</v>
      </c>
      <c r="P4" s="420" t="s">
        <v>683</v>
      </c>
      <c r="Q4" s="421"/>
      <c r="R4" s="421"/>
      <c r="S4" s="422"/>
      <c r="T4" s="1794"/>
      <c r="U4" s="423">
        <v>1308603.219</v>
      </c>
      <c r="V4" s="424">
        <v>1</v>
      </c>
      <c r="W4" s="424">
        <v>1</v>
      </c>
      <c r="X4" s="425"/>
      <c r="Y4" s="426">
        <v>2023</v>
      </c>
      <c r="Z4" s="417">
        <v>2025</v>
      </c>
      <c r="AA4" s="1795" t="s">
        <v>5204</v>
      </c>
      <c r="AB4" s="427"/>
      <c r="AC4" s="1793"/>
      <c r="AD4" s="428" t="s">
        <v>5863</v>
      </c>
      <c r="AE4" s="1791" t="s">
        <v>2112</v>
      </c>
      <c r="AF4" s="1791" t="s">
        <v>2115</v>
      </c>
      <c r="AG4" s="1793" t="s">
        <v>2116</v>
      </c>
      <c r="AH4" s="428"/>
      <c r="AI4" s="1793"/>
      <c r="AJ4" s="429">
        <v>2022</v>
      </c>
      <c r="AK4" s="424">
        <v>68976</v>
      </c>
      <c r="AL4" s="424">
        <v>68976</v>
      </c>
      <c r="AM4" s="430">
        <v>9.2956332800436332</v>
      </c>
      <c r="AN4" s="1796" t="s">
        <v>2117</v>
      </c>
      <c r="AO4" s="432">
        <v>2025</v>
      </c>
      <c r="AP4" s="425">
        <v>69666</v>
      </c>
      <c r="AQ4" s="433">
        <v>-1.01</v>
      </c>
      <c r="AR4" s="425">
        <v>69666</v>
      </c>
      <c r="AS4" s="433">
        <v>-1.01</v>
      </c>
      <c r="AT4" s="434">
        <v>9.39</v>
      </c>
      <c r="AU4" s="1796" t="s">
        <v>2117</v>
      </c>
      <c r="AV4" s="435">
        <v>-1.02</v>
      </c>
      <c r="AW4" s="1797" t="s">
        <v>5205</v>
      </c>
      <c r="AX4" s="429">
        <v>2022</v>
      </c>
      <c r="AY4" s="424">
        <v>0</v>
      </c>
      <c r="AZ4" s="424">
        <v>0</v>
      </c>
      <c r="BA4" s="430"/>
      <c r="BB4" s="431"/>
      <c r="BC4" s="432">
        <v>2025</v>
      </c>
      <c r="BD4" s="425"/>
      <c r="BE4" s="433"/>
      <c r="BF4" s="425"/>
      <c r="BG4" s="433"/>
      <c r="BH4" s="434"/>
      <c r="BI4" s="431"/>
      <c r="BJ4" s="435"/>
      <c r="BK4" s="1797"/>
      <c r="BL4" s="1798"/>
      <c r="BM4" s="1799">
        <v>0</v>
      </c>
      <c r="BN4" s="1800"/>
      <c r="BO4" s="1799">
        <v>0</v>
      </c>
      <c r="BP4" s="1800"/>
      <c r="BQ4" s="1799">
        <v>0</v>
      </c>
    </row>
    <row r="5" spans="1:69" ht="409.5">
      <c r="A5" s="1787" t="s">
        <v>2118</v>
      </c>
      <c r="B5" s="1788" t="s">
        <v>2119</v>
      </c>
      <c r="C5" s="426">
        <v>2023</v>
      </c>
      <c r="D5" s="487" t="s">
        <v>681</v>
      </c>
      <c r="E5" s="1789">
        <v>1027318</v>
      </c>
      <c r="F5" s="418" t="s">
        <v>2119</v>
      </c>
      <c r="G5" s="419">
        <v>45134</v>
      </c>
      <c r="H5" s="1790" t="s">
        <v>2120</v>
      </c>
      <c r="I5" s="1791" t="s">
        <v>2119</v>
      </c>
      <c r="J5" s="1792" t="s">
        <v>2121</v>
      </c>
      <c r="K5" s="1788" t="s">
        <v>2119</v>
      </c>
      <c r="L5" s="1792" t="s">
        <v>2121</v>
      </c>
      <c r="M5" s="1793" t="s">
        <v>2120</v>
      </c>
      <c r="N5" s="1790" t="s">
        <v>12</v>
      </c>
      <c r="O5" s="1793" t="s">
        <v>31</v>
      </c>
      <c r="P5" s="420" t="s">
        <v>683</v>
      </c>
      <c r="Q5" s="421"/>
      <c r="R5" s="421"/>
      <c r="S5" s="422"/>
      <c r="T5" s="1794"/>
      <c r="U5" s="423">
        <v>5889.8046000000004</v>
      </c>
      <c r="V5" s="424">
        <v>2</v>
      </c>
      <c r="W5" s="424">
        <v>1</v>
      </c>
      <c r="X5" s="425"/>
      <c r="Y5" s="426">
        <v>2023</v>
      </c>
      <c r="Z5" s="417">
        <v>2025</v>
      </c>
      <c r="AA5" s="1795" t="s">
        <v>5206</v>
      </c>
      <c r="AB5" s="427"/>
      <c r="AC5" s="1793"/>
      <c r="AD5" s="428" t="s">
        <v>5863</v>
      </c>
      <c r="AE5" s="1791" t="s">
        <v>2122</v>
      </c>
      <c r="AF5" s="1791" t="s">
        <v>2123</v>
      </c>
      <c r="AG5" s="1793" t="s">
        <v>919</v>
      </c>
      <c r="AH5" s="428"/>
      <c r="AI5" s="1793"/>
      <c r="AJ5" s="429">
        <v>2022</v>
      </c>
      <c r="AK5" s="424">
        <v>9533</v>
      </c>
      <c r="AL5" s="424">
        <v>10137</v>
      </c>
      <c r="AM5" s="430"/>
      <c r="AN5" s="1796"/>
      <c r="AO5" s="432">
        <v>2025</v>
      </c>
      <c r="AP5" s="425">
        <v>8580</v>
      </c>
      <c r="AQ5" s="433">
        <v>9.99</v>
      </c>
      <c r="AR5" s="425">
        <v>9120</v>
      </c>
      <c r="AS5" s="433">
        <v>10.029999999999999</v>
      </c>
      <c r="AT5" s="434"/>
      <c r="AU5" s="1796"/>
      <c r="AV5" s="435"/>
      <c r="AW5" s="1797" t="s">
        <v>5207</v>
      </c>
      <c r="AX5" s="429">
        <v>2022</v>
      </c>
      <c r="AY5" s="424">
        <v>0</v>
      </c>
      <c r="AZ5" s="424">
        <v>0</v>
      </c>
      <c r="BA5" s="430"/>
      <c r="BB5" s="431"/>
      <c r="BC5" s="432">
        <v>2025</v>
      </c>
      <c r="BD5" s="425"/>
      <c r="BE5" s="433"/>
      <c r="BF5" s="425"/>
      <c r="BG5" s="433"/>
      <c r="BH5" s="434"/>
      <c r="BI5" s="431"/>
      <c r="BJ5" s="435"/>
      <c r="BK5" s="1797"/>
      <c r="BL5" s="1798"/>
      <c r="BM5" s="1799">
        <v>0</v>
      </c>
      <c r="BN5" s="1800"/>
      <c r="BO5" s="1799">
        <v>0</v>
      </c>
      <c r="BP5" s="1800"/>
      <c r="BQ5" s="1799">
        <v>0</v>
      </c>
    </row>
    <row r="6" spans="1:69" ht="409.5">
      <c r="A6" s="1787" t="s">
        <v>2124</v>
      </c>
      <c r="B6" s="1788" t="s">
        <v>2125</v>
      </c>
      <c r="C6" s="426">
        <v>2023</v>
      </c>
      <c r="D6" s="487" t="s">
        <v>714</v>
      </c>
      <c r="E6" s="1789">
        <v>3044320</v>
      </c>
      <c r="F6" s="418" t="s">
        <v>2125</v>
      </c>
      <c r="G6" s="419">
        <v>45127</v>
      </c>
      <c r="H6" s="1790" t="s">
        <v>2126</v>
      </c>
      <c r="I6" s="1791" t="s">
        <v>2125</v>
      </c>
      <c r="J6" s="1792" t="s">
        <v>2127</v>
      </c>
      <c r="K6" s="1788" t="s">
        <v>2125</v>
      </c>
      <c r="L6" s="1792" t="s">
        <v>2127</v>
      </c>
      <c r="M6" s="1793" t="s">
        <v>2126</v>
      </c>
      <c r="N6" s="1790" t="s">
        <v>48</v>
      </c>
      <c r="O6" s="1793" t="s">
        <v>51</v>
      </c>
      <c r="P6" s="420"/>
      <c r="Q6" s="421"/>
      <c r="R6" s="421" t="s">
        <v>717</v>
      </c>
      <c r="S6" s="422"/>
      <c r="T6" s="1794"/>
      <c r="U6" s="423"/>
      <c r="V6" s="424"/>
      <c r="W6" s="424"/>
      <c r="X6" s="425">
        <v>536</v>
      </c>
      <c r="Y6" s="426">
        <v>2023</v>
      </c>
      <c r="Z6" s="417">
        <v>2025</v>
      </c>
      <c r="AA6" s="1795" t="s">
        <v>5208</v>
      </c>
      <c r="AB6" s="427"/>
      <c r="AC6" s="1793"/>
      <c r="AD6" s="428" t="s">
        <v>5863</v>
      </c>
      <c r="AE6" s="1791" t="s">
        <v>5105</v>
      </c>
      <c r="AF6" s="1791" t="s">
        <v>5106</v>
      </c>
      <c r="AG6" s="1793" t="s">
        <v>2128</v>
      </c>
      <c r="AH6" s="428"/>
      <c r="AI6" s="1793"/>
      <c r="AJ6" s="429">
        <v>2022</v>
      </c>
      <c r="AK6" s="424"/>
      <c r="AL6" s="424"/>
      <c r="AM6" s="430"/>
      <c r="AN6" s="1796"/>
      <c r="AO6" s="432">
        <v>2025</v>
      </c>
      <c r="AP6" s="425"/>
      <c r="AQ6" s="433"/>
      <c r="AR6" s="425"/>
      <c r="AS6" s="433"/>
      <c r="AT6" s="434"/>
      <c r="AU6" s="1796"/>
      <c r="AV6" s="435"/>
      <c r="AW6" s="1797"/>
      <c r="AX6" s="429">
        <v>2022</v>
      </c>
      <c r="AY6" s="424">
        <v>5370.9183300000004</v>
      </c>
      <c r="AZ6" s="424">
        <v>5370.9183300000004</v>
      </c>
      <c r="BA6" s="430"/>
      <c r="BB6" s="431"/>
      <c r="BC6" s="432">
        <v>2025</v>
      </c>
      <c r="BD6" s="425">
        <v>5210</v>
      </c>
      <c r="BE6" s="433">
        <v>2.99</v>
      </c>
      <c r="BF6" s="425">
        <v>5210</v>
      </c>
      <c r="BG6" s="433">
        <v>2.99</v>
      </c>
      <c r="BH6" s="434"/>
      <c r="BI6" s="431"/>
      <c r="BJ6" s="435"/>
      <c r="BK6" s="1797" t="s">
        <v>5209</v>
      </c>
      <c r="BL6" s="1798">
        <v>5</v>
      </c>
      <c r="BM6" s="1799">
        <v>0</v>
      </c>
      <c r="BN6" s="1800">
        <v>0</v>
      </c>
      <c r="BO6" s="1799">
        <v>0</v>
      </c>
      <c r="BP6" s="1800">
        <v>0</v>
      </c>
      <c r="BQ6" s="1799">
        <v>0</v>
      </c>
    </row>
    <row r="7" spans="1:69" ht="409.5">
      <c r="A7" s="1787" t="s">
        <v>2129</v>
      </c>
      <c r="B7" s="1788" t="s">
        <v>2130</v>
      </c>
      <c r="C7" s="426">
        <v>2023</v>
      </c>
      <c r="D7" s="487" t="s">
        <v>681</v>
      </c>
      <c r="E7" s="1789">
        <v>1076321</v>
      </c>
      <c r="F7" s="418" t="s">
        <v>2130</v>
      </c>
      <c r="G7" s="419">
        <v>45129</v>
      </c>
      <c r="H7" s="1790" t="s">
        <v>2131</v>
      </c>
      <c r="I7" s="1791" t="s">
        <v>2130</v>
      </c>
      <c r="J7" s="1792" t="s">
        <v>2132</v>
      </c>
      <c r="K7" s="1788" t="s">
        <v>2130</v>
      </c>
      <c r="L7" s="1792" t="s">
        <v>2132</v>
      </c>
      <c r="M7" s="1793" t="s">
        <v>2131</v>
      </c>
      <c r="N7" s="1790" t="s">
        <v>86</v>
      </c>
      <c r="O7" s="1793" t="s">
        <v>88</v>
      </c>
      <c r="P7" s="420" t="s">
        <v>683</v>
      </c>
      <c r="Q7" s="421"/>
      <c r="R7" s="421"/>
      <c r="S7" s="422"/>
      <c r="T7" s="1794"/>
      <c r="U7" s="423">
        <v>2212.2725999999998</v>
      </c>
      <c r="V7" s="424">
        <v>58</v>
      </c>
      <c r="W7" s="424">
        <v>0</v>
      </c>
      <c r="X7" s="425"/>
      <c r="Y7" s="426">
        <v>2023</v>
      </c>
      <c r="Z7" s="417">
        <v>2025</v>
      </c>
      <c r="AA7" s="1795" t="s">
        <v>5210</v>
      </c>
      <c r="AB7" s="427"/>
      <c r="AC7" s="1793"/>
      <c r="AD7" s="428" t="s">
        <v>5863</v>
      </c>
      <c r="AE7" s="1791" t="s">
        <v>2133</v>
      </c>
      <c r="AF7" s="1791" t="s">
        <v>2131</v>
      </c>
      <c r="AG7" s="1793" t="s">
        <v>2134</v>
      </c>
      <c r="AH7" s="428"/>
      <c r="AI7" s="1793"/>
      <c r="AJ7" s="429">
        <v>2022</v>
      </c>
      <c r="AK7" s="424">
        <v>4038</v>
      </c>
      <c r="AL7" s="424">
        <v>3918</v>
      </c>
      <c r="AM7" s="430"/>
      <c r="AN7" s="1796"/>
      <c r="AO7" s="432">
        <v>2025</v>
      </c>
      <c r="AP7" s="425">
        <v>3998</v>
      </c>
      <c r="AQ7" s="433">
        <v>0.99</v>
      </c>
      <c r="AR7" s="425">
        <v>3879</v>
      </c>
      <c r="AS7" s="433">
        <v>0.99</v>
      </c>
      <c r="AT7" s="434"/>
      <c r="AU7" s="1796"/>
      <c r="AV7" s="435"/>
      <c r="AW7" s="1797" t="s">
        <v>5211</v>
      </c>
      <c r="AX7" s="429">
        <v>2022</v>
      </c>
      <c r="AY7" s="424">
        <v>0</v>
      </c>
      <c r="AZ7" s="424">
        <v>0</v>
      </c>
      <c r="BA7" s="430"/>
      <c r="BB7" s="431"/>
      <c r="BC7" s="432">
        <v>2025</v>
      </c>
      <c r="BD7" s="425"/>
      <c r="BE7" s="433"/>
      <c r="BF7" s="425"/>
      <c r="BG7" s="433"/>
      <c r="BH7" s="434"/>
      <c r="BI7" s="431"/>
      <c r="BJ7" s="435"/>
      <c r="BK7" s="1797"/>
      <c r="BL7" s="1798"/>
      <c r="BM7" s="1799">
        <v>0</v>
      </c>
      <c r="BN7" s="1800"/>
      <c r="BO7" s="1799">
        <v>0</v>
      </c>
      <c r="BP7" s="1800"/>
      <c r="BQ7" s="1799">
        <v>0</v>
      </c>
    </row>
    <row r="8" spans="1:69" ht="409.5">
      <c r="A8" s="1787" t="s">
        <v>2135</v>
      </c>
      <c r="B8" s="1788" t="s">
        <v>2136</v>
      </c>
      <c r="C8" s="426">
        <v>2023</v>
      </c>
      <c r="D8" s="487" t="s">
        <v>714</v>
      </c>
      <c r="E8" s="1789">
        <v>3044322</v>
      </c>
      <c r="F8" s="418" t="s">
        <v>2136</v>
      </c>
      <c r="G8" s="419">
        <v>45138</v>
      </c>
      <c r="H8" s="1790" t="s">
        <v>2137</v>
      </c>
      <c r="I8" s="1791" t="s">
        <v>2136</v>
      </c>
      <c r="J8" s="1792" t="s">
        <v>2138</v>
      </c>
      <c r="K8" s="1788" t="s">
        <v>2136</v>
      </c>
      <c r="L8" s="1792" t="s">
        <v>5109</v>
      </c>
      <c r="M8" s="1793" t="s">
        <v>2139</v>
      </c>
      <c r="N8" s="1790" t="s">
        <v>48</v>
      </c>
      <c r="O8" s="1793" t="s">
        <v>51</v>
      </c>
      <c r="P8" s="420"/>
      <c r="Q8" s="421"/>
      <c r="R8" s="421" t="s">
        <v>717</v>
      </c>
      <c r="S8" s="422"/>
      <c r="T8" s="1794"/>
      <c r="U8" s="423"/>
      <c r="V8" s="424"/>
      <c r="W8" s="424"/>
      <c r="X8" s="425">
        <v>132</v>
      </c>
      <c r="Y8" s="426">
        <v>2023</v>
      </c>
      <c r="Z8" s="417">
        <v>2025</v>
      </c>
      <c r="AA8" s="1795" t="s">
        <v>5212</v>
      </c>
      <c r="AB8" s="427"/>
      <c r="AC8" s="1793"/>
      <c r="AD8" s="428" t="s">
        <v>5863</v>
      </c>
      <c r="AE8" s="1791" t="s">
        <v>2140</v>
      </c>
      <c r="AF8" s="1791" t="s">
        <v>2141</v>
      </c>
      <c r="AG8" s="1793" t="s">
        <v>2142</v>
      </c>
      <c r="AH8" s="428"/>
      <c r="AI8" s="1793"/>
      <c r="AJ8" s="429">
        <v>2022</v>
      </c>
      <c r="AK8" s="424"/>
      <c r="AL8" s="424"/>
      <c r="AM8" s="430"/>
      <c r="AN8" s="1796"/>
      <c r="AO8" s="432">
        <v>2025</v>
      </c>
      <c r="AP8" s="425"/>
      <c r="AQ8" s="433"/>
      <c r="AR8" s="425"/>
      <c r="AS8" s="433"/>
      <c r="AT8" s="434"/>
      <c r="AU8" s="1796"/>
      <c r="AV8" s="435"/>
      <c r="AW8" s="1797"/>
      <c r="AX8" s="429">
        <v>2022</v>
      </c>
      <c r="AY8" s="424">
        <v>1547.1076000000003</v>
      </c>
      <c r="AZ8" s="424">
        <v>1547.1076000000003</v>
      </c>
      <c r="BA8" s="430"/>
      <c r="BB8" s="431"/>
      <c r="BC8" s="432">
        <v>2025</v>
      </c>
      <c r="BD8" s="425">
        <v>1501</v>
      </c>
      <c r="BE8" s="433">
        <v>2.98</v>
      </c>
      <c r="BF8" s="425">
        <v>1501</v>
      </c>
      <c r="BG8" s="433">
        <v>2.98</v>
      </c>
      <c r="BH8" s="434"/>
      <c r="BI8" s="431"/>
      <c r="BJ8" s="435"/>
      <c r="BK8" s="1797" t="s">
        <v>5213</v>
      </c>
      <c r="BL8" s="1798">
        <v>1</v>
      </c>
      <c r="BM8" s="1799">
        <v>1</v>
      </c>
      <c r="BN8" s="1800">
        <v>0</v>
      </c>
      <c r="BO8" s="1799">
        <v>2</v>
      </c>
      <c r="BP8" s="1800">
        <v>0</v>
      </c>
      <c r="BQ8" s="1799">
        <v>0</v>
      </c>
    </row>
    <row r="9" spans="1:69" ht="409.5">
      <c r="A9" s="1787" t="s">
        <v>2143</v>
      </c>
      <c r="B9" s="1788" t="s">
        <v>2144</v>
      </c>
      <c r="C9" s="426">
        <v>2023</v>
      </c>
      <c r="D9" s="487" t="s">
        <v>681</v>
      </c>
      <c r="E9" s="1789">
        <v>1060324</v>
      </c>
      <c r="F9" s="418" t="s">
        <v>2144</v>
      </c>
      <c r="G9" s="419">
        <v>45187</v>
      </c>
      <c r="H9" s="1790" t="s">
        <v>2145</v>
      </c>
      <c r="I9" s="1791" t="s">
        <v>2144</v>
      </c>
      <c r="J9" s="1792" t="s">
        <v>2146</v>
      </c>
      <c r="K9" s="1788" t="s">
        <v>2144</v>
      </c>
      <c r="L9" s="1792" t="s">
        <v>2146</v>
      </c>
      <c r="M9" s="1793" t="s">
        <v>2147</v>
      </c>
      <c r="N9" s="1790" t="s">
        <v>57</v>
      </c>
      <c r="O9" s="1793" t="s">
        <v>68</v>
      </c>
      <c r="P9" s="420" t="s">
        <v>683</v>
      </c>
      <c r="Q9" s="421"/>
      <c r="R9" s="421"/>
      <c r="S9" s="422"/>
      <c r="T9" s="1794"/>
      <c r="U9" s="423">
        <v>3724.5138000000002</v>
      </c>
      <c r="V9" s="424">
        <v>71</v>
      </c>
      <c r="W9" s="424">
        <v>0</v>
      </c>
      <c r="X9" s="425"/>
      <c r="Y9" s="426">
        <v>2023</v>
      </c>
      <c r="Z9" s="417">
        <v>2025</v>
      </c>
      <c r="AA9" s="1795" t="s">
        <v>5214</v>
      </c>
      <c r="AB9" s="427"/>
      <c r="AC9" s="1793"/>
      <c r="AD9" s="428" t="s">
        <v>5863</v>
      </c>
      <c r="AE9" s="1791" t="s">
        <v>2148</v>
      </c>
      <c r="AF9" s="1791" t="s">
        <v>2149</v>
      </c>
      <c r="AG9" s="1793" t="s">
        <v>2150</v>
      </c>
      <c r="AH9" s="428"/>
      <c r="AI9" s="1793"/>
      <c r="AJ9" s="429">
        <v>2022</v>
      </c>
      <c r="AK9" s="424">
        <v>6692</v>
      </c>
      <c r="AL9" s="424">
        <v>6681</v>
      </c>
      <c r="AM9" s="430">
        <v>0.4189018286997005</v>
      </c>
      <c r="AN9" s="1796" t="s">
        <v>2151</v>
      </c>
      <c r="AO9" s="432">
        <v>2025</v>
      </c>
      <c r="AP9" s="425">
        <v>6491.24</v>
      </c>
      <c r="AQ9" s="433">
        <v>3</v>
      </c>
      <c r="AR9" s="425">
        <v>6480.57</v>
      </c>
      <c r="AS9" s="433">
        <v>3</v>
      </c>
      <c r="AT9" s="434">
        <v>0.40649999999999997</v>
      </c>
      <c r="AU9" s="1796" t="s">
        <v>2151</v>
      </c>
      <c r="AV9" s="435">
        <v>2.96</v>
      </c>
      <c r="AW9" s="1797" t="s">
        <v>5215</v>
      </c>
      <c r="AX9" s="429">
        <v>2022</v>
      </c>
      <c r="AY9" s="424">
        <v>0</v>
      </c>
      <c r="AZ9" s="424">
        <v>0</v>
      </c>
      <c r="BA9" s="430"/>
      <c r="BB9" s="431"/>
      <c r="BC9" s="432">
        <v>2025</v>
      </c>
      <c r="BD9" s="425"/>
      <c r="BE9" s="433"/>
      <c r="BF9" s="425"/>
      <c r="BG9" s="433"/>
      <c r="BH9" s="434"/>
      <c r="BI9" s="431"/>
      <c r="BJ9" s="435"/>
      <c r="BK9" s="1797"/>
      <c r="BL9" s="1798"/>
      <c r="BM9" s="1799">
        <v>0</v>
      </c>
      <c r="BN9" s="1800"/>
      <c r="BO9" s="1799">
        <v>0</v>
      </c>
      <c r="BP9" s="1800"/>
      <c r="BQ9" s="1799">
        <v>0</v>
      </c>
    </row>
    <row r="10" spans="1:69" ht="108">
      <c r="A10" s="1787" t="s">
        <v>2152</v>
      </c>
      <c r="B10" s="1788" t="s">
        <v>2153</v>
      </c>
      <c r="C10" s="426">
        <v>2023</v>
      </c>
      <c r="D10" s="487" t="s">
        <v>668</v>
      </c>
      <c r="E10" s="1789">
        <v>2076325</v>
      </c>
      <c r="F10" s="418" t="s">
        <v>2153</v>
      </c>
      <c r="G10" s="419">
        <v>45133</v>
      </c>
      <c r="H10" s="1790" t="s">
        <v>2154</v>
      </c>
      <c r="I10" s="1791" t="s">
        <v>2153</v>
      </c>
      <c r="J10" s="1792" t="s">
        <v>2155</v>
      </c>
      <c r="K10" s="1788" t="s">
        <v>2153</v>
      </c>
      <c r="L10" s="1792" t="s">
        <v>2156</v>
      </c>
      <c r="M10" s="1793" t="s">
        <v>2154</v>
      </c>
      <c r="N10" s="1790" t="s">
        <v>86</v>
      </c>
      <c r="O10" s="1793" t="s">
        <v>88</v>
      </c>
      <c r="P10" s="420"/>
      <c r="Q10" s="421" t="s">
        <v>5862</v>
      </c>
      <c r="R10" s="421"/>
      <c r="S10" s="422"/>
      <c r="T10" s="1794"/>
      <c r="U10" s="423">
        <v>5979.7434000000003</v>
      </c>
      <c r="V10" s="424">
        <v>84</v>
      </c>
      <c r="W10" s="424">
        <v>0</v>
      </c>
      <c r="X10" s="425"/>
      <c r="Y10" s="426">
        <v>2023</v>
      </c>
      <c r="Z10" s="417">
        <v>2025</v>
      </c>
      <c r="AA10" s="1795" t="s">
        <v>5216</v>
      </c>
      <c r="AB10" s="427"/>
      <c r="AC10" s="1793"/>
      <c r="AD10" s="428" t="s">
        <v>5863</v>
      </c>
      <c r="AE10" s="1791" t="s">
        <v>2157</v>
      </c>
      <c r="AF10" s="1791" t="s">
        <v>2158</v>
      </c>
      <c r="AG10" s="1793" t="s">
        <v>2159</v>
      </c>
      <c r="AH10" s="428"/>
      <c r="AI10" s="1793"/>
      <c r="AJ10" s="429">
        <v>2022</v>
      </c>
      <c r="AK10" s="424">
        <v>10877</v>
      </c>
      <c r="AL10" s="424">
        <v>10858</v>
      </c>
      <c r="AM10" s="430">
        <v>3.6934431960355165</v>
      </c>
      <c r="AN10" s="1796" t="s">
        <v>2160</v>
      </c>
      <c r="AO10" s="432">
        <v>2025</v>
      </c>
      <c r="AP10" s="425">
        <v>10500</v>
      </c>
      <c r="AQ10" s="433">
        <v>3.46</v>
      </c>
      <c r="AR10" s="425">
        <v>10498</v>
      </c>
      <c r="AS10" s="433">
        <v>3.31</v>
      </c>
      <c r="AT10" s="434">
        <v>3.57</v>
      </c>
      <c r="AU10" s="1796" t="s">
        <v>2160</v>
      </c>
      <c r="AV10" s="435">
        <v>3.34</v>
      </c>
      <c r="AW10" s="1797" t="s">
        <v>5217</v>
      </c>
      <c r="AX10" s="429">
        <v>2022</v>
      </c>
      <c r="AY10" s="424">
        <v>0</v>
      </c>
      <c r="AZ10" s="424">
        <v>0</v>
      </c>
      <c r="BA10" s="430"/>
      <c r="BB10" s="431"/>
      <c r="BC10" s="432">
        <v>2025</v>
      </c>
      <c r="BD10" s="425"/>
      <c r="BE10" s="433"/>
      <c r="BF10" s="425"/>
      <c r="BG10" s="433"/>
      <c r="BH10" s="434"/>
      <c r="BI10" s="431"/>
      <c r="BJ10" s="435"/>
      <c r="BK10" s="1797"/>
      <c r="BL10" s="1798"/>
      <c r="BM10" s="1799">
        <v>0</v>
      </c>
      <c r="BN10" s="1800"/>
      <c r="BO10" s="1799">
        <v>0</v>
      </c>
      <c r="BP10" s="1800"/>
      <c r="BQ10" s="1799">
        <v>0</v>
      </c>
    </row>
    <row r="11" spans="1:69" ht="409.5">
      <c r="A11" s="1787" t="s">
        <v>5757</v>
      </c>
      <c r="B11" s="1788" t="s">
        <v>5758</v>
      </c>
      <c r="C11" s="426">
        <v>2023</v>
      </c>
      <c r="D11" s="487" t="s">
        <v>681</v>
      </c>
      <c r="E11" s="1789">
        <v>1080326</v>
      </c>
      <c r="F11" s="418" t="s">
        <v>5758</v>
      </c>
      <c r="G11" s="419">
        <v>45169</v>
      </c>
      <c r="H11" s="1790" t="s">
        <v>5759</v>
      </c>
      <c r="I11" s="1791" t="s">
        <v>5758</v>
      </c>
      <c r="J11" s="1792" t="s">
        <v>5760</v>
      </c>
      <c r="K11" s="1788" t="s">
        <v>5758</v>
      </c>
      <c r="L11" s="1792" t="s">
        <v>5760</v>
      </c>
      <c r="M11" s="1793" t="s">
        <v>5759</v>
      </c>
      <c r="N11" s="1790" t="s">
        <v>90</v>
      </c>
      <c r="O11" s="1793" t="s">
        <v>92</v>
      </c>
      <c r="P11" s="420" t="s">
        <v>683</v>
      </c>
      <c r="Q11" s="421"/>
      <c r="R11" s="421"/>
      <c r="S11" s="422"/>
      <c r="T11" s="1794"/>
      <c r="U11" s="423">
        <v>3617.2889999999998</v>
      </c>
      <c r="V11" s="424">
        <v>11</v>
      </c>
      <c r="W11" s="424">
        <v>1</v>
      </c>
      <c r="X11" s="425"/>
      <c r="Y11" s="426">
        <v>2023</v>
      </c>
      <c r="Z11" s="417">
        <v>2025</v>
      </c>
      <c r="AA11" s="1795" t="s">
        <v>5764</v>
      </c>
      <c r="AB11" s="427"/>
      <c r="AC11" s="1793"/>
      <c r="AD11" s="428" t="s">
        <v>5863</v>
      </c>
      <c r="AE11" s="1791" t="s">
        <v>5761</v>
      </c>
      <c r="AF11" s="1791" t="s">
        <v>5762</v>
      </c>
      <c r="AG11" s="1793" t="s">
        <v>5763</v>
      </c>
      <c r="AH11" s="428"/>
      <c r="AI11" s="1793"/>
      <c r="AJ11" s="429">
        <v>2022</v>
      </c>
      <c r="AK11" s="424">
        <v>6831</v>
      </c>
      <c r="AL11" s="424">
        <v>7364</v>
      </c>
      <c r="AM11" s="430">
        <v>195.54016144730065</v>
      </c>
      <c r="AN11" s="1796" t="s">
        <v>727</v>
      </c>
      <c r="AO11" s="432">
        <v>2025</v>
      </c>
      <c r="AP11" s="425">
        <v>6626</v>
      </c>
      <c r="AQ11" s="433">
        <v>3</v>
      </c>
      <c r="AR11" s="425">
        <v>7143</v>
      </c>
      <c r="AS11" s="433">
        <v>3</v>
      </c>
      <c r="AT11" s="434">
        <v>189.67</v>
      </c>
      <c r="AU11" s="1796" t="s">
        <v>727</v>
      </c>
      <c r="AV11" s="435">
        <v>3</v>
      </c>
      <c r="AW11" s="1797" t="s">
        <v>5765</v>
      </c>
      <c r="AX11" s="429">
        <v>2022</v>
      </c>
      <c r="AY11" s="424">
        <v>0</v>
      </c>
      <c r="AZ11" s="424">
        <v>0</v>
      </c>
      <c r="BA11" s="430"/>
      <c r="BB11" s="431"/>
      <c r="BC11" s="432">
        <v>2025</v>
      </c>
      <c r="BD11" s="425"/>
      <c r="BE11" s="433"/>
      <c r="BF11" s="425"/>
      <c r="BG11" s="433"/>
      <c r="BH11" s="434"/>
      <c r="BI11" s="431"/>
      <c r="BJ11" s="435"/>
      <c r="BK11" s="1797"/>
      <c r="BL11" s="1798"/>
      <c r="BM11" s="1799">
        <v>0</v>
      </c>
      <c r="BN11" s="1800"/>
      <c r="BO11" s="1799">
        <v>0</v>
      </c>
      <c r="BP11" s="1800"/>
      <c r="BQ11" s="1799">
        <v>0</v>
      </c>
    </row>
    <row r="12" spans="1:69" ht="409.5">
      <c r="A12" s="1787" t="s">
        <v>2161</v>
      </c>
      <c r="B12" s="1788" t="s">
        <v>2162</v>
      </c>
      <c r="C12" s="426">
        <v>2023</v>
      </c>
      <c r="D12" s="487" t="s">
        <v>681</v>
      </c>
      <c r="E12" s="1789">
        <v>1080327</v>
      </c>
      <c r="F12" s="418" t="s">
        <v>2162</v>
      </c>
      <c r="G12" s="419">
        <v>45126</v>
      </c>
      <c r="H12" s="1790" t="s">
        <v>2163</v>
      </c>
      <c r="I12" s="1791" t="s">
        <v>2162</v>
      </c>
      <c r="J12" s="1792" t="s">
        <v>2164</v>
      </c>
      <c r="K12" s="1788" t="s">
        <v>2162</v>
      </c>
      <c r="L12" s="1792" t="s">
        <v>2164</v>
      </c>
      <c r="M12" s="1793" t="s">
        <v>2163</v>
      </c>
      <c r="N12" s="1790" t="s">
        <v>90</v>
      </c>
      <c r="O12" s="1793" t="s">
        <v>92</v>
      </c>
      <c r="P12" s="420" t="s">
        <v>683</v>
      </c>
      <c r="Q12" s="421"/>
      <c r="R12" s="421"/>
      <c r="S12" s="422"/>
      <c r="T12" s="1794"/>
      <c r="U12" s="423">
        <v>2231.8548000000001</v>
      </c>
      <c r="V12" s="424">
        <v>7</v>
      </c>
      <c r="W12" s="424">
        <v>0</v>
      </c>
      <c r="X12" s="425"/>
      <c r="Y12" s="426">
        <v>2023</v>
      </c>
      <c r="Z12" s="417">
        <v>2025</v>
      </c>
      <c r="AA12" s="1795" t="s">
        <v>5218</v>
      </c>
      <c r="AB12" s="427" t="s">
        <v>5863</v>
      </c>
      <c r="AC12" s="1793" t="s">
        <v>2165</v>
      </c>
      <c r="AD12" s="428"/>
      <c r="AE12" s="1791"/>
      <c r="AF12" s="1791"/>
      <c r="AG12" s="1793"/>
      <c r="AH12" s="428"/>
      <c r="AI12" s="1793"/>
      <c r="AJ12" s="429">
        <v>2022</v>
      </c>
      <c r="AK12" s="424">
        <v>4117</v>
      </c>
      <c r="AL12" s="424">
        <v>4087</v>
      </c>
      <c r="AM12" s="430"/>
      <c r="AN12" s="1796"/>
      <c r="AO12" s="432">
        <v>2025</v>
      </c>
      <c r="AP12" s="425">
        <v>3993</v>
      </c>
      <c r="AQ12" s="433">
        <v>3.01</v>
      </c>
      <c r="AR12" s="425">
        <v>3964</v>
      </c>
      <c r="AS12" s="433">
        <v>3</v>
      </c>
      <c r="AT12" s="434"/>
      <c r="AU12" s="1796"/>
      <c r="AV12" s="435"/>
      <c r="AW12" s="1797" t="s">
        <v>5219</v>
      </c>
      <c r="AX12" s="429">
        <v>2022</v>
      </c>
      <c r="AY12" s="424">
        <v>0</v>
      </c>
      <c r="AZ12" s="424">
        <v>0</v>
      </c>
      <c r="BA12" s="430"/>
      <c r="BB12" s="431"/>
      <c r="BC12" s="432">
        <v>2025</v>
      </c>
      <c r="BD12" s="425"/>
      <c r="BE12" s="433"/>
      <c r="BF12" s="425"/>
      <c r="BG12" s="433"/>
      <c r="BH12" s="434"/>
      <c r="BI12" s="431"/>
      <c r="BJ12" s="435"/>
      <c r="BK12" s="1797"/>
      <c r="BL12" s="1798">
        <v>0</v>
      </c>
      <c r="BM12" s="1799">
        <v>0</v>
      </c>
      <c r="BN12" s="1800">
        <v>0</v>
      </c>
      <c r="BO12" s="1799">
        <v>0</v>
      </c>
      <c r="BP12" s="1800">
        <v>0</v>
      </c>
      <c r="BQ12" s="1799">
        <v>0</v>
      </c>
    </row>
    <row r="13" spans="1:69" ht="409.5">
      <c r="A13" s="1787" t="s">
        <v>2166</v>
      </c>
      <c r="B13" s="1788" t="s">
        <v>2167</v>
      </c>
      <c r="C13" s="426">
        <v>2023</v>
      </c>
      <c r="D13" s="487" t="s">
        <v>5702</v>
      </c>
      <c r="E13" s="1789">
        <v>1080328</v>
      </c>
      <c r="F13" s="418" t="s">
        <v>2167</v>
      </c>
      <c r="G13" s="419">
        <v>45135</v>
      </c>
      <c r="H13" s="1790" t="s">
        <v>5114</v>
      </c>
      <c r="I13" s="1791" t="s">
        <v>2167</v>
      </c>
      <c r="J13" s="1792" t="s">
        <v>5115</v>
      </c>
      <c r="K13" s="1788" t="s">
        <v>2167</v>
      </c>
      <c r="L13" s="1792" t="s">
        <v>5115</v>
      </c>
      <c r="M13" s="1793" t="s">
        <v>5116</v>
      </c>
      <c r="N13" s="1790" t="s">
        <v>90</v>
      </c>
      <c r="O13" s="1793" t="s">
        <v>92</v>
      </c>
      <c r="P13" s="420"/>
      <c r="Q13" s="421"/>
      <c r="R13" s="421"/>
      <c r="S13" s="422" t="s">
        <v>5865</v>
      </c>
      <c r="T13" s="1794"/>
      <c r="U13" s="423">
        <v>1419.1032</v>
      </c>
      <c r="V13" s="424">
        <v>11</v>
      </c>
      <c r="W13" s="424">
        <v>0</v>
      </c>
      <c r="X13" s="425"/>
      <c r="Y13" s="426">
        <v>2023</v>
      </c>
      <c r="Z13" s="417">
        <v>2025</v>
      </c>
      <c r="AA13" s="1795" t="s">
        <v>5220</v>
      </c>
      <c r="AB13" s="427"/>
      <c r="AC13" s="1793"/>
      <c r="AD13" s="428" t="s">
        <v>5863</v>
      </c>
      <c r="AE13" s="1791" t="s">
        <v>2168</v>
      </c>
      <c r="AF13" s="1791" t="s">
        <v>5116</v>
      </c>
      <c r="AG13" s="1793" t="s">
        <v>2169</v>
      </c>
      <c r="AH13" s="428"/>
      <c r="AI13" s="1793"/>
      <c r="AJ13" s="429">
        <v>2022</v>
      </c>
      <c r="AK13" s="424">
        <v>2579</v>
      </c>
      <c r="AL13" s="424">
        <v>2583</v>
      </c>
      <c r="AM13" s="430">
        <v>135.25976127897215</v>
      </c>
      <c r="AN13" s="1796" t="s">
        <v>864</v>
      </c>
      <c r="AO13" s="432">
        <v>2025</v>
      </c>
      <c r="AP13" s="425">
        <v>2501.63</v>
      </c>
      <c r="AQ13" s="433">
        <v>3</v>
      </c>
      <c r="AR13" s="425">
        <v>2505.5100000000002</v>
      </c>
      <c r="AS13" s="433">
        <v>2.99</v>
      </c>
      <c r="AT13" s="434">
        <v>131.19999999999999</v>
      </c>
      <c r="AU13" s="1796" t="s">
        <v>864</v>
      </c>
      <c r="AV13" s="435">
        <v>3</v>
      </c>
      <c r="AW13" s="1797" t="s">
        <v>5221</v>
      </c>
      <c r="AX13" s="429">
        <v>2022</v>
      </c>
      <c r="AY13" s="424">
        <v>0</v>
      </c>
      <c r="AZ13" s="424">
        <v>0</v>
      </c>
      <c r="BA13" s="430"/>
      <c r="BB13" s="431"/>
      <c r="BC13" s="432">
        <v>2025</v>
      </c>
      <c r="BD13" s="425"/>
      <c r="BE13" s="433"/>
      <c r="BF13" s="425"/>
      <c r="BG13" s="433"/>
      <c r="BH13" s="434"/>
      <c r="BI13" s="431"/>
      <c r="BJ13" s="435"/>
      <c r="BK13" s="1797"/>
      <c r="BL13" s="1798"/>
      <c r="BM13" s="1799">
        <v>0</v>
      </c>
      <c r="BN13" s="1800"/>
      <c r="BO13" s="1799">
        <v>0</v>
      </c>
      <c r="BP13" s="1800"/>
      <c r="BQ13" s="1799">
        <v>0</v>
      </c>
    </row>
    <row r="14" spans="1:69" ht="409.5">
      <c r="A14" s="1787" t="s">
        <v>2170</v>
      </c>
      <c r="B14" s="1788" t="s">
        <v>2171</v>
      </c>
      <c r="C14" s="426">
        <v>2023</v>
      </c>
      <c r="D14" s="487" t="s">
        <v>714</v>
      </c>
      <c r="E14" s="1789">
        <v>3044329</v>
      </c>
      <c r="F14" s="418" t="s">
        <v>2171</v>
      </c>
      <c r="G14" s="419">
        <v>45210</v>
      </c>
      <c r="H14" s="1790" t="s">
        <v>2172</v>
      </c>
      <c r="I14" s="1791" t="s">
        <v>2171</v>
      </c>
      <c r="J14" s="1792" t="s">
        <v>2173</v>
      </c>
      <c r="K14" s="1788" t="s">
        <v>2171</v>
      </c>
      <c r="L14" s="1792" t="s">
        <v>2173</v>
      </c>
      <c r="M14" s="1793" t="s">
        <v>2172</v>
      </c>
      <c r="N14" s="1790" t="s">
        <v>48</v>
      </c>
      <c r="O14" s="1793" t="s">
        <v>51</v>
      </c>
      <c r="P14" s="420"/>
      <c r="Q14" s="421"/>
      <c r="R14" s="421" t="s">
        <v>717</v>
      </c>
      <c r="S14" s="422"/>
      <c r="T14" s="1794"/>
      <c r="U14" s="423"/>
      <c r="V14" s="424"/>
      <c r="W14" s="424"/>
      <c r="X14" s="425">
        <v>328</v>
      </c>
      <c r="Y14" s="426">
        <v>2023</v>
      </c>
      <c r="Z14" s="417">
        <v>2025</v>
      </c>
      <c r="AA14" s="1795" t="s">
        <v>5222</v>
      </c>
      <c r="AB14" s="427"/>
      <c r="AC14" s="1793"/>
      <c r="AD14" s="428" t="s">
        <v>5863</v>
      </c>
      <c r="AE14" s="1791" t="s">
        <v>2174</v>
      </c>
      <c r="AF14" s="1791" t="s">
        <v>2172</v>
      </c>
      <c r="AG14" s="1793" t="s">
        <v>2175</v>
      </c>
      <c r="AH14" s="428"/>
      <c r="AI14" s="1793"/>
      <c r="AJ14" s="429">
        <v>2022</v>
      </c>
      <c r="AK14" s="424">
        <v>2991</v>
      </c>
      <c r="AL14" s="424">
        <v>2991</v>
      </c>
      <c r="AM14" s="430"/>
      <c r="AN14" s="1796"/>
      <c r="AO14" s="432">
        <v>2025</v>
      </c>
      <c r="AP14" s="425"/>
      <c r="AQ14" s="433"/>
      <c r="AR14" s="425"/>
      <c r="AS14" s="433"/>
      <c r="AT14" s="434"/>
      <c r="AU14" s="1796"/>
      <c r="AV14" s="435"/>
      <c r="AW14" s="1797"/>
      <c r="AX14" s="429">
        <v>2022</v>
      </c>
      <c r="AY14" s="424">
        <v>2976.0385399999996</v>
      </c>
      <c r="AZ14" s="424">
        <v>2976.0385399999996</v>
      </c>
      <c r="BA14" s="430"/>
      <c r="BB14" s="431"/>
      <c r="BC14" s="432">
        <v>2025</v>
      </c>
      <c r="BD14" s="425">
        <v>2886</v>
      </c>
      <c r="BE14" s="433">
        <v>3.02</v>
      </c>
      <c r="BF14" s="425">
        <v>2886</v>
      </c>
      <c r="BG14" s="433">
        <v>3.02</v>
      </c>
      <c r="BH14" s="434"/>
      <c r="BI14" s="431"/>
      <c r="BJ14" s="435"/>
      <c r="BK14" s="1797" t="s">
        <v>5223</v>
      </c>
      <c r="BL14" s="1798"/>
      <c r="BM14" s="1799">
        <v>2</v>
      </c>
      <c r="BN14" s="1800"/>
      <c r="BO14" s="1799">
        <v>0</v>
      </c>
      <c r="BP14" s="1800"/>
      <c r="BQ14" s="1799">
        <v>0</v>
      </c>
    </row>
    <row r="15" spans="1:69" ht="409.5">
      <c r="A15" s="1787" t="s">
        <v>2176</v>
      </c>
      <c r="B15" s="1788" t="s">
        <v>2177</v>
      </c>
      <c r="C15" s="426">
        <v>2023</v>
      </c>
      <c r="D15" s="487" t="s">
        <v>681</v>
      </c>
      <c r="E15" s="1789">
        <v>1076330</v>
      </c>
      <c r="F15" s="418" t="s">
        <v>2177</v>
      </c>
      <c r="G15" s="419">
        <v>45117</v>
      </c>
      <c r="H15" s="1790" t="s">
        <v>2178</v>
      </c>
      <c r="I15" s="1791" t="s">
        <v>2177</v>
      </c>
      <c r="J15" s="1792" t="s">
        <v>2179</v>
      </c>
      <c r="K15" s="1788" t="s">
        <v>2177</v>
      </c>
      <c r="L15" s="1792" t="s">
        <v>2179</v>
      </c>
      <c r="M15" s="1793" t="s">
        <v>2180</v>
      </c>
      <c r="N15" s="1790" t="s">
        <v>86</v>
      </c>
      <c r="O15" s="1793" t="s">
        <v>88</v>
      </c>
      <c r="P15" s="420" t="s">
        <v>683</v>
      </c>
      <c r="Q15" s="421"/>
      <c r="R15" s="421"/>
      <c r="S15" s="422"/>
      <c r="T15" s="1794"/>
      <c r="U15" s="423">
        <v>4663.3242</v>
      </c>
      <c r="V15" s="424">
        <v>124</v>
      </c>
      <c r="W15" s="424">
        <v>0</v>
      </c>
      <c r="X15" s="425"/>
      <c r="Y15" s="426">
        <v>2023</v>
      </c>
      <c r="Z15" s="417">
        <v>2025</v>
      </c>
      <c r="AA15" s="1795" t="s">
        <v>5224</v>
      </c>
      <c r="AB15" s="427"/>
      <c r="AC15" s="1793"/>
      <c r="AD15" s="428" t="s">
        <v>5863</v>
      </c>
      <c r="AE15" s="1791" t="s">
        <v>2181</v>
      </c>
      <c r="AF15" s="1791" t="s">
        <v>2182</v>
      </c>
      <c r="AG15" s="1793" t="s">
        <v>2183</v>
      </c>
      <c r="AH15" s="428"/>
      <c r="AI15" s="1793"/>
      <c r="AJ15" s="429">
        <v>2022</v>
      </c>
      <c r="AK15" s="424">
        <v>8231</v>
      </c>
      <c r="AL15" s="424">
        <v>8231</v>
      </c>
      <c r="AM15" s="430">
        <v>0.57985206058471295</v>
      </c>
      <c r="AN15" s="1796" t="s">
        <v>675</v>
      </c>
      <c r="AO15" s="432">
        <v>2025</v>
      </c>
      <c r="AP15" s="425">
        <v>7985</v>
      </c>
      <c r="AQ15" s="433">
        <v>2.98</v>
      </c>
      <c r="AR15" s="425">
        <v>7985</v>
      </c>
      <c r="AS15" s="433">
        <v>2.98</v>
      </c>
      <c r="AT15" s="434">
        <v>0.55000000000000004</v>
      </c>
      <c r="AU15" s="1796" t="s">
        <v>675</v>
      </c>
      <c r="AV15" s="435">
        <v>5.14</v>
      </c>
      <c r="AW15" s="1797" t="s">
        <v>5225</v>
      </c>
      <c r="AX15" s="429">
        <v>2022</v>
      </c>
      <c r="AY15" s="424">
        <v>0</v>
      </c>
      <c r="AZ15" s="424">
        <v>0</v>
      </c>
      <c r="BA15" s="430"/>
      <c r="BB15" s="431"/>
      <c r="BC15" s="432">
        <v>2025</v>
      </c>
      <c r="BD15" s="425"/>
      <c r="BE15" s="433"/>
      <c r="BF15" s="425"/>
      <c r="BG15" s="433"/>
      <c r="BH15" s="434"/>
      <c r="BI15" s="431"/>
      <c r="BJ15" s="435"/>
      <c r="BK15" s="1797"/>
      <c r="BL15" s="1798"/>
      <c r="BM15" s="1799">
        <v>0</v>
      </c>
      <c r="BN15" s="1800"/>
      <c r="BO15" s="1799">
        <v>0</v>
      </c>
      <c r="BP15" s="1800"/>
      <c r="BQ15" s="1799">
        <v>0</v>
      </c>
    </row>
    <row r="16" spans="1:69" ht="189">
      <c r="A16" s="1787" t="s">
        <v>2184</v>
      </c>
      <c r="B16" s="1788" t="s">
        <v>2185</v>
      </c>
      <c r="C16" s="426">
        <v>2023</v>
      </c>
      <c r="D16" s="487" t="s">
        <v>681</v>
      </c>
      <c r="E16" s="1789">
        <v>1052332</v>
      </c>
      <c r="F16" s="418" t="s">
        <v>2185</v>
      </c>
      <c r="G16" s="419">
        <v>45138</v>
      </c>
      <c r="H16" s="1790" t="s">
        <v>2186</v>
      </c>
      <c r="I16" s="1791" t="s">
        <v>2185</v>
      </c>
      <c r="J16" s="1792" t="s">
        <v>2187</v>
      </c>
      <c r="K16" s="1788" t="s">
        <v>2185</v>
      </c>
      <c r="L16" s="1792" t="s">
        <v>2188</v>
      </c>
      <c r="M16" s="1793" t="s">
        <v>2186</v>
      </c>
      <c r="N16" s="1790" t="s">
        <v>57</v>
      </c>
      <c r="O16" s="1793" t="s">
        <v>66</v>
      </c>
      <c r="P16" s="420" t="s">
        <v>683</v>
      </c>
      <c r="Q16" s="421"/>
      <c r="R16" s="421"/>
      <c r="S16" s="422"/>
      <c r="T16" s="1794"/>
      <c r="U16" s="423">
        <v>4199.3886000000002</v>
      </c>
      <c r="V16" s="424">
        <v>17</v>
      </c>
      <c r="W16" s="424">
        <v>0</v>
      </c>
      <c r="X16" s="425">
        <v>1</v>
      </c>
      <c r="Y16" s="426">
        <v>2023</v>
      </c>
      <c r="Z16" s="417">
        <v>2025</v>
      </c>
      <c r="AA16" s="1795" t="s">
        <v>5226</v>
      </c>
      <c r="AB16" s="427"/>
      <c r="AC16" s="1793"/>
      <c r="AD16" s="428" t="s">
        <v>5863</v>
      </c>
      <c r="AE16" s="1791" t="s">
        <v>2189</v>
      </c>
      <c r="AF16" s="1791" t="s">
        <v>2190</v>
      </c>
      <c r="AG16" s="1793" t="s">
        <v>751</v>
      </c>
      <c r="AH16" s="428"/>
      <c r="AI16" s="1793"/>
      <c r="AJ16" s="429">
        <v>2022</v>
      </c>
      <c r="AK16" s="424">
        <v>7467</v>
      </c>
      <c r="AL16" s="424">
        <v>7450</v>
      </c>
      <c r="AM16" s="430">
        <v>1.3606049562682216</v>
      </c>
      <c r="AN16" s="1796" t="s">
        <v>2151</v>
      </c>
      <c r="AO16" s="432">
        <v>2025</v>
      </c>
      <c r="AP16" s="425">
        <v>7240</v>
      </c>
      <c r="AQ16" s="433">
        <v>3.04</v>
      </c>
      <c r="AR16" s="425">
        <v>7225</v>
      </c>
      <c r="AS16" s="433">
        <v>3.02</v>
      </c>
      <c r="AT16" s="434">
        <v>1.32</v>
      </c>
      <c r="AU16" s="1796" t="s">
        <v>2151</v>
      </c>
      <c r="AV16" s="435">
        <v>2.98</v>
      </c>
      <c r="AW16" s="1797" t="s">
        <v>5227</v>
      </c>
      <c r="AX16" s="429">
        <v>2022</v>
      </c>
      <c r="AY16" s="424">
        <v>0</v>
      </c>
      <c r="AZ16" s="424">
        <v>0</v>
      </c>
      <c r="BA16" s="430"/>
      <c r="BB16" s="431"/>
      <c r="BC16" s="432">
        <v>2025</v>
      </c>
      <c r="BD16" s="425"/>
      <c r="BE16" s="433"/>
      <c r="BF16" s="425"/>
      <c r="BG16" s="433"/>
      <c r="BH16" s="434"/>
      <c r="BI16" s="431"/>
      <c r="BJ16" s="435"/>
      <c r="BK16" s="1797"/>
      <c r="BL16" s="1798"/>
      <c r="BM16" s="1799">
        <v>0</v>
      </c>
      <c r="BN16" s="1800"/>
      <c r="BO16" s="1799">
        <v>0</v>
      </c>
      <c r="BP16" s="1800"/>
      <c r="BQ16" s="1799">
        <v>0</v>
      </c>
    </row>
    <row r="17" spans="1:69" ht="409.5">
      <c r="A17" s="1787" t="s">
        <v>2191</v>
      </c>
      <c r="B17" s="1788" t="s">
        <v>2192</v>
      </c>
      <c r="C17" s="426">
        <v>2023</v>
      </c>
      <c r="D17" s="487" t="s">
        <v>681</v>
      </c>
      <c r="E17" s="1789">
        <v>1058333</v>
      </c>
      <c r="F17" s="418" t="s">
        <v>2192</v>
      </c>
      <c r="G17" s="419">
        <v>45122</v>
      </c>
      <c r="H17" s="1790" t="s">
        <v>2193</v>
      </c>
      <c r="I17" s="1791" t="s">
        <v>2192</v>
      </c>
      <c r="J17" s="1792" t="s">
        <v>2194</v>
      </c>
      <c r="K17" s="1788" t="s">
        <v>2192</v>
      </c>
      <c r="L17" s="1792" t="s">
        <v>2194</v>
      </c>
      <c r="M17" s="1793" t="s">
        <v>2193</v>
      </c>
      <c r="N17" s="1790" t="s">
        <v>57</v>
      </c>
      <c r="O17" s="1793" t="s">
        <v>66</v>
      </c>
      <c r="P17" s="420" t="s">
        <v>683</v>
      </c>
      <c r="Q17" s="421"/>
      <c r="R17" s="421"/>
      <c r="S17" s="422"/>
      <c r="T17" s="1794"/>
      <c r="U17" s="423">
        <v>10893.379200000001</v>
      </c>
      <c r="V17" s="424">
        <v>24</v>
      </c>
      <c r="W17" s="424">
        <v>8</v>
      </c>
      <c r="X17" s="425"/>
      <c r="Y17" s="426">
        <v>2023</v>
      </c>
      <c r="Z17" s="417">
        <v>2025</v>
      </c>
      <c r="AA17" s="1795" t="s">
        <v>5228</v>
      </c>
      <c r="AB17" s="427"/>
      <c r="AC17" s="1793"/>
      <c r="AD17" s="428" t="s">
        <v>5863</v>
      </c>
      <c r="AE17" s="1791" t="s">
        <v>2195</v>
      </c>
      <c r="AF17" s="1791" t="s">
        <v>2193</v>
      </c>
      <c r="AG17" s="1793" t="s">
        <v>2196</v>
      </c>
      <c r="AH17" s="428"/>
      <c r="AI17" s="1793"/>
      <c r="AJ17" s="429">
        <v>2022</v>
      </c>
      <c r="AK17" s="424">
        <v>19556</v>
      </c>
      <c r="AL17" s="424">
        <v>19512</v>
      </c>
      <c r="AM17" s="430"/>
      <c r="AN17" s="1796"/>
      <c r="AO17" s="432">
        <v>2025</v>
      </c>
      <c r="AP17" s="425">
        <v>19360</v>
      </c>
      <c r="AQ17" s="433">
        <v>1</v>
      </c>
      <c r="AR17" s="425">
        <v>19317</v>
      </c>
      <c r="AS17" s="433">
        <v>0.99</v>
      </c>
      <c r="AT17" s="434"/>
      <c r="AU17" s="1796"/>
      <c r="AV17" s="435"/>
      <c r="AW17" s="1797" t="s">
        <v>5229</v>
      </c>
      <c r="AX17" s="429">
        <v>2022</v>
      </c>
      <c r="AY17" s="424">
        <v>0</v>
      </c>
      <c r="AZ17" s="424">
        <v>0</v>
      </c>
      <c r="BA17" s="430"/>
      <c r="BB17" s="431"/>
      <c r="BC17" s="432">
        <v>2025</v>
      </c>
      <c r="BD17" s="425"/>
      <c r="BE17" s="433"/>
      <c r="BF17" s="425"/>
      <c r="BG17" s="433"/>
      <c r="BH17" s="434"/>
      <c r="BI17" s="431"/>
      <c r="BJ17" s="435"/>
      <c r="BK17" s="1797"/>
      <c r="BL17" s="1798"/>
      <c r="BM17" s="1799">
        <v>0</v>
      </c>
      <c r="BN17" s="1800"/>
      <c r="BO17" s="1799">
        <v>0</v>
      </c>
      <c r="BP17" s="1800"/>
      <c r="BQ17" s="1799">
        <v>0</v>
      </c>
    </row>
    <row r="18" spans="1:69" ht="409.5">
      <c r="A18" s="1787" t="s">
        <v>2273</v>
      </c>
      <c r="B18" s="1788" t="s">
        <v>2274</v>
      </c>
      <c r="C18" s="426">
        <v>2023</v>
      </c>
      <c r="D18" s="487" t="s">
        <v>681</v>
      </c>
      <c r="E18" s="1789">
        <v>1009351</v>
      </c>
      <c r="F18" s="418" t="s">
        <v>2274</v>
      </c>
      <c r="G18" s="419">
        <v>45125</v>
      </c>
      <c r="H18" s="1790" t="s">
        <v>2275</v>
      </c>
      <c r="I18" s="1791" t="s">
        <v>2274</v>
      </c>
      <c r="J18" s="1792" t="s">
        <v>5129</v>
      </c>
      <c r="K18" s="1788" t="s">
        <v>2274</v>
      </c>
      <c r="L18" s="1792" t="s">
        <v>5129</v>
      </c>
      <c r="M18" s="1793" t="s">
        <v>2275</v>
      </c>
      <c r="N18" s="1790" t="s">
        <v>12</v>
      </c>
      <c r="O18" s="1793" t="s">
        <v>13</v>
      </c>
      <c r="P18" s="420" t="s">
        <v>683</v>
      </c>
      <c r="Q18" s="421"/>
      <c r="R18" s="421"/>
      <c r="S18" s="422"/>
      <c r="T18" s="1794"/>
      <c r="U18" s="423">
        <v>2624.2728000000002</v>
      </c>
      <c r="V18" s="424">
        <v>15</v>
      </c>
      <c r="W18" s="424">
        <v>1</v>
      </c>
      <c r="X18" s="425"/>
      <c r="Y18" s="426">
        <v>2023</v>
      </c>
      <c r="Z18" s="417">
        <v>2025</v>
      </c>
      <c r="AA18" s="1795" t="s">
        <v>5230</v>
      </c>
      <c r="AB18" s="427"/>
      <c r="AC18" s="1793"/>
      <c r="AD18" s="428" t="s">
        <v>5863</v>
      </c>
      <c r="AE18" s="1791" t="s">
        <v>5130</v>
      </c>
      <c r="AF18" s="1791" t="s">
        <v>2276</v>
      </c>
      <c r="AG18" s="1793" t="s">
        <v>2277</v>
      </c>
      <c r="AH18" s="428"/>
      <c r="AI18" s="1793"/>
      <c r="AJ18" s="429">
        <v>2022</v>
      </c>
      <c r="AK18" s="424">
        <v>4650</v>
      </c>
      <c r="AL18" s="424">
        <v>4662</v>
      </c>
      <c r="AM18" s="430"/>
      <c r="AN18" s="1796"/>
      <c r="AO18" s="432">
        <v>2025</v>
      </c>
      <c r="AP18" s="425">
        <v>3952</v>
      </c>
      <c r="AQ18" s="433">
        <v>15.01</v>
      </c>
      <c r="AR18" s="425">
        <v>3963</v>
      </c>
      <c r="AS18" s="433">
        <v>14.99</v>
      </c>
      <c r="AT18" s="434"/>
      <c r="AU18" s="1796"/>
      <c r="AV18" s="435"/>
      <c r="AW18" s="1797" t="s">
        <v>5231</v>
      </c>
      <c r="AX18" s="429">
        <v>2022</v>
      </c>
      <c r="AY18" s="424">
        <v>0</v>
      </c>
      <c r="AZ18" s="424">
        <v>0</v>
      </c>
      <c r="BA18" s="430"/>
      <c r="BB18" s="431"/>
      <c r="BC18" s="432">
        <v>2025</v>
      </c>
      <c r="BD18" s="425"/>
      <c r="BE18" s="433"/>
      <c r="BF18" s="425"/>
      <c r="BG18" s="433"/>
      <c r="BH18" s="434"/>
      <c r="BI18" s="431"/>
      <c r="BJ18" s="435"/>
      <c r="BK18" s="1797"/>
      <c r="BL18" s="1798"/>
      <c r="BM18" s="1799">
        <v>0</v>
      </c>
      <c r="BN18" s="1800"/>
      <c r="BO18" s="1799">
        <v>0</v>
      </c>
      <c r="BP18" s="1800"/>
      <c r="BQ18" s="1799">
        <v>0</v>
      </c>
    </row>
    <row r="19" spans="1:69" ht="409.5">
      <c r="A19" s="1787" t="s">
        <v>2278</v>
      </c>
      <c r="B19" s="1788" t="s">
        <v>2279</v>
      </c>
      <c r="C19" s="426">
        <v>2023</v>
      </c>
      <c r="D19" s="487" t="s">
        <v>681</v>
      </c>
      <c r="E19" s="1789">
        <v>1037353</v>
      </c>
      <c r="F19" s="418" t="s">
        <v>2279</v>
      </c>
      <c r="G19" s="419">
        <v>45138</v>
      </c>
      <c r="H19" s="1790" t="s">
        <v>2280</v>
      </c>
      <c r="I19" s="1791" t="s">
        <v>2279</v>
      </c>
      <c r="J19" s="1792" t="s">
        <v>2281</v>
      </c>
      <c r="K19" s="1788" t="s">
        <v>2279</v>
      </c>
      <c r="L19" s="1792" t="s">
        <v>2282</v>
      </c>
      <c r="M19" s="1793" t="s">
        <v>2280</v>
      </c>
      <c r="N19" s="1790" t="s">
        <v>42</v>
      </c>
      <c r="O19" s="1793" t="s">
        <v>43</v>
      </c>
      <c r="P19" s="420" t="s">
        <v>683</v>
      </c>
      <c r="Q19" s="421"/>
      <c r="R19" s="421"/>
      <c r="S19" s="422"/>
      <c r="T19" s="1794"/>
      <c r="U19" s="423">
        <v>4415.4636</v>
      </c>
      <c r="V19" s="424">
        <v>10</v>
      </c>
      <c r="W19" s="424">
        <v>1</v>
      </c>
      <c r="X19" s="425"/>
      <c r="Y19" s="426">
        <v>2023</v>
      </c>
      <c r="Z19" s="417">
        <v>2025</v>
      </c>
      <c r="AA19" s="1795" t="s">
        <v>5232</v>
      </c>
      <c r="AB19" s="427"/>
      <c r="AC19" s="1793"/>
      <c r="AD19" s="428" t="s">
        <v>5863</v>
      </c>
      <c r="AE19" s="1791" t="s">
        <v>2279</v>
      </c>
      <c r="AF19" s="1791" t="s">
        <v>2283</v>
      </c>
      <c r="AG19" s="1793" t="s">
        <v>1707</v>
      </c>
      <c r="AH19" s="428"/>
      <c r="AI19" s="1793"/>
      <c r="AJ19" s="429">
        <v>2022</v>
      </c>
      <c r="AK19" s="424">
        <v>7715</v>
      </c>
      <c r="AL19" s="424">
        <v>8114</v>
      </c>
      <c r="AM19" s="430">
        <v>134.07868312014566</v>
      </c>
      <c r="AN19" s="1796" t="s">
        <v>2284</v>
      </c>
      <c r="AO19" s="432">
        <v>2025</v>
      </c>
      <c r="AP19" s="425">
        <v>8213</v>
      </c>
      <c r="AQ19" s="433">
        <v>-6.46</v>
      </c>
      <c r="AR19" s="425">
        <v>8636</v>
      </c>
      <c r="AS19" s="433">
        <v>-6.44</v>
      </c>
      <c r="AT19" s="434">
        <v>82.716999999999999</v>
      </c>
      <c r="AU19" s="1796" t="s">
        <v>2284</v>
      </c>
      <c r="AV19" s="435">
        <v>38.299999999999997</v>
      </c>
      <c r="AW19" s="1797" t="s">
        <v>5233</v>
      </c>
      <c r="AX19" s="429">
        <v>2022</v>
      </c>
      <c r="AY19" s="424">
        <v>0</v>
      </c>
      <c r="AZ19" s="424">
        <v>0</v>
      </c>
      <c r="BA19" s="430"/>
      <c r="BB19" s="431"/>
      <c r="BC19" s="432">
        <v>2025</v>
      </c>
      <c r="BD19" s="425"/>
      <c r="BE19" s="433"/>
      <c r="BF19" s="425"/>
      <c r="BG19" s="433"/>
      <c r="BH19" s="434"/>
      <c r="BI19" s="431"/>
      <c r="BJ19" s="435"/>
      <c r="BK19" s="1797"/>
      <c r="BL19" s="1798"/>
      <c r="BM19" s="1799">
        <v>0</v>
      </c>
      <c r="BN19" s="1800"/>
      <c r="BO19" s="1799">
        <v>0</v>
      </c>
      <c r="BP19" s="1800"/>
      <c r="BQ19" s="1799">
        <v>0</v>
      </c>
    </row>
    <row r="20" spans="1:69" ht="409.5">
      <c r="A20" s="1787" t="s">
        <v>2286</v>
      </c>
      <c r="B20" s="1788" t="s">
        <v>2287</v>
      </c>
      <c r="C20" s="426">
        <v>2023</v>
      </c>
      <c r="D20" s="487" t="s">
        <v>681</v>
      </c>
      <c r="E20" s="1789">
        <v>1056354</v>
      </c>
      <c r="F20" s="418" t="s">
        <v>2287</v>
      </c>
      <c r="G20" s="419">
        <v>45138</v>
      </c>
      <c r="H20" s="1790" t="s">
        <v>2288</v>
      </c>
      <c r="I20" s="1791" t="s">
        <v>2287</v>
      </c>
      <c r="J20" s="1792" t="s">
        <v>2289</v>
      </c>
      <c r="K20" s="1788" t="s">
        <v>2287</v>
      </c>
      <c r="L20" s="1792" t="s">
        <v>2289</v>
      </c>
      <c r="M20" s="1793" t="s">
        <v>2288</v>
      </c>
      <c r="N20" s="1790" t="s">
        <v>57</v>
      </c>
      <c r="O20" s="1793" t="s">
        <v>67</v>
      </c>
      <c r="P20" s="420" t="s">
        <v>683</v>
      </c>
      <c r="Q20" s="421"/>
      <c r="R20" s="421"/>
      <c r="S20" s="422"/>
      <c r="T20" s="1794"/>
      <c r="U20" s="423">
        <v>4605.1451999999999</v>
      </c>
      <c r="V20" s="424">
        <v>17</v>
      </c>
      <c r="W20" s="424">
        <v>2</v>
      </c>
      <c r="X20" s="425"/>
      <c r="Y20" s="426">
        <v>2023</v>
      </c>
      <c r="Z20" s="417">
        <v>2025</v>
      </c>
      <c r="AA20" s="1795" t="s">
        <v>5234</v>
      </c>
      <c r="AB20" s="427"/>
      <c r="AC20" s="1793"/>
      <c r="AD20" s="428" t="s">
        <v>5863</v>
      </c>
      <c r="AE20" s="1791" t="s">
        <v>2290</v>
      </c>
      <c r="AF20" s="1791" t="s">
        <v>2288</v>
      </c>
      <c r="AG20" s="1793" t="s">
        <v>2291</v>
      </c>
      <c r="AH20" s="428"/>
      <c r="AI20" s="1793"/>
      <c r="AJ20" s="429">
        <v>2022</v>
      </c>
      <c r="AK20" s="424">
        <v>8139</v>
      </c>
      <c r="AL20" s="424">
        <v>8191</v>
      </c>
      <c r="AM20" s="430">
        <v>46.967657467453591</v>
      </c>
      <c r="AN20" s="1796" t="s">
        <v>727</v>
      </c>
      <c r="AO20" s="432">
        <v>2025</v>
      </c>
      <c r="AP20" s="425">
        <v>8058</v>
      </c>
      <c r="AQ20" s="433">
        <v>0.99</v>
      </c>
      <c r="AR20" s="425">
        <v>8109</v>
      </c>
      <c r="AS20" s="433">
        <v>1</v>
      </c>
      <c r="AT20" s="434">
        <v>46.5</v>
      </c>
      <c r="AU20" s="1796" t="s">
        <v>727</v>
      </c>
      <c r="AV20" s="435">
        <v>0.99</v>
      </c>
      <c r="AW20" s="1797" t="s">
        <v>5235</v>
      </c>
      <c r="AX20" s="429">
        <v>2022</v>
      </c>
      <c r="AY20" s="424">
        <v>0</v>
      </c>
      <c r="AZ20" s="424">
        <v>0</v>
      </c>
      <c r="BA20" s="430"/>
      <c r="BB20" s="431"/>
      <c r="BC20" s="432">
        <v>2025</v>
      </c>
      <c r="BD20" s="425"/>
      <c r="BE20" s="433"/>
      <c r="BF20" s="425"/>
      <c r="BG20" s="433"/>
      <c r="BH20" s="434"/>
      <c r="BI20" s="431"/>
      <c r="BJ20" s="435"/>
      <c r="BK20" s="1797"/>
      <c r="BL20" s="1798"/>
      <c r="BM20" s="1799">
        <v>0</v>
      </c>
      <c r="BN20" s="1800"/>
      <c r="BO20" s="1799">
        <v>0</v>
      </c>
      <c r="BP20" s="1800"/>
      <c r="BQ20" s="1799">
        <v>0</v>
      </c>
    </row>
    <row r="21" spans="1:69" ht="409.5">
      <c r="A21" s="1787" t="s">
        <v>2368</v>
      </c>
      <c r="B21" s="1788" t="s">
        <v>2369</v>
      </c>
      <c r="C21" s="426">
        <v>2023</v>
      </c>
      <c r="D21" s="487" t="s">
        <v>681</v>
      </c>
      <c r="E21" s="1789">
        <v>1065370</v>
      </c>
      <c r="F21" s="418" t="s">
        <v>2369</v>
      </c>
      <c r="G21" s="419">
        <v>45125</v>
      </c>
      <c r="H21" s="1790" t="s">
        <v>2370</v>
      </c>
      <c r="I21" s="1791" t="s">
        <v>2369</v>
      </c>
      <c r="J21" s="1792" t="s">
        <v>5144</v>
      </c>
      <c r="K21" s="1788" t="s">
        <v>2369</v>
      </c>
      <c r="L21" s="1792" t="s">
        <v>5144</v>
      </c>
      <c r="M21" s="1793" t="s">
        <v>2370</v>
      </c>
      <c r="N21" s="1790" t="s">
        <v>70</v>
      </c>
      <c r="O21" s="1793" t="s">
        <v>74</v>
      </c>
      <c r="P21" s="420" t="s">
        <v>683</v>
      </c>
      <c r="Q21" s="421"/>
      <c r="R21" s="421"/>
      <c r="S21" s="422"/>
      <c r="T21" s="1794"/>
      <c r="U21" s="423">
        <v>1647.5106000000001</v>
      </c>
      <c r="V21" s="424">
        <v>5</v>
      </c>
      <c r="W21" s="424">
        <v>0</v>
      </c>
      <c r="X21" s="425"/>
      <c r="Y21" s="426">
        <v>2023</v>
      </c>
      <c r="Z21" s="417">
        <v>2025</v>
      </c>
      <c r="AA21" s="1795" t="s">
        <v>5236</v>
      </c>
      <c r="AB21" s="427"/>
      <c r="AC21" s="1793"/>
      <c r="AD21" s="428" t="s">
        <v>5863</v>
      </c>
      <c r="AE21" s="1791" t="s">
        <v>2371</v>
      </c>
      <c r="AF21" s="1791" t="s">
        <v>2372</v>
      </c>
      <c r="AG21" s="1793" t="s">
        <v>2291</v>
      </c>
      <c r="AH21" s="428"/>
      <c r="AI21" s="1793"/>
      <c r="AJ21" s="429">
        <v>2022</v>
      </c>
      <c r="AK21" s="424">
        <v>3128</v>
      </c>
      <c r="AL21" s="424">
        <v>2177</v>
      </c>
      <c r="AM21" s="430"/>
      <c r="AN21" s="1796"/>
      <c r="AO21" s="432">
        <v>2025</v>
      </c>
      <c r="AP21" s="425">
        <v>3034.16</v>
      </c>
      <c r="AQ21" s="433">
        <v>3</v>
      </c>
      <c r="AR21" s="425">
        <v>2111.69</v>
      </c>
      <c r="AS21" s="433">
        <v>3</v>
      </c>
      <c r="AT21" s="434"/>
      <c r="AU21" s="1796"/>
      <c r="AV21" s="435"/>
      <c r="AW21" s="1797" t="s">
        <v>5237</v>
      </c>
      <c r="AX21" s="429">
        <v>2022</v>
      </c>
      <c r="AY21" s="424">
        <v>0</v>
      </c>
      <c r="AZ21" s="424">
        <v>0</v>
      </c>
      <c r="BA21" s="430"/>
      <c r="BB21" s="431"/>
      <c r="BC21" s="432">
        <v>2025</v>
      </c>
      <c r="BD21" s="425"/>
      <c r="BE21" s="433"/>
      <c r="BF21" s="425"/>
      <c r="BG21" s="433"/>
      <c r="BH21" s="434"/>
      <c r="BI21" s="431"/>
      <c r="BJ21" s="435"/>
      <c r="BK21" s="1797"/>
      <c r="BL21" s="1798"/>
      <c r="BM21" s="1799">
        <v>0</v>
      </c>
      <c r="BN21" s="1800"/>
      <c r="BO21" s="1799">
        <v>0</v>
      </c>
      <c r="BP21" s="1800"/>
      <c r="BQ21" s="1799">
        <v>0</v>
      </c>
    </row>
    <row r="22" spans="1:69" ht="409.5">
      <c r="A22" s="1787" t="s">
        <v>2373</v>
      </c>
      <c r="B22" s="1788" t="s">
        <v>2374</v>
      </c>
      <c r="C22" s="426">
        <v>2023</v>
      </c>
      <c r="D22" s="487" t="s">
        <v>681</v>
      </c>
      <c r="E22" s="1789">
        <v>1052371</v>
      </c>
      <c r="F22" s="418" t="s">
        <v>2374</v>
      </c>
      <c r="G22" s="419">
        <v>45138</v>
      </c>
      <c r="H22" s="1790" t="s">
        <v>2375</v>
      </c>
      <c r="I22" s="1791" t="s">
        <v>2374</v>
      </c>
      <c r="J22" s="1792" t="s">
        <v>2376</v>
      </c>
      <c r="K22" s="1788" t="s">
        <v>2374</v>
      </c>
      <c r="L22" s="1792" t="s">
        <v>2377</v>
      </c>
      <c r="M22" s="1793" t="s">
        <v>2375</v>
      </c>
      <c r="N22" s="1790" t="s">
        <v>57</v>
      </c>
      <c r="O22" s="1793" t="s">
        <v>60</v>
      </c>
      <c r="P22" s="420" t="s">
        <v>683</v>
      </c>
      <c r="Q22" s="421"/>
      <c r="R22" s="421"/>
      <c r="S22" s="422"/>
      <c r="T22" s="1794"/>
      <c r="U22" s="423">
        <v>2360.5709999999999</v>
      </c>
      <c r="V22" s="424">
        <v>6</v>
      </c>
      <c r="W22" s="424">
        <v>2</v>
      </c>
      <c r="X22" s="425"/>
      <c r="Y22" s="426">
        <v>2023</v>
      </c>
      <c r="Z22" s="417">
        <v>2025</v>
      </c>
      <c r="AA22" s="1795" t="s">
        <v>5238</v>
      </c>
      <c r="AB22" s="427"/>
      <c r="AC22" s="1793"/>
      <c r="AD22" s="428" t="s">
        <v>5863</v>
      </c>
      <c r="AE22" s="1791" t="s">
        <v>2378</v>
      </c>
      <c r="AF22" s="1791" t="s">
        <v>2375</v>
      </c>
      <c r="AG22" s="1793" t="s">
        <v>2379</v>
      </c>
      <c r="AH22" s="428"/>
      <c r="AI22" s="1793"/>
      <c r="AJ22" s="429">
        <v>2022</v>
      </c>
      <c r="AK22" s="424">
        <v>4038</v>
      </c>
      <c r="AL22" s="424">
        <v>815</v>
      </c>
      <c r="AM22" s="430"/>
      <c r="AN22" s="1796"/>
      <c r="AO22" s="432">
        <v>2025</v>
      </c>
      <c r="AP22" s="425">
        <v>3918</v>
      </c>
      <c r="AQ22" s="433">
        <v>2.97</v>
      </c>
      <c r="AR22" s="425">
        <v>790</v>
      </c>
      <c r="AS22" s="433">
        <v>3.06</v>
      </c>
      <c r="AT22" s="434"/>
      <c r="AU22" s="1796"/>
      <c r="AV22" s="435"/>
      <c r="AW22" s="1797" t="s">
        <v>5239</v>
      </c>
      <c r="AX22" s="429">
        <v>2022</v>
      </c>
      <c r="AY22" s="424">
        <v>0</v>
      </c>
      <c r="AZ22" s="424">
        <v>0</v>
      </c>
      <c r="BA22" s="430"/>
      <c r="BB22" s="431"/>
      <c r="BC22" s="432">
        <v>2025</v>
      </c>
      <c r="BD22" s="425"/>
      <c r="BE22" s="433"/>
      <c r="BF22" s="425"/>
      <c r="BG22" s="433"/>
      <c r="BH22" s="434"/>
      <c r="BI22" s="431"/>
      <c r="BJ22" s="435"/>
      <c r="BK22" s="1797"/>
      <c r="BL22" s="1798">
        <v>0</v>
      </c>
      <c r="BM22" s="1799">
        <v>0</v>
      </c>
      <c r="BN22" s="1800">
        <v>0</v>
      </c>
      <c r="BO22" s="1799">
        <v>0</v>
      </c>
      <c r="BP22" s="1800">
        <v>0</v>
      </c>
      <c r="BQ22" s="1799">
        <v>0</v>
      </c>
    </row>
    <row r="23" spans="1:69" ht="409.5">
      <c r="A23" s="1787" t="s">
        <v>2380</v>
      </c>
      <c r="B23" s="1788" t="s">
        <v>2381</v>
      </c>
      <c r="C23" s="426">
        <v>2023</v>
      </c>
      <c r="D23" s="487" t="s">
        <v>681</v>
      </c>
      <c r="E23" s="1789">
        <v>1083374</v>
      </c>
      <c r="F23" s="418" t="s">
        <v>2381</v>
      </c>
      <c r="G23" s="419">
        <v>45138</v>
      </c>
      <c r="H23" s="1790" t="s">
        <v>2382</v>
      </c>
      <c r="I23" s="1791" t="s">
        <v>2381</v>
      </c>
      <c r="J23" s="1792" t="s">
        <v>2383</v>
      </c>
      <c r="K23" s="1788" t="s">
        <v>2381</v>
      </c>
      <c r="L23" s="1792" t="s">
        <v>2383</v>
      </c>
      <c r="M23" s="1793" t="s">
        <v>2382</v>
      </c>
      <c r="N23" s="1790" t="s">
        <v>523</v>
      </c>
      <c r="O23" s="1793" t="s">
        <v>96</v>
      </c>
      <c r="P23" s="420" t="s">
        <v>683</v>
      </c>
      <c r="Q23" s="421"/>
      <c r="R23" s="421"/>
      <c r="S23" s="422"/>
      <c r="T23" s="1794"/>
      <c r="U23" s="423">
        <v>12813.054</v>
      </c>
      <c r="V23" s="424">
        <v>5</v>
      </c>
      <c r="W23" s="424">
        <v>4</v>
      </c>
      <c r="X23" s="425"/>
      <c r="Y23" s="426">
        <v>2023</v>
      </c>
      <c r="Z23" s="417">
        <v>2025</v>
      </c>
      <c r="AA23" s="1795" t="s">
        <v>5240</v>
      </c>
      <c r="AB23" s="427"/>
      <c r="AC23" s="1793"/>
      <c r="AD23" s="428" t="s">
        <v>5863</v>
      </c>
      <c r="AE23" s="1791" t="s">
        <v>2384</v>
      </c>
      <c r="AF23" s="1791" t="s">
        <v>2385</v>
      </c>
      <c r="AG23" s="1793" t="s">
        <v>765</v>
      </c>
      <c r="AH23" s="428"/>
      <c r="AI23" s="1793"/>
      <c r="AJ23" s="429">
        <v>2022</v>
      </c>
      <c r="AK23" s="424">
        <v>24139</v>
      </c>
      <c r="AL23" s="424">
        <v>21644</v>
      </c>
      <c r="AM23" s="430">
        <v>158.19827377168437</v>
      </c>
      <c r="AN23" s="1796" t="s">
        <v>727</v>
      </c>
      <c r="AO23" s="432">
        <v>2025</v>
      </c>
      <c r="AP23" s="425">
        <v>23415</v>
      </c>
      <c r="AQ23" s="433">
        <v>2.99</v>
      </c>
      <c r="AR23" s="425">
        <v>20995</v>
      </c>
      <c r="AS23" s="433">
        <v>2.99</v>
      </c>
      <c r="AT23" s="434">
        <v>153.44999999999999</v>
      </c>
      <c r="AU23" s="1796" t="s">
        <v>727</v>
      </c>
      <c r="AV23" s="435">
        <v>3</v>
      </c>
      <c r="AW23" s="1797" t="s">
        <v>5241</v>
      </c>
      <c r="AX23" s="429">
        <v>2022</v>
      </c>
      <c r="AY23" s="424">
        <v>0</v>
      </c>
      <c r="AZ23" s="424">
        <v>0</v>
      </c>
      <c r="BA23" s="430"/>
      <c r="BB23" s="431"/>
      <c r="BC23" s="432">
        <v>2025</v>
      </c>
      <c r="BD23" s="425"/>
      <c r="BE23" s="433"/>
      <c r="BF23" s="425"/>
      <c r="BG23" s="433"/>
      <c r="BH23" s="434"/>
      <c r="BI23" s="431"/>
      <c r="BJ23" s="435"/>
      <c r="BK23" s="1797"/>
      <c r="BL23" s="1798"/>
      <c r="BM23" s="1799">
        <v>0</v>
      </c>
      <c r="BN23" s="1800"/>
      <c r="BO23" s="1799">
        <v>0</v>
      </c>
      <c r="BP23" s="1800"/>
      <c r="BQ23" s="1799">
        <v>0</v>
      </c>
    </row>
    <row r="24" spans="1:69" ht="409.5">
      <c r="A24" s="1787" t="s">
        <v>2391</v>
      </c>
      <c r="B24" s="1788" t="s">
        <v>5151</v>
      </c>
      <c r="C24" s="426">
        <v>2023</v>
      </c>
      <c r="D24" s="487" t="s">
        <v>681</v>
      </c>
      <c r="E24" s="1789">
        <v>1069376</v>
      </c>
      <c r="F24" s="418" t="s">
        <v>5151</v>
      </c>
      <c r="G24" s="419">
        <v>45132</v>
      </c>
      <c r="H24" s="1790" t="s">
        <v>5149</v>
      </c>
      <c r="I24" s="1791" t="s">
        <v>5148</v>
      </c>
      <c r="J24" s="1792" t="s">
        <v>5150</v>
      </c>
      <c r="K24" s="1788" t="s">
        <v>5151</v>
      </c>
      <c r="L24" s="1792" t="s">
        <v>5152</v>
      </c>
      <c r="M24" s="1793" t="s">
        <v>2392</v>
      </c>
      <c r="N24" s="1790" t="s">
        <v>77</v>
      </c>
      <c r="O24" s="1793" t="s">
        <v>79</v>
      </c>
      <c r="P24" s="420" t="s">
        <v>683</v>
      </c>
      <c r="Q24" s="421"/>
      <c r="R24" s="421"/>
      <c r="S24" s="422"/>
      <c r="T24" s="1794"/>
      <c r="U24" s="423">
        <v>4107.5922</v>
      </c>
      <c r="V24" s="424">
        <v>1</v>
      </c>
      <c r="W24" s="424">
        <v>1</v>
      </c>
      <c r="X24" s="425"/>
      <c r="Y24" s="426">
        <v>2023</v>
      </c>
      <c r="Z24" s="417">
        <v>2025</v>
      </c>
      <c r="AA24" s="1795" t="s">
        <v>5242</v>
      </c>
      <c r="AB24" s="427"/>
      <c r="AC24" s="1793"/>
      <c r="AD24" s="428" t="s">
        <v>5863</v>
      </c>
      <c r="AE24" s="1791" t="s">
        <v>2393</v>
      </c>
      <c r="AF24" s="1791" t="s">
        <v>2394</v>
      </c>
      <c r="AG24" s="1793" t="s">
        <v>1192</v>
      </c>
      <c r="AH24" s="428"/>
      <c r="AI24" s="1793"/>
      <c r="AJ24" s="429">
        <v>2022</v>
      </c>
      <c r="AK24" s="424">
        <v>7333</v>
      </c>
      <c r="AL24" s="424">
        <v>6893</v>
      </c>
      <c r="AM24" s="430">
        <v>85.227335462021529</v>
      </c>
      <c r="AN24" s="1796" t="s">
        <v>727</v>
      </c>
      <c r="AO24" s="432">
        <v>2025</v>
      </c>
      <c r="AP24" s="425">
        <v>6529</v>
      </c>
      <c r="AQ24" s="433">
        <v>10.96</v>
      </c>
      <c r="AR24" s="425">
        <v>6155</v>
      </c>
      <c r="AS24" s="433">
        <v>10.7</v>
      </c>
      <c r="AT24" s="434">
        <v>75.882895572281271</v>
      </c>
      <c r="AU24" s="1796" t="s">
        <v>727</v>
      </c>
      <c r="AV24" s="435">
        <v>10.96</v>
      </c>
      <c r="AW24" s="1797" t="s">
        <v>5243</v>
      </c>
      <c r="AX24" s="429">
        <v>2022</v>
      </c>
      <c r="AY24" s="424">
        <v>0</v>
      </c>
      <c r="AZ24" s="424">
        <v>0</v>
      </c>
      <c r="BA24" s="430"/>
      <c r="BB24" s="431"/>
      <c r="BC24" s="432">
        <v>2025</v>
      </c>
      <c r="BD24" s="425"/>
      <c r="BE24" s="433"/>
      <c r="BF24" s="425"/>
      <c r="BG24" s="433"/>
      <c r="BH24" s="434"/>
      <c r="BI24" s="431"/>
      <c r="BJ24" s="435"/>
      <c r="BK24" s="1797"/>
      <c r="BL24" s="1798"/>
      <c r="BM24" s="1799">
        <v>0</v>
      </c>
      <c r="BN24" s="1800"/>
      <c r="BO24" s="1799">
        <v>0</v>
      </c>
      <c r="BP24" s="1800"/>
      <c r="BQ24" s="1799">
        <v>0</v>
      </c>
    </row>
    <row r="25" spans="1:69" ht="409.5">
      <c r="A25" s="1787" t="s">
        <v>2396</v>
      </c>
      <c r="B25" s="1788" t="s">
        <v>2397</v>
      </c>
      <c r="C25" s="426">
        <v>2023</v>
      </c>
      <c r="D25" s="487" t="s">
        <v>681</v>
      </c>
      <c r="E25" s="1789">
        <v>1095377</v>
      </c>
      <c r="F25" s="418" t="s">
        <v>2397</v>
      </c>
      <c r="G25" s="419">
        <v>45127</v>
      </c>
      <c r="H25" s="1790" t="s">
        <v>2398</v>
      </c>
      <c r="I25" s="1791" t="s">
        <v>2397</v>
      </c>
      <c r="J25" s="1792" t="s">
        <v>2399</v>
      </c>
      <c r="K25" s="1788" t="s">
        <v>2397</v>
      </c>
      <c r="L25" s="1792" t="s">
        <v>2399</v>
      </c>
      <c r="M25" s="1793" t="s">
        <v>2398</v>
      </c>
      <c r="N25" s="1790" t="s">
        <v>102</v>
      </c>
      <c r="O25" s="1793" t="s">
        <v>110</v>
      </c>
      <c r="P25" s="420" t="s">
        <v>683</v>
      </c>
      <c r="Q25" s="421"/>
      <c r="R25" s="421"/>
      <c r="S25" s="422"/>
      <c r="T25" s="1794"/>
      <c r="U25" s="423">
        <v>1917.6366</v>
      </c>
      <c r="V25" s="424">
        <v>27</v>
      </c>
      <c r="W25" s="424">
        <v>0</v>
      </c>
      <c r="X25" s="425"/>
      <c r="Y25" s="426">
        <v>2023</v>
      </c>
      <c r="Z25" s="417">
        <v>2025</v>
      </c>
      <c r="AA25" s="1795" t="s">
        <v>5244</v>
      </c>
      <c r="AB25" s="427"/>
      <c r="AC25" s="1793"/>
      <c r="AD25" s="428" t="s">
        <v>5863</v>
      </c>
      <c r="AE25" s="1791" t="s">
        <v>2400</v>
      </c>
      <c r="AF25" s="1791" t="s">
        <v>2401</v>
      </c>
      <c r="AG25" s="1793" t="s">
        <v>2402</v>
      </c>
      <c r="AH25" s="428"/>
      <c r="AI25" s="1793"/>
      <c r="AJ25" s="429">
        <v>2022</v>
      </c>
      <c r="AK25" s="424">
        <v>3287</v>
      </c>
      <c r="AL25" s="424">
        <v>3297</v>
      </c>
      <c r="AM25" s="430">
        <v>16.279530483878958</v>
      </c>
      <c r="AN25" s="1796" t="s">
        <v>848</v>
      </c>
      <c r="AO25" s="432">
        <v>2025</v>
      </c>
      <c r="AP25" s="425">
        <v>4143</v>
      </c>
      <c r="AQ25" s="433">
        <v>-26.05</v>
      </c>
      <c r="AR25" s="425">
        <v>4153</v>
      </c>
      <c r="AS25" s="433">
        <v>-25.97</v>
      </c>
      <c r="AT25" s="434">
        <v>16.18</v>
      </c>
      <c r="AU25" s="1796" t="s">
        <v>848</v>
      </c>
      <c r="AV25" s="435">
        <v>0.61</v>
      </c>
      <c r="AW25" s="1797" t="s">
        <v>5245</v>
      </c>
      <c r="AX25" s="429">
        <v>2022</v>
      </c>
      <c r="AY25" s="424">
        <v>0</v>
      </c>
      <c r="AZ25" s="424">
        <v>0</v>
      </c>
      <c r="BA25" s="430"/>
      <c r="BB25" s="431"/>
      <c r="BC25" s="432">
        <v>2025</v>
      </c>
      <c r="BD25" s="425"/>
      <c r="BE25" s="433"/>
      <c r="BF25" s="425"/>
      <c r="BG25" s="433"/>
      <c r="BH25" s="434"/>
      <c r="BI25" s="431"/>
      <c r="BJ25" s="435"/>
      <c r="BK25" s="1797"/>
      <c r="BL25" s="1798"/>
      <c r="BM25" s="1799">
        <v>0</v>
      </c>
      <c r="BN25" s="1800"/>
      <c r="BO25" s="1799">
        <v>0</v>
      </c>
      <c r="BP25" s="1800"/>
      <c r="BQ25" s="1799">
        <v>0</v>
      </c>
    </row>
    <row r="26" spans="1:69" ht="175.5">
      <c r="A26" s="1787" t="s">
        <v>2403</v>
      </c>
      <c r="B26" s="1788" t="s">
        <v>2404</v>
      </c>
      <c r="C26" s="426">
        <v>2023</v>
      </c>
      <c r="D26" s="487" t="s">
        <v>681</v>
      </c>
      <c r="E26" s="1789">
        <v>1011378</v>
      </c>
      <c r="F26" s="418" t="s">
        <v>2404</v>
      </c>
      <c r="G26" s="419">
        <v>45127</v>
      </c>
      <c r="H26" s="1790" t="s">
        <v>2405</v>
      </c>
      <c r="I26" s="1791" t="s">
        <v>2406</v>
      </c>
      <c r="J26" s="1792" t="s">
        <v>2407</v>
      </c>
      <c r="K26" s="1788" t="s">
        <v>2404</v>
      </c>
      <c r="L26" s="1792" t="s">
        <v>2408</v>
      </c>
      <c r="M26" s="1793" t="s">
        <v>2409</v>
      </c>
      <c r="N26" s="1790" t="s">
        <v>12</v>
      </c>
      <c r="O26" s="1793" t="s">
        <v>31</v>
      </c>
      <c r="P26" s="420" t="s">
        <v>683</v>
      </c>
      <c r="Q26" s="421"/>
      <c r="R26" s="421"/>
      <c r="S26" s="422"/>
      <c r="T26" s="1794"/>
      <c r="U26" s="423">
        <v>1793.8224</v>
      </c>
      <c r="V26" s="424">
        <v>2</v>
      </c>
      <c r="W26" s="424">
        <v>1</v>
      </c>
      <c r="X26" s="425"/>
      <c r="Y26" s="426">
        <v>2023</v>
      </c>
      <c r="Z26" s="417">
        <v>2025</v>
      </c>
      <c r="AA26" s="1795" t="s">
        <v>5246</v>
      </c>
      <c r="AB26" s="427"/>
      <c r="AC26" s="1793"/>
      <c r="AD26" s="428" t="s">
        <v>5863</v>
      </c>
      <c r="AE26" s="1791" t="s">
        <v>2410</v>
      </c>
      <c r="AF26" s="1791" t="s">
        <v>2405</v>
      </c>
      <c r="AG26" s="1793" t="s">
        <v>2411</v>
      </c>
      <c r="AH26" s="428"/>
      <c r="AI26" s="1793"/>
      <c r="AJ26" s="429">
        <v>2022</v>
      </c>
      <c r="AK26" s="424">
        <v>3254</v>
      </c>
      <c r="AL26" s="424">
        <v>3276</v>
      </c>
      <c r="AM26" s="430"/>
      <c r="AN26" s="1796"/>
      <c r="AO26" s="432">
        <v>2025</v>
      </c>
      <c r="AP26" s="425">
        <v>3221</v>
      </c>
      <c r="AQ26" s="433">
        <v>1.01</v>
      </c>
      <c r="AR26" s="425">
        <v>3243</v>
      </c>
      <c r="AS26" s="433">
        <v>1</v>
      </c>
      <c r="AT26" s="434"/>
      <c r="AU26" s="1796"/>
      <c r="AV26" s="435"/>
      <c r="AW26" s="1797" t="s">
        <v>5247</v>
      </c>
      <c r="AX26" s="429">
        <v>2022</v>
      </c>
      <c r="AY26" s="424">
        <v>0</v>
      </c>
      <c r="AZ26" s="424">
        <v>0</v>
      </c>
      <c r="BA26" s="430"/>
      <c r="BB26" s="431"/>
      <c r="BC26" s="432">
        <v>2025</v>
      </c>
      <c r="BD26" s="425"/>
      <c r="BE26" s="433"/>
      <c r="BF26" s="425"/>
      <c r="BG26" s="433"/>
      <c r="BH26" s="434"/>
      <c r="BI26" s="431"/>
      <c r="BJ26" s="435"/>
      <c r="BK26" s="1797"/>
      <c r="BL26" s="1798"/>
      <c r="BM26" s="1799">
        <v>0</v>
      </c>
      <c r="BN26" s="1800"/>
      <c r="BO26" s="1799">
        <v>0</v>
      </c>
      <c r="BP26" s="1800"/>
      <c r="BQ26" s="1799">
        <v>3</v>
      </c>
    </row>
    <row r="27" spans="1:69" ht="409.5">
      <c r="A27" s="1787" t="s">
        <v>2412</v>
      </c>
      <c r="B27" s="1788" t="s">
        <v>2414</v>
      </c>
      <c r="C27" s="426">
        <v>2023</v>
      </c>
      <c r="D27" s="487" t="s">
        <v>681</v>
      </c>
      <c r="E27" s="1789">
        <v>1011379</v>
      </c>
      <c r="F27" s="418" t="s">
        <v>2414</v>
      </c>
      <c r="G27" s="419">
        <v>45100</v>
      </c>
      <c r="H27" s="1790" t="s">
        <v>2413</v>
      </c>
      <c r="I27" s="1791" t="s">
        <v>2414</v>
      </c>
      <c r="J27" s="1792" t="s">
        <v>2415</v>
      </c>
      <c r="K27" s="1788" t="s">
        <v>2414</v>
      </c>
      <c r="L27" s="1792" t="s">
        <v>2415</v>
      </c>
      <c r="M27" s="1793" t="s">
        <v>2416</v>
      </c>
      <c r="N27" s="1790" t="s">
        <v>48</v>
      </c>
      <c r="O27" s="1793" t="s">
        <v>55</v>
      </c>
      <c r="P27" s="420" t="s">
        <v>683</v>
      </c>
      <c r="Q27" s="421"/>
      <c r="R27" s="421"/>
      <c r="S27" s="422"/>
      <c r="T27" s="1794"/>
      <c r="U27" s="423">
        <v>2169.1866</v>
      </c>
      <c r="V27" s="424">
        <v>1</v>
      </c>
      <c r="W27" s="424">
        <v>1</v>
      </c>
      <c r="X27" s="425"/>
      <c r="Y27" s="426">
        <v>2023</v>
      </c>
      <c r="Z27" s="417">
        <v>2025</v>
      </c>
      <c r="AA27" s="1795" t="s">
        <v>5248</v>
      </c>
      <c r="AB27" s="427" t="s">
        <v>5863</v>
      </c>
      <c r="AC27" s="1793" t="s">
        <v>2417</v>
      </c>
      <c r="AD27" s="428" t="s">
        <v>5863</v>
      </c>
      <c r="AE27" s="1791" t="s">
        <v>2418</v>
      </c>
      <c r="AF27" s="1791" t="s">
        <v>2419</v>
      </c>
      <c r="AG27" s="1793" t="s">
        <v>2420</v>
      </c>
      <c r="AH27" s="428"/>
      <c r="AI27" s="1793"/>
      <c r="AJ27" s="429">
        <v>2022</v>
      </c>
      <c r="AK27" s="424">
        <v>4426</v>
      </c>
      <c r="AL27" s="424">
        <v>4421</v>
      </c>
      <c r="AM27" s="430">
        <v>17.76083467094703</v>
      </c>
      <c r="AN27" s="1796" t="s">
        <v>2421</v>
      </c>
      <c r="AO27" s="432">
        <v>2025</v>
      </c>
      <c r="AP27" s="425">
        <v>4000</v>
      </c>
      <c r="AQ27" s="433">
        <v>9.6199999999999992</v>
      </c>
      <c r="AR27" s="425">
        <v>4000</v>
      </c>
      <c r="AS27" s="433">
        <v>9.52</v>
      </c>
      <c r="AT27" s="434">
        <v>16.05</v>
      </c>
      <c r="AU27" s="1796" t="s">
        <v>2421</v>
      </c>
      <c r="AV27" s="435">
        <v>9.6300000000000008</v>
      </c>
      <c r="AW27" s="1797" t="s">
        <v>5249</v>
      </c>
      <c r="AX27" s="429">
        <v>2022</v>
      </c>
      <c r="AY27" s="424">
        <v>0</v>
      </c>
      <c r="AZ27" s="424">
        <v>0</v>
      </c>
      <c r="BA27" s="430">
        <v>0</v>
      </c>
      <c r="BB27" s="431" t="s">
        <v>800</v>
      </c>
      <c r="BC27" s="432">
        <v>2025</v>
      </c>
      <c r="BD27" s="425"/>
      <c r="BE27" s="433"/>
      <c r="BF27" s="425"/>
      <c r="BG27" s="433"/>
      <c r="BH27" s="434"/>
      <c r="BI27" s="431"/>
      <c r="BJ27" s="435"/>
      <c r="BK27" s="1797"/>
      <c r="BL27" s="1798"/>
      <c r="BM27" s="1799">
        <v>0</v>
      </c>
      <c r="BN27" s="1800"/>
      <c r="BO27" s="1799">
        <v>0</v>
      </c>
      <c r="BP27" s="1800"/>
      <c r="BQ27" s="1799">
        <v>0</v>
      </c>
    </row>
    <row r="28" spans="1:69" ht="409.5">
      <c r="A28" s="1787" t="s">
        <v>2422</v>
      </c>
      <c r="B28" s="1788" t="s">
        <v>2423</v>
      </c>
      <c r="C28" s="426">
        <v>2023</v>
      </c>
      <c r="D28" s="487" t="s">
        <v>681</v>
      </c>
      <c r="E28" s="1789">
        <v>1011380</v>
      </c>
      <c r="F28" s="418" t="s">
        <v>2423</v>
      </c>
      <c r="G28" s="419">
        <v>45133</v>
      </c>
      <c r="H28" s="1790" t="s">
        <v>2424</v>
      </c>
      <c r="I28" s="1791" t="s">
        <v>2423</v>
      </c>
      <c r="J28" s="1792" t="s">
        <v>5156</v>
      </c>
      <c r="K28" s="1788" t="s">
        <v>2423</v>
      </c>
      <c r="L28" s="1792" t="s">
        <v>5157</v>
      </c>
      <c r="M28" s="1793" t="s">
        <v>2425</v>
      </c>
      <c r="N28" s="1790" t="s">
        <v>12</v>
      </c>
      <c r="O28" s="1793" t="s">
        <v>32</v>
      </c>
      <c r="P28" s="420" t="s">
        <v>683</v>
      </c>
      <c r="Q28" s="421"/>
      <c r="R28" s="421"/>
      <c r="S28" s="422"/>
      <c r="T28" s="1794"/>
      <c r="U28" s="423">
        <v>1699.962</v>
      </c>
      <c r="V28" s="424">
        <v>2</v>
      </c>
      <c r="W28" s="424">
        <v>2</v>
      </c>
      <c r="X28" s="425"/>
      <c r="Y28" s="426">
        <v>2023</v>
      </c>
      <c r="Z28" s="417">
        <v>2025</v>
      </c>
      <c r="AA28" s="1795" t="s">
        <v>5250</v>
      </c>
      <c r="AB28" s="427"/>
      <c r="AC28" s="1793"/>
      <c r="AD28" s="428" t="s">
        <v>5863</v>
      </c>
      <c r="AE28" s="1791" t="s">
        <v>2426</v>
      </c>
      <c r="AF28" s="1791" t="s">
        <v>2424</v>
      </c>
      <c r="AG28" s="1793" t="s">
        <v>2427</v>
      </c>
      <c r="AH28" s="428"/>
      <c r="AI28" s="1793"/>
      <c r="AJ28" s="429">
        <v>2022</v>
      </c>
      <c r="AK28" s="424">
        <v>2873</v>
      </c>
      <c r="AL28" s="424">
        <v>2784</v>
      </c>
      <c r="AM28" s="430">
        <v>1.655907780979827</v>
      </c>
      <c r="AN28" s="1796" t="s">
        <v>675</v>
      </c>
      <c r="AO28" s="432">
        <v>2025</v>
      </c>
      <c r="AP28" s="425">
        <v>2844</v>
      </c>
      <c r="AQ28" s="433">
        <v>1</v>
      </c>
      <c r="AR28" s="425">
        <v>2860</v>
      </c>
      <c r="AS28" s="433">
        <v>-2.73</v>
      </c>
      <c r="AT28" s="434">
        <v>1.64</v>
      </c>
      <c r="AU28" s="1796" t="s">
        <v>675</v>
      </c>
      <c r="AV28" s="435">
        <v>0.96</v>
      </c>
      <c r="AW28" s="1797" t="s">
        <v>5251</v>
      </c>
      <c r="AX28" s="429">
        <v>2022</v>
      </c>
      <c r="AY28" s="424">
        <v>0</v>
      </c>
      <c r="AZ28" s="424">
        <v>0</v>
      </c>
      <c r="BA28" s="430"/>
      <c r="BB28" s="431"/>
      <c r="BC28" s="432">
        <v>2025</v>
      </c>
      <c r="BD28" s="425"/>
      <c r="BE28" s="433"/>
      <c r="BF28" s="425"/>
      <c r="BG28" s="433"/>
      <c r="BH28" s="434"/>
      <c r="BI28" s="431"/>
      <c r="BJ28" s="435"/>
      <c r="BK28" s="1797"/>
      <c r="BL28" s="1798"/>
      <c r="BM28" s="1799">
        <v>0</v>
      </c>
      <c r="BN28" s="1800"/>
      <c r="BO28" s="1799">
        <v>0</v>
      </c>
      <c r="BP28" s="1800"/>
      <c r="BQ28" s="1799">
        <v>0</v>
      </c>
    </row>
    <row r="29" spans="1:69" ht="409.5">
      <c r="A29" s="1787" t="s">
        <v>2504</v>
      </c>
      <c r="B29" s="1788" t="s">
        <v>2505</v>
      </c>
      <c r="C29" s="426">
        <v>2023</v>
      </c>
      <c r="D29" s="487" t="s">
        <v>714</v>
      </c>
      <c r="E29" s="1789">
        <v>3006395</v>
      </c>
      <c r="F29" s="418" t="s">
        <v>2505</v>
      </c>
      <c r="G29" s="419">
        <v>45113</v>
      </c>
      <c r="H29" s="1790" t="s">
        <v>2506</v>
      </c>
      <c r="I29" s="1791" t="s">
        <v>2505</v>
      </c>
      <c r="J29" s="1792" t="s">
        <v>2507</v>
      </c>
      <c r="K29" s="1788" t="s">
        <v>2505</v>
      </c>
      <c r="L29" s="1792" t="s">
        <v>2507</v>
      </c>
      <c r="M29" s="1793" t="s">
        <v>2506</v>
      </c>
      <c r="N29" s="1790" t="s">
        <v>8</v>
      </c>
      <c r="O29" s="1793" t="s">
        <v>9</v>
      </c>
      <c r="P29" s="420"/>
      <c r="Q29" s="421"/>
      <c r="R29" s="421" t="s">
        <v>717</v>
      </c>
      <c r="S29" s="422"/>
      <c r="T29" s="1794"/>
      <c r="U29" s="423"/>
      <c r="V29" s="424"/>
      <c r="W29" s="424"/>
      <c r="X29" s="425">
        <v>133</v>
      </c>
      <c r="Y29" s="426">
        <v>2023</v>
      </c>
      <c r="Z29" s="417">
        <v>2025</v>
      </c>
      <c r="AA29" s="1795" t="s">
        <v>5252</v>
      </c>
      <c r="AB29" s="427"/>
      <c r="AC29" s="1793"/>
      <c r="AD29" s="428" t="s">
        <v>5863</v>
      </c>
      <c r="AE29" s="1791" t="s">
        <v>2508</v>
      </c>
      <c r="AF29" s="1791" t="s">
        <v>2509</v>
      </c>
      <c r="AG29" s="1793" t="s">
        <v>2510</v>
      </c>
      <c r="AH29" s="428"/>
      <c r="AI29" s="1793"/>
      <c r="AJ29" s="429">
        <v>2022</v>
      </c>
      <c r="AK29" s="424"/>
      <c r="AL29" s="424"/>
      <c r="AM29" s="430"/>
      <c r="AN29" s="1796"/>
      <c r="AO29" s="432">
        <v>2025</v>
      </c>
      <c r="AP29" s="425"/>
      <c r="AQ29" s="433"/>
      <c r="AR29" s="425"/>
      <c r="AS29" s="433"/>
      <c r="AT29" s="434"/>
      <c r="AU29" s="1796"/>
      <c r="AV29" s="435"/>
      <c r="AW29" s="1797"/>
      <c r="AX29" s="429">
        <v>2022</v>
      </c>
      <c r="AY29" s="424">
        <v>249.36984000000001</v>
      </c>
      <c r="AZ29" s="424">
        <v>249.36984000000001</v>
      </c>
      <c r="BA29" s="430">
        <v>1.56264292799756</v>
      </c>
      <c r="BB29" s="431" t="s">
        <v>965</v>
      </c>
      <c r="BC29" s="432">
        <v>2025</v>
      </c>
      <c r="BD29" s="425">
        <v>246.5</v>
      </c>
      <c r="BE29" s="433">
        <v>1.1499999999999999</v>
      </c>
      <c r="BF29" s="425">
        <v>246.5</v>
      </c>
      <c r="BG29" s="433">
        <v>1.1499999999999999</v>
      </c>
      <c r="BH29" s="434">
        <v>1.56</v>
      </c>
      <c r="BI29" s="431" t="s">
        <v>965</v>
      </c>
      <c r="BJ29" s="435">
        <v>0.16</v>
      </c>
      <c r="BK29" s="1797" t="s">
        <v>5253</v>
      </c>
      <c r="BL29" s="1798"/>
      <c r="BM29" s="1799">
        <v>0</v>
      </c>
      <c r="BN29" s="1800"/>
      <c r="BO29" s="1799">
        <v>0</v>
      </c>
      <c r="BP29" s="1800"/>
      <c r="BQ29" s="1799">
        <v>0</v>
      </c>
    </row>
    <row r="30" spans="1:69" ht="409.5">
      <c r="A30" s="1787" t="s">
        <v>2518</v>
      </c>
      <c r="B30" s="1788" t="s">
        <v>2519</v>
      </c>
      <c r="C30" s="426">
        <v>2023</v>
      </c>
      <c r="D30" s="487" t="s">
        <v>681</v>
      </c>
      <c r="E30" s="1789">
        <v>1055397</v>
      </c>
      <c r="F30" s="418" t="s">
        <v>2519</v>
      </c>
      <c r="G30" s="419">
        <v>45137</v>
      </c>
      <c r="H30" s="1790" t="s">
        <v>2520</v>
      </c>
      <c r="I30" s="1791" t="s">
        <v>2519</v>
      </c>
      <c r="J30" s="1792" t="s">
        <v>2521</v>
      </c>
      <c r="K30" s="1788" t="s">
        <v>2519</v>
      </c>
      <c r="L30" s="1792" t="s">
        <v>2521</v>
      </c>
      <c r="M30" s="1793" t="s">
        <v>2520</v>
      </c>
      <c r="N30" s="1790" t="s">
        <v>57</v>
      </c>
      <c r="O30" s="1793" t="s">
        <v>63</v>
      </c>
      <c r="P30" s="420" t="s">
        <v>683</v>
      </c>
      <c r="Q30" s="421"/>
      <c r="R30" s="421"/>
      <c r="S30" s="422"/>
      <c r="T30" s="1794"/>
      <c r="U30" s="423">
        <v>3942.8076000000001</v>
      </c>
      <c r="V30" s="424">
        <v>1</v>
      </c>
      <c r="W30" s="424">
        <v>1</v>
      </c>
      <c r="X30" s="425"/>
      <c r="Y30" s="426">
        <v>2023</v>
      </c>
      <c r="Z30" s="417">
        <v>2025</v>
      </c>
      <c r="AA30" s="1795" t="s">
        <v>5254</v>
      </c>
      <c r="AB30" s="427"/>
      <c r="AC30" s="1793"/>
      <c r="AD30" s="428"/>
      <c r="AE30" s="1791"/>
      <c r="AF30" s="1791"/>
      <c r="AG30" s="1793"/>
      <c r="AH30" s="428" t="s">
        <v>5863</v>
      </c>
      <c r="AI30" s="1793" t="s">
        <v>2522</v>
      </c>
      <c r="AJ30" s="429">
        <v>2022</v>
      </c>
      <c r="AK30" s="424">
        <v>6779</v>
      </c>
      <c r="AL30" s="424">
        <v>1179.6530188800007</v>
      </c>
      <c r="AM30" s="430">
        <v>1.1212371816076745</v>
      </c>
      <c r="AN30" s="1796" t="s">
        <v>1019</v>
      </c>
      <c r="AO30" s="432">
        <v>2025</v>
      </c>
      <c r="AP30" s="425">
        <v>6982</v>
      </c>
      <c r="AQ30" s="433">
        <v>-3</v>
      </c>
      <c r="AR30" s="425">
        <v>1000</v>
      </c>
      <c r="AS30" s="433">
        <v>15.22</v>
      </c>
      <c r="AT30" s="434">
        <v>1.0860000000000001</v>
      </c>
      <c r="AU30" s="1796" t="s">
        <v>1019</v>
      </c>
      <c r="AV30" s="435">
        <v>3.14</v>
      </c>
      <c r="AW30" s="1797" t="s">
        <v>5255</v>
      </c>
      <c r="AX30" s="429">
        <v>2022</v>
      </c>
      <c r="AY30" s="424">
        <v>0</v>
      </c>
      <c r="AZ30" s="424">
        <v>0</v>
      </c>
      <c r="BA30" s="430"/>
      <c r="BB30" s="431"/>
      <c r="BC30" s="432">
        <v>2025</v>
      </c>
      <c r="BD30" s="425"/>
      <c r="BE30" s="433"/>
      <c r="BF30" s="425"/>
      <c r="BG30" s="433"/>
      <c r="BH30" s="434"/>
      <c r="BI30" s="431"/>
      <c r="BJ30" s="435"/>
      <c r="BK30" s="1797"/>
      <c r="BL30" s="1798"/>
      <c r="BM30" s="1799">
        <v>0</v>
      </c>
      <c r="BN30" s="1800"/>
      <c r="BO30" s="1799">
        <v>0</v>
      </c>
      <c r="BP30" s="1800"/>
      <c r="BQ30" s="1799">
        <v>0</v>
      </c>
    </row>
    <row r="31" spans="1:69" ht="409.5">
      <c r="A31" s="1787" t="s">
        <v>2523</v>
      </c>
      <c r="B31" s="1788" t="s">
        <v>2524</v>
      </c>
      <c r="C31" s="426">
        <v>2023</v>
      </c>
      <c r="D31" s="487" t="s">
        <v>5702</v>
      </c>
      <c r="E31" s="1789">
        <v>1092398</v>
      </c>
      <c r="F31" s="418" t="s">
        <v>2524</v>
      </c>
      <c r="G31" s="419">
        <v>45128</v>
      </c>
      <c r="H31" s="1790" t="s">
        <v>2525</v>
      </c>
      <c r="I31" s="1791" t="s">
        <v>2524</v>
      </c>
      <c r="J31" s="1792" t="s">
        <v>2526</v>
      </c>
      <c r="K31" s="1788" t="s">
        <v>2524</v>
      </c>
      <c r="L31" s="1792" t="s">
        <v>2526</v>
      </c>
      <c r="M31" s="1793" t="s">
        <v>2525</v>
      </c>
      <c r="N31" s="1790" t="s">
        <v>102</v>
      </c>
      <c r="O31" s="1793" t="s">
        <v>107</v>
      </c>
      <c r="P31" s="420"/>
      <c r="Q31" s="421"/>
      <c r="R31" s="421"/>
      <c r="S31" s="422" t="s">
        <v>5865</v>
      </c>
      <c r="T31" s="1794"/>
      <c r="U31" s="423">
        <v>1212.5999999999999</v>
      </c>
      <c r="V31" s="424">
        <v>1</v>
      </c>
      <c r="W31" s="424">
        <v>1</v>
      </c>
      <c r="X31" s="425"/>
      <c r="Y31" s="426">
        <v>2023</v>
      </c>
      <c r="Z31" s="417">
        <v>2025</v>
      </c>
      <c r="AA31" s="1795" t="s">
        <v>5256</v>
      </c>
      <c r="AB31" s="427" t="s">
        <v>5863</v>
      </c>
      <c r="AC31" s="1793" t="s">
        <v>2527</v>
      </c>
      <c r="AD31" s="428"/>
      <c r="AE31" s="1791"/>
      <c r="AF31" s="1791"/>
      <c r="AG31" s="1793"/>
      <c r="AH31" s="428"/>
      <c r="AI31" s="1793"/>
      <c r="AJ31" s="429">
        <v>2022</v>
      </c>
      <c r="AK31" s="424">
        <v>2486</v>
      </c>
      <c r="AL31" s="424">
        <v>2623</v>
      </c>
      <c r="AM31" s="430">
        <v>1.3757609297177642</v>
      </c>
      <c r="AN31" s="1796" t="s">
        <v>675</v>
      </c>
      <c r="AO31" s="432">
        <v>2025</v>
      </c>
      <c r="AP31" s="425">
        <v>2131.4342499999998</v>
      </c>
      <c r="AQ31" s="433">
        <v>14.26</v>
      </c>
      <c r="AR31" s="425">
        <v>2248.8946249999995</v>
      </c>
      <c r="AS31" s="433">
        <v>14.26</v>
      </c>
      <c r="AT31" s="434">
        <v>0.89955784999999977</v>
      </c>
      <c r="AU31" s="1796" t="s">
        <v>675</v>
      </c>
      <c r="AV31" s="435">
        <v>34.61</v>
      </c>
      <c r="AW31" s="1797" t="s">
        <v>5257</v>
      </c>
      <c r="AX31" s="429">
        <v>2022</v>
      </c>
      <c r="AY31" s="424">
        <v>0</v>
      </c>
      <c r="AZ31" s="424">
        <v>0</v>
      </c>
      <c r="BA31" s="430"/>
      <c r="BB31" s="431"/>
      <c r="BC31" s="432">
        <v>2025</v>
      </c>
      <c r="BD31" s="425"/>
      <c r="BE31" s="433"/>
      <c r="BF31" s="425"/>
      <c r="BG31" s="433"/>
      <c r="BH31" s="434"/>
      <c r="BI31" s="431"/>
      <c r="BJ31" s="435"/>
      <c r="BK31" s="1797"/>
      <c r="BL31" s="1798"/>
      <c r="BM31" s="1799">
        <v>0</v>
      </c>
      <c r="BN31" s="1800"/>
      <c r="BO31" s="1799">
        <v>0</v>
      </c>
      <c r="BP31" s="1800"/>
      <c r="BQ31" s="1799">
        <v>0</v>
      </c>
    </row>
    <row r="32" spans="1:69" ht="409.5">
      <c r="A32" s="1787" t="s">
        <v>2528</v>
      </c>
      <c r="B32" s="1788" t="s">
        <v>2529</v>
      </c>
      <c r="C32" s="426">
        <v>2023</v>
      </c>
      <c r="D32" s="487" t="s">
        <v>681</v>
      </c>
      <c r="E32" s="1789">
        <v>1075399</v>
      </c>
      <c r="F32" s="418" t="s">
        <v>2529</v>
      </c>
      <c r="G32" s="419">
        <v>45121</v>
      </c>
      <c r="H32" s="1790" t="s">
        <v>2530</v>
      </c>
      <c r="I32" s="1791" t="s">
        <v>2529</v>
      </c>
      <c r="J32" s="1792" t="s">
        <v>2531</v>
      </c>
      <c r="K32" s="1788" t="s">
        <v>2529</v>
      </c>
      <c r="L32" s="1792" t="s">
        <v>2531</v>
      </c>
      <c r="M32" s="1793" t="s">
        <v>2530</v>
      </c>
      <c r="N32" s="1790" t="s">
        <v>86</v>
      </c>
      <c r="O32" s="1793" t="s">
        <v>87</v>
      </c>
      <c r="P32" s="420" t="s">
        <v>683</v>
      </c>
      <c r="Q32" s="421"/>
      <c r="R32" s="421"/>
      <c r="S32" s="422"/>
      <c r="T32" s="1794"/>
      <c r="U32" s="423">
        <v>1949.0868</v>
      </c>
      <c r="V32" s="424">
        <v>2</v>
      </c>
      <c r="W32" s="424">
        <v>1</v>
      </c>
      <c r="X32" s="425"/>
      <c r="Y32" s="426">
        <v>2023</v>
      </c>
      <c r="Z32" s="417">
        <v>2025</v>
      </c>
      <c r="AA32" s="1795" t="s">
        <v>5258</v>
      </c>
      <c r="AB32" s="427"/>
      <c r="AC32" s="1793"/>
      <c r="AD32" s="428" t="s">
        <v>5863</v>
      </c>
      <c r="AE32" s="1791" t="s">
        <v>2532</v>
      </c>
      <c r="AF32" s="1791" t="s">
        <v>5174</v>
      </c>
      <c r="AG32" s="1793" t="s">
        <v>2533</v>
      </c>
      <c r="AH32" s="428"/>
      <c r="AI32" s="1793"/>
      <c r="AJ32" s="429">
        <v>2022</v>
      </c>
      <c r="AK32" s="424">
        <v>3653</v>
      </c>
      <c r="AL32" s="424">
        <v>3649</v>
      </c>
      <c r="AM32" s="430">
        <v>50.635346771036744</v>
      </c>
      <c r="AN32" s="1796" t="s">
        <v>727</v>
      </c>
      <c r="AO32" s="432">
        <v>2025</v>
      </c>
      <c r="AP32" s="425">
        <v>6777</v>
      </c>
      <c r="AQ32" s="433">
        <v>-85.52</v>
      </c>
      <c r="AR32" s="425">
        <v>6688</v>
      </c>
      <c r="AS32" s="433">
        <v>-83.29</v>
      </c>
      <c r="AT32" s="434">
        <v>93.94</v>
      </c>
      <c r="AU32" s="1796" t="s">
        <v>727</v>
      </c>
      <c r="AV32" s="435">
        <v>-85.53</v>
      </c>
      <c r="AW32" s="1797" t="s">
        <v>5259</v>
      </c>
      <c r="AX32" s="429">
        <v>2022</v>
      </c>
      <c r="AY32" s="424">
        <v>0</v>
      </c>
      <c r="AZ32" s="424">
        <v>0</v>
      </c>
      <c r="BA32" s="430"/>
      <c r="BB32" s="431"/>
      <c r="BC32" s="432">
        <v>2025</v>
      </c>
      <c r="BD32" s="425"/>
      <c r="BE32" s="433"/>
      <c r="BF32" s="425"/>
      <c r="BG32" s="433"/>
      <c r="BH32" s="434"/>
      <c r="BI32" s="431"/>
      <c r="BJ32" s="435"/>
      <c r="BK32" s="1797"/>
      <c r="BL32" s="1798"/>
      <c r="BM32" s="1799">
        <v>0</v>
      </c>
      <c r="BN32" s="1800"/>
      <c r="BO32" s="1799">
        <v>0</v>
      </c>
      <c r="BP32" s="1800"/>
      <c r="BQ32" s="1799">
        <v>0</v>
      </c>
    </row>
    <row r="33" spans="1:69" ht="283.5">
      <c r="A33" s="1787" t="s">
        <v>2534</v>
      </c>
      <c r="B33" s="1788" t="s">
        <v>2535</v>
      </c>
      <c r="C33" s="426">
        <v>2023</v>
      </c>
      <c r="D33" s="487" t="s">
        <v>681</v>
      </c>
      <c r="E33" s="1789">
        <v>1021400</v>
      </c>
      <c r="F33" s="418" t="s">
        <v>2535</v>
      </c>
      <c r="G33" s="419">
        <v>45174</v>
      </c>
      <c r="H33" s="1790" t="s">
        <v>2536</v>
      </c>
      <c r="I33" s="1791" t="s">
        <v>2535</v>
      </c>
      <c r="J33" s="1792" t="s">
        <v>2537</v>
      </c>
      <c r="K33" s="1788" t="s">
        <v>2535</v>
      </c>
      <c r="L33" s="1792" t="s">
        <v>2537</v>
      </c>
      <c r="M33" s="1793" t="s">
        <v>2536</v>
      </c>
      <c r="N33" s="1790" t="s">
        <v>12</v>
      </c>
      <c r="O33" s="1793" t="s">
        <v>25</v>
      </c>
      <c r="P33" s="420" t="s">
        <v>683</v>
      </c>
      <c r="Q33" s="421"/>
      <c r="R33" s="421"/>
      <c r="S33" s="422"/>
      <c r="T33" s="1794"/>
      <c r="U33" s="423">
        <v>14201.9712</v>
      </c>
      <c r="V33" s="424">
        <v>1</v>
      </c>
      <c r="W33" s="424">
        <v>1</v>
      </c>
      <c r="X33" s="425"/>
      <c r="Y33" s="426">
        <v>2023</v>
      </c>
      <c r="Z33" s="417">
        <v>2025</v>
      </c>
      <c r="AA33" s="1795" t="s">
        <v>5260</v>
      </c>
      <c r="AB33" s="427"/>
      <c r="AC33" s="1793"/>
      <c r="AD33" s="428" t="s">
        <v>5863</v>
      </c>
      <c r="AE33" s="1791" t="s">
        <v>2538</v>
      </c>
      <c r="AF33" s="1791" t="s">
        <v>2539</v>
      </c>
      <c r="AG33" s="1793" t="s">
        <v>2540</v>
      </c>
      <c r="AH33" s="428"/>
      <c r="AI33" s="1793"/>
      <c r="AJ33" s="429">
        <v>2022</v>
      </c>
      <c r="AK33" s="424">
        <v>25326</v>
      </c>
      <c r="AL33" s="424">
        <v>25273</v>
      </c>
      <c r="AM33" s="430"/>
      <c r="AN33" s="1796"/>
      <c r="AO33" s="432">
        <v>2025</v>
      </c>
      <c r="AP33" s="425">
        <v>21071</v>
      </c>
      <c r="AQ33" s="433">
        <v>16.8</v>
      </c>
      <c r="AR33" s="425">
        <v>15796</v>
      </c>
      <c r="AS33" s="433">
        <v>37.49</v>
      </c>
      <c r="AT33" s="434"/>
      <c r="AU33" s="1796"/>
      <c r="AV33" s="435"/>
      <c r="AW33" s="1797" t="s">
        <v>5261</v>
      </c>
      <c r="AX33" s="429">
        <v>2022</v>
      </c>
      <c r="AY33" s="424">
        <v>0</v>
      </c>
      <c r="AZ33" s="424">
        <v>0</v>
      </c>
      <c r="BA33" s="430"/>
      <c r="BB33" s="431"/>
      <c r="BC33" s="432">
        <v>2025</v>
      </c>
      <c r="BD33" s="425"/>
      <c r="BE33" s="433"/>
      <c r="BF33" s="425"/>
      <c r="BG33" s="433"/>
      <c r="BH33" s="434"/>
      <c r="BI33" s="431"/>
      <c r="BJ33" s="435"/>
      <c r="BK33" s="1797"/>
      <c r="BL33" s="1798"/>
      <c r="BM33" s="1799">
        <v>0</v>
      </c>
      <c r="BN33" s="1800"/>
      <c r="BO33" s="1799">
        <v>0</v>
      </c>
      <c r="BP33" s="1800"/>
      <c r="BQ33" s="1799">
        <v>0</v>
      </c>
    </row>
    <row r="34" spans="1:69" ht="409.5">
      <c r="A34" s="1787" t="s">
        <v>2541</v>
      </c>
      <c r="B34" s="1788" t="s">
        <v>2542</v>
      </c>
      <c r="C34" s="426">
        <v>2023</v>
      </c>
      <c r="D34" s="487" t="s">
        <v>681</v>
      </c>
      <c r="E34" s="1789">
        <v>1028401</v>
      </c>
      <c r="F34" s="418" t="s">
        <v>2542</v>
      </c>
      <c r="G34" s="419">
        <v>45135</v>
      </c>
      <c r="H34" s="1790" t="s">
        <v>902</v>
      </c>
      <c r="I34" s="1791" t="s">
        <v>2542</v>
      </c>
      <c r="J34" s="1792" t="s">
        <v>2543</v>
      </c>
      <c r="K34" s="1788" t="s">
        <v>2542</v>
      </c>
      <c r="L34" s="1792" t="s">
        <v>2543</v>
      </c>
      <c r="M34" s="1793" t="s">
        <v>902</v>
      </c>
      <c r="N34" s="1790" t="s">
        <v>12</v>
      </c>
      <c r="O34" s="1793" t="s">
        <v>32</v>
      </c>
      <c r="P34" s="420" t="s">
        <v>683</v>
      </c>
      <c r="Q34" s="421"/>
      <c r="R34" s="421"/>
      <c r="S34" s="422"/>
      <c r="T34" s="1794"/>
      <c r="U34" s="423">
        <v>4181.5608000000002</v>
      </c>
      <c r="V34" s="424">
        <v>2</v>
      </c>
      <c r="W34" s="424">
        <v>1</v>
      </c>
      <c r="X34" s="425"/>
      <c r="Y34" s="426">
        <v>2023</v>
      </c>
      <c r="Z34" s="417">
        <v>2025</v>
      </c>
      <c r="AA34" s="1795" t="s">
        <v>5262</v>
      </c>
      <c r="AB34" s="427"/>
      <c r="AC34" s="1793"/>
      <c r="AD34" s="428" t="s">
        <v>5863</v>
      </c>
      <c r="AE34" s="1791" t="s">
        <v>2544</v>
      </c>
      <c r="AF34" s="1791" t="s">
        <v>902</v>
      </c>
      <c r="AG34" s="1793" t="s">
        <v>2540</v>
      </c>
      <c r="AH34" s="428"/>
      <c r="AI34" s="1793"/>
      <c r="AJ34" s="429">
        <v>2022</v>
      </c>
      <c r="AK34" s="424">
        <v>7625</v>
      </c>
      <c r="AL34" s="424">
        <v>7611</v>
      </c>
      <c r="AM34" s="430"/>
      <c r="AN34" s="1796"/>
      <c r="AO34" s="432">
        <v>2025</v>
      </c>
      <c r="AP34" s="425">
        <v>7287</v>
      </c>
      <c r="AQ34" s="433">
        <v>4.43</v>
      </c>
      <c r="AR34" s="425">
        <v>7274</v>
      </c>
      <c r="AS34" s="433">
        <v>4.42</v>
      </c>
      <c r="AT34" s="434"/>
      <c r="AU34" s="1796"/>
      <c r="AV34" s="435"/>
      <c r="AW34" s="1797" t="s">
        <v>5263</v>
      </c>
      <c r="AX34" s="429">
        <v>2022</v>
      </c>
      <c r="AY34" s="424">
        <v>0</v>
      </c>
      <c r="AZ34" s="424">
        <v>0</v>
      </c>
      <c r="BA34" s="430"/>
      <c r="BB34" s="431"/>
      <c r="BC34" s="432">
        <v>2025</v>
      </c>
      <c r="BD34" s="425"/>
      <c r="BE34" s="433"/>
      <c r="BF34" s="425"/>
      <c r="BG34" s="433"/>
      <c r="BH34" s="434"/>
      <c r="BI34" s="431"/>
      <c r="BJ34" s="435"/>
      <c r="BK34" s="1797"/>
      <c r="BL34" s="1798"/>
      <c r="BM34" s="1799">
        <v>0</v>
      </c>
      <c r="BN34" s="1800"/>
      <c r="BO34" s="1799">
        <v>0</v>
      </c>
      <c r="BP34" s="1800"/>
      <c r="BQ34" s="1799">
        <v>0</v>
      </c>
    </row>
    <row r="35" spans="1:69" ht="409.5">
      <c r="A35" s="1787" t="s">
        <v>2545</v>
      </c>
      <c r="B35" s="1788" t="s">
        <v>2546</v>
      </c>
      <c r="C35" s="426">
        <v>2023</v>
      </c>
      <c r="D35" s="487" t="s">
        <v>681</v>
      </c>
      <c r="E35" s="1789">
        <v>1065402</v>
      </c>
      <c r="F35" s="418" t="s">
        <v>2546</v>
      </c>
      <c r="G35" s="419">
        <v>45121</v>
      </c>
      <c r="H35" s="1790" t="s">
        <v>2370</v>
      </c>
      <c r="I35" s="1791" t="s">
        <v>2546</v>
      </c>
      <c r="J35" s="1792" t="s">
        <v>2547</v>
      </c>
      <c r="K35" s="1788" t="s">
        <v>2546</v>
      </c>
      <c r="L35" s="1792" t="s">
        <v>2547</v>
      </c>
      <c r="M35" s="1793" t="s">
        <v>2370</v>
      </c>
      <c r="N35" s="1790" t="s">
        <v>70</v>
      </c>
      <c r="O35" s="1793" t="s">
        <v>74</v>
      </c>
      <c r="P35" s="420" t="s">
        <v>683</v>
      </c>
      <c r="Q35" s="421"/>
      <c r="R35" s="421"/>
      <c r="S35" s="422"/>
      <c r="T35" s="1794"/>
      <c r="U35" s="423">
        <v>2194.6511999999998</v>
      </c>
      <c r="V35" s="424">
        <v>6</v>
      </c>
      <c r="W35" s="424">
        <v>1</v>
      </c>
      <c r="X35" s="425"/>
      <c r="Y35" s="426">
        <v>2023</v>
      </c>
      <c r="Z35" s="417">
        <v>2025</v>
      </c>
      <c r="AA35" s="1795" t="s">
        <v>5264</v>
      </c>
      <c r="AB35" s="427"/>
      <c r="AC35" s="1793"/>
      <c r="AD35" s="428" t="s">
        <v>5863</v>
      </c>
      <c r="AE35" s="1791" t="s">
        <v>2548</v>
      </c>
      <c r="AF35" s="1791" t="s">
        <v>2372</v>
      </c>
      <c r="AG35" s="1793" t="s">
        <v>2291</v>
      </c>
      <c r="AH35" s="428"/>
      <c r="AI35" s="1793"/>
      <c r="AJ35" s="429">
        <v>2022</v>
      </c>
      <c r="AK35" s="424">
        <v>3849</v>
      </c>
      <c r="AL35" s="424">
        <v>3883</v>
      </c>
      <c r="AM35" s="430">
        <v>69.829462989840351</v>
      </c>
      <c r="AN35" s="1796" t="s">
        <v>727</v>
      </c>
      <c r="AO35" s="432">
        <v>2025</v>
      </c>
      <c r="AP35" s="425">
        <v>3733.5299999999997</v>
      </c>
      <c r="AQ35" s="433">
        <v>3</v>
      </c>
      <c r="AR35" s="425">
        <v>3766.5099999999998</v>
      </c>
      <c r="AS35" s="433">
        <v>3</v>
      </c>
      <c r="AT35" s="434">
        <v>67.73457910014514</v>
      </c>
      <c r="AU35" s="1796" t="s">
        <v>727</v>
      </c>
      <c r="AV35" s="435">
        <v>3</v>
      </c>
      <c r="AW35" s="1797" t="s">
        <v>5265</v>
      </c>
      <c r="AX35" s="429">
        <v>2022</v>
      </c>
      <c r="AY35" s="424">
        <v>0</v>
      </c>
      <c r="AZ35" s="424">
        <v>0</v>
      </c>
      <c r="BA35" s="430"/>
      <c r="BB35" s="431"/>
      <c r="BC35" s="432">
        <v>2025</v>
      </c>
      <c r="BD35" s="425"/>
      <c r="BE35" s="433"/>
      <c r="BF35" s="425"/>
      <c r="BG35" s="433"/>
      <c r="BH35" s="434"/>
      <c r="BI35" s="431"/>
      <c r="BJ35" s="435"/>
      <c r="BK35" s="1797"/>
      <c r="BL35" s="1798"/>
      <c r="BM35" s="1799">
        <v>0</v>
      </c>
      <c r="BN35" s="1800"/>
      <c r="BO35" s="1799">
        <v>0</v>
      </c>
      <c r="BP35" s="1800"/>
      <c r="BQ35" s="1799">
        <v>0</v>
      </c>
    </row>
    <row r="36" spans="1:69" ht="409.5">
      <c r="A36" s="1787" t="s">
        <v>2557</v>
      </c>
      <c r="B36" s="1788" t="s">
        <v>2558</v>
      </c>
      <c r="C36" s="426">
        <v>2023</v>
      </c>
      <c r="D36" s="487" t="s">
        <v>681</v>
      </c>
      <c r="E36" s="1789">
        <v>1056404</v>
      </c>
      <c r="F36" s="418" t="s">
        <v>2558</v>
      </c>
      <c r="G36" s="419">
        <v>45138</v>
      </c>
      <c r="H36" s="1790" t="s">
        <v>2559</v>
      </c>
      <c r="I36" s="1791" t="s">
        <v>2558</v>
      </c>
      <c r="J36" s="1792" t="s">
        <v>2560</v>
      </c>
      <c r="K36" s="1788" t="s">
        <v>2558</v>
      </c>
      <c r="L36" s="1792" t="s">
        <v>2560</v>
      </c>
      <c r="M36" s="1793" t="s">
        <v>2559</v>
      </c>
      <c r="N36" s="1790" t="s">
        <v>57</v>
      </c>
      <c r="O36" s="1793" t="s">
        <v>64</v>
      </c>
      <c r="P36" s="420" t="s">
        <v>683</v>
      </c>
      <c r="Q36" s="421"/>
      <c r="R36" s="421"/>
      <c r="S36" s="422"/>
      <c r="T36" s="1794"/>
      <c r="U36" s="423">
        <v>4137.4427999999998</v>
      </c>
      <c r="V36" s="424">
        <v>10</v>
      </c>
      <c r="W36" s="424">
        <v>1</v>
      </c>
      <c r="X36" s="425"/>
      <c r="Y36" s="426">
        <v>2023</v>
      </c>
      <c r="Z36" s="417">
        <v>2025</v>
      </c>
      <c r="AA36" s="1795" t="s">
        <v>5266</v>
      </c>
      <c r="AB36" s="427"/>
      <c r="AC36" s="1793"/>
      <c r="AD36" s="428"/>
      <c r="AE36" s="1791"/>
      <c r="AF36" s="1791"/>
      <c r="AG36" s="1793"/>
      <c r="AH36" s="428" t="s">
        <v>5863</v>
      </c>
      <c r="AI36" s="1793" t="s">
        <v>2561</v>
      </c>
      <c r="AJ36" s="429">
        <v>2022</v>
      </c>
      <c r="AK36" s="424">
        <v>7518</v>
      </c>
      <c r="AL36" s="424">
        <v>7504</v>
      </c>
      <c r="AM36" s="430">
        <v>34.237467210725733</v>
      </c>
      <c r="AN36" s="1796" t="s">
        <v>2562</v>
      </c>
      <c r="AO36" s="432">
        <v>2025</v>
      </c>
      <c r="AP36" s="425">
        <v>7064</v>
      </c>
      <c r="AQ36" s="433">
        <v>6.03</v>
      </c>
      <c r="AR36" s="425">
        <v>7054</v>
      </c>
      <c r="AS36" s="433">
        <v>5.99</v>
      </c>
      <c r="AT36" s="434">
        <v>32.19</v>
      </c>
      <c r="AU36" s="1796" t="s">
        <v>2562</v>
      </c>
      <c r="AV36" s="435">
        <v>5.98</v>
      </c>
      <c r="AW36" s="1797" t="s">
        <v>5267</v>
      </c>
      <c r="AX36" s="429">
        <v>2022</v>
      </c>
      <c r="AY36" s="424">
        <v>0</v>
      </c>
      <c r="AZ36" s="424">
        <v>0</v>
      </c>
      <c r="BA36" s="430"/>
      <c r="BB36" s="431"/>
      <c r="BC36" s="432">
        <v>2025</v>
      </c>
      <c r="BD36" s="425"/>
      <c r="BE36" s="433"/>
      <c r="BF36" s="425"/>
      <c r="BG36" s="433"/>
      <c r="BH36" s="434"/>
      <c r="BI36" s="431"/>
      <c r="BJ36" s="435"/>
      <c r="BK36" s="1797"/>
      <c r="BL36" s="1798"/>
      <c r="BM36" s="1799">
        <v>0</v>
      </c>
      <c r="BN36" s="1800"/>
      <c r="BO36" s="1799">
        <v>0</v>
      </c>
      <c r="BP36" s="1800"/>
      <c r="BQ36" s="1799">
        <v>0</v>
      </c>
    </row>
    <row r="37" spans="1:69" ht="409.5">
      <c r="A37" s="1787" t="s">
        <v>5268</v>
      </c>
      <c r="B37" s="1788" t="s">
        <v>5269</v>
      </c>
      <c r="C37" s="426">
        <v>2023</v>
      </c>
      <c r="D37" s="487" t="s">
        <v>681</v>
      </c>
      <c r="E37" s="1789">
        <v>1039417</v>
      </c>
      <c r="F37" s="418" t="s">
        <v>5269</v>
      </c>
      <c r="G37" s="419">
        <v>45133</v>
      </c>
      <c r="H37" s="1790" t="s">
        <v>5270</v>
      </c>
      <c r="I37" s="1791" t="s">
        <v>5269</v>
      </c>
      <c r="J37" s="1792" t="s">
        <v>5271</v>
      </c>
      <c r="K37" s="1788" t="s">
        <v>5269</v>
      </c>
      <c r="L37" s="1792" t="s">
        <v>5271</v>
      </c>
      <c r="M37" s="1793" t="s">
        <v>5270</v>
      </c>
      <c r="N37" s="1790" t="s">
        <v>42</v>
      </c>
      <c r="O37" s="1793" t="s">
        <v>45</v>
      </c>
      <c r="P37" s="420" t="s">
        <v>683</v>
      </c>
      <c r="Q37" s="421"/>
      <c r="R37" s="421"/>
      <c r="S37" s="422"/>
      <c r="T37" s="1794"/>
      <c r="U37" s="423"/>
      <c r="V37" s="424">
        <v>1</v>
      </c>
      <c r="W37" s="424">
        <v>1</v>
      </c>
      <c r="X37" s="425"/>
      <c r="Y37" s="426">
        <v>2023</v>
      </c>
      <c r="Z37" s="417">
        <v>2025</v>
      </c>
      <c r="AA37" s="1795" t="s">
        <v>5272</v>
      </c>
      <c r="AB37" s="427"/>
      <c r="AC37" s="1793"/>
      <c r="AD37" s="428"/>
      <c r="AE37" s="1791"/>
      <c r="AF37" s="1791"/>
      <c r="AG37" s="1793"/>
      <c r="AH37" s="428" t="s">
        <v>5863</v>
      </c>
      <c r="AI37" s="1793" t="s">
        <v>5273</v>
      </c>
      <c r="AJ37" s="429">
        <v>2022</v>
      </c>
      <c r="AK37" s="424">
        <v>9334</v>
      </c>
      <c r="AL37" s="424" t="s">
        <v>6066</v>
      </c>
      <c r="AM37" s="430" t="s">
        <v>6066</v>
      </c>
      <c r="AN37" s="1796" t="s">
        <v>6066</v>
      </c>
      <c r="AO37" s="432">
        <v>2025</v>
      </c>
      <c r="AP37" s="425">
        <v>9023</v>
      </c>
      <c r="AQ37" s="433">
        <v>3.33</v>
      </c>
      <c r="AR37" s="425" t="s">
        <v>6066</v>
      </c>
      <c r="AS37" s="433" t="s">
        <v>6066</v>
      </c>
      <c r="AT37" s="434"/>
      <c r="AU37" s="1796"/>
      <c r="AV37" s="435"/>
      <c r="AW37" s="1797" t="s">
        <v>5274</v>
      </c>
      <c r="AX37" s="429">
        <v>2022</v>
      </c>
      <c r="AY37" s="424"/>
      <c r="AZ37" s="424"/>
      <c r="BA37" s="430"/>
      <c r="BB37" s="431"/>
      <c r="BC37" s="432">
        <v>2025</v>
      </c>
      <c r="BD37" s="425"/>
      <c r="BE37" s="433"/>
      <c r="BF37" s="425"/>
      <c r="BG37" s="433"/>
      <c r="BH37" s="434"/>
      <c r="BI37" s="431"/>
      <c r="BJ37" s="435"/>
      <c r="BK37" s="1797"/>
      <c r="BL37" s="1798"/>
      <c r="BM37" s="1799">
        <v>0</v>
      </c>
      <c r="BN37" s="1800"/>
      <c r="BO37" s="1799">
        <v>0</v>
      </c>
      <c r="BP37" s="1800"/>
      <c r="BQ37" s="1799">
        <v>0</v>
      </c>
    </row>
    <row r="38" spans="1:69" ht="409.5">
      <c r="A38" s="1787" t="s">
        <v>5275</v>
      </c>
      <c r="B38" s="1788" t="s">
        <v>5276</v>
      </c>
      <c r="C38" s="426">
        <v>2023</v>
      </c>
      <c r="D38" s="487" t="s">
        <v>681</v>
      </c>
      <c r="E38" s="1789">
        <v>1069418</v>
      </c>
      <c r="F38" s="418" t="s">
        <v>5276</v>
      </c>
      <c r="G38" s="419">
        <v>45118</v>
      </c>
      <c r="H38" s="1790" t="s">
        <v>5277</v>
      </c>
      <c r="I38" s="1791" t="s">
        <v>5276</v>
      </c>
      <c r="J38" s="1792" t="s">
        <v>5278</v>
      </c>
      <c r="K38" s="1788" t="s">
        <v>5276</v>
      </c>
      <c r="L38" s="1792" t="s">
        <v>5279</v>
      </c>
      <c r="M38" s="1793" t="s">
        <v>5277</v>
      </c>
      <c r="N38" s="1790" t="s">
        <v>77</v>
      </c>
      <c r="O38" s="1793" t="s">
        <v>79</v>
      </c>
      <c r="P38" s="420" t="s">
        <v>683</v>
      </c>
      <c r="Q38" s="421"/>
      <c r="R38" s="421"/>
      <c r="S38" s="422"/>
      <c r="T38" s="1794"/>
      <c r="U38" s="423">
        <v>7689</v>
      </c>
      <c r="V38" s="424">
        <v>4</v>
      </c>
      <c r="W38" s="424">
        <v>2</v>
      </c>
      <c r="X38" s="425"/>
      <c r="Y38" s="426">
        <v>2023</v>
      </c>
      <c r="Z38" s="417">
        <v>2025</v>
      </c>
      <c r="AA38" s="1795" t="s">
        <v>5280</v>
      </c>
      <c r="AB38" s="427"/>
      <c r="AC38" s="1793"/>
      <c r="AD38" s="428" t="s">
        <v>5863</v>
      </c>
      <c r="AE38" s="1791" t="s">
        <v>5281</v>
      </c>
      <c r="AF38" s="1791" t="s">
        <v>5277</v>
      </c>
      <c r="AG38" s="1793" t="s">
        <v>5282</v>
      </c>
      <c r="AH38" s="428"/>
      <c r="AI38" s="1793"/>
      <c r="AJ38" s="429">
        <v>2022</v>
      </c>
      <c r="AK38" s="424">
        <v>13046</v>
      </c>
      <c r="AL38" s="424">
        <v>13498</v>
      </c>
      <c r="AM38" s="430">
        <v>85.787182555860952</v>
      </c>
      <c r="AN38" s="1796" t="s">
        <v>727</v>
      </c>
      <c r="AO38" s="432">
        <v>2025</v>
      </c>
      <c r="AP38" s="425">
        <v>14000</v>
      </c>
      <c r="AQ38" s="433">
        <v>-7.32</v>
      </c>
      <c r="AR38" s="425">
        <v>13100</v>
      </c>
      <c r="AS38" s="433">
        <v>2.94</v>
      </c>
      <c r="AT38" s="434">
        <v>80</v>
      </c>
      <c r="AU38" s="1796" t="s">
        <v>727</v>
      </c>
      <c r="AV38" s="435">
        <v>6.74</v>
      </c>
      <c r="AW38" s="1797" t="s">
        <v>5283</v>
      </c>
      <c r="AX38" s="429">
        <v>2022</v>
      </c>
      <c r="AY38" s="424"/>
      <c r="AZ38" s="424">
        <v>0</v>
      </c>
      <c r="BA38" s="430"/>
      <c r="BB38" s="431"/>
      <c r="BC38" s="432">
        <v>2025</v>
      </c>
      <c r="BD38" s="425"/>
      <c r="BE38" s="433"/>
      <c r="BF38" s="425"/>
      <c r="BG38" s="433"/>
      <c r="BH38" s="434"/>
      <c r="BI38" s="431"/>
      <c r="BJ38" s="435"/>
      <c r="BK38" s="1797"/>
      <c r="BL38" s="1798"/>
      <c r="BM38" s="1799">
        <v>0</v>
      </c>
      <c r="BN38" s="1800"/>
      <c r="BO38" s="1799">
        <v>0</v>
      </c>
      <c r="BP38" s="1800"/>
      <c r="BQ38" s="1799">
        <v>0</v>
      </c>
    </row>
    <row r="39" spans="1:69" ht="324">
      <c r="A39" s="1787" t="s">
        <v>5766</v>
      </c>
      <c r="B39" s="1788" t="s">
        <v>5767</v>
      </c>
      <c r="C39" s="426">
        <v>2023</v>
      </c>
      <c r="D39" s="487" t="s">
        <v>681</v>
      </c>
      <c r="E39" s="1789">
        <v>1028419</v>
      </c>
      <c r="F39" s="418" t="s">
        <v>5767</v>
      </c>
      <c r="G39" s="419">
        <v>45274</v>
      </c>
      <c r="H39" s="1790" t="s">
        <v>5768</v>
      </c>
      <c r="I39" s="1791" t="s">
        <v>5767</v>
      </c>
      <c r="J39" s="1792" t="s">
        <v>5769</v>
      </c>
      <c r="K39" s="1788" t="s">
        <v>5767</v>
      </c>
      <c r="L39" s="1792" t="s">
        <v>5770</v>
      </c>
      <c r="M39" s="1793" t="s">
        <v>5771</v>
      </c>
      <c r="N39" s="1790" t="s">
        <v>12</v>
      </c>
      <c r="O39" s="1793" t="s">
        <v>32</v>
      </c>
      <c r="P39" s="420" t="s">
        <v>683</v>
      </c>
      <c r="Q39" s="421"/>
      <c r="R39" s="421"/>
      <c r="S39" s="422"/>
      <c r="T39" s="1794"/>
      <c r="U39" s="423">
        <v>3356</v>
      </c>
      <c r="V39" s="424">
        <v>4</v>
      </c>
      <c r="W39" s="424">
        <v>3</v>
      </c>
      <c r="X39" s="425"/>
      <c r="Y39" s="426">
        <v>2023</v>
      </c>
      <c r="Z39" s="417">
        <v>2025</v>
      </c>
      <c r="AA39" s="1795" t="s">
        <v>5772</v>
      </c>
      <c r="AB39" s="427" t="s">
        <v>5863</v>
      </c>
      <c r="AC39" s="1793" t="s">
        <v>5773</v>
      </c>
      <c r="AD39" s="428"/>
      <c r="AE39" s="1791"/>
      <c r="AF39" s="1791"/>
      <c r="AG39" s="1793"/>
      <c r="AH39" s="428"/>
      <c r="AI39" s="1793"/>
      <c r="AJ39" s="429">
        <v>2022</v>
      </c>
      <c r="AK39" s="424">
        <v>6076</v>
      </c>
      <c r="AL39" s="424">
        <v>6063</v>
      </c>
      <c r="AM39" s="430"/>
      <c r="AN39" s="1796"/>
      <c r="AO39" s="432">
        <v>2025</v>
      </c>
      <c r="AP39" s="425">
        <v>6000</v>
      </c>
      <c r="AQ39" s="433">
        <v>1.25</v>
      </c>
      <c r="AR39" s="425">
        <v>6000</v>
      </c>
      <c r="AS39" s="433">
        <v>1.03</v>
      </c>
      <c r="AT39" s="434"/>
      <c r="AU39" s="1796"/>
      <c r="AV39" s="435"/>
      <c r="AW39" s="1797" t="s">
        <v>5774</v>
      </c>
      <c r="AX39" s="429">
        <v>2022</v>
      </c>
      <c r="AY39" s="424"/>
      <c r="AZ39" s="424">
        <v>0</v>
      </c>
      <c r="BA39" s="430"/>
      <c r="BB39" s="431"/>
      <c r="BC39" s="432">
        <v>2025</v>
      </c>
      <c r="BD39" s="425"/>
      <c r="BE39" s="433"/>
      <c r="BF39" s="425"/>
      <c r="BG39" s="433"/>
      <c r="BH39" s="434"/>
      <c r="BI39" s="431"/>
      <c r="BJ39" s="435"/>
      <c r="BK39" s="1797"/>
      <c r="BL39" s="1798"/>
      <c r="BM39" s="1799">
        <v>0</v>
      </c>
      <c r="BN39" s="1800"/>
      <c r="BO39" s="1799">
        <v>0</v>
      </c>
      <c r="BP39" s="1800"/>
      <c r="BQ39" s="1799">
        <v>0</v>
      </c>
    </row>
    <row r="40" spans="1:69" ht="409.5">
      <c r="A40" s="1787" t="s">
        <v>5284</v>
      </c>
      <c r="B40" s="1788" t="s">
        <v>5285</v>
      </c>
      <c r="C40" s="426">
        <v>2023</v>
      </c>
      <c r="D40" s="487" t="s">
        <v>681</v>
      </c>
      <c r="E40" s="1789">
        <v>1016420</v>
      </c>
      <c r="F40" s="418" t="s">
        <v>5285</v>
      </c>
      <c r="G40" s="419">
        <v>45132</v>
      </c>
      <c r="H40" s="1790" t="s">
        <v>5286</v>
      </c>
      <c r="I40" s="1791" t="s">
        <v>5285</v>
      </c>
      <c r="J40" s="1792" t="s">
        <v>5287</v>
      </c>
      <c r="K40" s="1788" t="s">
        <v>5285</v>
      </c>
      <c r="L40" s="1792" t="s">
        <v>5287</v>
      </c>
      <c r="M40" s="1793" t="s">
        <v>5286</v>
      </c>
      <c r="N40" s="1790" t="s">
        <v>12</v>
      </c>
      <c r="O40" s="1793" t="s">
        <v>20</v>
      </c>
      <c r="P40" s="420" t="s">
        <v>683</v>
      </c>
      <c r="Q40" s="421"/>
      <c r="R40" s="421"/>
      <c r="S40" s="422"/>
      <c r="T40" s="1794"/>
      <c r="U40" s="423">
        <v>5162</v>
      </c>
      <c r="V40" s="424">
        <v>2</v>
      </c>
      <c r="W40" s="424">
        <v>1</v>
      </c>
      <c r="X40" s="425"/>
      <c r="Y40" s="426">
        <v>2023</v>
      </c>
      <c r="Z40" s="417">
        <v>2025</v>
      </c>
      <c r="AA40" s="1795" t="s">
        <v>5288</v>
      </c>
      <c r="AB40" s="427" t="s">
        <v>5863</v>
      </c>
      <c r="AC40" s="1793" t="s">
        <v>5289</v>
      </c>
      <c r="AD40" s="428"/>
      <c r="AE40" s="1791"/>
      <c r="AF40" s="1791"/>
      <c r="AG40" s="1793"/>
      <c r="AH40" s="428"/>
      <c r="AI40" s="1793"/>
      <c r="AJ40" s="429">
        <v>2022</v>
      </c>
      <c r="AK40" s="424">
        <v>8639</v>
      </c>
      <c r="AL40" s="424">
        <v>4858</v>
      </c>
      <c r="AM40" s="430">
        <v>0.28910864581764639</v>
      </c>
      <c r="AN40" s="1796" t="s">
        <v>5290</v>
      </c>
      <c r="AO40" s="432">
        <v>2025</v>
      </c>
      <c r="AP40" s="425">
        <v>23372</v>
      </c>
      <c r="AQ40" s="433">
        <v>-170.55</v>
      </c>
      <c r="AR40" s="425">
        <v>2365</v>
      </c>
      <c r="AS40" s="433">
        <v>51.31</v>
      </c>
      <c r="AT40" s="434">
        <v>0.28050000000000003</v>
      </c>
      <c r="AU40" s="1796" t="s">
        <v>5290</v>
      </c>
      <c r="AV40" s="435">
        <v>2.97</v>
      </c>
      <c r="AW40" s="1797" t="s">
        <v>5291</v>
      </c>
      <c r="AX40" s="429">
        <v>2022</v>
      </c>
      <c r="AY40" s="424"/>
      <c r="AZ40" s="424"/>
      <c r="BA40" s="430"/>
      <c r="BB40" s="431"/>
      <c r="BC40" s="432">
        <v>2025</v>
      </c>
      <c r="BD40" s="425"/>
      <c r="BE40" s="433"/>
      <c r="BF40" s="425"/>
      <c r="BG40" s="433"/>
      <c r="BH40" s="434"/>
      <c r="BI40" s="431"/>
      <c r="BJ40" s="435"/>
      <c r="BK40" s="1797"/>
      <c r="BL40" s="1798"/>
      <c r="BM40" s="1799">
        <v>0</v>
      </c>
      <c r="BN40" s="1800"/>
      <c r="BO40" s="1799">
        <v>0</v>
      </c>
      <c r="BP40" s="1800"/>
      <c r="BQ40" s="1799">
        <v>0</v>
      </c>
    </row>
    <row r="41" spans="1:69" ht="409.5">
      <c r="A41" s="1787" t="s">
        <v>5292</v>
      </c>
      <c r="B41" s="1788" t="s">
        <v>5293</v>
      </c>
      <c r="C41" s="426">
        <v>2023</v>
      </c>
      <c r="D41" s="487" t="s">
        <v>891</v>
      </c>
      <c r="E41" s="1789">
        <v>1334421</v>
      </c>
      <c r="F41" s="418" t="s">
        <v>5293</v>
      </c>
      <c r="G41" s="419">
        <v>45106</v>
      </c>
      <c r="H41" s="1790" t="s">
        <v>5294</v>
      </c>
      <c r="I41" s="1791" t="s">
        <v>5295</v>
      </c>
      <c r="J41" s="1792" t="s">
        <v>5296</v>
      </c>
      <c r="K41" s="1788" t="s">
        <v>5293</v>
      </c>
      <c r="L41" s="1792" t="s">
        <v>5296</v>
      </c>
      <c r="M41" s="1793" t="s">
        <v>5294</v>
      </c>
      <c r="N41" s="1790" t="s">
        <v>37</v>
      </c>
      <c r="O41" s="1793" t="s">
        <v>39</v>
      </c>
      <c r="P41" s="420" t="s">
        <v>683</v>
      </c>
      <c r="Q41" s="421"/>
      <c r="R41" s="421" t="s">
        <v>717</v>
      </c>
      <c r="S41" s="422"/>
      <c r="T41" s="1794"/>
      <c r="U41" s="423">
        <v>1587</v>
      </c>
      <c r="V41" s="424">
        <v>26</v>
      </c>
      <c r="W41" s="424">
        <v>1</v>
      </c>
      <c r="X41" s="425">
        <v>182</v>
      </c>
      <c r="Y41" s="426">
        <v>2023</v>
      </c>
      <c r="Z41" s="417">
        <v>2025</v>
      </c>
      <c r="AA41" s="1795" t="s">
        <v>5297</v>
      </c>
      <c r="AB41" s="427" t="s">
        <v>5863</v>
      </c>
      <c r="AC41" s="1793" t="s">
        <v>5298</v>
      </c>
      <c r="AD41" s="428"/>
      <c r="AE41" s="1791"/>
      <c r="AF41" s="1791"/>
      <c r="AG41" s="1793"/>
      <c r="AH41" s="428"/>
      <c r="AI41" s="1793"/>
      <c r="AJ41" s="429">
        <v>2022</v>
      </c>
      <c r="AK41" s="424">
        <v>2795</v>
      </c>
      <c r="AL41" s="424">
        <v>2707</v>
      </c>
      <c r="AM41" s="430"/>
      <c r="AN41" s="1796"/>
      <c r="AO41" s="432">
        <v>2025</v>
      </c>
      <c r="AP41" s="425">
        <v>2711</v>
      </c>
      <c r="AQ41" s="433">
        <v>3</v>
      </c>
      <c r="AR41" s="425">
        <v>2625</v>
      </c>
      <c r="AS41" s="433">
        <v>3.02</v>
      </c>
      <c r="AT41" s="434"/>
      <c r="AU41" s="1796"/>
      <c r="AV41" s="435"/>
      <c r="AW41" s="1797" t="s">
        <v>5299</v>
      </c>
      <c r="AX41" s="429">
        <v>2022</v>
      </c>
      <c r="AY41" s="424">
        <v>288.90353999999996</v>
      </c>
      <c r="AZ41" s="424">
        <v>288.90353999999996</v>
      </c>
      <c r="BA41" s="430">
        <v>0.2940108016352051</v>
      </c>
      <c r="BB41" s="431" t="s">
        <v>800</v>
      </c>
      <c r="BC41" s="432">
        <v>2025</v>
      </c>
      <c r="BD41" s="425">
        <v>280</v>
      </c>
      <c r="BE41" s="433">
        <v>3.08</v>
      </c>
      <c r="BF41" s="425">
        <v>280</v>
      </c>
      <c r="BG41" s="433">
        <v>3.08</v>
      </c>
      <c r="BH41" s="434">
        <v>0.2848</v>
      </c>
      <c r="BI41" s="431" t="s">
        <v>800</v>
      </c>
      <c r="BJ41" s="435">
        <v>3.13</v>
      </c>
      <c r="BK41" s="1797" t="s">
        <v>5300</v>
      </c>
      <c r="BL41" s="1798">
        <v>10</v>
      </c>
      <c r="BM41" s="1799">
        <v>2</v>
      </c>
      <c r="BN41" s="1800">
        <v>0</v>
      </c>
      <c r="BO41" s="1799">
        <v>0</v>
      </c>
      <c r="BP41" s="1800">
        <v>0</v>
      </c>
      <c r="BQ41" s="1799">
        <v>6</v>
      </c>
    </row>
    <row r="42" spans="1:69" ht="409.5">
      <c r="A42" s="1787" t="s">
        <v>5301</v>
      </c>
      <c r="B42" s="1788" t="s">
        <v>5302</v>
      </c>
      <c r="C42" s="426">
        <v>2023</v>
      </c>
      <c r="D42" s="487" t="s">
        <v>891</v>
      </c>
      <c r="E42" s="1789">
        <v>1360422</v>
      </c>
      <c r="F42" s="418" t="s">
        <v>5302</v>
      </c>
      <c r="G42" s="419">
        <v>45138</v>
      </c>
      <c r="H42" s="1790" t="s">
        <v>1755</v>
      </c>
      <c r="I42" s="1791" t="s">
        <v>5302</v>
      </c>
      <c r="J42" s="1792" t="s">
        <v>1126</v>
      </c>
      <c r="K42" s="1788" t="s">
        <v>5302</v>
      </c>
      <c r="L42" s="1792" t="s">
        <v>1126</v>
      </c>
      <c r="M42" s="1793" t="s">
        <v>1755</v>
      </c>
      <c r="N42" s="1790" t="s">
        <v>57</v>
      </c>
      <c r="O42" s="1793" t="s">
        <v>68</v>
      </c>
      <c r="P42" s="420" t="s">
        <v>683</v>
      </c>
      <c r="Q42" s="421"/>
      <c r="R42" s="421" t="s">
        <v>717</v>
      </c>
      <c r="S42" s="422"/>
      <c r="T42" s="1794"/>
      <c r="U42" s="423">
        <v>2413</v>
      </c>
      <c r="V42" s="424">
        <v>71</v>
      </c>
      <c r="W42" s="424">
        <v>0</v>
      </c>
      <c r="X42" s="425">
        <v>707</v>
      </c>
      <c r="Y42" s="426">
        <v>2023</v>
      </c>
      <c r="Z42" s="417">
        <v>2025</v>
      </c>
      <c r="AA42" s="1795" t="s">
        <v>2599</v>
      </c>
      <c r="AB42" s="427"/>
      <c r="AC42" s="1793"/>
      <c r="AD42" s="428" t="s">
        <v>5863</v>
      </c>
      <c r="AE42" s="1791" t="s">
        <v>1756</v>
      </c>
      <c r="AF42" s="1791" t="s">
        <v>1757</v>
      </c>
      <c r="AG42" s="1793" t="s">
        <v>919</v>
      </c>
      <c r="AH42" s="428"/>
      <c r="AI42" s="1793"/>
      <c r="AJ42" s="429">
        <v>2022</v>
      </c>
      <c r="AK42" s="424">
        <v>4387</v>
      </c>
      <c r="AL42" s="424">
        <v>4379</v>
      </c>
      <c r="AM42" s="430"/>
      <c r="AN42" s="1796"/>
      <c r="AO42" s="432">
        <v>2025</v>
      </c>
      <c r="AP42" s="425">
        <v>4256</v>
      </c>
      <c r="AQ42" s="433">
        <v>2.98</v>
      </c>
      <c r="AR42" s="425">
        <v>4247</v>
      </c>
      <c r="AS42" s="433">
        <v>3.01</v>
      </c>
      <c r="AT42" s="434"/>
      <c r="AU42" s="1796"/>
      <c r="AV42" s="435"/>
      <c r="AW42" s="1797" t="s">
        <v>2600</v>
      </c>
      <c r="AX42" s="429">
        <v>2022</v>
      </c>
      <c r="AY42" s="424">
        <v>830.19358925888082</v>
      </c>
      <c r="AZ42" s="424">
        <v>830.19358925888082</v>
      </c>
      <c r="BA42" s="430"/>
      <c r="BB42" s="431"/>
      <c r="BC42" s="432">
        <v>2025</v>
      </c>
      <c r="BD42" s="425">
        <v>805</v>
      </c>
      <c r="BE42" s="433">
        <v>3.03</v>
      </c>
      <c r="BF42" s="425">
        <v>805</v>
      </c>
      <c r="BG42" s="433">
        <v>3.03</v>
      </c>
      <c r="BH42" s="434"/>
      <c r="BI42" s="431"/>
      <c r="BJ42" s="435"/>
      <c r="BK42" s="1797" t="s">
        <v>2601</v>
      </c>
      <c r="BL42" s="1798">
        <v>10</v>
      </c>
      <c r="BM42" s="1799">
        <v>8</v>
      </c>
      <c r="BN42" s="1800">
        <v>6</v>
      </c>
      <c r="BO42" s="1799">
        <v>6</v>
      </c>
      <c r="BP42" s="1800">
        <v>6</v>
      </c>
      <c r="BQ42" s="1799">
        <v>6</v>
      </c>
    </row>
    <row r="43" spans="1:69" ht="409.5">
      <c r="A43" s="1787" t="s">
        <v>5303</v>
      </c>
      <c r="B43" s="1788" t="s">
        <v>5304</v>
      </c>
      <c r="C43" s="426">
        <v>2023</v>
      </c>
      <c r="D43" s="487" t="s">
        <v>714</v>
      </c>
      <c r="E43" s="1789">
        <v>3044424</v>
      </c>
      <c r="F43" s="418" t="s">
        <v>5304</v>
      </c>
      <c r="G43" s="419">
        <v>45175</v>
      </c>
      <c r="H43" s="1790" t="s">
        <v>5305</v>
      </c>
      <c r="I43" s="1791" t="s">
        <v>5306</v>
      </c>
      <c r="J43" s="1792" t="s">
        <v>5307</v>
      </c>
      <c r="K43" s="1788" t="s">
        <v>5304</v>
      </c>
      <c r="L43" s="1792" t="s">
        <v>5308</v>
      </c>
      <c r="M43" s="1793" t="s">
        <v>5305</v>
      </c>
      <c r="N43" s="1790" t="s">
        <v>48</v>
      </c>
      <c r="O43" s="1793" t="s">
        <v>51</v>
      </c>
      <c r="P43" s="420"/>
      <c r="Q43" s="421"/>
      <c r="R43" s="421" t="s">
        <v>717</v>
      </c>
      <c r="S43" s="422"/>
      <c r="T43" s="1794"/>
      <c r="U43" s="423"/>
      <c r="V43" s="424"/>
      <c r="W43" s="424"/>
      <c r="X43" s="425">
        <v>157</v>
      </c>
      <c r="Y43" s="426">
        <v>2023</v>
      </c>
      <c r="Z43" s="417">
        <v>2025</v>
      </c>
      <c r="AA43" s="1795" t="s">
        <v>5309</v>
      </c>
      <c r="AB43" s="427" t="s">
        <v>5863</v>
      </c>
      <c r="AC43" s="1793" t="s">
        <v>5310</v>
      </c>
      <c r="AD43" s="428"/>
      <c r="AE43" s="1791"/>
      <c r="AF43" s="1791"/>
      <c r="AG43" s="1793"/>
      <c r="AH43" s="428"/>
      <c r="AI43" s="1793"/>
      <c r="AJ43" s="429">
        <v>2022</v>
      </c>
      <c r="AK43" s="424"/>
      <c r="AL43" s="424"/>
      <c r="AM43" s="430"/>
      <c r="AN43" s="1796"/>
      <c r="AO43" s="432">
        <v>2025</v>
      </c>
      <c r="AP43" s="425"/>
      <c r="AQ43" s="433"/>
      <c r="AR43" s="425"/>
      <c r="AS43" s="433"/>
      <c r="AT43" s="434"/>
      <c r="AU43" s="1796"/>
      <c r="AV43" s="435"/>
      <c r="AW43" s="1797"/>
      <c r="AX43" s="429">
        <v>2022</v>
      </c>
      <c r="AY43" s="424">
        <v>1277.8670838</v>
      </c>
      <c r="AZ43" s="424">
        <v>1277.8670838</v>
      </c>
      <c r="BA43" s="430">
        <v>0.304259131312685</v>
      </c>
      <c r="BB43" s="431" t="s">
        <v>800</v>
      </c>
      <c r="BC43" s="432">
        <v>2025</v>
      </c>
      <c r="BD43" s="425">
        <v>1172</v>
      </c>
      <c r="BE43" s="433">
        <v>8.2799999999999994</v>
      </c>
      <c r="BF43" s="425">
        <v>1172</v>
      </c>
      <c r="BG43" s="433">
        <v>8.2799999999999994</v>
      </c>
      <c r="BH43" s="434">
        <v>0.3</v>
      </c>
      <c r="BI43" s="431" t="s">
        <v>800</v>
      </c>
      <c r="BJ43" s="435">
        <v>1.39</v>
      </c>
      <c r="BK43" s="1797" t="s">
        <v>5311</v>
      </c>
      <c r="BL43" s="1798"/>
      <c r="BM43" s="1799">
        <v>0</v>
      </c>
      <c r="BN43" s="1800"/>
      <c r="BO43" s="1799">
        <v>0</v>
      </c>
      <c r="BP43" s="1800"/>
      <c r="BQ43" s="1799">
        <v>0</v>
      </c>
    </row>
    <row r="44" spans="1:69" ht="409.5">
      <c r="A44" s="1787" t="s">
        <v>5775</v>
      </c>
      <c r="B44" s="1788" t="s">
        <v>5776</v>
      </c>
      <c r="C44" s="426">
        <v>2023</v>
      </c>
      <c r="D44" s="487" t="s">
        <v>668</v>
      </c>
      <c r="E44" s="1789">
        <v>1076425</v>
      </c>
      <c r="F44" s="418" t="s">
        <v>5776</v>
      </c>
      <c r="G44" s="419">
        <v>45138</v>
      </c>
      <c r="H44" s="1790" t="s">
        <v>5777</v>
      </c>
      <c r="I44" s="1791" t="s">
        <v>5776</v>
      </c>
      <c r="J44" s="1792" t="s">
        <v>5778</v>
      </c>
      <c r="K44" s="1788" t="s">
        <v>5776</v>
      </c>
      <c r="L44" s="1792" t="s">
        <v>5778</v>
      </c>
      <c r="M44" s="1793" t="s">
        <v>5777</v>
      </c>
      <c r="N44" s="1790" t="s">
        <v>86</v>
      </c>
      <c r="O44" s="1793" t="s">
        <v>88</v>
      </c>
      <c r="P44" s="420"/>
      <c r="Q44" s="421" t="s">
        <v>5862</v>
      </c>
      <c r="R44" s="421"/>
      <c r="S44" s="422"/>
      <c r="T44" s="1794"/>
      <c r="U44" s="423">
        <v>1599</v>
      </c>
      <c r="V44" s="424">
        <v>67</v>
      </c>
      <c r="W44" s="424">
        <v>0</v>
      </c>
      <c r="X44" s="425"/>
      <c r="Y44" s="426">
        <v>2023</v>
      </c>
      <c r="Z44" s="417">
        <v>2025</v>
      </c>
      <c r="AA44" s="1795" t="s">
        <v>5779</v>
      </c>
      <c r="AB44" s="427"/>
      <c r="AC44" s="1793"/>
      <c r="AD44" s="428"/>
      <c r="AE44" s="1791"/>
      <c r="AF44" s="1791"/>
      <c r="AG44" s="1793"/>
      <c r="AH44" s="428" t="s">
        <v>5863</v>
      </c>
      <c r="AI44" s="1793" t="s">
        <v>5780</v>
      </c>
      <c r="AJ44" s="429">
        <v>2022</v>
      </c>
      <c r="AK44" s="424">
        <v>2717</v>
      </c>
      <c r="AL44" s="424">
        <v>2674</v>
      </c>
      <c r="AM44" s="430" t="s">
        <v>6066</v>
      </c>
      <c r="AN44" s="1796" t="s">
        <v>6066</v>
      </c>
      <c r="AO44" s="432">
        <v>2025</v>
      </c>
      <c r="AP44" s="425">
        <v>2967.8</v>
      </c>
      <c r="AQ44" s="433">
        <v>-9.24</v>
      </c>
      <c r="AR44" s="425">
        <v>2920.8307692307694</v>
      </c>
      <c r="AS44" s="433">
        <v>-9.24</v>
      </c>
      <c r="AT44" s="434" t="s">
        <v>6066</v>
      </c>
      <c r="AU44" s="1796" t="s">
        <v>6066</v>
      </c>
      <c r="AV44" s="435" t="s">
        <v>6066</v>
      </c>
      <c r="AW44" s="1797" t="s">
        <v>5781</v>
      </c>
      <c r="AX44" s="429">
        <v>2022</v>
      </c>
      <c r="AY44" s="424"/>
      <c r="AZ44" s="424"/>
      <c r="BA44" s="430"/>
      <c r="BB44" s="431"/>
      <c r="BC44" s="432">
        <v>2025</v>
      </c>
      <c r="BD44" s="425"/>
      <c r="BE44" s="433"/>
      <c r="BF44" s="425"/>
      <c r="BG44" s="433"/>
      <c r="BH44" s="434"/>
      <c r="BI44" s="431"/>
      <c r="BJ44" s="435"/>
      <c r="BK44" s="1797"/>
      <c r="BL44" s="1798"/>
      <c r="BM44" s="1799">
        <v>0</v>
      </c>
      <c r="BN44" s="1800"/>
      <c r="BO44" s="1799">
        <v>0</v>
      </c>
      <c r="BP44" s="1800"/>
      <c r="BQ44" s="1799">
        <v>0</v>
      </c>
    </row>
    <row r="45" spans="1:69" ht="409.5">
      <c r="A45" s="1787" t="s">
        <v>5312</v>
      </c>
      <c r="B45" s="1788" t="s">
        <v>5313</v>
      </c>
      <c r="C45" s="426">
        <v>2023</v>
      </c>
      <c r="D45" s="487" t="s">
        <v>683</v>
      </c>
      <c r="E45" s="1789">
        <v>1078426</v>
      </c>
      <c r="F45" s="418" t="s">
        <v>5313</v>
      </c>
      <c r="G45" s="419">
        <v>45131</v>
      </c>
      <c r="H45" s="1790" t="s">
        <v>5314</v>
      </c>
      <c r="I45" s="1791" t="s">
        <v>5313</v>
      </c>
      <c r="J45" s="1792" t="s">
        <v>5315</v>
      </c>
      <c r="K45" s="1788" t="s">
        <v>5313</v>
      </c>
      <c r="L45" s="1792" t="s">
        <v>5316</v>
      </c>
      <c r="M45" s="1793" t="s">
        <v>5314</v>
      </c>
      <c r="N45" s="1790" t="s">
        <v>90</v>
      </c>
      <c r="O45" s="1793" t="s">
        <v>1763</v>
      </c>
      <c r="P45" s="420" t="s">
        <v>683</v>
      </c>
      <c r="Q45" s="421"/>
      <c r="R45" s="421"/>
      <c r="S45" s="422"/>
      <c r="T45" s="1794"/>
      <c r="U45" s="423">
        <v>1606</v>
      </c>
      <c r="V45" s="424">
        <v>24</v>
      </c>
      <c r="W45" s="424">
        <v>1</v>
      </c>
      <c r="X45" s="425"/>
      <c r="Y45" s="426">
        <v>2023</v>
      </c>
      <c r="Z45" s="417">
        <v>2025</v>
      </c>
      <c r="AA45" s="1795" t="s">
        <v>5317</v>
      </c>
      <c r="AB45" s="427" t="s">
        <v>5863</v>
      </c>
      <c r="AC45" s="1793" t="s">
        <v>5318</v>
      </c>
      <c r="AD45" s="428"/>
      <c r="AE45" s="1791"/>
      <c r="AF45" s="1791"/>
      <c r="AG45" s="1793"/>
      <c r="AH45" s="428"/>
      <c r="AI45" s="1793"/>
      <c r="AJ45" s="429">
        <v>2022</v>
      </c>
      <c r="AK45" s="424">
        <v>3052</v>
      </c>
      <c r="AL45" s="424">
        <v>3069</v>
      </c>
      <c r="AM45" s="430"/>
      <c r="AN45" s="1796"/>
      <c r="AO45" s="432">
        <v>2025</v>
      </c>
      <c r="AP45" s="425">
        <v>2961</v>
      </c>
      <c r="AQ45" s="433">
        <v>2.98</v>
      </c>
      <c r="AR45" s="425">
        <v>2978</v>
      </c>
      <c r="AS45" s="433">
        <v>2.96</v>
      </c>
      <c r="AT45" s="434"/>
      <c r="AU45" s="1796"/>
      <c r="AV45" s="435"/>
      <c r="AW45" s="1797" t="s">
        <v>5319</v>
      </c>
      <c r="AX45" s="429">
        <v>2022</v>
      </c>
      <c r="AY45" s="424"/>
      <c r="AZ45" s="424"/>
      <c r="BA45" s="430"/>
      <c r="BB45" s="431"/>
      <c r="BC45" s="432">
        <v>2025</v>
      </c>
      <c r="BD45" s="425"/>
      <c r="BE45" s="433"/>
      <c r="BF45" s="425"/>
      <c r="BG45" s="433"/>
      <c r="BH45" s="434"/>
      <c r="BI45" s="431"/>
      <c r="BJ45" s="435"/>
      <c r="BK45" s="1797"/>
      <c r="BL45" s="1798"/>
      <c r="BM45" s="1799">
        <v>0</v>
      </c>
      <c r="BN45" s="1800"/>
      <c r="BO45" s="1799">
        <v>0</v>
      </c>
      <c r="BP45" s="1800"/>
      <c r="BQ45" s="1799">
        <v>0</v>
      </c>
    </row>
    <row r="46" spans="1:69" ht="409.5">
      <c r="A46" s="1787" t="s">
        <v>5320</v>
      </c>
      <c r="B46" s="1788" t="s">
        <v>2505</v>
      </c>
      <c r="C46" s="426">
        <v>2023</v>
      </c>
      <c r="D46" s="487" t="s">
        <v>683</v>
      </c>
      <c r="E46" s="1789">
        <v>1006427</v>
      </c>
      <c r="F46" s="418" t="s">
        <v>2505</v>
      </c>
      <c r="G46" s="419">
        <v>45135</v>
      </c>
      <c r="H46" s="1790" t="s">
        <v>5321</v>
      </c>
      <c r="I46" s="1791" t="s">
        <v>2505</v>
      </c>
      <c r="J46" s="1792" t="s">
        <v>2507</v>
      </c>
      <c r="K46" s="1788" t="s">
        <v>2505</v>
      </c>
      <c r="L46" s="1792" t="s">
        <v>2507</v>
      </c>
      <c r="M46" s="1793" t="s">
        <v>5322</v>
      </c>
      <c r="N46" s="1790" t="s">
        <v>8</v>
      </c>
      <c r="O46" s="1793" t="s">
        <v>9</v>
      </c>
      <c r="P46" s="420" t="s">
        <v>683</v>
      </c>
      <c r="Q46" s="421"/>
      <c r="R46" s="421"/>
      <c r="S46" s="422"/>
      <c r="T46" s="1794"/>
      <c r="U46" s="423">
        <v>3329</v>
      </c>
      <c r="V46" s="424">
        <v>1</v>
      </c>
      <c r="W46" s="424">
        <v>1</v>
      </c>
      <c r="X46" s="425"/>
      <c r="Y46" s="426">
        <v>2023</v>
      </c>
      <c r="Z46" s="417">
        <v>2025</v>
      </c>
      <c r="AA46" s="1795" t="s">
        <v>5323</v>
      </c>
      <c r="AB46" s="427"/>
      <c r="AC46" s="1793"/>
      <c r="AD46" s="428" t="s">
        <v>5863</v>
      </c>
      <c r="AE46" s="1791" t="s">
        <v>5324</v>
      </c>
      <c r="AF46" s="1791" t="s">
        <v>5325</v>
      </c>
      <c r="AG46" s="1793" t="s">
        <v>5326</v>
      </c>
      <c r="AH46" s="428"/>
      <c r="AI46" s="1793"/>
      <c r="AJ46" s="429">
        <v>2022</v>
      </c>
      <c r="AK46" s="424">
        <v>5648</v>
      </c>
      <c r="AL46" s="424">
        <v>5642</v>
      </c>
      <c r="AM46" s="430"/>
      <c r="AN46" s="1796"/>
      <c r="AO46" s="432">
        <v>2025</v>
      </c>
      <c r="AP46" s="425">
        <v>5478</v>
      </c>
      <c r="AQ46" s="433">
        <v>3</v>
      </c>
      <c r="AR46" s="425">
        <v>5472</v>
      </c>
      <c r="AS46" s="433">
        <v>3.01</v>
      </c>
      <c r="AT46" s="434"/>
      <c r="AU46" s="1796"/>
      <c r="AV46" s="435"/>
      <c r="AW46" s="1797" t="s">
        <v>5327</v>
      </c>
      <c r="AX46" s="429">
        <v>2022</v>
      </c>
      <c r="AY46" s="424"/>
      <c r="AZ46" s="424"/>
      <c r="BA46" s="430"/>
      <c r="BB46" s="431"/>
      <c r="BC46" s="432">
        <v>2025</v>
      </c>
      <c r="BD46" s="425"/>
      <c r="BE46" s="433"/>
      <c r="BF46" s="425"/>
      <c r="BG46" s="433"/>
      <c r="BH46" s="434"/>
      <c r="BI46" s="431"/>
      <c r="BJ46" s="435"/>
      <c r="BK46" s="1797"/>
      <c r="BL46" s="1798"/>
      <c r="BM46" s="1799">
        <v>0</v>
      </c>
      <c r="BN46" s="1800"/>
      <c r="BO46" s="1799">
        <v>0</v>
      </c>
      <c r="BP46" s="1800"/>
      <c r="BQ46" s="1799">
        <v>0</v>
      </c>
    </row>
    <row r="47" spans="1:69" ht="409.5">
      <c r="A47" s="1787" t="s">
        <v>5328</v>
      </c>
      <c r="B47" s="1788" t="s">
        <v>5329</v>
      </c>
      <c r="C47" s="426">
        <v>2023</v>
      </c>
      <c r="D47" s="487" t="s">
        <v>681</v>
      </c>
      <c r="E47" s="1789">
        <v>1069428</v>
      </c>
      <c r="F47" s="418" t="s">
        <v>5329</v>
      </c>
      <c r="G47" s="419">
        <v>45134</v>
      </c>
      <c r="H47" s="1790" t="s">
        <v>5330</v>
      </c>
      <c r="I47" s="1791" t="s">
        <v>5329</v>
      </c>
      <c r="J47" s="1792" t="s">
        <v>5331</v>
      </c>
      <c r="K47" s="1788" t="s">
        <v>5329</v>
      </c>
      <c r="L47" s="1792" t="s">
        <v>5332</v>
      </c>
      <c r="M47" s="1793" t="s">
        <v>5330</v>
      </c>
      <c r="N47" s="1790" t="s">
        <v>77</v>
      </c>
      <c r="O47" s="1793" t="s">
        <v>79</v>
      </c>
      <c r="P47" s="420" t="s">
        <v>683</v>
      </c>
      <c r="Q47" s="421"/>
      <c r="R47" s="421"/>
      <c r="S47" s="422"/>
      <c r="T47" s="1794"/>
      <c r="U47" s="423">
        <v>2762.5866000000001</v>
      </c>
      <c r="V47" s="424">
        <v>1</v>
      </c>
      <c r="W47" s="424">
        <v>1</v>
      </c>
      <c r="X47" s="425"/>
      <c r="Y47" s="426">
        <v>2023</v>
      </c>
      <c r="Z47" s="417">
        <v>2025</v>
      </c>
      <c r="AA47" s="1795" t="s">
        <v>5333</v>
      </c>
      <c r="AB47" s="427"/>
      <c r="AC47" s="1793" t="s">
        <v>5334</v>
      </c>
      <c r="AD47" s="428" t="s">
        <v>5863</v>
      </c>
      <c r="AE47" s="1791" t="s">
        <v>5335</v>
      </c>
      <c r="AF47" s="1791" t="s">
        <v>5336</v>
      </c>
      <c r="AG47" s="1793" t="s">
        <v>5337</v>
      </c>
      <c r="AH47" s="428"/>
      <c r="AI47" s="1793"/>
      <c r="AJ47" s="429">
        <v>2022</v>
      </c>
      <c r="AK47" s="424">
        <v>4853</v>
      </c>
      <c r="AL47" s="424">
        <v>3929</v>
      </c>
      <c r="AM47" s="430"/>
      <c r="AN47" s="1796"/>
      <c r="AO47" s="432">
        <v>2025</v>
      </c>
      <c r="AP47" s="425">
        <v>4828</v>
      </c>
      <c r="AQ47" s="433">
        <v>0.51</v>
      </c>
      <c r="AR47" s="425">
        <v>3921</v>
      </c>
      <c r="AS47" s="433">
        <v>0.2</v>
      </c>
      <c r="AT47" s="434"/>
      <c r="AU47" s="1796"/>
      <c r="AV47" s="435"/>
      <c r="AW47" s="1797" t="s">
        <v>5338</v>
      </c>
      <c r="AX47" s="429">
        <v>2022</v>
      </c>
      <c r="AY47" s="424"/>
      <c r="AZ47" s="424"/>
      <c r="BA47" s="430"/>
      <c r="BB47" s="431"/>
      <c r="BC47" s="432">
        <v>2025</v>
      </c>
      <c r="BD47" s="425"/>
      <c r="BE47" s="433"/>
      <c r="BF47" s="425"/>
      <c r="BG47" s="433"/>
      <c r="BH47" s="434"/>
      <c r="BI47" s="431"/>
      <c r="BJ47" s="435"/>
      <c r="BK47" s="1797"/>
      <c r="BL47" s="1798"/>
      <c r="BM47" s="1799">
        <v>0</v>
      </c>
      <c r="BN47" s="1800"/>
      <c r="BO47" s="1799">
        <v>0</v>
      </c>
      <c r="BP47" s="1800"/>
      <c r="BQ47" s="1799">
        <v>0</v>
      </c>
    </row>
    <row r="48" spans="1:69" ht="409.5">
      <c r="A48" s="1787" t="s">
        <v>5339</v>
      </c>
      <c r="B48" s="1788" t="s">
        <v>5340</v>
      </c>
      <c r="C48" s="426">
        <v>2023</v>
      </c>
      <c r="D48" s="487" t="s">
        <v>681</v>
      </c>
      <c r="E48" s="1789">
        <v>1047429</v>
      </c>
      <c r="F48" s="418" t="s">
        <v>5340</v>
      </c>
      <c r="G48" s="419">
        <v>45128</v>
      </c>
      <c r="H48" s="1790" t="s">
        <v>5341</v>
      </c>
      <c r="I48" s="1791" t="s">
        <v>5340</v>
      </c>
      <c r="J48" s="1792" t="s">
        <v>5342</v>
      </c>
      <c r="K48" s="1788" t="s">
        <v>5340</v>
      </c>
      <c r="L48" s="1792" t="s">
        <v>5342</v>
      </c>
      <c r="M48" s="1793" t="s">
        <v>5343</v>
      </c>
      <c r="N48" s="1790" t="s">
        <v>48</v>
      </c>
      <c r="O48" s="1793" t="s">
        <v>54</v>
      </c>
      <c r="P48" s="420" t="s">
        <v>683</v>
      </c>
      <c r="Q48" s="421"/>
      <c r="R48" s="421"/>
      <c r="S48" s="422"/>
      <c r="T48" s="1794"/>
      <c r="U48" s="423">
        <v>1511</v>
      </c>
      <c r="V48" s="424">
        <v>1</v>
      </c>
      <c r="W48" s="424">
        <v>1</v>
      </c>
      <c r="X48" s="425"/>
      <c r="Y48" s="426">
        <v>2023</v>
      </c>
      <c r="Z48" s="417">
        <v>2025</v>
      </c>
      <c r="AA48" s="1795" t="s">
        <v>5344</v>
      </c>
      <c r="AB48" s="427"/>
      <c r="AC48" s="1793"/>
      <c r="AD48" s="428" t="s">
        <v>5863</v>
      </c>
      <c r="AE48" s="1791" t="s">
        <v>5345</v>
      </c>
      <c r="AF48" s="1791" t="s">
        <v>5346</v>
      </c>
      <c r="AG48" s="1793" t="s">
        <v>5347</v>
      </c>
      <c r="AH48" s="428"/>
      <c r="AI48" s="1793"/>
      <c r="AJ48" s="429">
        <v>2022</v>
      </c>
      <c r="AK48" s="424">
        <v>2762</v>
      </c>
      <c r="AL48" s="424">
        <v>2756</v>
      </c>
      <c r="AM48" s="430">
        <v>70.520349282540991</v>
      </c>
      <c r="AN48" s="1796" t="s">
        <v>727</v>
      </c>
      <c r="AO48" s="432">
        <v>2025</v>
      </c>
      <c r="AP48" s="425">
        <v>2659</v>
      </c>
      <c r="AQ48" s="433">
        <v>3.72</v>
      </c>
      <c r="AR48" s="425">
        <v>2654</v>
      </c>
      <c r="AS48" s="433">
        <v>3.7</v>
      </c>
      <c r="AT48" s="434">
        <v>67.89</v>
      </c>
      <c r="AU48" s="1796" t="s">
        <v>727</v>
      </c>
      <c r="AV48" s="435">
        <v>3.72</v>
      </c>
      <c r="AW48" s="1797" t="s">
        <v>5348</v>
      </c>
      <c r="AX48" s="429">
        <v>2022</v>
      </c>
      <c r="AY48" s="424"/>
      <c r="AZ48" s="424"/>
      <c r="BA48" s="430"/>
      <c r="BB48" s="431"/>
      <c r="BC48" s="432">
        <v>2025</v>
      </c>
      <c r="BD48" s="425"/>
      <c r="BE48" s="433"/>
      <c r="BF48" s="425"/>
      <c r="BG48" s="433"/>
      <c r="BH48" s="434"/>
      <c r="BI48" s="431"/>
      <c r="BJ48" s="435"/>
      <c r="BK48" s="1797"/>
      <c r="BL48" s="1798"/>
      <c r="BM48" s="1799">
        <v>0</v>
      </c>
      <c r="BN48" s="1800"/>
      <c r="BO48" s="1799">
        <v>0</v>
      </c>
      <c r="BP48" s="1800"/>
      <c r="BQ48" s="1799">
        <v>0</v>
      </c>
    </row>
    <row r="49" spans="1:69" ht="409.5">
      <c r="A49" s="1787" t="s">
        <v>5349</v>
      </c>
      <c r="B49" s="1788" t="s">
        <v>5988</v>
      </c>
      <c r="C49" s="426">
        <v>2023</v>
      </c>
      <c r="D49" s="487" t="s">
        <v>681</v>
      </c>
      <c r="E49" s="1789">
        <v>1021430</v>
      </c>
      <c r="F49" s="418" t="s">
        <v>5989</v>
      </c>
      <c r="G49" s="419">
        <v>45232</v>
      </c>
      <c r="H49" s="1790" t="s">
        <v>5350</v>
      </c>
      <c r="I49" s="1791" t="s">
        <v>5988</v>
      </c>
      <c r="J49" s="1792" t="s">
        <v>5990</v>
      </c>
      <c r="K49" s="1788" t="s">
        <v>5988</v>
      </c>
      <c r="L49" s="1792" t="s">
        <v>5990</v>
      </c>
      <c r="M49" s="1793" t="s">
        <v>5350</v>
      </c>
      <c r="N49" s="1790" t="s">
        <v>12</v>
      </c>
      <c r="O49" s="1793" t="s">
        <v>25</v>
      </c>
      <c r="P49" s="420" t="s">
        <v>683</v>
      </c>
      <c r="Q49" s="421"/>
      <c r="R49" s="421"/>
      <c r="S49" s="422"/>
      <c r="T49" s="1794"/>
      <c r="U49" s="423">
        <v>3313</v>
      </c>
      <c r="V49" s="424">
        <v>1</v>
      </c>
      <c r="W49" s="424">
        <v>1</v>
      </c>
      <c r="X49" s="425"/>
      <c r="Y49" s="426">
        <v>2023</v>
      </c>
      <c r="Z49" s="417">
        <v>2025</v>
      </c>
      <c r="AA49" s="1795" t="s">
        <v>5351</v>
      </c>
      <c r="AB49" s="427"/>
      <c r="AC49" s="1793"/>
      <c r="AD49" s="428" t="s">
        <v>5863</v>
      </c>
      <c r="AE49" s="1791" t="s">
        <v>5352</v>
      </c>
      <c r="AF49" s="1791" t="s">
        <v>5353</v>
      </c>
      <c r="AG49" s="1793" t="s">
        <v>5354</v>
      </c>
      <c r="AH49" s="428"/>
      <c r="AI49" s="1793"/>
      <c r="AJ49" s="429">
        <v>2022</v>
      </c>
      <c r="AK49" s="424">
        <v>5576</v>
      </c>
      <c r="AL49" s="424">
        <v>5677</v>
      </c>
      <c r="AM49" s="430">
        <v>1.2385606397156819</v>
      </c>
      <c r="AN49" s="1796" t="s">
        <v>5355</v>
      </c>
      <c r="AO49" s="432">
        <v>2025</v>
      </c>
      <c r="AP49" s="425">
        <v>6761</v>
      </c>
      <c r="AQ49" s="433">
        <v>-21.26</v>
      </c>
      <c r="AR49" s="425">
        <v>6883</v>
      </c>
      <c r="AS49" s="433">
        <v>-21.25</v>
      </c>
      <c r="AT49" s="434">
        <v>1.2</v>
      </c>
      <c r="AU49" s="1796" t="s">
        <v>5355</v>
      </c>
      <c r="AV49" s="435">
        <v>3.11</v>
      </c>
      <c r="AW49" s="1797" t="s">
        <v>5356</v>
      </c>
      <c r="AX49" s="429">
        <v>2022</v>
      </c>
      <c r="AY49" s="424"/>
      <c r="AZ49" s="424">
        <v>0</v>
      </c>
      <c r="BA49" s="430">
        <v>0</v>
      </c>
      <c r="BB49" s="431" t="s">
        <v>800</v>
      </c>
      <c r="BC49" s="432">
        <v>2025</v>
      </c>
      <c r="BD49" s="425"/>
      <c r="BE49" s="433"/>
      <c r="BF49" s="425"/>
      <c r="BG49" s="433"/>
      <c r="BH49" s="434"/>
      <c r="BI49" s="431"/>
      <c r="BJ49" s="435"/>
      <c r="BK49" s="1797"/>
      <c r="BL49" s="1798"/>
      <c r="BM49" s="1799">
        <v>0</v>
      </c>
      <c r="BN49" s="1800"/>
      <c r="BO49" s="1799">
        <v>0</v>
      </c>
      <c r="BP49" s="1800"/>
      <c r="BQ49" s="1799">
        <v>0</v>
      </c>
    </row>
    <row r="50" spans="1:69" ht="409.5">
      <c r="A50" s="1787" t="s">
        <v>5968</v>
      </c>
      <c r="B50" s="1788" t="s">
        <v>5991</v>
      </c>
      <c r="C50" s="426">
        <v>2023</v>
      </c>
      <c r="D50" s="487" t="s">
        <v>681</v>
      </c>
      <c r="E50" s="1789">
        <v>1069431</v>
      </c>
      <c r="F50" s="418" t="s">
        <v>5991</v>
      </c>
      <c r="G50" s="419">
        <v>45336</v>
      </c>
      <c r="H50" s="1790" t="s">
        <v>5992</v>
      </c>
      <c r="I50" s="1791" t="s">
        <v>5993</v>
      </c>
      <c r="J50" s="1792" t="s">
        <v>5994</v>
      </c>
      <c r="K50" s="1788" t="s">
        <v>5991</v>
      </c>
      <c r="L50" s="1792" t="s">
        <v>5994</v>
      </c>
      <c r="M50" s="1793" t="s">
        <v>5995</v>
      </c>
      <c r="N50" s="1790" t="s">
        <v>77</v>
      </c>
      <c r="O50" s="1793" t="s">
        <v>79</v>
      </c>
      <c r="P50" s="420" t="s">
        <v>683</v>
      </c>
      <c r="Q50" s="421"/>
      <c r="R50" s="421"/>
      <c r="S50" s="422"/>
      <c r="T50" s="1794"/>
      <c r="U50" s="423">
        <v>2138</v>
      </c>
      <c r="V50" s="424">
        <v>11</v>
      </c>
      <c r="W50" s="424">
        <v>1</v>
      </c>
      <c r="X50" s="425"/>
      <c r="Y50" s="426">
        <v>2023</v>
      </c>
      <c r="Z50" s="417">
        <v>2025</v>
      </c>
      <c r="AA50" s="1795" t="s">
        <v>5996</v>
      </c>
      <c r="AB50" s="427"/>
      <c r="AC50" s="1793"/>
      <c r="AD50" s="428" t="s">
        <v>5863</v>
      </c>
      <c r="AE50" s="1791" t="s">
        <v>5997</v>
      </c>
      <c r="AF50" s="1791" t="s">
        <v>5995</v>
      </c>
      <c r="AG50" s="1793" t="s">
        <v>1569</v>
      </c>
      <c r="AH50" s="428"/>
      <c r="AI50" s="1793"/>
      <c r="AJ50" s="429">
        <v>2022</v>
      </c>
      <c r="AK50" s="424">
        <v>3162</v>
      </c>
      <c r="AL50" s="424">
        <v>3177</v>
      </c>
      <c r="AM50" s="430"/>
      <c r="AN50" s="1796"/>
      <c r="AO50" s="432">
        <v>2025</v>
      </c>
      <c r="AP50" s="425">
        <v>3130</v>
      </c>
      <c r="AQ50" s="433">
        <v>1.01</v>
      </c>
      <c r="AR50" s="425">
        <v>3145</v>
      </c>
      <c r="AS50" s="433">
        <v>1</v>
      </c>
      <c r="AT50" s="434"/>
      <c r="AU50" s="1796"/>
      <c r="AV50" s="435"/>
      <c r="AW50" s="1797" t="s">
        <v>5998</v>
      </c>
      <c r="AX50" s="429">
        <v>2022</v>
      </c>
      <c r="AY50" s="424"/>
      <c r="AZ50" s="424">
        <v>0</v>
      </c>
      <c r="BA50" s="430"/>
      <c r="BB50" s="431"/>
      <c r="BC50" s="432">
        <v>2025</v>
      </c>
      <c r="BD50" s="425"/>
      <c r="BE50" s="433"/>
      <c r="BF50" s="425"/>
      <c r="BG50" s="433"/>
      <c r="BH50" s="434"/>
      <c r="BI50" s="431"/>
      <c r="BJ50" s="435"/>
      <c r="BK50" s="1797"/>
      <c r="BL50" s="1798"/>
      <c r="BM50" s="1799">
        <v>0</v>
      </c>
      <c r="BN50" s="1800"/>
      <c r="BO50" s="1799">
        <v>0</v>
      </c>
      <c r="BP50" s="1800"/>
      <c r="BQ50" s="1799">
        <v>0</v>
      </c>
    </row>
    <row r="51" spans="1:69">
      <c r="A51" s="488"/>
      <c r="B51" s="489"/>
      <c r="C51" s="490"/>
      <c r="D51" s="487"/>
      <c r="E51" s="491"/>
      <c r="F51" s="418"/>
      <c r="G51" s="419"/>
      <c r="H51" s="436"/>
      <c r="I51" s="437"/>
      <c r="J51" s="492"/>
      <c r="K51" s="439"/>
      <c r="L51" s="492"/>
      <c r="M51" s="438"/>
      <c r="N51" s="436"/>
      <c r="O51" s="438"/>
      <c r="P51" s="420"/>
      <c r="Q51" s="421"/>
      <c r="R51" s="421"/>
      <c r="S51" s="422"/>
      <c r="T51" s="422"/>
      <c r="U51" s="423"/>
      <c r="V51" s="424"/>
      <c r="W51" s="424"/>
      <c r="X51" s="425"/>
      <c r="Y51" s="426"/>
      <c r="Z51" s="417"/>
      <c r="AA51" s="493"/>
      <c r="AB51" s="427"/>
      <c r="AC51" s="438"/>
      <c r="AD51" s="428"/>
      <c r="AE51" s="437"/>
      <c r="AF51" s="437"/>
      <c r="AG51" s="438"/>
      <c r="AH51" s="428"/>
      <c r="AI51" s="438"/>
      <c r="AJ51" s="429"/>
      <c r="AK51" s="424"/>
      <c r="AL51" s="424"/>
      <c r="AM51" s="430"/>
      <c r="AN51" s="431"/>
      <c r="AO51" s="432"/>
      <c r="AP51" s="425"/>
      <c r="AQ51" s="433"/>
      <c r="AR51" s="425"/>
      <c r="AS51" s="433"/>
      <c r="AT51" s="434"/>
      <c r="AU51" s="431"/>
      <c r="AV51" s="435"/>
      <c r="AW51" s="494"/>
      <c r="AX51" s="429"/>
      <c r="AY51" s="424"/>
      <c r="AZ51" s="424"/>
      <c r="BA51" s="430"/>
      <c r="BB51" s="431"/>
      <c r="BC51" s="432"/>
      <c r="BD51" s="425"/>
      <c r="BE51" s="433"/>
      <c r="BF51" s="425"/>
      <c r="BG51" s="433"/>
      <c r="BH51" s="434"/>
      <c r="BI51" s="431"/>
      <c r="BJ51" s="435"/>
      <c r="BK51" s="494"/>
    </row>
    <row r="52" spans="1:69">
      <c r="A52" s="488"/>
      <c r="B52" s="489"/>
      <c r="C52" s="490"/>
      <c r="D52" s="487"/>
      <c r="E52" s="491"/>
      <c r="F52" s="418"/>
      <c r="G52" s="419"/>
      <c r="H52" s="436"/>
      <c r="I52" s="437"/>
      <c r="J52" s="492"/>
      <c r="K52" s="439"/>
      <c r="L52" s="492"/>
      <c r="M52" s="438"/>
      <c r="N52" s="436"/>
      <c r="O52" s="438"/>
      <c r="P52" s="420"/>
      <c r="Q52" s="421"/>
      <c r="R52" s="421"/>
      <c r="S52" s="422"/>
      <c r="T52" s="422"/>
      <c r="U52" s="423"/>
      <c r="V52" s="424"/>
      <c r="W52" s="424"/>
      <c r="X52" s="425"/>
      <c r="Y52" s="426"/>
      <c r="Z52" s="417"/>
      <c r="AA52" s="493"/>
      <c r="AB52" s="427"/>
      <c r="AC52" s="438"/>
      <c r="AD52" s="428"/>
      <c r="AE52" s="437"/>
      <c r="AF52" s="437"/>
      <c r="AG52" s="438"/>
      <c r="AH52" s="428"/>
      <c r="AI52" s="438"/>
      <c r="AJ52" s="429"/>
      <c r="AK52" s="424"/>
      <c r="AL52" s="424"/>
      <c r="AM52" s="430"/>
      <c r="AN52" s="431"/>
      <c r="AO52" s="432"/>
      <c r="AP52" s="425"/>
      <c r="AQ52" s="433"/>
      <c r="AR52" s="425"/>
      <c r="AS52" s="433"/>
      <c r="AT52" s="434"/>
      <c r="AU52" s="431"/>
      <c r="AV52" s="435"/>
      <c r="AW52" s="494"/>
      <c r="AX52" s="429"/>
      <c r="AY52" s="424"/>
      <c r="AZ52" s="424"/>
      <c r="BA52" s="430"/>
      <c r="BB52" s="431"/>
      <c r="BC52" s="432"/>
      <c r="BD52" s="425"/>
      <c r="BE52" s="433"/>
      <c r="BF52" s="425"/>
      <c r="BG52" s="433"/>
      <c r="BH52" s="434"/>
      <c r="BI52" s="431"/>
      <c r="BJ52" s="435"/>
      <c r="BK52" s="494"/>
    </row>
    <row r="53" spans="1:69">
      <c r="A53" s="488"/>
      <c r="B53" s="489"/>
      <c r="C53" s="490"/>
      <c r="D53" s="487"/>
      <c r="E53" s="491"/>
      <c r="F53" s="418"/>
      <c r="G53" s="419"/>
      <c r="H53" s="436"/>
      <c r="I53" s="437"/>
      <c r="J53" s="492"/>
      <c r="K53" s="439"/>
      <c r="L53" s="492"/>
      <c r="M53" s="438"/>
      <c r="N53" s="436"/>
      <c r="O53" s="438"/>
      <c r="P53" s="420"/>
      <c r="Q53" s="421"/>
      <c r="R53" s="421"/>
      <c r="S53" s="422"/>
      <c r="T53" s="422"/>
      <c r="U53" s="423"/>
      <c r="V53" s="424"/>
      <c r="W53" s="424"/>
      <c r="X53" s="425"/>
      <c r="Y53" s="426"/>
      <c r="Z53" s="417"/>
      <c r="AA53" s="493"/>
      <c r="AB53" s="427"/>
      <c r="AC53" s="438"/>
      <c r="AD53" s="428"/>
      <c r="AE53" s="437"/>
      <c r="AF53" s="437"/>
      <c r="AG53" s="438"/>
      <c r="AH53" s="428"/>
      <c r="AI53" s="438"/>
      <c r="AJ53" s="429"/>
      <c r="AK53" s="424"/>
      <c r="AL53" s="424"/>
      <c r="AM53" s="430"/>
      <c r="AN53" s="431"/>
      <c r="AO53" s="432"/>
      <c r="AP53" s="425"/>
      <c r="AQ53" s="433"/>
      <c r="AR53" s="425"/>
      <c r="AS53" s="433"/>
      <c r="AT53" s="434"/>
      <c r="AU53" s="431"/>
      <c r="AV53" s="435"/>
      <c r="AW53" s="494"/>
      <c r="AX53" s="429"/>
      <c r="AY53" s="424"/>
      <c r="AZ53" s="424"/>
      <c r="BA53" s="430"/>
      <c r="BB53" s="431"/>
      <c r="BC53" s="432"/>
      <c r="BD53" s="425"/>
      <c r="BE53" s="433"/>
      <c r="BF53" s="425"/>
      <c r="BG53" s="433"/>
      <c r="BH53" s="434"/>
      <c r="BI53" s="431"/>
      <c r="BJ53" s="435"/>
      <c r="BK53" s="494"/>
    </row>
    <row r="54" spans="1:69">
      <c r="A54" s="488"/>
      <c r="B54" s="489"/>
      <c r="C54" s="490"/>
      <c r="D54" s="487"/>
      <c r="E54" s="491"/>
      <c r="F54" s="418"/>
      <c r="G54" s="419"/>
      <c r="H54" s="436"/>
      <c r="I54" s="437"/>
      <c r="J54" s="492"/>
      <c r="K54" s="439"/>
      <c r="L54" s="492"/>
      <c r="M54" s="438"/>
      <c r="N54" s="436"/>
      <c r="O54" s="438"/>
      <c r="P54" s="420"/>
      <c r="Q54" s="421"/>
      <c r="R54" s="421"/>
      <c r="S54" s="422"/>
      <c r="T54" s="422"/>
      <c r="U54" s="423"/>
      <c r="V54" s="424"/>
      <c r="W54" s="424"/>
      <c r="X54" s="425"/>
      <c r="Y54" s="426"/>
      <c r="Z54" s="417"/>
      <c r="AA54" s="493"/>
      <c r="AB54" s="427"/>
      <c r="AC54" s="438"/>
      <c r="AD54" s="428"/>
      <c r="AE54" s="437"/>
      <c r="AF54" s="437"/>
      <c r="AG54" s="438"/>
      <c r="AH54" s="428"/>
      <c r="AI54" s="438"/>
      <c r="AJ54" s="429"/>
      <c r="AK54" s="424"/>
      <c r="AL54" s="424"/>
      <c r="AM54" s="430"/>
      <c r="AN54" s="431"/>
      <c r="AO54" s="432"/>
      <c r="AP54" s="425"/>
      <c r="AQ54" s="433"/>
      <c r="AR54" s="425"/>
      <c r="AS54" s="433"/>
      <c r="AT54" s="434"/>
      <c r="AU54" s="431"/>
      <c r="AV54" s="435"/>
      <c r="AW54" s="494"/>
      <c r="AX54" s="429"/>
      <c r="AY54" s="424"/>
      <c r="AZ54" s="424"/>
      <c r="BA54" s="430"/>
      <c r="BB54" s="431"/>
      <c r="BC54" s="432"/>
      <c r="BD54" s="425"/>
      <c r="BE54" s="433"/>
      <c r="BF54" s="425"/>
      <c r="BG54" s="433"/>
      <c r="BH54" s="434"/>
      <c r="BI54" s="431"/>
      <c r="BJ54" s="435"/>
      <c r="BK54" s="494"/>
    </row>
    <row r="55" spans="1:69">
      <c r="A55" s="488"/>
      <c r="B55" s="489"/>
      <c r="C55" s="490"/>
      <c r="D55" s="487"/>
      <c r="E55" s="491"/>
      <c r="F55" s="418"/>
      <c r="G55" s="419"/>
      <c r="H55" s="436"/>
      <c r="I55" s="437"/>
      <c r="J55" s="492"/>
      <c r="K55" s="439"/>
      <c r="L55" s="492"/>
      <c r="M55" s="438"/>
      <c r="N55" s="436"/>
      <c r="O55" s="438"/>
      <c r="P55" s="420"/>
      <c r="Q55" s="421"/>
      <c r="R55" s="421"/>
      <c r="S55" s="422"/>
      <c r="T55" s="422"/>
      <c r="U55" s="423"/>
      <c r="V55" s="424"/>
      <c r="W55" s="424"/>
      <c r="X55" s="425"/>
      <c r="Y55" s="426"/>
      <c r="Z55" s="417"/>
      <c r="AA55" s="493"/>
      <c r="AB55" s="427"/>
      <c r="AC55" s="438"/>
      <c r="AD55" s="428"/>
      <c r="AE55" s="437"/>
      <c r="AF55" s="437"/>
      <c r="AG55" s="438"/>
      <c r="AH55" s="428"/>
      <c r="AI55" s="438"/>
      <c r="AJ55" s="429"/>
      <c r="AK55" s="424"/>
      <c r="AL55" s="424"/>
      <c r="AM55" s="430"/>
      <c r="AN55" s="431"/>
      <c r="AO55" s="432"/>
      <c r="AP55" s="425"/>
      <c r="AQ55" s="433"/>
      <c r="AR55" s="425"/>
      <c r="AS55" s="433"/>
      <c r="AT55" s="434"/>
      <c r="AU55" s="431"/>
      <c r="AV55" s="435"/>
      <c r="AW55" s="494"/>
      <c r="AX55" s="429"/>
      <c r="AY55" s="424"/>
      <c r="AZ55" s="424"/>
      <c r="BA55" s="430"/>
      <c r="BB55" s="431"/>
      <c r="BC55" s="432"/>
      <c r="BD55" s="425"/>
      <c r="BE55" s="433"/>
      <c r="BF55" s="425"/>
      <c r="BG55" s="433"/>
      <c r="BH55" s="434"/>
      <c r="BI55" s="431"/>
      <c r="BJ55" s="435"/>
      <c r="BK55" s="494"/>
    </row>
    <row r="56" spans="1:69">
      <c r="A56" s="488"/>
      <c r="B56" s="489"/>
      <c r="C56" s="490"/>
      <c r="D56" s="487"/>
      <c r="E56" s="491"/>
      <c r="F56" s="418"/>
      <c r="G56" s="419"/>
      <c r="H56" s="436"/>
      <c r="I56" s="437"/>
      <c r="J56" s="492"/>
      <c r="K56" s="439"/>
      <c r="L56" s="492"/>
      <c r="M56" s="438"/>
      <c r="N56" s="436"/>
      <c r="O56" s="438"/>
      <c r="P56" s="420"/>
      <c r="Q56" s="421"/>
      <c r="R56" s="421"/>
      <c r="S56" s="422"/>
      <c r="T56" s="422"/>
      <c r="U56" s="423"/>
      <c r="V56" s="424"/>
      <c r="W56" s="424"/>
      <c r="X56" s="425"/>
      <c r="Y56" s="426"/>
      <c r="Z56" s="417"/>
      <c r="AA56" s="493"/>
      <c r="AB56" s="427"/>
      <c r="AC56" s="438"/>
      <c r="AD56" s="428"/>
      <c r="AE56" s="437"/>
      <c r="AF56" s="437"/>
      <c r="AG56" s="438"/>
      <c r="AH56" s="428"/>
      <c r="AI56" s="438"/>
      <c r="AJ56" s="429"/>
      <c r="AK56" s="424"/>
      <c r="AL56" s="424"/>
      <c r="AM56" s="430"/>
      <c r="AN56" s="431"/>
      <c r="AO56" s="432"/>
      <c r="AP56" s="425"/>
      <c r="AQ56" s="433"/>
      <c r="AR56" s="425"/>
      <c r="AS56" s="433"/>
      <c r="AT56" s="434"/>
      <c r="AU56" s="431"/>
      <c r="AV56" s="435"/>
      <c r="AW56" s="494"/>
      <c r="AX56" s="429"/>
      <c r="AY56" s="424"/>
      <c r="AZ56" s="424"/>
      <c r="BA56" s="430"/>
      <c r="BB56" s="431"/>
      <c r="BC56" s="432"/>
      <c r="BD56" s="425"/>
      <c r="BE56" s="433"/>
      <c r="BF56" s="425"/>
      <c r="BG56" s="433"/>
      <c r="BH56" s="434"/>
      <c r="BI56" s="431"/>
      <c r="BJ56" s="435"/>
      <c r="BK56" s="494"/>
    </row>
    <row r="57" spans="1:69">
      <c r="A57" s="488"/>
      <c r="B57" s="489"/>
      <c r="C57" s="490"/>
      <c r="D57" s="487"/>
      <c r="E57" s="491"/>
      <c r="F57" s="418"/>
      <c r="G57" s="419"/>
      <c r="H57" s="436"/>
      <c r="I57" s="437"/>
      <c r="J57" s="492"/>
      <c r="K57" s="439"/>
      <c r="L57" s="492"/>
      <c r="M57" s="438"/>
      <c r="N57" s="436"/>
      <c r="O57" s="438"/>
      <c r="P57" s="420"/>
      <c r="Q57" s="421"/>
      <c r="R57" s="421"/>
      <c r="S57" s="422"/>
      <c r="T57" s="422"/>
      <c r="U57" s="423"/>
      <c r="V57" s="424"/>
      <c r="W57" s="424"/>
      <c r="X57" s="425"/>
      <c r="Y57" s="426"/>
      <c r="Z57" s="417"/>
      <c r="AA57" s="493"/>
      <c r="AB57" s="427"/>
      <c r="AC57" s="438"/>
      <c r="AD57" s="428"/>
      <c r="AE57" s="437"/>
      <c r="AF57" s="437"/>
      <c r="AG57" s="438"/>
      <c r="AH57" s="428"/>
      <c r="AI57" s="438"/>
      <c r="AJ57" s="429"/>
      <c r="AK57" s="424"/>
      <c r="AL57" s="424"/>
      <c r="AM57" s="430"/>
      <c r="AN57" s="431"/>
      <c r="AO57" s="432"/>
      <c r="AP57" s="425"/>
      <c r="AQ57" s="433"/>
      <c r="AR57" s="425"/>
      <c r="AS57" s="433"/>
      <c r="AT57" s="434"/>
      <c r="AU57" s="431"/>
      <c r="AV57" s="435"/>
      <c r="AW57" s="494"/>
      <c r="AX57" s="429"/>
      <c r="AY57" s="424"/>
      <c r="AZ57" s="424"/>
      <c r="BA57" s="430"/>
      <c r="BB57" s="431"/>
      <c r="BC57" s="432"/>
      <c r="BD57" s="425"/>
      <c r="BE57" s="433"/>
      <c r="BF57" s="425"/>
      <c r="BG57" s="433"/>
      <c r="BH57" s="434"/>
      <c r="BI57" s="431"/>
      <c r="BJ57" s="435"/>
      <c r="BK57" s="494"/>
    </row>
    <row r="58" spans="1:69">
      <c r="A58" s="488"/>
      <c r="B58" s="489"/>
      <c r="C58" s="490"/>
      <c r="D58" s="487"/>
      <c r="E58" s="491"/>
      <c r="F58" s="418"/>
      <c r="G58" s="419"/>
      <c r="H58" s="436"/>
      <c r="I58" s="437"/>
      <c r="J58" s="492"/>
      <c r="K58" s="439"/>
      <c r="L58" s="492"/>
      <c r="M58" s="438"/>
      <c r="N58" s="436"/>
      <c r="O58" s="438"/>
      <c r="P58" s="420"/>
      <c r="Q58" s="421"/>
      <c r="R58" s="421"/>
      <c r="S58" s="422"/>
      <c r="T58" s="422"/>
      <c r="U58" s="423"/>
      <c r="V58" s="424"/>
      <c r="W58" s="424"/>
      <c r="X58" s="425"/>
      <c r="Y58" s="426"/>
      <c r="Z58" s="417"/>
      <c r="AA58" s="493"/>
      <c r="AB58" s="427"/>
      <c r="AC58" s="438"/>
      <c r="AD58" s="428"/>
      <c r="AE58" s="437"/>
      <c r="AF58" s="437"/>
      <c r="AG58" s="438"/>
      <c r="AH58" s="428"/>
      <c r="AI58" s="438"/>
      <c r="AJ58" s="429"/>
      <c r="AK58" s="424"/>
      <c r="AL58" s="424"/>
      <c r="AM58" s="430"/>
      <c r="AN58" s="431"/>
      <c r="AO58" s="432"/>
      <c r="AP58" s="425"/>
      <c r="AQ58" s="433"/>
      <c r="AR58" s="425"/>
      <c r="AS58" s="433"/>
      <c r="AT58" s="434"/>
      <c r="AU58" s="431"/>
      <c r="AV58" s="435"/>
      <c r="AW58" s="494"/>
      <c r="AX58" s="429"/>
      <c r="AY58" s="424"/>
      <c r="AZ58" s="424"/>
      <c r="BA58" s="430"/>
      <c r="BB58" s="431"/>
      <c r="BC58" s="432"/>
      <c r="BD58" s="425"/>
      <c r="BE58" s="433"/>
      <c r="BF58" s="425"/>
      <c r="BG58" s="433"/>
      <c r="BH58" s="434"/>
      <c r="BI58" s="431"/>
      <c r="BJ58" s="435"/>
      <c r="BK58" s="494"/>
    </row>
    <row r="59" spans="1:69">
      <c r="A59" s="488"/>
      <c r="B59" s="489"/>
      <c r="C59" s="490"/>
      <c r="D59" s="487"/>
      <c r="E59" s="491"/>
      <c r="F59" s="418"/>
      <c r="G59" s="419"/>
      <c r="H59" s="436"/>
      <c r="I59" s="437"/>
      <c r="J59" s="492"/>
      <c r="K59" s="439"/>
      <c r="L59" s="492"/>
      <c r="M59" s="438"/>
      <c r="N59" s="436"/>
      <c r="O59" s="438"/>
      <c r="P59" s="420"/>
      <c r="Q59" s="421"/>
      <c r="R59" s="421"/>
      <c r="S59" s="422"/>
      <c r="T59" s="422"/>
      <c r="U59" s="423"/>
      <c r="V59" s="424"/>
      <c r="W59" s="424"/>
      <c r="X59" s="425"/>
      <c r="Y59" s="426"/>
      <c r="Z59" s="417"/>
      <c r="AA59" s="493"/>
      <c r="AB59" s="427"/>
      <c r="AC59" s="438"/>
      <c r="AD59" s="428"/>
      <c r="AE59" s="437"/>
      <c r="AF59" s="437"/>
      <c r="AG59" s="438"/>
      <c r="AH59" s="428"/>
      <c r="AI59" s="438"/>
      <c r="AJ59" s="429"/>
      <c r="AK59" s="424"/>
      <c r="AL59" s="424"/>
      <c r="AM59" s="430"/>
      <c r="AN59" s="431"/>
      <c r="AO59" s="432"/>
      <c r="AP59" s="425"/>
      <c r="AQ59" s="433"/>
      <c r="AR59" s="425"/>
      <c r="AS59" s="433"/>
      <c r="AT59" s="434"/>
      <c r="AU59" s="431"/>
      <c r="AV59" s="435"/>
      <c r="AW59" s="494"/>
      <c r="AX59" s="429"/>
      <c r="AY59" s="424"/>
      <c r="AZ59" s="424"/>
      <c r="BA59" s="430"/>
      <c r="BB59" s="431"/>
      <c r="BC59" s="432"/>
      <c r="BD59" s="425"/>
      <c r="BE59" s="433"/>
      <c r="BF59" s="425"/>
      <c r="BG59" s="433"/>
      <c r="BH59" s="434"/>
      <c r="BI59" s="431"/>
      <c r="BJ59" s="435"/>
      <c r="BK59" s="494"/>
    </row>
    <row r="60" spans="1:69">
      <c r="A60" s="488"/>
      <c r="B60" s="489"/>
      <c r="C60" s="490"/>
      <c r="D60" s="487"/>
      <c r="E60" s="491"/>
      <c r="F60" s="418"/>
      <c r="G60" s="419"/>
      <c r="H60" s="436"/>
      <c r="I60" s="437"/>
      <c r="J60" s="492"/>
      <c r="K60" s="439"/>
      <c r="L60" s="492"/>
      <c r="M60" s="438"/>
      <c r="N60" s="436"/>
      <c r="O60" s="438"/>
      <c r="P60" s="420"/>
      <c r="Q60" s="421"/>
      <c r="R60" s="421"/>
      <c r="S60" s="422"/>
      <c r="T60" s="422"/>
      <c r="U60" s="423"/>
      <c r="V60" s="424"/>
      <c r="W60" s="424"/>
      <c r="X60" s="425"/>
      <c r="Y60" s="426"/>
      <c r="Z60" s="417"/>
      <c r="AA60" s="493"/>
      <c r="AB60" s="427"/>
      <c r="AC60" s="438"/>
      <c r="AD60" s="428"/>
      <c r="AE60" s="437"/>
      <c r="AF60" s="437"/>
      <c r="AG60" s="438"/>
      <c r="AH60" s="428"/>
      <c r="AI60" s="438"/>
      <c r="AJ60" s="429"/>
      <c r="AK60" s="424"/>
      <c r="AL60" s="424"/>
      <c r="AM60" s="430"/>
      <c r="AN60" s="431"/>
      <c r="AO60" s="432"/>
      <c r="AP60" s="425"/>
      <c r="AQ60" s="433"/>
      <c r="AR60" s="425"/>
      <c r="AS60" s="433"/>
      <c r="AT60" s="434"/>
      <c r="AU60" s="431"/>
      <c r="AV60" s="435"/>
      <c r="AW60" s="494"/>
      <c r="AX60" s="429"/>
      <c r="AY60" s="424"/>
      <c r="AZ60" s="424"/>
      <c r="BA60" s="430"/>
      <c r="BB60" s="431"/>
      <c r="BC60" s="432"/>
      <c r="BD60" s="425"/>
      <c r="BE60" s="433"/>
      <c r="BF60" s="425"/>
      <c r="BG60" s="433"/>
      <c r="BH60" s="434"/>
      <c r="BI60" s="431"/>
      <c r="BJ60" s="435"/>
      <c r="BK60" s="494"/>
    </row>
    <row r="61" spans="1:69">
      <c r="A61" s="488"/>
      <c r="B61" s="489"/>
      <c r="C61" s="490"/>
      <c r="D61" s="487"/>
      <c r="E61" s="491"/>
      <c r="F61" s="418"/>
      <c r="G61" s="419"/>
      <c r="H61" s="436"/>
      <c r="I61" s="437"/>
      <c r="J61" s="492"/>
      <c r="K61" s="439"/>
      <c r="L61" s="492"/>
      <c r="M61" s="438"/>
      <c r="N61" s="436"/>
      <c r="O61" s="438"/>
      <c r="P61" s="420"/>
      <c r="Q61" s="421"/>
      <c r="R61" s="421"/>
      <c r="S61" s="422"/>
      <c r="T61" s="422"/>
      <c r="U61" s="423"/>
      <c r="V61" s="424"/>
      <c r="W61" s="424"/>
      <c r="X61" s="425"/>
      <c r="Y61" s="426"/>
      <c r="Z61" s="417"/>
      <c r="AA61" s="493"/>
      <c r="AB61" s="427"/>
      <c r="AC61" s="438"/>
      <c r="AD61" s="428"/>
      <c r="AE61" s="437"/>
      <c r="AF61" s="437"/>
      <c r="AG61" s="438"/>
      <c r="AH61" s="428"/>
      <c r="AI61" s="438"/>
      <c r="AJ61" s="429"/>
      <c r="AK61" s="424"/>
      <c r="AL61" s="424"/>
      <c r="AM61" s="430"/>
      <c r="AN61" s="431"/>
      <c r="AO61" s="432"/>
      <c r="AP61" s="425"/>
      <c r="AQ61" s="433"/>
      <c r="AR61" s="425"/>
      <c r="AS61" s="433"/>
      <c r="AT61" s="434"/>
      <c r="AU61" s="431"/>
      <c r="AV61" s="435"/>
      <c r="AW61" s="494"/>
      <c r="AX61" s="429"/>
      <c r="AY61" s="424"/>
      <c r="AZ61" s="424"/>
      <c r="BA61" s="430"/>
      <c r="BB61" s="431"/>
      <c r="BC61" s="432"/>
      <c r="BD61" s="425"/>
      <c r="BE61" s="433"/>
      <c r="BF61" s="425"/>
      <c r="BG61" s="433"/>
      <c r="BH61" s="434"/>
      <c r="BI61" s="431"/>
      <c r="BJ61" s="435"/>
      <c r="BK61" s="494"/>
    </row>
    <row r="62" spans="1:69">
      <c r="A62" s="488"/>
      <c r="B62" s="489"/>
      <c r="C62" s="490"/>
      <c r="D62" s="487"/>
      <c r="E62" s="491"/>
      <c r="F62" s="418"/>
      <c r="G62" s="419"/>
      <c r="H62" s="436"/>
      <c r="I62" s="437"/>
      <c r="J62" s="492"/>
      <c r="K62" s="439"/>
      <c r="L62" s="492"/>
      <c r="M62" s="438"/>
      <c r="N62" s="436"/>
      <c r="O62" s="438"/>
      <c r="P62" s="420"/>
      <c r="Q62" s="421"/>
      <c r="R62" s="421"/>
      <c r="S62" s="422"/>
      <c r="T62" s="422"/>
      <c r="U62" s="423"/>
      <c r="V62" s="424"/>
      <c r="W62" s="424"/>
      <c r="X62" s="425"/>
      <c r="Y62" s="426"/>
      <c r="Z62" s="417"/>
      <c r="AA62" s="493"/>
      <c r="AB62" s="427"/>
      <c r="AC62" s="438"/>
      <c r="AD62" s="428"/>
      <c r="AE62" s="437"/>
      <c r="AF62" s="437"/>
      <c r="AG62" s="438"/>
      <c r="AH62" s="428"/>
      <c r="AI62" s="438"/>
      <c r="AJ62" s="429"/>
      <c r="AK62" s="424"/>
      <c r="AL62" s="424"/>
      <c r="AM62" s="430"/>
      <c r="AN62" s="431"/>
      <c r="AO62" s="432"/>
      <c r="AP62" s="425"/>
      <c r="AQ62" s="433"/>
      <c r="AR62" s="425"/>
      <c r="AS62" s="433"/>
      <c r="AT62" s="434"/>
      <c r="AU62" s="431"/>
      <c r="AV62" s="435"/>
      <c r="AW62" s="494"/>
      <c r="AX62" s="429"/>
      <c r="AY62" s="424"/>
      <c r="AZ62" s="424"/>
      <c r="BA62" s="430"/>
      <c r="BB62" s="431"/>
      <c r="BC62" s="432"/>
      <c r="BD62" s="425"/>
      <c r="BE62" s="433"/>
      <c r="BF62" s="425"/>
      <c r="BG62" s="433"/>
      <c r="BH62" s="434"/>
      <c r="BI62" s="431"/>
      <c r="BJ62" s="435"/>
      <c r="BK62" s="494"/>
    </row>
    <row r="63" spans="1:69">
      <c r="A63" s="488"/>
      <c r="B63" s="489"/>
      <c r="C63" s="490"/>
      <c r="D63" s="487"/>
      <c r="E63" s="491"/>
      <c r="F63" s="418"/>
      <c r="G63" s="419"/>
      <c r="H63" s="436"/>
      <c r="I63" s="437"/>
      <c r="J63" s="492"/>
      <c r="K63" s="439"/>
      <c r="L63" s="492"/>
      <c r="M63" s="438"/>
      <c r="N63" s="436"/>
      <c r="O63" s="438"/>
      <c r="P63" s="420"/>
      <c r="Q63" s="421"/>
      <c r="R63" s="421"/>
      <c r="S63" s="422"/>
      <c r="T63" s="422"/>
      <c r="U63" s="423"/>
      <c r="V63" s="424"/>
      <c r="W63" s="424"/>
      <c r="X63" s="425"/>
      <c r="Y63" s="426"/>
      <c r="Z63" s="417"/>
      <c r="AA63" s="493"/>
      <c r="AB63" s="427"/>
      <c r="AC63" s="438"/>
      <c r="AD63" s="428"/>
      <c r="AE63" s="437"/>
      <c r="AF63" s="437"/>
      <c r="AG63" s="438"/>
      <c r="AH63" s="428"/>
      <c r="AI63" s="438"/>
      <c r="AJ63" s="429"/>
      <c r="AK63" s="424"/>
      <c r="AL63" s="424"/>
      <c r="AM63" s="430"/>
      <c r="AN63" s="431"/>
      <c r="AO63" s="432"/>
      <c r="AP63" s="425"/>
      <c r="AQ63" s="433"/>
      <c r="AR63" s="425"/>
      <c r="AS63" s="433"/>
      <c r="AT63" s="434"/>
      <c r="AU63" s="431"/>
      <c r="AV63" s="435"/>
      <c r="AW63" s="494"/>
      <c r="AX63" s="429"/>
      <c r="AY63" s="424"/>
      <c r="AZ63" s="424"/>
      <c r="BA63" s="430"/>
      <c r="BB63" s="431"/>
      <c r="BC63" s="432"/>
      <c r="BD63" s="425"/>
      <c r="BE63" s="433"/>
      <c r="BF63" s="425"/>
      <c r="BG63" s="433"/>
      <c r="BH63" s="434"/>
      <c r="BI63" s="431"/>
      <c r="BJ63" s="435"/>
      <c r="BK63" s="494"/>
    </row>
    <row r="64" spans="1:69">
      <c r="A64" s="488"/>
      <c r="B64" s="489"/>
      <c r="C64" s="490"/>
      <c r="D64" s="487"/>
      <c r="E64" s="491"/>
      <c r="F64" s="418"/>
      <c r="G64" s="419"/>
      <c r="H64" s="436"/>
      <c r="I64" s="437"/>
      <c r="J64" s="492"/>
      <c r="K64" s="439"/>
      <c r="L64" s="492"/>
      <c r="M64" s="438"/>
      <c r="N64" s="436"/>
      <c r="O64" s="438"/>
      <c r="P64" s="420"/>
      <c r="Q64" s="421"/>
      <c r="R64" s="421"/>
      <c r="S64" s="422"/>
      <c r="T64" s="422"/>
      <c r="U64" s="423"/>
      <c r="V64" s="424"/>
      <c r="W64" s="424"/>
      <c r="X64" s="425"/>
      <c r="Y64" s="426"/>
      <c r="Z64" s="417"/>
      <c r="AA64" s="493"/>
      <c r="AB64" s="427"/>
      <c r="AC64" s="438"/>
      <c r="AD64" s="428"/>
      <c r="AE64" s="437"/>
      <c r="AF64" s="437"/>
      <c r="AG64" s="438"/>
      <c r="AH64" s="428"/>
      <c r="AI64" s="438"/>
      <c r="AJ64" s="429"/>
      <c r="AK64" s="424"/>
      <c r="AL64" s="424"/>
      <c r="AM64" s="430"/>
      <c r="AN64" s="431"/>
      <c r="AO64" s="432"/>
      <c r="AP64" s="425"/>
      <c r="AQ64" s="433"/>
      <c r="AR64" s="425"/>
      <c r="AS64" s="433"/>
      <c r="AT64" s="434"/>
      <c r="AU64" s="431"/>
      <c r="AV64" s="435"/>
      <c r="AW64" s="494"/>
      <c r="AX64" s="429"/>
      <c r="AY64" s="424"/>
      <c r="AZ64" s="424"/>
      <c r="BA64" s="430"/>
      <c r="BB64" s="431"/>
      <c r="BC64" s="432"/>
      <c r="BD64" s="425"/>
      <c r="BE64" s="433"/>
      <c r="BF64" s="425"/>
      <c r="BG64" s="433"/>
      <c r="BH64" s="434"/>
      <c r="BI64" s="431"/>
      <c r="BJ64" s="435"/>
      <c r="BK64" s="494"/>
    </row>
    <row r="65" spans="1:63">
      <c r="A65" s="488"/>
      <c r="B65" s="489"/>
      <c r="C65" s="490"/>
      <c r="D65" s="487"/>
      <c r="E65" s="491"/>
      <c r="F65" s="418"/>
      <c r="G65" s="419"/>
      <c r="H65" s="436"/>
      <c r="I65" s="437"/>
      <c r="J65" s="492"/>
      <c r="K65" s="439"/>
      <c r="L65" s="492"/>
      <c r="M65" s="438"/>
      <c r="N65" s="436"/>
      <c r="O65" s="438"/>
      <c r="P65" s="420"/>
      <c r="Q65" s="421"/>
      <c r="R65" s="421"/>
      <c r="S65" s="422"/>
      <c r="T65" s="422"/>
      <c r="U65" s="423"/>
      <c r="V65" s="424"/>
      <c r="W65" s="424"/>
      <c r="X65" s="425"/>
      <c r="Y65" s="426"/>
      <c r="Z65" s="417"/>
      <c r="AA65" s="493"/>
      <c r="AB65" s="427"/>
      <c r="AC65" s="438"/>
      <c r="AD65" s="428"/>
      <c r="AE65" s="437"/>
      <c r="AF65" s="437"/>
      <c r="AG65" s="438"/>
      <c r="AH65" s="428"/>
      <c r="AI65" s="438"/>
      <c r="AJ65" s="429"/>
      <c r="AK65" s="424"/>
      <c r="AL65" s="424"/>
      <c r="AM65" s="430"/>
      <c r="AN65" s="431"/>
      <c r="AO65" s="432"/>
      <c r="AP65" s="425"/>
      <c r="AQ65" s="433"/>
      <c r="AR65" s="425"/>
      <c r="AS65" s="433"/>
      <c r="AT65" s="434"/>
      <c r="AU65" s="431"/>
      <c r="AV65" s="435"/>
      <c r="AW65" s="494"/>
      <c r="AX65" s="429"/>
      <c r="AY65" s="424"/>
      <c r="AZ65" s="424"/>
      <c r="BA65" s="430"/>
      <c r="BB65" s="431"/>
      <c r="BC65" s="432"/>
      <c r="BD65" s="425"/>
      <c r="BE65" s="433"/>
      <c r="BF65" s="425"/>
      <c r="BG65" s="433"/>
      <c r="BH65" s="434"/>
      <c r="BI65" s="431"/>
      <c r="BJ65" s="435"/>
      <c r="BK65" s="494"/>
    </row>
    <row r="66" spans="1:63">
      <c r="A66" s="488"/>
      <c r="B66" s="489"/>
      <c r="C66" s="490"/>
      <c r="D66" s="487"/>
      <c r="E66" s="491"/>
      <c r="F66" s="418"/>
      <c r="G66" s="419"/>
      <c r="H66" s="436"/>
      <c r="I66" s="437"/>
      <c r="J66" s="492"/>
      <c r="K66" s="439"/>
      <c r="L66" s="492"/>
      <c r="M66" s="438"/>
      <c r="N66" s="436"/>
      <c r="O66" s="438"/>
      <c r="P66" s="420"/>
      <c r="Q66" s="421"/>
      <c r="R66" s="421"/>
      <c r="S66" s="422"/>
      <c r="T66" s="422"/>
      <c r="U66" s="423"/>
      <c r="V66" s="424"/>
      <c r="W66" s="424"/>
      <c r="X66" s="425"/>
      <c r="Y66" s="426"/>
      <c r="Z66" s="417"/>
      <c r="AA66" s="493"/>
      <c r="AB66" s="427"/>
      <c r="AC66" s="438"/>
      <c r="AD66" s="428"/>
      <c r="AE66" s="437"/>
      <c r="AF66" s="437"/>
      <c r="AG66" s="438"/>
      <c r="AH66" s="428"/>
      <c r="AI66" s="438"/>
      <c r="AJ66" s="429"/>
      <c r="AK66" s="424"/>
      <c r="AL66" s="424"/>
      <c r="AM66" s="430"/>
      <c r="AN66" s="431"/>
      <c r="AO66" s="432"/>
      <c r="AP66" s="425"/>
      <c r="AQ66" s="433"/>
      <c r="AR66" s="425"/>
      <c r="AS66" s="433"/>
      <c r="AT66" s="434"/>
      <c r="AU66" s="431"/>
      <c r="AV66" s="435"/>
      <c r="AW66" s="494"/>
      <c r="AX66" s="429"/>
      <c r="AY66" s="424"/>
      <c r="AZ66" s="424"/>
      <c r="BA66" s="430"/>
      <c r="BB66" s="431"/>
      <c r="BC66" s="432"/>
      <c r="BD66" s="425"/>
      <c r="BE66" s="433"/>
      <c r="BF66" s="425"/>
      <c r="BG66" s="433"/>
      <c r="BH66" s="434"/>
      <c r="BI66" s="431"/>
      <c r="BJ66" s="435"/>
      <c r="BK66" s="494"/>
    </row>
    <row r="67" spans="1:63">
      <c r="A67" s="488"/>
      <c r="B67" s="489"/>
      <c r="C67" s="490"/>
      <c r="D67" s="487"/>
      <c r="E67" s="491"/>
      <c r="F67" s="418"/>
      <c r="G67" s="419"/>
      <c r="H67" s="436"/>
      <c r="I67" s="437"/>
      <c r="J67" s="492"/>
      <c r="K67" s="439"/>
      <c r="L67" s="492"/>
      <c r="M67" s="438"/>
      <c r="N67" s="436"/>
      <c r="O67" s="438"/>
      <c r="P67" s="420"/>
      <c r="Q67" s="421"/>
      <c r="R67" s="421"/>
      <c r="S67" s="422"/>
      <c r="T67" s="422"/>
      <c r="U67" s="423"/>
      <c r="V67" s="424"/>
      <c r="W67" s="424"/>
      <c r="X67" s="425"/>
      <c r="Y67" s="426"/>
      <c r="Z67" s="417"/>
      <c r="AA67" s="493"/>
      <c r="AB67" s="427"/>
      <c r="AC67" s="438"/>
      <c r="AD67" s="428"/>
      <c r="AE67" s="437"/>
      <c r="AF67" s="437"/>
      <c r="AG67" s="438"/>
      <c r="AH67" s="428"/>
      <c r="AI67" s="438"/>
      <c r="AJ67" s="429"/>
      <c r="AK67" s="424"/>
      <c r="AL67" s="424"/>
      <c r="AM67" s="430"/>
      <c r="AN67" s="431"/>
      <c r="AO67" s="432"/>
      <c r="AP67" s="425"/>
      <c r="AQ67" s="433"/>
      <c r="AR67" s="425"/>
      <c r="AS67" s="433"/>
      <c r="AT67" s="434"/>
      <c r="AU67" s="431"/>
      <c r="AV67" s="435"/>
      <c r="AW67" s="494"/>
      <c r="AX67" s="429"/>
      <c r="AY67" s="424"/>
      <c r="AZ67" s="424"/>
      <c r="BA67" s="430"/>
      <c r="BB67" s="431"/>
      <c r="BC67" s="432"/>
      <c r="BD67" s="425"/>
      <c r="BE67" s="433"/>
      <c r="BF67" s="425"/>
      <c r="BG67" s="433"/>
      <c r="BH67" s="434"/>
      <c r="BI67" s="431"/>
      <c r="BJ67" s="435"/>
      <c r="BK67" s="494"/>
    </row>
    <row r="68" spans="1:63">
      <c r="A68" s="488"/>
      <c r="B68" s="489"/>
      <c r="C68" s="490"/>
      <c r="D68" s="487"/>
      <c r="E68" s="491"/>
      <c r="F68" s="418"/>
      <c r="G68" s="419"/>
      <c r="H68" s="436"/>
      <c r="I68" s="437"/>
      <c r="J68" s="492"/>
      <c r="K68" s="439"/>
      <c r="L68" s="492"/>
      <c r="M68" s="438"/>
      <c r="N68" s="436"/>
      <c r="O68" s="438"/>
      <c r="P68" s="420"/>
      <c r="Q68" s="421"/>
      <c r="R68" s="421"/>
      <c r="S68" s="422"/>
      <c r="T68" s="422"/>
      <c r="U68" s="423"/>
      <c r="V68" s="424"/>
      <c r="W68" s="424"/>
      <c r="X68" s="425"/>
      <c r="Y68" s="426"/>
      <c r="Z68" s="417"/>
      <c r="AA68" s="493"/>
      <c r="AB68" s="427"/>
      <c r="AC68" s="438"/>
      <c r="AD68" s="428"/>
      <c r="AE68" s="437"/>
      <c r="AF68" s="437"/>
      <c r="AG68" s="438"/>
      <c r="AH68" s="428"/>
      <c r="AI68" s="438"/>
      <c r="AJ68" s="429"/>
      <c r="AK68" s="424"/>
      <c r="AL68" s="424"/>
      <c r="AM68" s="430"/>
      <c r="AN68" s="431"/>
      <c r="AO68" s="432"/>
      <c r="AP68" s="425"/>
      <c r="AQ68" s="433"/>
      <c r="AR68" s="425"/>
      <c r="AS68" s="433"/>
      <c r="AT68" s="434"/>
      <c r="AU68" s="431"/>
      <c r="AV68" s="435"/>
      <c r="AW68" s="494"/>
      <c r="AX68" s="429"/>
      <c r="AY68" s="424"/>
      <c r="AZ68" s="424"/>
      <c r="BA68" s="430"/>
      <c r="BB68" s="431"/>
      <c r="BC68" s="432"/>
      <c r="BD68" s="425"/>
      <c r="BE68" s="433"/>
      <c r="BF68" s="425"/>
      <c r="BG68" s="433"/>
      <c r="BH68" s="434"/>
      <c r="BI68" s="431"/>
      <c r="BJ68" s="435"/>
      <c r="BK68" s="494"/>
    </row>
    <row r="69" spans="1:63">
      <c r="A69" s="488"/>
      <c r="B69" s="489"/>
      <c r="C69" s="490"/>
      <c r="D69" s="487"/>
      <c r="E69" s="491"/>
      <c r="F69" s="418"/>
      <c r="G69" s="419"/>
      <c r="H69" s="436"/>
      <c r="I69" s="437"/>
      <c r="J69" s="492"/>
      <c r="K69" s="439"/>
      <c r="L69" s="492"/>
      <c r="M69" s="438"/>
      <c r="N69" s="436"/>
      <c r="O69" s="438"/>
      <c r="P69" s="420"/>
      <c r="Q69" s="421"/>
      <c r="R69" s="421"/>
      <c r="S69" s="422"/>
      <c r="T69" s="422"/>
      <c r="U69" s="423"/>
      <c r="V69" s="424"/>
      <c r="W69" s="424"/>
      <c r="X69" s="425"/>
      <c r="Y69" s="426"/>
      <c r="Z69" s="417"/>
      <c r="AA69" s="493"/>
      <c r="AB69" s="427"/>
      <c r="AC69" s="438"/>
      <c r="AD69" s="428"/>
      <c r="AE69" s="437"/>
      <c r="AF69" s="437"/>
      <c r="AG69" s="438"/>
      <c r="AH69" s="428"/>
      <c r="AI69" s="438"/>
      <c r="AJ69" s="429"/>
      <c r="AK69" s="424"/>
      <c r="AL69" s="424"/>
      <c r="AM69" s="430"/>
      <c r="AN69" s="431"/>
      <c r="AO69" s="432"/>
      <c r="AP69" s="425"/>
      <c r="AQ69" s="433"/>
      <c r="AR69" s="425"/>
      <c r="AS69" s="433"/>
      <c r="AT69" s="434"/>
      <c r="AU69" s="431"/>
      <c r="AV69" s="435"/>
      <c r="AW69" s="494"/>
      <c r="AX69" s="429"/>
      <c r="AY69" s="424"/>
      <c r="AZ69" s="424"/>
      <c r="BA69" s="430"/>
      <c r="BB69" s="431"/>
      <c r="BC69" s="432"/>
      <c r="BD69" s="425"/>
      <c r="BE69" s="433"/>
      <c r="BF69" s="425"/>
      <c r="BG69" s="433"/>
      <c r="BH69" s="434"/>
      <c r="BI69" s="431"/>
      <c r="BJ69" s="435"/>
      <c r="BK69" s="494"/>
    </row>
    <row r="70" spans="1:63">
      <c r="A70" s="488"/>
      <c r="B70" s="489"/>
      <c r="C70" s="490"/>
      <c r="D70" s="487"/>
      <c r="E70" s="491"/>
      <c r="F70" s="418"/>
      <c r="G70" s="419"/>
      <c r="H70" s="436"/>
      <c r="I70" s="437"/>
      <c r="J70" s="492"/>
      <c r="K70" s="439"/>
      <c r="L70" s="492"/>
      <c r="M70" s="438"/>
      <c r="N70" s="436"/>
      <c r="O70" s="438"/>
      <c r="P70" s="420"/>
      <c r="Q70" s="421"/>
      <c r="R70" s="421"/>
      <c r="S70" s="422"/>
      <c r="T70" s="422"/>
      <c r="U70" s="423"/>
      <c r="V70" s="424"/>
      <c r="W70" s="424"/>
      <c r="X70" s="425"/>
      <c r="Y70" s="426"/>
      <c r="Z70" s="417"/>
      <c r="AA70" s="493"/>
      <c r="AB70" s="427"/>
      <c r="AC70" s="438"/>
      <c r="AD70" s="428"/>
      <c r="AE70" s="437"/>
      <c r="AF70" s="437"/>
      <c r="AG70" s="438"/>
      <c r="AH70" s="428"/>
      <c r="AI70" s="438"/>
      <c r="AJ70" s="429"/>
      <c r="AK70" s="424"/>
      <c r="AL70" s="424"/>
      <c r="AM70" s="430"/>
      <c r="AN70" s="431"/>
      <c r="AO70" s="432"/>
      <c r="AP70" s="425"/>
      <c r="AQ70" s="433"/>
      <c r="AR70" s="425"/>
      <c r="AS70" s="433"/>
      <c r="AT70" s="434"/>
      <c r="AU70" s="431"/>
      <c r="AV70" s="435"/>
      <c r="AW70" s="494"/>
      <c r="AX70" s="429"/>
      <c r="AY70" s="424"/>
      <c r="AZ70" s="424"/>
      <c r="BA70" s="430"/>
      <c r="BB70" s="431"/>
      <c r="BC70" s="432"/>
      <c r="BD70" s="425"/>
      <c r="BE70" s="433"/>
      <c r="BF70" s="425"/>
      <c r="BG70" s="433"/>
      <c r="BH70" s="434"/>
      <c r="BI70" s="431"/>
      <c r="BJ70" s="435"/>
      <c r="BK70" s="494"/>
    </row>
    <row r="71" spans="1:63">
      <c r="A71" s="488"/>
      <c r="B71" s="489"/>
      <c r="C71" s="490"/>
      <c r="D71" s="487"/>
      <c r="E71" s="491"/>
      <c r="F71" s="418"/>
      <c r="G71" s="419"/>
      <c r="H71" s="436"/>
      <c r="I71" s="437"/>
      <c r="J71" s="492"/>
      <c r="K71" s="439"/>
      <c r="L71" s="492"/>
      <c r="M71" s="438"/>
      <c r="N71" s="436"/>
      <c r="O71" s="438"/>
      <c r="P71" s="420"/>
      <c r="Q71" s="421"/>
      <c r="R71" s="421"/>
      <c r="S71" s="422"/>
      <c r="T71" s="422"/>
      <c r="U71" s="423"/>
      <c r="V71" s="424"/>
      <c r="W71" s="424"/>
      <c r="X71" s="425"/>
      <c r="Y71" s="426"/>
      <c r="Z71" s="417"/>
      <c r="AA71" s="493"/>
      <c r="AB71" s="427"/>
      <c r="AC71" s="438"/>
      <c r="AD71" s="428"/>
      <c r="AE71" s="437"/>
      <c r="AF71" s="437"/>
      <c r="AG71" s="438"/>
      <c r="AH71" s="428"/>
      <c r="AI71" s="438"/>
      <c r="AJ71" s="429"/>
      <c r="AK71" s="424"/>
      <c r="AL71" s="424"/>
      <c r="AM71" s="430"/>
      <c r="AN71" s="431"/>
      <c r="AO71" s="432"/>
      <c r="AP71" s="425"/>
      <c r="AQ71" s="433"/>
      <c r="AR71" s="425"/>
      <c r="AS71" s="433"/>
      <c r="AT71" s="434"/>
      <c r="AU71" s="431"/>
      <c r="AV71" s="435"/>
      <c r="AW71" s="494"/>
      <c r="AX71" s="429"/>
      <c r="AY71" s="424"/>
      <c r="AZ71" s="424"/>
      <c r="BA71" s="430"/>
      <c r="BB71" s="431"/>
      <c r="BC71" s="432"/>
      <c r="BD71" s="425"/>
      <c r="BE71" s="433"/>
      <c r="BF71" s="425"/>
      <c r="BG71" s="433"/>
      <c r="BH71" s="434"/>
      <c r="BI71" s="431"/>
      <c r="BJ71" s="435"/>
      <c r="BK71" s="494"/>
    </row>
    <row r="72" spans="1:63">
      <c r="A72" s="488"/>
      <c r="B72" s="489"/>
      <c r="C72" s="490"/>
      <c r="D72" s="487"/>
      <c r="E72" s="491"/>
      <c r="F72" s="418"/>
      <c r="G72" s="419"/>
      <c r="H72" s="436"/>
      <c r="I72" s="437"/>
      <c r="J72" s="492"/>
      <c r="K72" s="439"/>
      <c r="L72" s="492"/>
      <c r="M72" s="438"/>
      <c r="N72" s="436"/>
      <c r="O72" s="438"/>
      <c r="P72" s="420"/>
      <c r="Q72" s="421"/>
      <c r="R72" s="421"/>
      <c r="S72" s="422"/>
      <c r="T72" s="422"/>
      <c r="U72" s="423"/>
      <c r="V72" s="424"/>
      <c r="W72" s="424"/>
      <c r="X72" s="425"/>
      <c r="Y72" s="426"/>
      <c r="Z72" s="417"/>
      <c r="AA72" s="493"/>
      <c r="AB72" s="427"/>
      <c r="AC72" s="438"/>
      <c r="AD72" s="428"/>
      <c r="AE72" s="437"/>
      <c r="AF72" s="437"/>
      <c r="AG72" s="438"/>
      <c r="AH72" s="428"/>
      <c r="AI72" s="438"/>
      <c r="AJ72" s="429"/>
      <c r="AK72" s="424"/>
      <c r="AL72" s="424"/>
      <c r="AM72" s="430"/>
      <c r="AN72" s="431"/>
      <c r="AO72" s="432"/>
      <c r="AP72" s="425"/>
      <c r="AQ72" s="433"/>
      <c r="AR72" s="425"/>
      <c r="AS72" s="433"/>
      <c r="AT72" s="434"/>
      <c r="AU72" s="431"/>
      <c r="AV72" s="435"/>
      <c r="AW72" s="494"/>
      <c r="AX72" s="429"/>
      <c r="AY72" s="424"/>
      <c r="AZ72" s="424"/>
      <c r="BA72" s="430"/>
      <c r="BB72" s="431"/>
      <c r="BC72" s="432"/>
      <c r="BD72" s="425"/>
      <c r="BE72" s="433"/>
      <c r="BF72" s="425"/>
      <c r="BG72" s="433"/>
      <c r="BH72" s="434"/>
      <c r="BI72" s="431"/>
      <c r="BJ72" s="435"/>
      <c r="BK72" s="494"/>
    </row>
    <row r="73" spans="1:63">
      <c r="A73" s="488"/>
      <c r="B73" s="489"/>
      <c r="C73" s="490"/>
      <c r="D73" s="487"/>
      <c r="E73" s="491"/>
      <c r="F73" s="418"/>
      <c r="G73" s="419"/>
      <c r="H73" s="436"/>
      <c r="I73" s="437"/>
      <c r="J73" s="492"/>
      <c r="K73" s="439"/>
      <c r="L73" s="492"/>
      <c r="M73" s="438"/>
      <c r="N73" s="436"/>
      <c r="O73" s="438"/>
      <c r="P73" s="420"/>
      <c r="Q73" s="421"/>
      <c r="R73" s="421"/>
      <c r="S73" s="422"/>
      <c r="T73" s="422"/>
      <c r="U73" s="423"/>
      <c r="V73" s="424"/>
      <c r="W73" s="424"/>
      <c r="X73" s="425"/>
      <c r="Y73" s="426"/>
      <c r="Z73" s="417"/>
      <c r="AA73" s="493"/>
      <c r="AB73" s="427"/>
      <c r="AC73" s="438"/>
      <c r="AD73" s="428"/>
      <c r="AE73" s="437"/>
      <c r="AF73" s="437"/>
      <c r="AG73" s="438"/>
      <c r="AH73" s="428"/>
      <c r="AI73" s="438"/>
      <c r="AJ73" s="429"/>
      <c r="AK73" s="424"/>
      <c r="AL73" s="424"/>
      <c r="AM73" s="430"/>
      <c r="AN73" s="431"/>
      <c r="AO73" s="432"/>
      <c r="AP73" s="425"/>
      <c r="AQ73" s="433"/>
      <c r="AR73" s="425"/>
      <c r="AS73" s="433"/>
      <c r="AT73" s="434"/>
      <c r="AU73" s="431"/>
      <c r="AV73" s="435"/>
      <c r="AW73" s="494"/>
      <c r="AX73" s="429"/>
      <c r="AY73" s="424"/>
      <c r="AZ73" s="424"/>
      <c r="BA73" s="430"/>
      <c r="BB73" s="431"/>
      <c r="BC73" s="432"/>
      <c r="BD73" s="425"/>
      <c r="BE73" s="433"/>
      <c r="BF73" s="425"/>
      <c r="BG73" s="433"/>
      <c r="BH73" s="434"/>
      <c r="BI73" s="431"/>
      <c r="BJ73" s="435"/>
      <c r="BK73" s="494"/>
    </row>
    <row r="74" spans="1:63">
      <c r="A74" s="488"/>
      <c r="B74" s="489"/>
      <c r="C74" s="490"/>
      <c r="D74" s="487"/>
      <c r="E74" s="491"/>
      <c r="F74" s="418"/>
      <c r="G74" s="419"/>
      <c r="H74" s="436"/>
      <c r="I74" s="437"/>
      <c r="J74" s="492"/>
      <c r="K74" s="439"/>
      <c r="L74" s="492"/>
      <c r="M74" s="438"/>
      <c r="N74" s="436"/>
      <c r="O74" s="438"/>
      <c r="P74" s="420"/>
      <c r="Q74" s="421"/>
      <c r="R74" s="421"/>
      <c r="S74" s="422"/>
      <c r="T74" s="422"/>
      <c r="U74" s="423"/>
      <c r="V74" s="424"/>
      <c r="W74" s="424"/>
      <c r="X74" s="425"/>
      <c r="Y74" s="426"/>
      <c r="Z74" s="417"/>
      <c r="AA74" s="493"/>
      <c r="AB74" s="427"/>
      <c r="AC74" s="438"/>
      <c r="AD74" s="428"/>
      <c r="AE74" s="437"/>
      <c r="AF74" s="437"/>
      <c r="AG74" s="438"/>
      <c r="AH74" s="428"/>
      <c r="AI74" s="438"/>
      <c r="AJ74" s="429"/>
      <c r="AK74" s="424"/>
      <c r="AL74" s="424"/>
      <c r="AM74" s="430"/>
      <c r="AN74" s="431"/>
      <c r="AO74" s="432"/>
      <c r="AP74" s="425"/>
      <c r="AQ74" s="433"/>
      <c r="AR74" s="425"/>
      <c r="AS74" s="433"/>
      <c r="AT74" s="434"/>
      <c r="AU74" s="431"/>
      <c r="AV74" s="435"/>
      <c r="AW74" s="494"/>
      <c r="AX74" s="429"/>
      <c r="AY74" s="424"/>
      <c r="AZ74" s="424"/>
      <c r="BA74" s="430"/>
      <c r="BB74" s="431"/>
      <c r="BC74" s="432"/>
      <c r="BD74" s="425"/>
      <c r="BE74" s="433"/>
      <c r="BF74" s="425"/>
      <c r="BG74" s="433"/>
      <c r="BH74" s="434"/>
      <c r="BI74" s="431"/>
      <c r="BJ74" s="435"/>
      <c r="BK74" s="494"/>
    </row>
    <row r="75" spans="1:63">
      <c r="A75" s="488"/>
      <c r="B75" s="489"/>
      <c r="C75" s="490"/>
      <c r="D75" s="487"/>
      <c r="E75" s="491"/>
      <c r="F75" s="418"/>
      <c r="G75" s="419"/>
      <c r="H75" s="436"/>
      <c r="I75" s="437"/>
      <c r="J75" s="492"/>
      <c r="K75" s="439"/>
      <c r="L75" s="492"/>
      <c r="M75" s="438"/>
      <c r="N75" s="436"/>
      <c r="O75" s="438"/>
      <c r="P75" s="420"/>
      <c r="Q75" s="421"/>
      <c r="R75" s="421"/>
      <c r="S75" s="422"/>
      <c r="T75" s="422"/>
      <c r="U75" s="423"/>
      <c r="V75" s="424"/>
      <c r="W75" s="424"/>
      <c r="X75" s="425"/>
      <c r="Y75" s="426"/>
      <c r="Z75" s="417"/>
      <c r="AA75" s="493"/>
      <c r="AB75" s="427"/>
      <c r="AC75" s="438"/>
      <c r="AD75" s="428"/>
      <c r="AE75" s="437"/>
      <c r="AF75" s="437"/>
      <c r="AG75" s="438"/>
      <c r="AH75" s="428"/>
      <c r="AI75" s="438"/>
      <c r="AJ75" s="429"/>
      <c r="AK75" s="424"/>
      <c r="AL75" s="424"/>
      <c r="AM75" s="430"/>
      <c r="AN75" s="431"/>
      <c r="AO75" s="432"/>
      <c r="AP75" s="425"/>
      <c r="AQ75" s="433"/>
      <c r="AR75" s="425"/>
      <c r="AS75" s="433"/>
      <c r="AT75" s="434"/>
      <c r="AU75" s="431"/>
      <c r="AV75" s="435"/>
      <c r="AW75" s="494"/>
      <c r="AX75" s="429"/>
      <c r="AY75" s="424"/>
      <c r="AZ75" s="424"/>
      <c r="BA75" s="430"/>
      <c r="BB75" s="431"/>
      <c r="BC75" s="432"/>
      <c r="BD75" s="425"/>
      <c r="BE75" s="433"/>
      <c r="BF75" s="425"/>
      <c r="BG75" s="433"/>
      <c r="BH75" s="434"/>
      <c r="BI75" s="431"/>
      <c r="BJ75" s="435"/>
      <c r="BK75" s="494"/>
    </row>
    <row r="76" spans="1:63">
      <c r="A76" s="488"/>
      <c r="B76" s="489"/>
      <c r="C76" s="490"/>
      <c r="D76" s="487"/>
      <c r="E76" s="491"/>
      <c r="F76" s="418"/>
      <c r="G76" s="419"/>
      <c r="H76" s="436"/>
      <c r="I76" s="437"/>
      <c r="J76" s="492"/>
      <c r="K76" s="439"/>
      <c r="L76" s="492"/>
      <c r="M76" s="438"/>
      <c r="N76" s="436"/>
      <c r="O76" s="438"/>
      <c r="P76" s="420"/>
      <c r="Q76" s="421"/>
      <c r="R76" s="421"/>
      <c r="S76" s="422"/>
      <c r="T76" s="422"/>
      <c r="U76" s="423"/>
      <c r="V76" s="424"/>
      <c r="W76" s="424"/>
      <c r="X76" s="425"/>
      <c r="Y76" s="426"/>
      <c r="Z76" s="417"/>
      <c r="AA76" s="493"/>
      <c r="AB76" s="427"/>
      <c r="AC76" s="438"/>
      <c r="AD76" s="428"/>
      <c r="AE76" s="437"/>
      <c r="AF76" s="437"/>
      <c r="AG76" s="438"/>
      <c r="AH76" s="428"/>
      <c r="AI76" s="438"/>
      <c r="AJ76" s="429"/>
      <c r="AK76" s="424"/>
      <c r="AL76" s="424"/>
      <c r="AM76" s="430"/>
      <c r="AN76" s="431"/>
      <c r="AO76" s="432"/>
      <c r="AP76" s="425"/>
      <c r="AQ76" s="433"/>
      <c r="AR76" s="425"/>
      <c r="AS76" s="433"/>
      <c r="AT76" s="434"/>
      <c r="AU76" s="431"/>
      <c r="AV76" s="435"/>
      <c r="AW76" s="494"/>
      <c r="AX76" s="429"/>
      <c r="AY76" s="424"/>
      <c r="AZ76" s="424"/>
      <c r="BA76" s="430"/>
      <c r="BB76" s="431"/>
      <c r="BC76" s="432"/>
      <c r="BD76" s="425"/>
      <c r="BE76" s="433"/>
      <c r="BF76" s="425"/>
      <c r="BG76" s="433"/>
      <c r="BH76" s="434"/>
      <c r="BI76" s="431"/>
      <c r="BJ76" s="435"/>
      <c r="BK76" s="494"/>
    </row>
    <row r="77" spans="1:63">
      <c r="A77" s="488"/>
      <c r="B77" s="489"/>
      <c r="C77" s="490"/>
      <c r="D77" s="487"/>
      <c r="E77" s="491"/>
      <c r="F77" s="418"/>
      <c r="G77" s="419"/>
      <c r="H77" s="436"/>
      <c r="I77" s="437"/>
      <c r="J77" s="492"/>
      <c r="K77" s="439"/>
      <c r="L77" s="492"/>
      <c r="M77" s="438"/>
      <c r="N77" s="436"/>
      <c r="O77" s="438"/>
      <c r="P77" s="420"/>
      <c r="Q77" s="421"/>
      <c r="R77" s="421"/>
      <c r="S77" s="422"/>
      <c r="T77" s="422"/>
      <c r="U77" s="423"/>
      <c r="V77" s="424"/>
      <c r="W77" s="424"/>
      <c r="X77" s="425"/>
      <c r="Y77" s="426"/>
      <c r="Z77" s="417"/>
      <c r="AA77" s="493"/>
      <c r="AB77" s="427"/>
      <c r="AC77" s="438"/>
      <c r="AD77" s="428"/>
      <c r="AE77" s="437"/>
      <c r="AF77" s="437"/>
      <c r="AG77" s="438"/>
      <c r="AH77" s="428"/>
      <c r="AI77" s="438"/>
      <c r="AJ77" s="429"/>
      <c r="AK77" s="424"/>
      <c r="AL77" s="424"/>
      <c r="AM77" s="430"/>
      <c r="AN77" s="431"/>
      <c r="AO77" s="432"/>
      <c r="AP77" s="425"/>
      <c r="AQ77" s="433"/>
      <c r="AR77" s="425"/>
      <c r="AS77" s="433"/>
      <c r="AT77" s="434"/>
      <c r="AU77" s="431"/>
      <c r="AV77" s="435"/>
      <c r="AW77" s="494"/>
      <c r="AX77" s="429"/>
      <c r="AY77" s="424"/>
      <c r="AZ77" s="424"/>
      <c r="BA77" s="430"/>
      <c r="BB77" s="431"/>
      <c r="BC77" s="432"/>
      <c r="BD77" s="425"/>
      <c r="BE77" s="433"/>
      <c r="BF77" s="425"/>
      <c r="BG77" s="433"/>
      <c r="BH77" s="434"/>
      <c r="BI77" s="431"/>
      <c r="BJ77" s="435"/>
      <c r="BK77" s="494"/>
    </row>
    <row r="78" spans="1:63">
      <c r="A78" s="488"/>
      <c r="B78" s="489"/>
      <c r="C78" s="490"/>
      <c r="D78" s="487"/>
      <c r="E78" s="491"/>
      <c r="F78" s="418"/>
      <c r="G78" s="419"/>
      <c r="H78" s="436"/>
      <c r="I78" s="437"/>
      <c r="J78" s="492"/>
      <c r="K78" s="439"/>
      <c r="L78" s="492"/>
      <c r="M78" s="438"/>
      <c r="N78" s="436"/>
      <c r="O78" s="438"/>
      <c r="P78" s="420"/>
      <c r="Q78" s="421"/>
      <c r="R78" s="421"/>
      <c r="S78" s="422"/>
      <c r="T78" s="422"/>
      <c r="U78" s="423"/>
      <c r="V78" s="424"/>
      <c r="W78" s="424"/>
      <c r="X78" s="425"/>
      <c r="Y78" s="426"/>
      <c r="Z78" s="417"/>
      <c r="AA78" s="493"/>
      <c r="AB78" s="427"/>
      <c r="AC78" s="438"/>
      <c r="AD78" s="428"/>
      <c r="AE78" s="437"/>
      <c r="AF78" s="437"/>
      <c r="AG78" s="438"/>
      <c r="AH78" s="428"/>
      <c r="AI78" s="438"/>
      <c r="AJ78" s="429"/>
      <c r="AK78" s="424"/>
      <c r="AL78" s="424"/>
      <c r="AM78" s="430"/>
      <c r="AN78" s="431"/>
      <c r="AO78" s="432"/>
      <c r="AP78" s="425"/>
      <c r="AQ78" s="433"/>
      <c r="AR78" s="425"/>
      <c r="AS78" s="433"/>
      <c r="AT78" s="434"/>
      <c r="AU78" s="431"/>
      <c r="AV78" s="435"/>
      <c r="AW78" s="494"/>
      <c r="AX78" s="429"/>
      <c r="AY78" s="424"/>
      <c r="AZ78" s="424"/>
      <c r="BA78" s="430"/>
      <c r="BB78" s="431"/>
      <c r="BC78" s="432"/>
      <c r="BD78" s="425"/>
      <c r="BE78" s="433"/>
      <c r="BF78" s="425"/>
      <c r="BG78" s="433"/>
      <c r="BH78" s="434"/>
      <c r="BI78" s="431"/>
      <c r="BJ78" s="435"/>
      <c r="BK78" s="494"/>
    </row>
    <row r="79" spans="1:63">
      <c r="A79" s="488"/>
      <c r="B79" s="489"/>
      <c r="C79" s="490"/>
      <c r="D79" s="487"/>
      <c r="E79" s="491"/>
      <c r="F79" s="418"/>
      <c r="G79" s="419"/>
      <c r="H79" s="436"/>
      <c r="I79" s="437"/>
      <c r="J79" s="492"/>
      <c r="K79" s="439"/>
      <c r="L79" s="492"/>
      <c r="M79" s="438"/>
      <c r="N79" s="436"/>
      <c r="O79" s="438"/>
      <c r="P79" s="420"/>
      <c r="Q79" s="421"/>
      <c r="R79" s="421"/>
      <c r="S79" s="422"/>
      <c r="T79" s="422"/>
      <c r="U79" s="423"/>
      <c r="V79" s="424"/>
      <c r="W79" s="424"/>
      <c r="X79" s="425"/>
      <c r="Y79" s="426"/>
      <c r="Z79" s="417"/>
      <c r="AA79" s="493"/>
      <c r="AB79" s="427"/>
      <c r="AC79" s="438"/>
      <c r="AD79" s="428"/>
      <c r="AE79" s="437"/>
      <c r="AF79" s="437"/>
      <c r="AG79" s="438"/>
      <c r="AH79" s="428"/>
      <c r="AI79" s="438"/>
      <c r="AJ79" s="429"/>
      <c r="AK79" s="424"/>
      <c r="AL79" s="424"/>
      <c r="AM79" s="430"/>
      <c r="AN79" s="431"/>
      <c r="AO79" s="432"/>
      <c r="AP79" s="425"/>
      <c r="AQ79" s="433"/>
      <c r="AR79" s="425"/>
      <c r="AS79" s="433"/>
      <c r="AT79" s="434"/>
      <c r="AU79" s="431"/>
      <c r="AV79" s="435"/>
      <c r="AW79" s="494"/>
      <c r="AX79" s="429"/>
      <c r="AY79" s="424"/>
      <c r="AZ79" s="424"/>
      <c r="BA79" s="430"/>
      <c r="BB79" s="431"/>
      <c r="BC79" s="432"/>
      <c r="BD79" s="425"/>
      <c r="BE79" s="433"/>
      <c r="BF79" s="425"/>
      <c r="BG79" s="433"/>
      <c r="BH79" s="434"/>
      <c r="BI79" s="431"/>
      <c r="BJ79" s="435"/>
      <c r="BK79" s="494"/>
    </row>
    <row r="80" spans="1:63">
      <c r="A80" s="488"/>
      <c r="B80" s="489"/>
      <c r="C80" s="490"/>
      <c r="D80" s="487"/>
      <c r="E80" s="491"/>
      <c r="F80" s="418"/>
      <c r="G80" s="419"/>
      <c r="H80" s="436"/>
      <c r="I80" s="437"/>
      <c r="J80" s="492"/>
      <c r="K80" s="439"/>
      <c r="L80" s="492"/>
      <c r="M80" s="438"/>
      <c r="N80" s="436"/>
      <c r="O80" s="438"/>
      <c r="P80" s="420"/>
      <c r="Q80" s="421"/>
      <c r="R80" s="421"/>
      <c r="S80" s="422"/>
      <c r="T80" s="422"/>
      <c r="U80" s="423"/>
      <c r="V80" s="424"/>
      <c r="W80" s="424"/>
      <c r="X80" s="425"/>
      <c r="Y80" s="426"/>
      <c r="Z80" s="417"/>
      <c r="AA80" s="493"/>
      <c r="AB80" s="427"/>
      <c r="AC80" s="438"/>
      <c r="AD80" s="428"/>
      <c r="AE80" s="437"/>
      <c r="AF80" s="437"/>
      <c r="AG80" s="438"/>
      <c r="AH80" s="428"/>
      <c r="AI80" s="438"/>
      <c r="AJ80" s="429"/>
      <c r="AK80" s="424"/>
      <c r="AL80" s="424"/>
      <c r="AM80" s="430"/>
      <c r="AN80" s="431"/>
      <c r="AO80" s="432"/>
      <c r="AP80" s="425"/>
      <c r="AQ80" s="433"/>
      <c r="AR80" s="425"/>
      <c r="AS80" s="433"/>
      <c r="AT80" s="434"/>
      <c r="AU80" s="431"/>
      <c r="AV80" s="435"/>
      <c r="AW80" s="494"/>
      <c r="AX80" s="429"/>
      <c r="AY80" s="424"/>
      <c r="AZ80" s="424"/>
      <c r="BA80" s="430"/>
      <c r="BB80" s="431"/>
      <c r="BC80" s="432"/>
      <c r="BD80" s="425"/>
      <c r="BE80" s="433"/>
      <c r="BF80" s="425"/>
      <c r="BG80" s="433"/>
      <c r="BH80" s="434"/>
      <c r="BI80" s="431"/>
      <c r="BJ80" s="435"/>
      <c r="BK80" s="494"/>
    </row>
    <row r="81" spans="1:63">
      <c r="A81" s="488"/>
      <c r="B81" s="489"/>
      <c r="C81" s="490"/>
      <c r="D81" s="487"/>
      <c r="E81" s="491"/>
      <c r="F81" s="418"/>
      <c r="G81" s="419"/>
      <c r="H81" s="436"/>
      <c r="I81" s="437"/>
      <c r="J81" s="492"/>
      <c r="K81" s="439"/>
      <c r="L81" s="492"/>
      <c r="M81" s="438"/>
      <c r="N81" s="436"/>
      <c r="O81" s="438"/>
      <c r="P81" s="420"/>
      <c r="Q81" s="421"/>
      <c r="R81" s="421"/>
      <c r="S81" s="422"/>
      <c r="T81" s="422"/>
      <c r="U81" s="423"/>
      <c r="V81" s="424"/>
      <c r="W81" s="424"/>
      <c r="X81" s="425"/>
      <c r="Y81" s="426"/>
      <c r="Z81" s="417"/>
      <c r="AA81" s="493"/>
      <c r="AB81" s="427"/>
      <c r="AC81" s="438"/>
      <c r="AD81" s="428"/>
      <c r="AE81" s="437"/>
      <c r="AF81" s="437"/>
      <c r="AG81" s="438"/>
      <c r="AH81" s="428"/>
      <c r="AI81" s="438"/>
      <c r="AJ81" s="429"/>
      <c r="AK81" s="424"/>
      <c r="AL81" s="424"/>
      <c r="AM81" s="430"/>
      <c r="AN81" s="431"/>
      <c r="AO81" s="432"/>
      <c r="AP81" s="425"/>
      <c r="AQ81" s="433"/>
      <c r="AR81" s="425"/>
      <c r="AS81" s="433"/>
      <c r="AT81" s="434"/>
      <c r="AU81" s="431"/>
      <c r="AV81" s="435"/>
      <c r="AW81" s="494"/>
      <c r="AX81" s="429"/>
      <c r="AY81" s="424"/>
      <c r="AZ81" s="424"/>
      <c r="BA81" s="430"/>
      <c r="BB81" s="431"/>
      <c r="BC81" s="432"/>
      <c r="BD81" s="425"/>
      <c r="BE81" s="433"/>
      <c r="BF81" s="425"/>
      <c r="BG81" s="433"/>
      <c r="BH81" s="434"/>
      <c r="BI81" s="431"/>
      <c r="BJ81" s="435"/>
      <c r="BK81" s="494"/>
    </row>
    <row r="82" spans="1:63">
      <c r="A82" s="488"/>
      <c r="B82" s="489"/>
      <c r="C82" s="490"/>
      <c r="D82" s="487"/>
      <c r="E82" s="491"/>
      <c r="F82" s="418"/>
      <c r="G82" s="419"/>
      <c r="H82" s="436"/>
      <c r="I82" s="437"/>
      <c r="J82" s="492"/>
      <c r="K82" s="439"/>
      <c r="L82" s="492"/>
      <c r="M82" s="438"/>
      <c r="N82" s="436"/>
      <c r="O82" s="438"/>
      <c r="P82" s="420"/>
      <c r="Q82" s="421"/>
      <c r="R82" s="421"/>
      <c r="S82" s="422"/>
      <c r="T82" s="422"/>
      <c r="U82" s="423"/>
      <c r="V82" s="424"/>
      <c r="W82" s="424"/>
      <c r="X82" s="425"/>
      <c r="Y82" s="426"/>
      <c r="Z82" s="417"/>
      <c r="AA82" s="493"/>
      <c r="AB82" s="427"/>
      <c r="AC82" s="438"/>
      <c r="AD82" s="428"/>
      <c r="AE82" s="437"/>
      <c r="AF82" s="437"/>
      <c r="AG82" s="438"/>
      <c r="AH82" s="428"/>
      <c r="AI82" s="438"/>
      <c r="AJ82" s="429"/>
      <c r="AK82" s="424"/>
      <c r="AL82" s="424"/>
      <c r="AM82" s="430"/>
      <c r="AN82" s="431"/>
      <c r="AO82" s="432"/>
      <c r="AP82" s="425"/>
      <c r="AQ82" s="433"/>
      <c r="AR82" s="425"/>
      <c r="AS82" s="433"/>
      <c r="AT82" s="434"/>
      <c r="AU82" s="431"/>
      <c r="AV82" s="435"/>
      <c r="AW82" s="494"/>
      <c r="AX82" s="429"/>
      <c r="AY82" s="424"/>
      <c r="AZ82" s="424"/>
      <c r="BA82" s="430"/>
      <c r="BB82" s="431"/>
      <c r="BC82" s="432"/>
      <c r="BD82" s="425"/>
      <c r="BE82" s="433"/>
      <c r="BF82" s="425"/>
      <c r="BG82" s="433"/>
      <c r="BH82" s="434"/>
      <c r="BI82" s="431"/>
      <c r="BJ82" s="435"/>
      <c r="BK82" s="494"/>
    </row>
    <row r="83" spans="1:63">
      <c r="A83" s="488"/>
      <c r="B83" s="489"/>
      <c r="C83" s="490"/>
      <c r="D83" s="487"/>
      <c r="E83" s="491"/>
      <c r="F83" s="418"/>
      <c r="G83" s="419"/>
      <c r="H83" s="436"/>
      <c r="I83" s="437"/>
      <c r="J83" s="492"/>
      <c r="K83" s="439"/>
      <c r="L83" s="492"/>
      <c r="M83" s="438"/>
      <c r="N83" s="436"/>
      <c r="O83" s="438"/>
      <c r="P83" s="420"/>
      <c r="Q83" s="421"/>
      <c r="R83" s="421"/>
      <c r="S83" s="422"/>
      <c r="T83" s="422"/>
      <c r="U83" s="423"/>
      <c r="V83" s="424"/>
      <c r="W83" s="424"/>
      <c r="X83" s="425"/>
      <c r="Y83" s="426"/>
      <c r="Z83" s="417"/>
      <c r="AA83" s="493"/>
      <c r="AB83" s="427"/>
      <c r="AC83" s="438"/>
      <c r="AD83" s="428"/>
      <c r="AE83" s="437"/>
      <c r="AF83" s="437"/>
      <c r="AG83" s="438"/>
      <c r="AH83" s="428"/>
      <c r="AI83" s="438"/>
      <c r="AJ83" s="429"/>
      <c r="AK83" s="424"/>
      <c r="AL83" s="424"/>
      <c r="AM83" s="430"/>
      <c r="AN83" s="431"/>
      <c r="AO83" s="432"/>
      <c r="AP83" s="425"/>
      <c r="AQ83" s="433"/>
      <c r="AR83" s="425"/>
      <c r="AS83" s="433"/>
      <c r="AT83" s="434"/>
      <c r="AU83" s="431"/>
      <c r="AV83" s="435"/>
      <c r="AW83" s="494"/>
      <c r="AX83" s="429"/>
      <c r="AY83" s="424"/>
      <c r="AZ83" s="424"/>
      <c r="BA83" s="430"/>
      <c r="BB83" s="431"/>
      <c r="BC83" s="432"/>
      <c r="BD83" s="425"/>
      <c r="BE83" s="433"/>
      <c r="BF83" s="425"/>
      <c r="BG83" s="433"/>
      <c r="BH83" s="434"/>
      <c r="BI83" s="431"/>
      <c r="BJ83" s="435"/>
      <c r="BK83" s="494"/>
    </row>
    <row r="84" spans="1:63">
      <c r="A84" s="488"/>
      <c r="B84" s="489"/>
      <c r="C84" s="490"/>
      <c r="D84" s="487"/>
      <c r="E84" s="491"/>
      <c r="F84" s="418"/>
      <c r="G84" s="419"/>
      <c r="H84" s="436"/>
      <c r="I84" s="437"/>
      <c r="J84" s="492"/>
      <c r="K84" s="439"/>
      <c r="L84" s="492"/>
      <c r="M84" s="438"/>
      <c r="N84" s="436"/>
      <c r="O84" s="438"/>
      <c r="P84" s="420"/>
      <c r="Q84" s="421"/>
      <c r="R84" s="421"/>
      <c r="S84" s="422"/>
      <c r="T84" s="422"/>
      <c r="U84" s="423"/>
      <c r="V84" s="424"/>
      <c r="W84" s="424"/>
      <c r="X84" s="425"/>
      <c r="Y84" s="426"/>
      <c r="Z84" s="417"/>
      <c r="AA84" s="493"/>
      <c r="AB84" s="427"/>
      <c r="AC84" s="438"/>
      <c r="AD84" s="428"/>
      <c r="AE84" s="437"/>
      <c r="AF84" s="437"/>
      <c r="AG84" s="438"/>
      <c r="AH84" s="428"/>
      <c r="AI84" s="438"/>
      <c r="AJ84" s="429"/>
      <c r="AK84" s="424"/>
      <c r="AL84" s="424"/>
      <c r="AM84" s="430"/>
      <c r="AN84" s="431"/>
      <c r="AO84" s="432"/>
      <c r="AP84" s="425"/>
      <c r="AQ84" s="433"/>
      <c r="AR84" s="425"/>
      <c r="AS84" s="433"/>
      <c r="AT84" s="434"/>
      <c r="AU84" s="431"/>
      <c r="AV84" s="435"/>
      <c r="AW84" s="494"/>
      <c r="AX84" s="429"/>
      <c r="AY84" s="424"/>
      <c r="AZ84" s="424"/>
      <c r="BA84" s="430"/>
      <c r="BB84" s="431"/>
      <c r="BC84" s="432"/>
      <c r="BD84" s="425"/>
      <c r="BE84" s="433"/>
      <c r="BF84" s="425"/>
      <c r="BG84" s="433"/>
      <c r="BH84" s="434"/>
      <c r="BI84" s="431"/>
      <c r="BJ84" s="435"/>
      <c r="BK84" s="494"/>
    </row>
    <row r="85" spans="1:63">
      <c r="A85" s="488"/>
      <c r="B85" s="489"/>
      <c r="C85" s="490"/>
      <c r="D85" s="487"/>
      <c r="E85" s="491"/>
      <c r="F85" s="418"/>
      <c r="G85" s="419"/>
      <c r="H85" s="436"/>
      <c r="I85" s="437"/>
      <c r="J85" s="492"/>
      <c r="K85" s="439"/>
      <c r="L85" s="492"/>
      <c r="M85" s="438"/>
      <c r="N85" s="436"/>
      <c r="O85" s="438"/>
      <c r="P85" s="420"/>
      <c r="Q85" s="421"/>
      <c r="R85" s="421"/>
      <c r="S85" s="422"/>
      <c r="T85" s="422"/>
      <c r="U85" s="423"/>
      <c r="V85" s="424"/>
      <c r="W85" s="424"/>
      <c r="X85" s="425"/>
      <c r="Y85" s="426"/>
      <c r="Z85" s="417"/>
      <c r="AA85" s="493"/>
      <c r="AB85" s="427"/>
      <c r="AC85" s="438"/>
      <c r="AD85" s="428"/>
      <c r="AE85" s="437"/>
      <c r="AF85" s="437"/>
      <c r="AG85" s="438"/>
      <c r="AH85" s="428"/>
      <c r="AI85" s="438"/>
      <c r="AJ85" s="429"/>
      <c r="AK85" s="424"/>
      <c r="AL85" s="424"/>
      <c r="AM85" s="430"/>
      <c r="AN85" s="431"/>
      <c r="AO85" s="432"/>
      <c r="AP85" s="425"/>
      <c r="AQ85" s="433"/>
      <c r="AR85" s="425"/>
      <c r="AS85" s="433"/>
      <c r="AT85" s="434"/>
      <c r="AU85" s="431"/>
      <c r="AV85" s="435"/>
      <c r="AW85" s="494"/>
      <c r="AX85" s="429"/>
      <c r="AY85" s="424"/>
      <c r="AZ85" s="424"/>
      <c r="BA85" s="430"/>
      <c r="BB85" s="431"/>
      <c r="BC85" s="432"/>
      <c r="BD85" s="425"/>
      <c r="BE85" s="433"/>
      <c r="BF85" s="425"/>
      <c r="BG85" s="433"/>
      <c r="BH85" s="434"/>
      <c r="BI85" s="431"/>
      <c r="BJ85" s="435"/>
      <c r="BK85" s="494"/>
    </row>
    <row r="86" spans="1:63">
      <c r="A86" s="488"/>
      <c r="B86" s="489"/>
      <c r="C86" s="490"/>
      <c r="D86" s="487"/>
      <c r="E86" s="491"/>
      <c r="F86" s="418"/>
      <c r="G86" s="419"/>
      <c r="H86" s="436"/>
      <c r="I86" s="437"/>
      <c r="J86" s="492"/>
      <c r="K86" s="439"/>
      <c r="L86" s="492"/>
      <c r="M86" s="438"/>
      <c r="N86" s="436"/>
      <c r="O86" s="438"/>
      <c r="P86" s="420"/>
      <c r="Q86" s="421"/>
      <c r="R86" s="421"/>
      <c r="S86" s="422"/>
      <c r="T86" s="422"/>
      <c r="U86" s="423"/>
      <c r="V86" s="424"/>
      <c r="W86" s="424"/>
      <c r="X86" s="425"/>
      <c r="Y86" s="426"/>
      <c r="Z86" s="417"/>
      <c r="AA86" s="493"/>
      <c r="AB86" s="427"/>
      <c r="AC86" s="438"/>
      <c r="AD86" s="428"/>
      <c r="AE86" s="437"/>
      <c r="AF86" s="437"/>
      <c r="AG86" s="438"/>
      <c r="AH86" s="428"/>
      <c r="AI86" s="438"/>
      <c r="AJ86" s="429"/>
      <c r="AK86" s="424"/>
      <c r="AL86" s="424"/>
      <c r="AM86" s="430"/>
      <c r="AN86" s="431"/>
      <c r="AO86" s="432"/>
      <c r="AP86" s="425"/>
      <c r="AQ86" s="433"/>
      <c r="AR86" s="425"/>
      <c r="AS86" s="433"/>
      <c r="AT86" s="434"/>
      <c r="AU86" s="431"/>
      <c r="AV86" s="435"/>
      <c r="AW86" s="494"/>
      <c r="AX86" s="429"/>
      <c r="AY86" s="424"/>
      <c r="AZ86" s="424"/>
      <c r="BA86" s="430"/>
      <c r="BB86" s="431"/>
      <c r="BC86" s="432"/>
      <c r="BD86" s="425"/>
      <c r="BE86" s="433"/>
      <c r="BF86" s="425"/>
      <c r="BG86" s="433"/>
      <c r="BH86" s="434"/>
      <c r="BI86" s="431"/>
      <c r="BJ86" s="435"/>
      <c r="BK86" s="494"/>
    </row>
    <row r="87" spans="1:63">
      <c r="A87" s="488"/>
      <c r="B87" s="489"/>
      <c r="C87" s="490"/>
      <c r="D87" s="487"/>
      <c r="E87" s="491"/>
      <c r="F87" s="418"/>
      <c r="G87" s="419"/>
      <c r="H87" s="436"/>
      <c r="I87" s="437"/>
      <c r="J87" s="492"/>
      <c r="K87" s="439"/>
      <c r="L87" s="492"/>
      <c r="M87" s="438"/>
      <c r="N87" s="436"/>
      <c r="O87" s="438"/>
      <c r="P87" s="420"/>
      <c r="Q87" s="421"/>
      <c r="R87" s="421"/>
      <c r="S87" s="422"/>
      <c r="T87" s="422"/>
      <c r="U87" s="423"/>
      <c r="V87" s="424"/>
      <c r="W87" s="424"/>
      <c r="X87" s="425"/>
      <c r="Y87" s="426"/>
      <c r="Z87" s="417"/>
      <c r="AA87" s="493"/>
      <c r="AB87" s="427"/>
      <c r="AC87" s="438"/>
      <c r="AD87" s="428"/>
      <c r="AE87" s="437"/>
      <c r="AF87" s="437"/>
      <c r="AG87" s="438"/>
      <c r="AH87" s="428"/>
      <c r="AI87" s="438"/>
      <c r="AJ87" s="429"/>
      <c r="AK87" s="424"/>
      <c r="AL87" s="424"/>
      <c r="AM87" s="430"/>
      <c r="AN87" s="431"/>
      <c r="AO87" s="432"/>
      <c r="AP87" s="425"/>
      <c r="AQ87" s="433"/>
      <c r="AR87" s="425"/>
      <c r="AS87" s="433"/>
      <c r="AT87" s="434"/>
      <c r="AU87" s="431"/>
      <c r="AV87" s="435"/>
      <c r="AW87" s="494"/>
      <c r="AX87" s="429"/>
      <c r="AY87" s="424"/>
      <c r="AZ87" s="424"/>
      <c r="BA87" s="430"/>
      <c r="BB87" s="431"/>
      <c r="BC87" s="432"/>
      <c r="BD87" s="425"/>
      <c r="BE87" s="433"/>
      <c r="BF87" s="425"/>
      <c r="BG87" s="433"/>
      <c r="BH87" s="434"/>
      <c r="BI87" s="431"/>
      <c r="BJ87" s="435"/>
      <c r="BK87" s="494"/>
    </row>
    <row r="88" spans="1:63">
      <c r="A88" s="488"/>
      <c r="B88" s="489"/>
      <c r="C88" s="490"/>
      <c r="D88" s="487"/>
      <c r="E88" s="491"/>
      <c r="F88" s="418"/>
      <c r="G88" s="419"/>
      <c r="H88" s="436"/>
      <c r="I88" s="437"/>
      <c r="J88" s="492"/>
      <c r="K88" s="439"/>
      <c r="L88" s="492"/>
      <c r="M88" s="438"/>
      <c r="N88" s="436"/>
      <c r="O88" s="438"/>
      <c r="P88" s="420"/>
      <c r="Q88" s="421"/>
      <c r="R88" s="421"/>
      <c r="S88" s="422"/>
      <c r="T88" s="422"/>
      <c r="U88" s="423"/>
      <c r="V88" s="424"/>
      <c r="W88" s="424"/>
      <c r="X88" s="425"/>
      <c r="Y88" s="426"/>
      <c r="Z88" s="417"/>
      <c r="AA88" s="493"/>
      <c r="AB88" s="427"/>
      <c r="AC88" s="438"/>
      <c r="AD88" s="428"/>
      <c r="AE88" s="437"/>
      <c r="AF88" s="437"/>
      <c r="AG88" s="438"/>
      <c r="AH88" s="428"/>
      <c r="AI88" s="438"/>
      <c r="AJ88" s="429"/>
      <c r="AK88" s="424"/>
      <c r="AL88" s="424"/>
      <c r="AM88" s="430"/>
      <c r="AN88" s="431"/>
      <c r="AO88" s="432"/>
      <c r="AP88" s="425"/>
      <c r="AQ88" s="433"/>
      <c r="AR88" s="425"/>
      <c r="AS88" s="433"/>
      <c r="AT88" s="434"/>
      <c r="AU88" s="431"/>
      <c r="AV88" s="435"/>
      <c r="AW88" s="494"/>
      <c r="AX88" s="429"/>
      <c r="AY88" s="424"/>
      <c r="AZ88" s="424"/>
      <c r="BA88" s="430"/>
      <c r="BB88" s="431"/>
      <c r="BC88" s="432"/>
      <c r="BD88" s="425"/>
      <c r="BE88" s="433"/>
      <c r="BF88" s="425"/>
      <c r="BG88" s="433"/>
      <c r="BH88" s="434"/>
      <c r="BI88" s="431"/>
      <c r="BJ88" s="435"/>
      <c r="BK88" s="494"/>
    </row>
    <row r="89" spans="1:63">
      <c r="A89" s="488"/>
      <c r="B89" s="489"/>
      <c r="C89" s="490"/>
      <c r="D89" s="487"/>
      <c r="E89" s="491"/>
      <c r="F89" s="418"/>
      <c r="G89" s="419"/>
      <c r="H89" s="436"/>
      <c r="I89" s="437"/>
      <c r="J89" s="492"/>
      <c r="K89" s="439"/>
      <c r="L89" s="492"/>
      <c r="M89" s="438"/>
      <c r="N89" s="436"/>
      <c r="O89" s="438"/>
      <c r="P89" s="420"/>
      <c r="Q89" s="421"/>
      <c r="R89" s="421"/>
      <c r="S89" s="422"/>
      <c r="T89" s="422"/>
      <c r="U89" s="423"/>
      <c r="V89" s="424"/>
      <c r="W89" s="424"/>
      <c r="X89" s="425"/>
      <c r="Y89" s="426"/>
      <c r="Z89" s="417"/>
      <c r="AA89" s="493"/>
      <c r="AB89" s="427"/>
      <c r="AC89" s="438"/>
      <c r="AD89" s="428"/>
      <c r="AE89" s="437"/>
      <c r="AF89" s="437"/>
      <c r="AG89" s="438"/>
      <c r="AH89" s="428"/>
      <c r="AI89" s="438"/>
      <c r="AJ89" s="429"/>
      <c r="AK89" s="424"/>
      <c r="AL89" s="424"/>
      <c r="AM89" s="430"/>
      <c r="AN89" s="431"/>
      <c r="AO89" s="432"/>
      <c r="AP89" s="425"/>
      <c r="AQ89" s="433"/>
      <c r="AR89" s="425"/>
      <c r="AS89" s="433"/>
      <c r="AT89" s="434"/>
      <c r="AU89" s="431"/>
      <c r="AV89" s="435"/>
      <c r="AW89" s="494"/>
      <c r="AX89" s="429"/>
      <c r="AY89" s="424"/>
      <c r="AZ89" s="424"/>
      <c r="BA89" s="430"/>
      <c r="BB89" s="431"/>
      <c r="BC89" s="432"/>
      <c r="BD89" s="425"/>
      <c r="BE89" s="433"/>
      <c r="BF89" s="425"/>
      <c r="BG89" s="433"/>
      <c r="BH89" s="434"/>
      <c r="BI89" s="431"/>
      <c r="BJ89" s="435"/>
      <c r="BK89" s="494"/>
    </row>
    <row r="90" spans="1:63">
      <c r="A90" s="488"/>
      <c r="B90" s="489"/>
      <c r="C90" s="490"/>
      <c r="D90" s="487"/>
      <c r="E90" s="491"/>
      <c r="F90" s="418"/>
      <c r="G90" s="419"/>
      <c r="H90" s="436"/>
      <c r="I90" s="437"/>
      <c r="J90" s="492"/>
      <c r="K90" s="439"/>
      <c r="L90" s="492"/>
      <c r="M90" s="438"/>
      <c r="N90" s="436"/>
      <c r="O90" s="438"/>
      <c r="P90" s="420"/>
      <c r="Q90" s="421"/>
      <c r="R90" s="421"/>
      <c r="S90" s="422"/>
      <c r="T90" s="422"/>
      <c r="U90" s="423"/>
      <c r="V90" s="424"/>
      <c r="W90" s="424"/>
      <c r="X90" s="425"/>
      <c r="Y90" s="426"/>
      <c r="Z90" s="417"/>
      <c r="AA90" s="493"/>
      <c r="AB90" s="427"/>
      <c r="AC90" s="438"/>
      <c r="AD90" s="428"/>
      <c r="AE90" s="437"/>
      <c r="AF90" s="437"/>
      <c r="AG90" s="438"/>
      <c r="AH90" s="428"/>
      <c r="AI90" s="438"/>
      <c r="AJ90" s="429"/>
      <c r="AK90" s="424"/>
      <c r="AL90" s="424"/>
      <c r="AM90" s="430"/>
      <c r="AN90" s="431"/>
      <c r="AO90" s="432"/>
      <c r="AP90" s="425"/>
      <c r="AQ90" s="433"/>
      <c r="AR90" s="425"/>
      <c r="AS90" s="433"/>
      <c r="AT90" s="434"/>
      <c r="AU90" s="431"/>
      <c r="AV90" s="435"/>
      <c r="AW90" s="494"/>
      <c r="AX90" s="429"/>
      <c r="AY90" s="424"/>
      <c r="AZ90" s="424"/>
      <c r="BA90" s="430"/>
      <c r="BB90" s="431"/>
      <c r="BC90" s="432"/>
      <c r="BD90" s="425"/>
      <c r="BE90" s="433"/>
      <c r="BF90" s="425"/>
      <c r="BG90" s="433"/>
      <c r="BH90" s="434"/>
      <c r="BI90" s="431"/>
      <c r="BJ90" s="435"/>
      <c r="BK90" s="494"/>
    </row>
    <row r="91" spans="1:63">
      <c r="A91" s="488"/>
      <c r="B91" s="489"/>
      <c r="C91" s="490"/>
      <c r="D91" s="487"/>
      <c r="E91" s="491"/>
      <c r="F91" s="418"/>
      <c r="G91" s="419"/>
      <c r="H91" s="436"/>
      <c r="I91" s="437"/>
      <c r="J91" s="492"/>
      <c r="K91" s="439"/>
      <c r="L91" s="492"/>
      <c r="M91" s="438"/>
      <c r="N91" s="436"/>
      <c r="O91" s="438"/>
      <c r="P91" s="420"/>
      <c r="Q91" s="421"/>
      <c r="R91" s="421"/>
      <c r="S91" s="422"/>
      <c r="T91" s="422"/>
      <c r="U91" s="423"/>
      <c r="V91" s="424"/>
      <c r="W91" s="424"/>
      <c r="X91" s="425"/>
      <c r="Y91" s="426"/>
      <c r="Z91" s="417"/>
      <c r="AA91" s="493"/>
      <c r="AB91" s="427"/>
      <c r="AC91" s="438"/>
      <c r="AD91" s="428"/>
      <c r="AE91" s="437"/>
      <c r="AF91" s="437"/>
      <c r="AG91" s="438"/>
      <c r="AH91" s="428"/>
      <c r="AI91" s="438"/>
      <c r="AJ91" s="429"/>
      <c r="AK91" s="424"/>
      <c r="AL91" s="424"/>
      <c r="AM91" s="430"/>
      <c r="AN91" s="431"/>
      <c r="AO91" s="432"/>
      <c r="AP91" s="425"/>
      <c r="AQ91" s="433"/>
      <c r="AR91" s="425"/>
      <c r="AS91" s="433"/>
      <c r="AT91" s="434"/>
      <c r="AU91" s="431"/>
      <c r="AV91" s="435"/>
      <c r="AW91" s="494"/>
      <c r="AX91" s="429"/>
      <c r="AY91" s="424"/>
      <c r="AZ91" s="424"/>
      <c r="BA91" s="430"/>
      <c r="BB91" s="431"/>
      <c r="BC91" s="432"/>
      <c r="BD91" s="425"/>
      <c r="BE91" s="433"/>
      <c r="BF91" s="425"/>
      <c r="BG91" s="433"/>
      <c r="BH91" s="434"/>
      <c r="BI91" s="431"/>
      <c r="BJ91" s="435"/>
      <c r="BK91" s="494"/>
    </row>
    <row r="92" spans="1:63">
      <c r="A92" s="488"/>
      <c r="B92" s="489"/>
      <c r="C92" s="490"/>
      <c r="D92" s="487"/>
      <c r="E92" s="491"/>
      <c r="F92" s="418"/>
      <c r="G92" s="419"/>
      <c r="H92" s="436"/>
      <c r="I92" s="437"/>
      <c r="J92" s="492"/>
      <c r="K92" s="439"/>
      <c r="L92" s="492"/>
      <c r="M92" s="438"/>
      <c r="N92" s="436"/>
      <c r="O92" s="438"/>
      <c r="P92" s="420"/>
      <c r="Q92" s="421"/>
      <c r="R92" s="421"/>
      <c r="S92" s="422"/>
      <c r="T92" s="422"/>
      <c r="U92" s="423"/>
      <c r="V92" s="424"/>
      <c r="W92" s="424"/>
      <c r="X92" s="425"/>
      <c r="Y92" s="426"/>
      <c r="Z92" s="417"/>
      <c r="AA92" s="493"/>
      <c r="AB92" s="427"/>
      <c r="AC92" s="438"/>
      <c r="AD92" s="428"/>
      <c r="AE92" s="437"/>
      <c r="AF92" s="437"/>
      <c r="AG92" s="438"/>
      <c r="AH92" s="428"/>
      <c r="AI92" s="438"/>
      <c r="AJ92" s="429"/>
      <c r="AK92" s="424"/>
      <c r="AL92" s="424"/>
      <c r="AM92" s="430"/>
      <c r="AN92" s="431"/>
      <c r="AO92" s="432"/>
      <c r="AP92" s="425"/>
      <c r="AQ92" s="433"/>
      <c r="AR92" s="425"/>
      <c r="AS92" s="433"/>
      <c r="AT92" s="434"/>
      <c r="AU92" s="431"/>
      <c r="AV92" s="435"/>
      <c r="AW92" s="494"/>
      <c r="AX92" s="429"/>
      <c r="AY92" s="424"/>
      <c r="AZ92" s="424"/>
      <c r="BA92" s="430"/>
      <c r="BB92" s="431"/>
      <c r="BC92" s="432"/>
      <c r="BD92" s="425"/>
      <c r="BE92" s="433"/>
      <c r="BF92" s="425"/>
      <c r="BG92" s="433"/>
      <c r="BH92" s="434"/>
      <c r="BI92" s="431"/>
      <c r="BJ92" s="435"/>
      <c r="BK92" s="494"/>
    </row>
    <row r="93" spans="1:63">
      <c r="A93" s="488"/>
      <c r="B93" s="489"/>
      <c r="C93" s="490"/>
      <c r="D93" s="487"/>
      <c r="E93" s="491"/>
      <c r="F93" s="418"/>
      <c r="G93" s="419"/>
      <c r="H93" s="436"/>
      <c r="I93" s="437"/>
      <c r="J93" s="492"/>
      <c r="K93" s="439"/>
      <c r="L93" s="492"/>
      <c r="M93" s="438"/>
      <c r="N93" s="436"/>
      <c r="O93" s="438"/>
      <c r="P93" s="420"/>
      <c r="Q93" s="421"/>
      <c r="R93" s="421"/>
      <c r="S93" s="422"/>
      <c r="T93" s="422"/>
      <c r="U93" s="423"/>
      <c r="V93" s="424"/>
      <c r="W93" s="424"/>
      <c r="X93" s="425"/>
      <c r="Y93" s="426"/>
      <c r="Z93" s="417"/>
      <c r="AA93" s="493"/>
      <c r="AB93" s="427"/>
      <c r="AC93" s="438"/>
      <c r="AD93" s="428"/>
      <c r="AE93" s="437"/>
      <c r="AF93" s="437"/>
      <c r="AG93" s="438"/>
      <c r="AH93" s="428"/>
      <c r="AI93" s="438"/>
      <c r="AJ93" s="429"/>
      <c r="AK93" s="424"/>
      <c r="AL93" s="424"/>
      <c r="AM93" s="430"/>
      <c r="AN93" s="431"/>
      <c r="AO93" s="432"/>
      <c r="AP93" s="425"/>
      <c r="AQ93" s="433"/>
      <c r="AR93" s="425"/>
      <c r="AS93" s="433"/>
      <c r="AT93" s="434"/>
      <c r="AU93" s="431"/>
      <c r="AV93" s="435"/>
      <c r="AW93" s="494"/>
      <c r="AX93" s="429"/>
      <c r="AY93" s="424"/>
      <c r="AZ93" s="424"/>
      <c r="BA93" s="430"/>
      <c r="BB93" s="431"/>
      <c r="BC93" s="432"/>
      <c r="BD93" s="425"/>
      <c r="BE93" s="433"/>
      <c r="BF93" s="425"/>
      <c r="BG93" s="433"/>
      <c r="BH93" s="434"/>
      <c r="BI93" s="431"/>
      <c r="BJ93" s="435"/>
      <c r="BK93" s="494"/>
    </row>
    <row r="94" spans="1:63">
      <c r="A94" s="488"/>
      <c r="B94" s="489"/>
      <c r="C94" s="490"/>
      <c r="D94" s="487"/>
      <c r="E94" s="491"/>
      <c r="F94" s="418"/>
      <c r="G94" s="419"/>
      <c r="H94" s="436"/>
      <c r="I94" s="437"/>
      <c r="J94" s="492"/>
      <c r="K94" s="439"/>
      <c r="L94" s="492"/>
      <c r="M94" s="438"/>
      <c r="N94" s="436"/>
      <c r="O94" s="438"/>
      <c r="P94" s="420"/>
      <c r="Q94" s="421"/>
      <c r="R94" s="421"/>
      <c r="S94" s="422"/>
      <c r="T94" s="422"/>
      <c r="U94" s="423"/>
      <c r="V94" s="424"/>
      <c r="W94" s="424"/>
      <c r="X94" s="425"/>
      <c r="Y94" s="426"/>
      <c r="Z94" s="417"/>
      <c r="AA94" s="493"/>
      <c r="AB94" s="427"/>
      <c r="AC94" s="438"/>
      <c r="AD94" s="428"/>
      <c r="AE94" s="437"/>
      <c r="AF94" s="437"/>
      <c r="AG94" s="438"/>
      <c r="AH94" s="428"/>
      <c r="AI94" s="438"/>
      <c r="AJ94" s="429"/>
      <c r="AK94" s="424"/>
      <c r="AL94" s="424"/>
      <c r="AM94" s="430"/>
      <c r="AN94" s="431"/>
      <c r="AO94" s="432"/>
      <c r="AP94" s="425"/>
      <c r="AQ94" s="433"/>
      <c r="AR94" s="425"/>
      <c r="AS94" s="433"/>
      <c r="AT94" s="434"/>
      <c r="AU94" s="431"/>
      <c r="AV94" s="435"/>
      <c r="AW94" s="494"/>
      <c r="AX94" s="429"/>
      <c r="AY94" s="424"/>
      <c r="AZ94" s="424"/>
      <c r="BA94" s="430"/>
      <c r="BB94" s="431"/>
      <c r="BC94" s="432"/>
      <c r="BD94" s="425"/>
      <c r="BE94" s="433"/>
      <c r="BF94" s="425"/>
      <c r="BG94" s="433"/>
      <c r="BH94" s="434"/>
      <c r="BI94" s="431"/>
      <c r="BJ94" s="435"/>
      <c r="BK94" s="494"/>
    </row>
    <row r="95" spans="1:63">
      <c r="A95" s="488"/>
      <c r="B95" s="489"/>
      <c r="C95" s="490"/>
      <c r="D95" s="487"/>
      <c r="E95" s="491"/>
      <c r="F95" s="418"/>
      <c r="G95" s="419"/>
      <c r="H95" s="436"/>
      <c r="I95" s="437"/>
      <c r="J95" s="492"/>
      <c r="K95" s="439"/>
      <c r="L95" s="492"/>
      <c r="M95" s="438"/>
      <c r="N95" s="436"/>
      <c r="O95" s="438"/>
      <c r="P95" s="420"/>
      <c r="Q95" s="421"/>
      <c r="R95" s="421"/>
      <c r="S95" s="422"/>
      <c r="T95" s="422"/>
      <c r="U95" s="423"/>
      <c r="V95" s="424"/>
      <c r="W95" s="424"/>
      <c r="X95" s="425"/>
      <c r="Y95" s="426"/>
      <c r="Z95" s="417"/>
      <c r="AA95" s="493"/>
      <c r="AB95" s="427"/>
      <c r="AC95" s="438"/>
      <c r="AD95" s="428"/>
      <c r="AE95" s="437"/>
      <c r="AF95" s="437"/>
      <c r="AG95" s="438"/>
      <c r="AH95" s="428"/>
      <c r="AI95" s="438"/>
      <c r="AJ95" s="429"/>
      <c r="AK95" s="424"/>
      <c r="AL95" s="424"/>
      <c r="AM95" s="430"/>
      <c r="AN95" s="431"/>
      <c r="AO95" s="432"/>
      <c r="AP95" s="425"/>
      <c r="AQ95" s="433"/>
      <c r="AR95" s="425"/>
      <c r="AS95" s="433"/>
      <c r="AT95" s="434"/>
      <c r="AU95" s="431"/>
      <c r="AV95" s="435"/>
      <c r="AW95" s="494"/>
      <c r="AX95" s="429"/>
      <c r="AY95" s="424"/>
      <c r="AZ95" s="424"/>
      <c r="BA95" s="430"/>
      <c r="BB95" s="431"/>
      <c r="BC95" s="432"/>
      <c r="BD95" s="425"/>
      <c r="BE95" s="433"/>
      <c r="BF95" s="425"/>
      <c r="BG95" s="433"/>
      <c r="BH95" s="434"/>
      <c r="BI95" s="431"/>
      <c r="BJ95" s="435"/>
      <c r="BK95" s="494"/>
    </row>
    <row r="96" spans="1:63">
      <c r="A96" s="488"/>
      <c r="B96" s="489"/>
      <c r="C96" s="490"/>
      <c r="D96" s="487"/>
      <c r="E96" s="491"/>
      <c r="F96" s="418"/>
      <c r="G96" s="419"/>
      <c r="H96" s="436"/>
      <c r="I96" s="437"/>
      <c r="J96" s="492"/>
      <c r="K96" s="439"/>
      <c r="L96" s="492"/>
      <c r="M96" s="438"/>
      <c r="N96" s="436"/>
      <c r="O96" s="438"/>
      <c r="P96" s="420"/>
      <c r="Q96" s="421"/>
      <c r="R96" s="421"/>
      <c r="S96" s="422"/>
      <c r="T96" s="422"/>
      <c r="U96" s="423"/>
      <c r="V96" s="424"/>
      <c r="W96" s="424"/>
      <c r="X96" s="425"/>
      <c r="Y96" s="426"/>
      <c r="Z96" s="417"/>
      <c r="AA96" s="493"/>
      <c r="AB96" s="427"/>
      <c r="AC96" s="438"/>
      <c r="AD96" s="428"/>
      <c r="AE96" s="437"/>
      <c r="AF96" s="437"/>
      <c r="AG96" s="438"/>
      <c r="AH96" s="428"/>
      <c r="AI96" s="438"/>
      <c r="AJ96" s="429"/>
      <c r="AK96" s="424"/>
      <c r="AL96" s="424"/>
      <c r="AM96" s="430"/>
      <c r="AN96" s="431"/>
      <c r="AO96" s="432"/>
      <c r="AP96" s="425"/>
      <c r="AQ96" s="433"/>
      <c r="AR96" s="425"/>
      <c r="AS96" s="433"/>
      <c r="AT96" s="434"/>
      <c r="AU96" s="431"/>
      <c r="AV96" s="435"/>
      <c r="AW96" s="494"/>
      <c r="AX96" s="429"/>
      <c r="AY96" s="424"/>
      <c r="AZ96" s="424"/>
      <c r="BA96" s="430"/>
      <c r="BB96" s="431"/>
      <c r="BC96" s="432"/>
      <c r="BD96" s="425"/>
      <c r="BE96" s="433"/>
      <c r="BF96" s="425"/>
      <c r="BG96" s="433"/>
      <c r="BH96" s="434"/>
      <c r="BI96" s="431"/>
      <c r="BJ96" s="435"/>
      <c r="BK96" s="494"/>
    </row>
    <row r="97" spans="1:63">
      <c r="A97" s="488"/>
      <c r="B97" s="489"/>
      <c r="C97" s="490"/>
      <c r="D97" s="487"/>
      <c r="E97" s="491"/>
      <c r="F97" s="418"/>
      <c r="G97" s="419"/>
      <c r="H97" s="436"/>
      <c r="I97" s="437"/>
      <c r="J97" s="492"/>
      <c r="K97" s="439"/>
      <c r="L97" s="492"/>
      <c r="M97" s="438"/>
      <c r="N97" s="436"/>
      <c r="O97" s="438"/>
      <c r="P97" s="420"/>
      <c r="Q97" s="421"/>
      <c r="R97" s="421"/>
      <c r="S97" s="422"/>
      <c r="T97" s="422"/>
      <c r="U97" s="423"/>
      <c r="V97" s="424"/>
      <c r="W97" s="424"/>
      <c r="X97" s="425"/>
      <c r="Y97" s="426"/>
      <c r="Z97" s="417"/>
      <c r="AA97" s="493"/>
      <c r="AB97" s="427"/>
      <c r="AC97" s="438"/>
      <c r="AD97" s="428"/>
      <c r="AE97" s="437"/>
      <c r="AF97" s="437"/>
      <c r="AG97" s="438"/>
      <c r="AH97" s="428"/>
      <c r="AI97" s="438"/>
      <c r="AJ97" s="429"/>
      <c r="AK97" s="424"/>
      <c r="AL97" s="424"/>
      <c r="AM97" s="430"/>
      <c r="AN97" s="431"/>
      <c r="AO97" s="432"/>
      <c r="AP97" s="425"/>
      <c r="AQ97" s="433"/>
      <c r="AR97" s="425"/>
      <c r="AS97" s="433"/>
      <c r="AT97" s="434"/>
      <c r="AU97" s="431"/>
      <c r="AV97" s="435"/>
      <c r="AW97" s="494"/>
      <c r="AX97" s="429"/>
      <c r="AY97" s="424"/>
      <c r="AZ97" s="424"/>
      <c r="BA97" s="430"/>
      <c r="BB97" s="431"/>
      <c r="BC97" s="432"/>
      <c r="BD97" s="425"/>
      <c r="BE97" s="433"/>
      <c r="BF97" s="425"/>
      <c r="BG97" s="433"/>
      <c r="BH97" s="434"/>
      <c r="BI97" s="431"/>
      <c r="BJ97" s="435"/>
      <c r="BK97" s="494"/>
    </row>
    <row r="98" spans="1:63">
      <c r="A98" s="488"/>
      <c r="B98" s="489"/>
      <c r="C98" s="490"/>
      <c r="D98" s="487"/>
      <c r="E98" s="491"/>
      <c r="F98" s="418"/>
      <c r="G98" s="419"/>
      <c r="H98" s="436"/>
      <c r="I98" s="437"/>
      <c r="J98" s="492"/>
      <c r="K98" s="439"/>
      <c r="L98" s="492"/>
      <c r="M98" s="438"/>
      <c r="N98" s="436"/>
      <c r="O98" s="438"/>
      <c r="P98" s="420"/>
      <c r="Q98" s="421"/>
      <c r="R98" s="421"/>
      <c r="S98" s="422"/>
      <c r="T98" s="422"/>
      <c r="U98" s="423"/>
      <c r="V98" s="424"/>
      <c r="W98" s="424"/>
      <c r="X98" s="425"/>
      <c r="Y98" s="426"/>
      <c r="Z98" s="417"/>
      <c r="AA98" s="493"/>
      <c r="AB98" s="427"/>
      <c r="AC98" s="438"/>
      <c r="AD98" s="428"/>
      <c r="AE98" s="437"/>
      <c r="AF98" s="437"/>
      <c r="AG98" s="438"/>
      <c r="AH98" s="428"/>
      <c r="AI98" s="438"/>
      <c r="AJ98" s="429"/>
      <c r="AK98" s="424"/>
      <c r="AL98" s="424"/>
      <c r="AM98" s="430"/>
      <c r="AN98" s="431"/>
      <c r="AO98" s="432"/>
      <c r="AP98" s="425"/>
      <c r="AQ98" s="433"/>
      <c r="AR98" s="425"/>
      <c r="AS98" s="433"/>
      <c r="AT98" s="434"/>
      <c r="AU98" s="431"/>
      <c r="AV98" s="435"/>
      <c r="AW98" s="494"/>
      <c r="AX98" s="429"/>
      <c r="AY98" s="424"/>
      <c r="AZ98" s="424"/>
      <c r="BA98" s="430"/>
      <c r="BB98" s="431"/>
      <c r="BC98" s="432"/>
      <c r="BD98" s="425"/>
      <c r="BE98" s="433"/>
      <c r="BF98" s="425"/>
      <c r="BG98" s="433"/>
      <c r="BH98" s="434"/>
      <c r="BI98" s="431"/>
      <c r="BJ98" s="435"/>
      <c r="BK98" s="494"/>
    </row>
    <row r="99" spans="1:63">
      <c r="A99" s="488"/>
      <c r="B99" s="489"/>
      <c r="C99" s="490"/>
      <c r="D99" s="487"/>
      <c r="E99" s="491"/>
      <c r="F99" s="418"/>
      <c r="G99" s="419"/>
      <c r="H99" s="436"/>
      <c r="I99" s="437"/>
      <c r="J99" s="492"/>
      <c r="K99" s="439"/>
      <c r="L99" s="492"/>
      <c r="M99" s="438"/>
      <c r="N99" s="436"/>
      <c r="O99" s="438"/>
      <c r="P99" s="420"/>
      <c r="Q99" s="421"/>
      <c r="R99" s="421"/>
      <c r="S99" s="422"/>
      <c r="T99" s="422"/>
      <c r="U99" s="423"/>
      <c r="V99" s="424"/>
      <c r="W99" s="424"/>
      <c r="X99" s="425"/>
      <c r="Y99" s="426"/>
      <c r="Z99" s="417"/>
      <c r="AA99" s="493"/>
      <c r="AB99" s="427"/>
      <c r="AC99" s="438"/>
      <c r="AD99" s="428"/>
      <c r="AE99" s="437"/>
      <c r="AF99" s="437"/>
      <c r="AG99" s="438"/>
      <c r="AH99" s="428"/>
      <c r="AI99" s="438"/>
      <c r="AJ99" s="429"/>
      <c r="AK99" s="424"/>
      <c r="AL99" s="424"/>
      <c r="AM99" s="430"/>
      <c r="AN99" s="431"/>
      <c r="AO99" s="432"/>
      <c r="AP99" s="425"/>
      <c r="AQ99" s="433"/>
      <c r="AR99" s="425"/>
      <c r="AS99" s="433"/>
      <c r="AT99" s="434"/>
      <c r="AU99" s="431"/>
      <c r="AV99" s="435"/>
      <c r="AW99" s="494"/>
      <c r="AX99" s="429"/>
      <c r="AY99" s="424"/>
      <c r="AZ99" s="424"/>
      <c r="BA99" s="430"/>
      <c r="BB99" s="431"/>
      <c r="BC99" s="432"/>
      <c r="BD99" s="425"/>
      <c r="BE99" s="433"/>
      <c r="BF99" s="425"/>
      <c r="BG99" s="433"/>
      <c r="BH99" s="434"/>
      <c r="BI99" s="431"/>
      <c r="BJ99" s="435"/>
      <c r="BK99" s="494"/>
    </row>
    <row r="100" spans="1:63">
      <c r="A100" s="488"/>
      <c r="B100" s="489"/>
      <c r="C100" s="490"/>
      <c r="D100" s="487"/>
      <c r="E100" s="491"/>
      <c r="F100" s="418"/>
      <c r="G100" s="419"/>
      <c r="H100" s="436"/>
      <c r="I100" s="437"/>
      <c r="J100" s="492"/>
      <c r="K100" s="439"/>
      <c r="L100" s="492"/>
      <c r="M100" s="438"/>
      <c r="N100" s="436"/>
      <c r="O100" s="438"/>
      <c r="P100" s="420"/>
      <c r="Q100" s="421"/>
      <c r="R100" s="421"/>
      <c r="S100" s="422"/>
      <c r="T100" s="422"/>
      <c r="U100" s="423"/>
      <c r="V100" s="424"/>
      <c r="W100" s="424"/>
      <c r="X100" s="425"/>
      <c r="Y100" s="426"/>
      <c r="Z100" s="417"/>
      <c r="AA100" s="493"/>
      <c r="AB100" s="427"/>
      <c r="AC100" s="438"/>
      <c r="AD100" s="428"/>
      <c r="AE100" s="437"/>
      <c r="AF100" s="437"/>
      <c r="AG100" s="438"/>
      <c r="AH100" s="428"/>
      <c r="AI100" s="438"/>
      <c r="AJ100" s="429"/>
      <c r="AK100" s="424"/>
      <c r="AL100" s="424"/>
      <c r="AM100" s="430"/>
      <c r="AN100" s="431"/>
      <c r="AO100" s="432"/>
      <c r="AP100" s="425"/>
      <c r="AQ100" s="433"/>
      <c r="AR100" s="425"/>
      <c r="AS100" s="433"/>
      <c r="AT100" s="434"/>
      <c r="AU100" s="431"/>
      <c r="AV100" s="435"/>
      <c r="AW100" s="494"/>
      <c r="AX100" s="429"/>
      <c r="AY100" s="424"/>
      <c r="AZ100" s="424"/>
      <c r="BA100" s="430"/>
      <c r="BB100" s="431"/>
      <c r="BC100" s="432"/>
      <c r="BD100" s="425"/>
      <c r="BE100" s="433"/>
      <c r="BF100" s="425"/>
      <c r="BG100" s="433"/>
      <c r="BH100" s="434"/>
      <c r="BI100" s="431"/>
      <c r="BJ100" s="435"/>
      <c r="BK100" s="494"/>
    </row>
    <row r="101" spans="1:63">
      <c r="A101" s="488"/>
      <c r="B101" s="489"/>
      <c r="C101" s="490"/>
      <c r="D101" s="487"/>
      <c r="E101" s="491"/>
      <c r="F101" s="418"/>
      <c r="G101" s="419"/>
      <c r="H101" s="436"/>
      <c r="I101" s="437"/>
      <c r="J101" s="492"/>
      <c r="K101" s="439"/>
      <c r="L101" s="492"/>
      <c r="M101" s="438"/>
      <c r="N101" s="436"/>
      <c r="O101" s="438"/>
      <c r="P101" s="420"/>
      <c r="Q101" s="421"/>
      <c r="R101" s="421"/>
      <c r="S101" s="422"/>
      <c r="T101" s="422"/>
      <c r="U101" s="423"/>
      <c r="V101" s="424"/>
      <c r="W101" s="424"/>
      <c r="X101" s="425"/>
      <c r="Y101" s="426"/>
      <c r="Z101" s="417"/>
      <c r="AA101" s="493"/>
      <c r="AB101" s="427"/>
      <c r="AC101" s="438"/>
      <c r="AD101" s="428"/>
      <c r="AE101" s="437"/>
      <c r="AF101" s="437"/>
      <c r="AG101" s="438"/>
      <c r="AH101" s="428"/>
      <c r="AI101" s="438"/>
      <c r="AJ101" s="429"/>
      <c r="AK101" s="424"/>
      <c r="AL101" s="424"/>
      <c r="AM101" s="430"/>
      <c r="AN101" s="431"/>
      <c r="AO101" s="432"/>
      <c r="AP101" s="425"/>
      <c r="AQ101" s="433"/>
      <c r="AR101" s="425"/>
      <c r="AS101" s="433"/>
      <c r="AT101" s="434"/>
      <c r="AU101" s="431"/>
      <c r="AV101" s="435"/>
      <c r="AW101" s="494"/>
      <c r="AX101" s="429"/>
      <c r="AY101" s="424"/>
      <c r="AZ101" s="424"/>
      <c r="BA101" s="430"/>
      <c r="BB101" s="431"/>
      <c r="BC101" s="432"/>
      <c r="BD101" s="425"/>
      <c r="BE101" s="433"/>
      <c r="BF101" s="425"/>
      <c r="BG101" s="433"/>
      <c r="BH101" s="434"/>
      <c r="BI101" s="431"/>
      <c r="BJ101" s="435"/>
      <c r="BK101" s="494"/>
    </row>
    <row r="102" spans="1:63">
      <c r="A102" s="488"/>
      <c r="B102" s="489"/>
      <c r="C102" s="490"/>
      <c r="D102" s="487"/>
      <c r="E102" s="491"/>
      <c r="F102" s="418"/>
      <c r="G102" s="419"/>
      <c r="H102" s="436"/>
      <c r="I102" s="437"/>
      <c r="J102" s="492"/>
      <c r="K102" s="439"/>
      <c r="L102" s="492"/>
      <c r="M102" s="438"/>
      <c r="N102" s="436"/>
      <c r="O102" s="438"/>
      <c r="P102" s="420"/>
      <c r="Q102" s="421"/>
      <c r="R102" s="421"/>
      <c r="S102" s="422"/>
      <c r="T102" s="422"/>
      <c r="U102" s="423"/>
      <c r="V102" s="424"/>
      <c r="W102" s="424"/>
      <c r="X102" s="425"/>
      <c r="Y102" s="426"/>
      <c r="Z102" s="417"/>
      <c r="AA102" s="493"/>
      <c r="AB102" s="427"/>
      <c r="AC102" s="438"/>
      <c r="AD102" s="428"/>
      <c r="AE102" s="437"/>
      <c r="AF102" s="437"/>
      <c r="AG102" s="438"/>
      <c r="AH102" s="428"/>
      <c r="AI102" s="438"/>
      <c r="AJ102" s="429"/>
      <c r="AK102" s="424"/>
      <c r="AL102" s="424"/>
      <c r="AM102" s="430"/>
      <c r="AN102" s="431"/>
      <c r="AO102" s="432"/>
      <c r="AP102" s="425"/>
      <c r="AQ102" s="433"/>
      <c r="AR102" s="425"/>
      <c r="AS102" s="433"/>
      <c r="AT102" s="434"/>
      <c r="AU102" s="431"/>
      <c r="AV102" s="435"/>
      <c r="AW102" s="494"/>
      <c r="AX102" s="429"/>
      <c r="AY102" s="424"/>
      <c r="AZ102" s="424"/>
      <c r="BA102" s="430"/>
      <c r="BB102" s="431"/>
      <c r="BC102" s="432"/>
      <c r="BD102" s="425"/>
      <c r="BE102" s="433"/>
      <c r="BF102" s="425"/>
      <c r="BG102" s="433"/>
      <c r="BH102" s="434"/>
      <c r="BI102" s="431"/>
      <c r="BJ102" s="435"/>
      <c r="BK102" s="494"/>
    </row>
    <row r="103" spans="1:63">
      <c r="A103" s="488"/>
      <c r="B103" s="489"/>
      <c r="C103" s="490"/>
      <c r="D103" s="487"/>
      <c r="E103" s="491"/>
      <c r="F103" s="418"/>
      <c r="G103" s="419"/>
      <c r="H103" s="436"/>
      <c r="I103" s="437"/>
      <c r="J103" s="492"/>
      <c r="K103" s="439"/>
      <c r="L103" s="492"/>
      <c r="M103" s="438"/>
      <c r="N103" s="436"/>
      <c r="O103" s="438"/>
      <c r="P103" s="420"/>
      <c r="Q103" s="421"/>
      <c r="R103" s="421"/>
      <c r="S103" s="422"/>
      <c r="T103" s="422"/>
      <c r="U103" s="423"/>
      <c r="V103" s="424"/>
      <c r="W103" s="424"/>
      <c r="X103" s="425"/>
      <c r="Y103" s="426"/>
      <c r="Z103" s="417"/>
      <c r="AA103" s="493"/>
      <c r="AB103" s="427"/>
      <c r="AC103" s="438"/>
      <c r="AD103" s="428"/>
      <c r="AE103" s="437"/>
      <c r="AF103" s="437"/>
      <c r="AG103" s="438"/>
      <c r="AH103" s="428"/>
      <c r="AI103" s="438"/>
      <c r="AJ103" s="429"/>
      <c r="AK103" s="424"/>
      <c r="AL103" s="424"/>
      <c r="AM103" s="430"/>
      <c r="AN103" s="431"/>
      <c r="AO103" s="432"/>
      <c r="AP103" s="425"/>
      <c r="AQ103" s="433"/>
      <c r="AR103" s="425"/>
      <c r="AS103" s="433"/>
      <c r="AT103" s="434"/>
      <c r="AU103" s="431"/>
      <c r="AV103" s="435"/>
      <c r="AW103" s="494"/>
      <c r="AX103" s="429"/>
      <c r="AY103" s="424"/>
      <c r="AZ103" s="424"/>
      <c r="BA103" s="430"/>
      <c r="BB103" s="431"/>
      <c r="BC103" s="432"/>
      <c r="BD103" s="425"/>
      <c r="BE103" s="433"/>
      <c r="BF103" s="425"/>
      <c r="BG103" s="433"/>
      <c r="BH103" s="434"/>
      <c r="BI103" s="431"/>
      <c r="BJ103" s="435"/>
      <c r="BK103" s="494"/>
    </row>
    <row r="104" spans="1:63">
      <c r="A104" s="488"/>
      <c r="B104" s="489"/>
      <c r="C104" s="490"/>
      <c r="D104" s="487"/>
      <c r="E104" s="491"/>
      <c r="F104" s="418"/>
      <c r="G104" s="419"/>
      <c r="H104" s="436"/>
      <c r="I104" s="437"/>
      <c r="J104" s="492"/>
      <c r="K104" s="439"/>
      <c r="L104" s="492"/>
      <c r="M104" s="438"/>
      <c r="N104" s="436"/>
      <c r="O104" s="438"/>
      <c r="P104" s="420"/>
      <c r="Q104" s="421"/>
      <c r="R104" s="421"/>
      <c r="S104" s="422"/>
      <c r="T104" s="422"/>
      <c r="U104" s="423"/>
      <c r="V104" s="424"/>
      <c r="W104" s="424"/>
      <c r="X104" s="425"/>
      <c r="Y104" s="426"/>
      <c r="Z104" s="417"/>
      <c r="AA104" s="493"/>
      <c r="AB104" s="427"/>
      <c r="AC104" s="438"/>
      <c r="AD104" s="428"/>
      <c r="AE104" s="437"/>
      <c r="AF104" s="437"/>
      <c r="AG104" s="438"/>
      <c r="AH104" s="428"/>
      <c r="AI104" s="438"/>
      <c r="AJ104" s="429"/>
      <c r="AK104" s="424"/>
      <c r="AL104" s="424"/>
      <c r="AM104" s="430"/>
      <c r="AN104" s="431"/>
      <c r="AO104" s="432"/>
      <c r="AP104" s="425"/>
      <c r="AQ104" s="433"/>
      <c r="AR104" s="425"/>
      <c r="AS104" s="433"/>
      <c r="AT104" s="434"/>
      <c r="AU104" s="431"/>
      <c r="AV104" s="435"/>
      <c r="AW104" s="494"/>
      <c r="AX104" s="429"/>
      <c r="AY104" s="424"/>
      <c r="AZ104" s="424"/>
      <c r="BA104" s="430"/>
      <c r="BB104" s="431"/>
      <c r="BC104" s="432"/>
      <c r="BD104" s="425"/>
      <c r="BE104" s="433"/>
      <c r="BF104" s="425"/>
      <c r="BG104" s="433"/>
      <c r="BH104" s="434"/>
      <c r="BI104" s="431"/>
      <c r="BJ104" s="435"/>
      <c r="BK104" s="494"/>
    </row>
    <row r="105" spans="1:63">
      <c r="A105" s="488"/>
      <c r="B105" s="489"/>
      <c r="C105" s="490"/>
      <c r="D105" s="487"/>
      <c r="E105" s="491"/>
      <c r="F105" s="418"/>
      <c r="G105" s="419"/>
      <c r="H105" s="436"/>
      <c r="I105" s="437"/>
      <c r="J105" s="492"/>
      <c r="K105" s="439"/>
      <c r="L105" s="492"/>
      <c r="M105" s="438"/>
      <c r="N105" s="436"/>
      <c r="O105" s="438"/>
      <c r="P105" s="420"/>
      <c r="Q105" s="421"/>
      <c r="R105" s="421"/>
      <c r="S105" s="422"/>
      <c r="T105" s="422"/>
      <c r="U105" s="423"/>
      <c r="V105" s="424"/>
      <c r="W105" s="424"/>
      <c r="X105" s="425"/>
      <c r="Y105" s="426"/>
      <c r="Z105" s="417"/>
      <c r="AA105" s="493"/>
      <c r="AB105" s="427"/>
      <c r="AC105" s="438"/>
      <c r="AD105" s="428"/>
      <c r="AE105" s="437"/>
      <c r="AF105" s="437"/>
      <c r="AG105" s="438"/>
      <c r="AH105" s="428"/>
      <c r="AI105" s="438"/>
      <c r="AJ105" s="429"/>
      <c r="AK105" s="424"/>
      <c r="AL105" s="424"/>
      <c r="AM105" s="430"/>
      <c r="AN105" s="431"/>
      <c r="AO105" s="432"/>
      <c r="AP105" s="425"/>
      <c r="AQ105" s="433"/>
      <c r="AR105" s="425"/>
      <c r="AS105" s="433"/>
      <c r="AT105" s="434"/>
      <c r="AU105" s="431"/>
      <c r="AV105" s="435"/>
      <c r="AW105" s="494"/>
      <c r="AX105" s="429"/>
      <c r="AY105" s="424"/>
      <c r="AZ105" s="424"/>
      <c r="BA105" s="430"/>
      <c r="BB105" s="431"/>
      <c r="BC105" s="432"/>
      <c r="BD105" s="425"/>
      <c r="BE105" s="433"/>
      <c r="BF105" s="425"/>
      <c r="BG105" s="433"/>
      <c r="BH105" s="434"/>
      <c r="BI105" s="431"/>
      <c r="BJ105" s="435"/>
      <c r="BK105" s="494"/>
    </row>
    <row r="106" spans="1:63">
      <c r="A106" s="488"/>
      <c r="B106" s="489"/>
      <c r="C106" s="490"/>
      <c r="D106" s="487"/>
      <c r="E106" s="491"/>
      <c r="F106" s="418"/>
      <c r="G106" s="419"/>
      <c r="H106" s="436"/>
      <c r="I106" s="437"/>
      <c r="J106" s="492"/>
      <c r="K106" s="439"/>
      <c r="L106" s="492"/>
      <c r="M106" s="438"/>
      <c r="N106" s="436"/>
      <c r="O106" s="438"/>
      <c r="P106" s="420"/>
      <c r="Q106" s="421"/>
      <c r="R106" s="421"/>
      <c r="S106" s="422"/>
      <c r="T106" s="422"/>
      <c r="U106" s="423"/>
      <c r="V106" s="424"/>
      <c r="W106" s="424"/>
      <c r="X106" s="425"/>
      <c r="Y106" s="426"/>
      <c r="Z106" s="417"/>
      <c r="AA106" s="493"/>
      <c r="AB106" s="427"/>
      <c r="AC106" s="438"/>
      <c r="AD106" s="428"/>
      <c r="AE106" s="437"/>
      <c r="AF106" s="437"/>
      <c r="AG106" s="438"/>
      <c r="AH106" s="428"/>
      <c r="AI106" s="438"/>
      <c r="AJ106" s="429"/>
      <c r="AK106" s="424"/>
      <c r="AL106" s="424"/>
      <c r="AM106" s="430"/>
      <c r="AN106" s="431"/>
      <c r="AO106" s="432"/>
      <c r="AP106" s="425"/>
      <c r="AQ106" s="433"/>
      <c r="AR106" s="425"/>
      <c r="AS106" s="433"/>
      <c r="AT106" s="434"/>
      <c r="AU106" s="431"/>
      <c r="AV106" s="435"/>
      <c r="AW106" s="494"/>
      <c r="AX106" s="429"/>
      <c r="AY106" s="424"/>
      <c r="AZ106" s="424"/>
      <c r="BA106" s="430"/>
      <c r="BB106" s="431"/>
      <c r="BC106" s="432"/>
      <c r="BD106" s="425"/>
      <c r="BE106" s="433"/>
      <c r="BF106" s="425"/>
      <c r="BG106" s="433"/>
      <c r="BH106" s="434"/>
      <c r="BI106" s="431"/>
      <c r="BJ106" s="435"/>
      <c r="BK106" s="494"/>
    </row>
    <row r="107" spans="1:63">
      <c r="A107" s="488"/>
      <c r="B107" s="489"/>
      <c r="C107" s="490"/>
      <c r="D107" s="487"/>
      <c r="E107" s="491"/>
      <c r="F107" s="418"/>
      <c r="G107" s="419"/>
      <c r="H107" s="436"/>
      <c r="I107" s="437"/>
      <c r="J107" s="492"/>
      <c r="K107" s="439"/>
      <c r="L107" s="492"/>
      <c r="M107" s="438"/>
      <c r="N107" s="436"/>
      <c r="O107" s="438"/>
      <c r="P107" s="420"/>
      <c r="Q107" s="421"/>
      <c r="R107" s="421"/>
      <c r="S107" s="422"/>
      <c r="T107" s="422"/>
      <c r="U107" s="423"/>
      <c r="V107" s="424"/>
      <c r="W107" s="424"/>
      <c r="X107" s="425"/>
      <c r="Y107" s="426"/>
      <c r="Z107" s="417"/>
      <c r="AA107" s="493"/>
      <c r="AB107" s="427"/>
      <c r="AC107" s="438"/>
      <c r="AD107" s="428"/>
      <c r="AE107" s="437"/>
      <c r="AF107" s="437"/>
      <c r="AG107" s="438"/>
      <c r="AH107" s="428"/>
      <c r="AI107" s="438"/>
      <c r="AJ107" s="429"/>
      <c r="AK107" s="424"/>
      <c r="AL107" s="424"/>
      <c r="AM107" s="430"/>
      <c r="AN107" s="431"/>
      <c r="AO107" s="432"/>
      <c r="AP107" s="425"/>
      <c r="AQ107" s="433"/>
      <c r="AR107" s="425"/>
      <c r="AS107" s="433"/>
      <c r="AT107" s="434"/>
      <c r="AU107" s="431"/>
      <c r="AV107" s="435"/>
      <c r="AW107" s="494"/>
      <c r="AX107" s="429"/>
      <c r="AY107" s="424"/>
      <c r="AZ107" s="424"/>
      <c r="BA107" s="430"/>
      <c r="BB107" s="431"/>
      <c r="BC107" s="432"/>
      <c r="BD107" s="425"/>
      <c r="BE107" s="433"/>
      <c r="BF107" s="425"/>
      <c r="BG107" s="433"/>
      <c r="BH107" s="434"/>
      <c r="BI107" s="431"/>
      <c r="BJ107" s="435"/>
      <c r="BK107" s="494"/>
    </row>
    <row r="108" spans="1:63">
      <c r="A108" s="488"/>
      <c r="B108" s="489"/>
      <c r="C108" s="490"/>
      <c r="D108" s="487"/>
      <c r="E108" s="491"/>
      <c r="F108" s="418"/>
      <c r="G108" s="419"/>
      <c r="H108" s="436"/>
      <c r="I108" s="437"/>
      <c r="J108" s="492"/>
      <c r="K108" s="439"/>
      <c r="L108" s="492"/>
      <c r="M108" s="438"/>
      <c r="N108" s="436"/>
      <c r="O108" s="438"/>
      <c r="P108" s="420"/>
      <c r="Q108" s="421"/>
      <c r="R108" s="421"/>
      <c r="S108" s="422"/>
      <c r="T108" s="422"/>
      <c r="U108" s="423"/>
      <c r="V108" s="424"/>
      <c r="W108" s="424"/>
      <c r="X108" s="425"/>
      <c r="Y108" s="426"/>
      <c r="Z108" s="417"/>
      <c r="AA108" s="493"/>
      <c r="AB108" s="427"/>
      <c r="AC108" s="438"/>
      <c r="AD108" s="428"/>
      <c r="AE108" s="437"/>
      <c r="AF108" s="437"/>
      <c r="AG108" s="438"/>
      <c r="AH108" s="428"/>
      <c r="AI108" s="438"/>
      <c r="AJ108" s="429"/>
      <c r="AK108" s="424"/>
      <c r="AL108" s="424"/>
      <c r="AM108" s="430"/>
      <c r="AN108" s="431"/>
      <c r="AO108" s="432"/>
      <c r="AP108" s="425"/>
      <c r="AQ108" s="433"/>
      <c r="AR108" s="425"/>
      <c r="AS108" s="433"/>
      <c r="AT108" s="434"/>
      <c r="AU108" s="431"/>
      <c r="AV108" s="435"/>
      <c r="AW108" s="494"/>
      <c r="AX108" s="429"/>
      <c r="AY108" s="424"/>
      <c r="AZ108" s="424"/>
      <c r="BA108" s="430"/>
      <c r="BB108" s="431"/>
      <c r="BC108" s="432"/>
      <c r="BD108" s="425"/>
      <c r="BE108" s="433"/>
      <c r="BF108" s="425"/>
      <c r="BG108" s="433"/>
      <c r="BH108" s="434"/>
      <c r="BI108" s="431"/>
      <c r="BJ108" s="435"/>
      <c r="BK108" s="494"/>
    </row>
    <row r="109" spans="1:63">
      <c r="A109" s="488"/>
      <c r="B109" s="489"/>
      <c r="C109" s="490"/>
      <c r="D109" s="487"/>
      <c r="E109" s="491"/>
      <c r="F109" s="418"/>
      <c r="G109" s="419"/>
      <c r="H109" s="436"/>
      <c r="I109" s="437"/>
      <c r="J109" s="492"/>
      <c r="K109" s="439"/>
      <c r="L109" s="492"/>
      <c r="M109" s="438"/>
      <c r="N109" s="436"/>
      <c r="O109" s="438"/>
      <c r="P109" s="420"/>
      <c r="Q109" s="421"/>
      <c r="R109" s="421"/>
      <c r="S109" s="422"/>
      <c r="T109" s="422"/>
      <c r="U109" s="423"/>
      <c r="V109" s="424"/>
      <c r="W109" s="424"/>
      <c r="X109" s="425"/>
      <c r="Y109" s="426"/>
      <c r="Z109" s="417"/>
      <c r="AA109" s="493"/>
      <c r="AB109" s="427"/>
      <c r="AC109" s="438"/>
      <c r="AD109" s="428"/>
      <c r="AE109" s="437"/>
      <c r="AF109" s="437"/>
      <c r="AG109" s="438"/>
      <c r="AH109" s="428"/>
      <c r="AI109" s="438"/>
      <c r="AJ109" s="429"/>
      <c r="AK109" s="424"/>
      <c r="AL109" s="424"/>
      <c r="AM109" s="430"/>
      <c r="AN109" s="431"/>
      <c r="AO109" s="432"/>
      <c r="AP109" s="425"/>
      <c r="AQ109" s="433"/>
      <c r="AR109" s="425"/>
      <c r="AS109" s="433"/>
      <c r="AT109" s="434"/>
      <c r="AU109" s="431"/>
      <c r="AV109" s="435"/>
      <c r="AW109" s="494"/>
      <c r="AX109" s="429"/>
      <c r="AY109" s="424"/>
      <c r="AZ109" s="424"/>
      <c r="BA109" s="430"/>
      <c r="BB109" s="431"/>
      <c r="BC109" s="432"/>
      <c r="BD109" s="425"/>
      <c r="BE109" s="433"/>
      <c r="BF109" s="425"/>
      <c r="BG109" s="433"/>
      <c r="BH109" s="434"/>
      <c r="BI109" s="431"/>
      <c r="BJ109" s="435"/>
      <c r="BK109" s="494"/>
    </row>
    <row r="110" spans="1:63">
      <c r="A110" s="488"/>
      <c r="B110" s="489"/>
      <c r="C110" s="490"/>
      <c r="D110" s="487"/>
      <c r="E110" s="491"/>
      <c r="F110" s="418"/>
      <c r="G110" s="419"/>
      <c r="H110" s="436"/>
      <c r="I110" s="437"/>
      <c r="J110" s="492"/>
      <c r="K110" s="439"/>
      <c r="L110" s="492"/>
      <c r="M110" s="438"/>
      <c r="N110" s="436"/>
      <c r="O110" s="438"/>
      <c r="P110" s="420"/>
      <c r="Q110" s="421"/>
      <c r="R110" s="421"/>
      <c r="S110" s="422"/>
      <c r="T110" s="422"/>
      <c r="U110" s="423"/>
      <c r="V110" s="424"/>
      <c r="W110" s="424"/>
      <c r="X110" s="425"/>
      <c r="Y110" s="426"/>
      <c r="Z110" s="417"/>
      <c r="AA110" s="493"/>
      <c r="AB110" s="427"/>
      <c r="AC110" s="438"/>
      <c r="AD110" s="428"/>
      <c r="AE110" s="437"/>
      <c r="AF110" s="437"/>
      <c r="AG110" s="438"/>
      <c r="AH110" s="428"/>
      <c r="AI110" s="438"/>
      <c r="AJ110" s="429"/>
      <c r="AK110" s="424"/>
      <c r="AL110" s="424"/>
      <c r="AM110" s="430"/>
      <c r="AN110" s="431"/>
      <c r="AO110" s="432"/>
      <c r="AP110" s="425"/>
      <c r="AQ110" s="433"/>
      <c r="AR110" s="425"/>
      <c r="AS110" s="433"/>
      <c r="AT110" s="434"/>
      <c r="AU110" s="431"/>
      <c r="AV110" s="435"/>
      <c r="AW110" s="494"/>
      <c r="AX110" s="429"/>
      <c r="AY110" s="424"/>
      <c r="AZ110" s="424"/>
      <c r="BA110" s="430"/>
      <c r="BB110" s="431"/>
      <c r="BC110" s="432"/>
      <c r="BD110" s="425"/>
      <c r="BE110" s="433"/>
      <c r="BF110" s="425"/>
      <c r="BG110" s="433"/>
      <c r="BH110" s="434"/>
      <c r="BI110" s="431"/>
      <c r="BJ110" s="435"/>
      <c r="BK110" s="494"/>
    </row>
    <row r="111" spans="1:63">
      <c r="A111" s="488"/>
      <c r="B111" s="489"/>
      <c r="C111" s="490"/>
      <c r="D111" s="487"/>
      <c r="E111" s="491"/>
      <c r="F111" s="418"/>
      <c r="G111" s="419"/>
      <c r="H111" s="436"/>
      <c r="I111" s="437"/>
      <c r="J111" s="492"/>
      <c r="K111" s="439"/>
      <c r="L111" s="492"/>
      <c r="M111" s="438"/>
      <c r="N111" s="436"/>
      <c r="O111" s="438"/>
      <c r="P111" s="420"/>
      <c r="Q111" s="421"/>
      <c r="R111" s="421"/>
      <c r="S111" s="422"/>
      <c r="T111" s="422"/>
      <c r="U111" s="423"/>
      <c r="V111" s="424"/>
      <c r="W111" s="424"/>
      <c r="X111" s="425"/>
      <c r="Y111" s="426"/>
      <c r="Z111" s="417"/>
      <c r="AA111" s="493"/>
      <c r="AB111" s="427"/>
      <c r="AC111" s="438"/>
      <c r="AD111" s="428"/>
      <c r="AE111" s="437"/>
      <c r="AF111" s="437"/>
      <c r="AG111" s="438"/>
      <c r="AH111" s="428"/>
      <c r="AI111" s="438"/>
      <c r="AJ111" s="429"/>
      <c r="AK111" s="424"/>
      <c r="AL111" s="424"/>
      <c r="AM111" s="430"/>
      <c r="AN111" s="431"/>
      <c r="AO111" s="432"/>
      <c r="AP111" s="425"/>
      <c r="AQ111" s="433"/>
      <c r="AR111" s="425"/>
      <c r="AS111" s="433"/>
      <c r="AT111" s="434"/>
      <c r="AU111" s="431"/>
      <c r="AV111" s="435"/>
      <c r="AW111" s="494"/>
      <c r="AX111" s="429"/>
      <c r="AY111" s="424"/>
      <c r="AZ111" s="424"/>
      <c r="BA111" s="430"/>
      <c r="BB111" s="431"/>
      <c r="BC111" s="432"/>
      <c r="BD111" s="425"/>
      <c r="BE111" s="433"/>
      <c r="BF111" s="425"/>
      <c r="BG111" s="433"/>
      <c r="BH111" s="434"/>
      <c r="BI111" s="431"/>
      <c r="BJ111" s="435"/>
      <c r="BK111" s="494"/>
    </row>
    <row r="112" spans="1:63">
      <c r="A112" s="488"/>
      <c r="B112" s="489"/>
      <c r="C112" s="490"/>
      <c r="D112" s="487"/>
      <c r="E112" s="491"/>
      <c r="F112" s="418"/>
      <c r="G112" s="419"/>
      <c r="H112" s="436"/>
      <c r="I112" s="437"/>
      <c r="J112" s="492"/>
      <c r="K112" s="439"/>
      <c r="L112" s="492"/>
      <c r="M112" s="438"/>
      <c r="N112" s="436"/>
      <c r="O112" s="438"/>
      <c r="P112" s="420"/>
      <c r="Q112" s="421"/>
      <c r="R112" s="421"/>
      <c r="S112" s="422"/>
      <c r="T112" s="422"/>
      <c r="U112" s="423"/>
      <c r="V112" s="424"/>
      <c r="W112" s="424"/>
      <c r="X112" s="425"/>
      <c r="Y112" s="426"/>
      <c r="Z112" s="417"/>
      <c r="AA112" s="493"/>
      <c r="AB112" s="427"/>
      <c r="AC112" s="438"/>
      <c r="AD112" s="428"/>
      <c r="AE112" s="437"/>
      <c r="AF112" s="437"/>
      <c r="AG112" s="438"/>
      <c r="AH112" s="428"/>
      <c r="AI112" s="438"/>
      <c r="AJ112" s="429"/>
      <c r="AK112" s="424"/>
      <c r="AL112" s="424"/>
      <c r="AM112" s="430"/>
      <c r="AN112" s="431"/>
      <c r="AO112" s="432"/>
      <c r="AP112" s="425"/>
      <c r="AQ112" s="433"/>
      <c r="AR112" s="425"/>
      <c r="AS112" s="433"/>
      <c r="AT112" s="434"/>
      <c r="AU112" s="431"/>
      <c r="AV112" s="435"/>
      <c r="AW112" s="494"/>
      <c r="AX112" s="429"/>
      <c r="AY112" s="424"/>
      <c r="AZ112" s="424"/>
      <c r="BA112" s="430"/>
      <c r="BB112" s="431"/>
      <c r="BC112" s="432"/>
      <c r="BD112" s="425"/>
      <c r="BE112" s="433"/>
      <c r="BF112" s="425"/>
      <c r="BG112" s="433"/>
      <c r="BH112" s="434"/>
      <c r="BI112" s="431"/>
      <c r="BJ112" s="435"/>
      <c r="BK112" s="494"/>
    </row>
    <row r="113" spans="1:63">
      <c r="A113" s="488"/>
      <c r="B113" s="489"/>
      <c r="C113" s="490"/>
      <c r="D113" s="487"/>
      <c r="E113" s="491"/>
      <c r="F113" s="418"/>
      <c r="G113" s="419"/>
      <c r="H113" s="436"/>
      <c r="I113" s="437"/>
      <c r="J113" s="492"/>
      <c r="K113" s="439"/>
      <c r="L113" s="492"/>
      <c r="M113" s="438"/>
      <c r="N113" s="436"/>
      <c r="O113" s="438"/>
      <c r="P113" s="420"/>
      <c r="Q113" s="421"/>
      <c r="R113" s="421"/>
      <c r="S113" s="422"/>
      <c r="T113" s="422"/>
      <c r="U113" s="423"/>
      <c r="V113" s="424"/>
      <c r="W113" s="424"/>
      <c r="X113" s="425"/>
      <c r="Y113" s="426"/>
      <c r="Z113" s="417"/>
      <c r="AA113" s="493"/>
      <c r="AB113" s="427"/>
      <c r="AC113" s="438"/>
      <c r="AD113" s="428"/>
      <c r="AE113" s="437"/>
      <c r="AF113" s="437"/>
      <c r="AG113" s="438"/>
      <c r="AH113" s="428"/>
      <c r="AI113" s="438"/>
      <c r="AJ113" s="429"/>
      <c r="AK113" s="424"/>
      <c r="AL113" s="424"/>
      <c r="AM113" s="430"/>
      <c r="AN113" s="431"/>
      <c r="AO113" s="432"/>
      <c r="AP113" s="425"/>
      <c r="AQ113" s="433"/>
      <c r="AR113" s="425"/>
      <c r="AS113" s="433"/>
      <c r="AT113" s="434"/>
      <c r="AU113" s="431"/>
      <c r="AV113" s="435"/>
      <c r="AW113" s="494"/>
      <c r="AX113" s="429"/>
      <c r="AY113" s="424"/>
      <c r="AZ113" s="424"/>
      <c r="BA113" s="430"/>
      <c r="BB113" s="431"/>
      <c r="BC113" s="432"/>
      <c r="BD113" s="425"/>
      <c r="BE113" s="433"/>
      <c r="BF113" s="425"/>
      <c r="BG113" s="433"/>
      <c r="BH113" s="434"/>
      <c r="BI113" s="431"/>
      <c r="BJ113" s="435"/>
      <c r="BK113" s="494"/>
    </row>
    <row r="114" spans="1:63">
      <c r="A114" s="488"/>
      <c r="B114" s="489"/>
      <c r="C114" s="490"/>
      <c r="D114" s="487"/>
      <c r="E114" s="491"/>
      <c r="F114" s="418"/>
      <c r="G114" s="419"/>
      <c r="H114" s="436"/>
      <c r="I114" s="437"/>
      <c r="J114" s="492"/>
      <c r="K114" s="439"/>
      <c r="L114" s="492"/>
      <c r="M114" s="438"/>
      <c r="N114" s="436"/>
      <c r="O114" s="438"/>
      <c r="P114" s="420"/>
      <c r="Q114" s="421"/>
      <c r="R114" s="421"/>
      <c r="S114" s="422"/>
      <c r="T114" s="422"/>
      <c r="U114" s="423"/>
      <c r="V114" s="424"/>
      <c r="W114" s="424"/>
      <c r="X114" s="425"/>
      <c r="Y114" s="426"/>
      <c r="Z114" s="417"/>
      <c r="AA114" s="493"/>
      <c r="AB114" s="427"/>
      <c r="AC114" s="438"/>
      <c r="AD114" s="428"/>
      <c r="AE114" s="437"/>
      <c r="AF114" s="437"/>
      <c r="AG114" s="438"/>
      <c r="AH114" s="428"/>
      <c r="AI114" s="438"/>
      <c r="AJ114" s="429"/>
      <c r="AK114" s="424"/>
      <c r="AL114" s="424"/>
      <c r="AM114" s="430"/>
      <c r="AN114" s="431"/>
      <c r="AO114" s="432"/>
      <c r="AP114" s="425"/>
      <c r="AQ114" s="433"/>
      <c r="AR114" s="425"/>
      <c r="AS114" s="433"/>
      <c r="AT114" s="434"/>
      <c r="AU114" s="431"/>
      <c r="AV114" s="435"/>
      <c r="AW114" s="494"/>
      <c r="AX114" s="429"/>
      <c r="AY114" s="424"/>
      <c r="AZ114" s="424"/>
      <c r="BA114" s="430"/>
      <c r="BB114" s="431"/>
      <c r="BC114" s="432"/>
      <c r="BD114" s="425"/>
      <c r="BE114" s="433"/>
      <c r="BF114" s="425"/>
      <c r="BG114" s="433"/>
      <c r="BH114" s="434"/>
      <c r="BI114" s="431"/>
      <c r="BJ114" s="435"/>
      <c r="BK114" s="494"/>
    </row>
    <row r="115" spans="1:63">
      <c r="A115" s="488"/>
      <c r="B115" s="489"/>
      <c r="C115" s="490"/>
      <c r="D115" s="487"/>
      <c r="E115" s="491"/>
      <c r="F115" s="418"/>
      <c r="G115" s="419"/>
      <c r="H115" s="436"/>
      <c r="I115" s="437"/>
      <c r="J115" s="492"/>
      <c r="K115" s="439"/>
      <c r="L115" s="492"/>
      <c r="M115" s="438"/>
      <c r="N115" s="436"/>
      <c r="O115" s="438"/>
      <c r="P115" s="420"/>
      <c r="Q115" s="421"/>
      <c r="R115" s="421"/>
      <c r="S115" s="422"/>
      <c r="T115" s="422"/>
      <c r="U115" s="423"/>
      <c r="V115" s="424"/>
      <c r="W115" s="424"/>
      <c r="X115" s="425"/>
      <c r="Y115" s="426"/>
      <c r="Z115" s="417"/>
      <c r="AA115" s="493"/>
      <c r="AB115" s="427"/>
      <c r="AC115" s="438"/>
      <c r="AD115" s="428"/>
      <c r="AE115" s="437"/>
      <c r="AF115" s="437"/>
      <c r="AG115" s="438"/>
      <c r="AH115" s="428"/>
      <c r="AI115" s="438"/>
      <c r="AJ115" s="429"/>
      <c r="AK115" s="424"/>
      <c r="AL115" s="424"/>
      <c r="AM115" s="430"/>
      <c r="AN115" s="431"/>
      <c r="AO115" s="432"/>
      <c r="AP115" s="425"/>
      <c r="AQ115" s="433"/>
      <c r="AR115" s="425"/>
      <c r="AS115" s="433"/>
      <c r="AT115" s="434"/>
      <c r="AU115" s="431"/>
      <c r="AV115" s="435"/>
      <c r="AW115" s="494"/>
      <c r="AX115" s="429"/>
      <c r="AY115" s="424"/>
      <c r="AZ115" s="424"/>
      <c r="BA115" s="430"/>
      <c r="BB115" s="431"/>
      <c r="BC115" s="432"/>
      <c r="BD115" s="425"/>
      <c r="BE115" s="433"/>
      <c r="BF115" s="425"/>
      <c r="BG115" s="433"/>
      <c r="BH115" s="434"/>
      <c r="BI115" s="431"/>
      <c r="BJ115" s="435"/>
      <c r="BK115" s="494"/>
    </row>
    <row r="116" spans="1:63">
      <c r="A116" s="488"/>
      <c r="B116" s="489"/>
      <c r="C116" s="490"/>
      <c r="D116" s="487"/>
      <c r="E116" s="491"/>
      <c r="F116" s="418"/>
      <c r="G116" s="419"/>
      <c r="H116" s="436"/>
      <c r="I116" s="437"/>
      <c r="J116" s="492"/>
      <c r="K116" s="439"/>
      <c r="L116" s="492"/>
      <c r="M116" s="438"/>
      <c r="N116" s="436"/>
      <c r="O116" s="438"/>
      <c r="P116" s="420"/>
      <c r="Q116" s="421"/>
      <c r="R116" s="421"/>
      <c r="S116" s="422"/>
      <c r="T116" s="422"/>
      <c r="U116" s="423"/>
      <c r="V116" s="424"/>
      <c r="W116" s="424"/>
      <c r="X116" s="425"/>
      <c r="Y116" s="426"/>
      <c r="Z116" s="417"/>
      <c r="AA116" s="493"/>
      <c r="AB116" s="427"/>
      <c r="AC116" s="438"/>
      <c r="AD116" s="428"/>
      <c r="AE116" s="437"/>
      <c r="AF116" s="437"/>
      <c r="AG116" s="438"/>
      <c r="AH116" s="428"/>
      <c r="AI116" s="438"/>
      <c r="AJ116" s="429"/>
      <c r="AK116" s="424"/>
      <c r="AL116" s="424"/>
      <c r="AM116" s="430"/>
      <c r="AN116" s="431"/>
      <c r="AO116" s="432"/>
      <c r="AP116" s="425"/>
      <c r="AQ116" s="433"/>
      <c r="AR116" s="425"/>
      <c r="AS116" s="433"/>
      <c r="AT116" s="434"/>
      <c r="AU116" s="431"/>
      <c r="AV116" s="435"/>
      <c r="AW116" s="494"/>
      <c r="AX116" s="429"/>
      <c r="AY116" s="424"/>
      <c r="AZ116" s="424"/>
      <c r="BA116" s="430"/>
      <c r="BB116" s="431"/>
      <c r="BC116" s="432"/>
      <c r="BD116" s="425"/>
      <c r="BE116" s="433"/>
      <c r="BF116" s="425"/>
      <c r="BG116" s="433"/>
      <c r="BH116" s="434"/>
      <c r="BI116" s="431"/>
      <c r="BJ116" s="435"/>
      <c r="BK116" s="494"/>
    </row>
    <row r="117" spans="1:63">
      <c r="A117" s="488"/>
      <c r="B117" s="489"/>
      <c r="C117" s="490"/>
      <c r="D117" s="487"/>
      <c r="E117" s="491"/>
      <c r="F117" s="418"/>
      <c r="G117" s="419"/>
      <c r="H117" s="436"/>
      <c r="I117" s="437"/>
      <c r="J117" s="492"/>
      <c r="K117" s="439"/>
      <c r="L117" s="492"/>
      <c r="M117" s="438"/>
      <c r="N117" s="436"/>
      <c r="O117" s="438"/>
      <c r="P117" s="420"/>
      <c r="Q117" s="421"/>
      <c r="R117" s="421"/>
      <c r="S117" s="422"/>
      <c r="T117" s="422"/>
      <c r="U117" s="423"/>
      <c r="V117" s="424"/>
      <c r="W117" s="424"/>
      <c r="X117" s="425"/>
      <c r="Y117" s="426"/>
      <c r="Z117" s="417"/>
      <c r="AA117" s="493"/>
      <c r="AB117" s="427"/>
      <c r="AC117" s="438"/>
      <c r="AD117" s="428"/>
      <c r="AE117" s="437"/>
      <c r="AF117" s="437"/>
      <c r="AG117" s="438"/>
      <c r="AH117" s="428"/>
      <c r="AI117" s="438"/>
      <c r="AJ117" s="429"/>
      <c r="AK117" s="424"/>
      <c r="AL117" s="424"/>
      <c r="AM117" s="430"/>
      <c r="AN117" s="431"/>
      <c r="AO117" s="432"/>
      <c r="AP117" s="425"/>
      <c r="AQ117" s="433"/>
      <c r="AR117" s="425"/>
      <c r="AS117" s="433"/>
      <c r="AT117" s="434"/>
      <c r="AU117" s="431"/>
      <c r="AV117" s="435"/>
      <c r="AW117" s="494"/>
      <c r="AX117" s="429"/>
      <c r="AY117" s="424"/>
      <c r="AZ117" s="424"/>
      <c r="BA117" s="430"/>
      <c r="BB117" s="431"/>
      <c r="BC117" s="432"/>
      <c r="BD117" s="425"/>
      <c r="BE117" s="433"/>
      <c r="BF117" s="425"/>
      <c r="BG117" s="433"/>
      <c r="BH117" s="434"/>
      <c r="BI117" s="431"/>
      <c r="BJ117" s="435"/>
      <c r="BK117" s="494"/>
    </row>
    <row r="118" spans="1:63">
      <c r="A118" s="488"/>
      <c r="B118" s="489"/>
      <c r="C118" s="490"/>
      <c r="D118" s="487"/>
      <c r="E118" s="491"/>
      <c r="F118" s="418"/>
      <c r="G118" s="419"/>
      <c r="H118" s="436"/>
      <c r="I118" s="437"/>
      <c r="J118" s="492"/>
      <c r="K118" s="439"/>
      <c r="L118" s="492"/>
      <c r="M118" s="438"/>
      <c r="N118" s="436"/>
      <c r="O118" s="438"/>
      <c r="P118" s="420"/>
      <c r="Q118" s="421"/>
      <c r="R118" s="421"/>
      <c r="S118" s="422"/>
      <c r="T118" s="422"/>
      <c r="U118" s="423"/>
      <c r="V118" s="424"/>
      <c r="W118" s="424"/>
      <c r="X118" s="425"/>
      <c r="Y118" s="426"/>
      <c r="Z118" s="417"/>
      <c r="AA118" s="493"/>
      <c r="AB118" s="427"/>
      <c r="AC118" s="438"/>
      <c r="AD118" s="428"/>
      <c r="AE118" s="437"/>
      <c r="AF118" s="437"/>
      <c r="AG118" s="438"/>
      <c r="AH118" s="428"/>
      <c r="AI118" s="438"/>
      <c r="AJ118" s="429"/>
      <c r="AK118" s="424"/>
      <c r="AL118" s="424"/>
      <c r="AM118" s="430"/>
      <c r="AN118" s="431"/>
      <c r="AO118" s="432"/>
      <c r="AP118" s="425"/>
      <c r="AQ118" s="433"/>
      <c r="AR118" s="425"/>
      <c r="AS118" s="433"/>
      <c r="AT118" s="434"/>
      <c r="AU118" s="431"/>
      <c r="AV118" s="435"/>
      <c r="AW118" s="494"/>
      <c r="AX118" s="429"/>
      <c r="AY118" s="424"/>
      <c r="AZ118" s="424"/>
      <c r="BA118" s="430"/>
      <c r="BB118" s="431"/>
      <c r="BC118" s="432"/>
      <c r="BD118" s="425"/>
      <c r="BE118" s="433"/>
      <c r="BF118" s="425"/>
      <c r="BG118" s="433"/>
      <c r="BH118" s="434"/>
      <c r="BI118" s="431"/>
      <c r="BJ118" s="435"/>
      <c r="BK118" s="494"/>
    </row>
    <row r="119" spans="1:63">
      <c r="A119" s="488"/>
      <c r="B119" s="489"/>
      <c r="C119" s="490"/>
      <c r="D119" s="487"/>
      <c r="E119" s="491"/>
      <c r="F119" s="418"/>
      <c r="G119" s="419"/>
      <c r="H119" s="436"/>
      <c r="I119" s="437"/>
      <c r="J119" s="492"/>
      <c r="K119" s="439"/>
      <c r="L119" s="492"/>
      <c r="M119" s="438"/>
      <c r="N119" s="436"/>
      <c r="O119" s="438"/>
      <c r="P119" s="420"/>
      <c r="Q119" s="421"/>
      <c r="R119" s="421"/>
      <c r="S119" s="422"/>
      <c r="T119" s="422"/>
      <c r="U119" s="423"/>
      <c r="V119" s="424"/>
      <c r="W119" s="424"/>
      <c r="X119" s="425"/>
      <c r="Y119" s="426"/>
      <c r="Z119" s="417"/>
      <c r="AA119" s="493"/>
      <c r="AB119" s="427"/>
      <c r="AC119" s="438"/>
      <c r="AD119" s="428"/>
      <c r="AE119" s="437"/>
      <c r="AF119" s="437"/>
      <c r="AG119" s="438"/>
      <c r="AH119" s="428"/>
      <c r="AI119" s="438"/>
      <c r="AJ119" s="429"/>
      <c r="AK119" s="424"/>
      <c r="AL119" s="424"/>
      <c r="AM119" s="430"/>
      <c r="AN119" s="431"/>
      <c r="AO119" s="432"/>
      <c r="AP119" s="425"/>
      <c r="AQ119" s="433"/>
      <c r="AR119" s="425"/>
      <c r="AS119" s="433"/>
      <c r="AT119" s="434"/>
      <c r="AU119" s="431"/>
      <c r="AV119" s="435"/>
      <c r="AW119" s="494"/>
      <c r="AX119" s="429"/>
      <c r="AY119" s="424"/>
      <c r="AZ119" s="424"/>
      <c r="BA119" s="430"/>
      <c r="BB119" s="431"/>
      <c r="BC119" s="432"/>
      <c r="BD119" s="425"/>
      <c r="BE119" s="433"/>
      <c r="BF119" s="425"/>
      <c r="BG119" s="433"/>
      <c r="BH119" s="434"/>
      <c r="BI119" s="431"/>
      <c r="BJ119" s="435"/>
      <c r="BK119" s="494"/>
    </row>
    <row r="120" spans="1:63">
      <c r="A120" s="488"/>
      <c r="B120" s="489"/>
      <c r="C120" s="490"/>
      <c r="D120" s="487"/>
      <c r="E120" s="491"/>
      <c r="F120" s="418"/>
      <c r="G120" s="419"/>
      <c r="H120" s="436"/>
      <c r="I120" s="437"/>
      <c r="J120" s="492"/>
      <c r="K120" s="439"/>
      <c r="L120" s="492"/>
      <c r="M120" s="438"/>
      <c r="N120" s="436"/>
      <c r="O120" s="438"/>
      <c r="P120" s="420"/>
      <c r="Q120" s="421"/>
      <c r="R120" s="421"/>
      <c r="S120" s="422"/>
      <c r="T120" s="422"/>
      <c r="U120" s="423"/>
      <c r="V120" s="424"/>
      <c r="W120" s="424"/>
      <c r="X120" s="425"/>
      <c r="Y120" s="426"/>
      <c r="Z120" s="417"/>
      <c r="AA120" s="493"/>
      <c r="AB120" s="427"/>
      <c r="AC120" s="438"/>
      <c r="AD120" s="428"/>
      <c r="AE120" s="437"/>
      <c r="AF120" s="437"/>
      <c r="AG120" s="438"/>
      <c r="AH120" s="428"/>
      <c r="AI120" s="438"/>
      <c r="AJ120" s="429"/>
      <c r="AK120" s="424"/>
      <c r="AL120" s="424"/>
      <c r="AM120" s="430"/>
      <c r="AN120" s="431"/>
      <c r="AO120" s="432"/>
      <c r="AP120" s="425"/>
      <c r="AQ120" s="433"/>
      <c r="AR120" s="425"/>
      <c r="AS120" s="433"/>
      <c r="AT120" s="434"/>
      <c r="AU120" s="431"/>
      <c r="AV120" s="435"/>
      <c r="AW120" s="494"/>
      <c r="AX120" s="429"/>
      <c r="AY120" s="424"/>
      <c r="AZ120" s="424"/>
      <c r="BA120" s="430"/>
      <c r="BB120" s="431"/>
      <c r="BC120" s="432"/>
      <c r="BD120" s="425"/>
      <c r="BE120" s="433"/>
      <c r="BF120" s="425"/>
      <c r="BG120" s="433"/>
      <c r="BH120" s="434"/>
      <c r="BI120" s="431"/>
      <c r="BJ120" s="435"/>
      <c r="BK120" s="494"/>
    </row>
    <row r="121" spans="1:63">
      <c r="A121" s="488"/>
      <c r="B121" s="489"/>
      <c r="C121" s="490"/>
      <c r="D121" s="487"/>
      <c r="E121" s="491"/>
      <c r="F121" s="418"/>
      <c r="G121" s="419"/>
      <c r="H121" s="436"/>
      <c r="I121" s="437"/>
      <c r="J121" s="492"/>
      <c r="K121" s="439"/>
      <c r="L121" s="492"/>
      <c r="M121" s="438"/>
      <c r="N121" s="436"/>
      <c r="O121" s="438"/>
      <c r="P121" s="420"/>
      <c r="Q121" s="421"/>
      <c r="R121" s="421"/>
      <c r="S121" s="422"/>
      <c r="T121" s="422"/>
      <c r="U121" s="423"/>
      <c r="V121" s="424"/>
      <c r="W121" s="424"/>
      <c r="X121" s="425"/>
      <c r="Y121" s="426"/>
      <c r="Z121" s="417"/>
      <c r="AA121" s="493"/>
      <c r="AB121" s="427"/>
      <c r="AC121" s="438"/>
      <c r="AD121" s="428"/>
      <c r="AE121" s="437"/>
      <c r="AF121" s="437"/>
      <c r="AG121" s="438"/>
      <c r="AH121" s="428"/>
      <c r="AI121" s="438"/>
      <c r="AJ121" s="429"/>
      <c r="AK121" s="424"/>
      <c r="AL121" s="424"/>
      <c r="AM121" s="430"/>
      <c r="AN121" s="431"/>
      <c r="AO121" s="432"/>
      <c r="AP121" s="425"/>
      <c r="AQ121" s="433"/>
      <c r="AR121" s="425"/>
      <c r="AS121" s="433"/>
      <c r="AT121" s="434"/>
      <c r="AU121" s="431"/>
      <c r="AV121" s="435"/>
      <c r="AW121" s="494"/>
      <c r="AX121" s="429"/>
      <c r="AY121" s="424"/>
      <c r="AZ121" s="424"/>
      <c r="BA121" s="430"/>
      <c r="BB121" s="431"/>
      <c r="BC121" s="432"/>
      <c r="BD121" s="425"/>
      <c r="BE121" s="433"/>
      <c r="BF121" s="425"/>
      <c r="BG121" s="433"/>
      <c r="BH121" s="434"/>
      <c r="BI121" s="431"/>
      <c r="BJ121" s="435"/>
      <c r="BK121" s="494"/>
    </row>
    <row r="122" spans="1:63">
      <c r="A122" s="488"/>
      <c r="B122" s="489"/>
      <c r="C122" s="490"/>
      <c r="D122" s="487"/>
      <c r="E122" s="491"/>
      <c r="F122" s="418"/>
      <c r="G122" s="419"/>
      <c r="H122" s="436"/>
      <c r="I122" s="437"/>
      <c r="J122" s="492"/>
      <c r="K122" s="439"/>
      <c r="L122" s="492"/>
      <c r="M122" s="438"/>
      <c r="N122" s="436"/>
      <c r="O122" s="438"/>
      <c r="P122" s="420"/>
      <c r="Q122" s="421"/>
      <c r="R122" s="421"/>
      <c r="S122" s="422"/>
      <c r="T122" s="422"/>
      <c r="U122" s="423"/>
      <c r="V122" s="424"/>
      <c r="W122" s="424"/>
      <c r="X122" s="425"/>
      <c r="Y122" s="426"/>
      <c r="Z122" s="417"/>
      <c r="AA122" s="493"/>
      <c r="AB122" s="427"/>
      <c r="AC122" s="438"/>
      <c r="AD122" s="428"/>
      <c r="AE122" s="437"/>
      <c r="AF122" s="437"/>
      <c r="AG122" s="438"/>
      <c r="AH122" s="428"/>
      <c r="AI122" s="438"/>
      <c r="AJ122" s="429"/>
      <c r="AK122" s="424"/>
      <c r="AL122" s="424"/>
      <c r="AM122" s="430"/>
      <c r="AN122" s="431"/>
      <c r="AO122" s="432"/>
      <c r="AP122" s="425"/>
      <c r="AQ122" s="433"/>
      <c r="AR122" s="425"/>
      <c r="AS122" s="433"/>
      <c r="AT122" s="434"/>
      <c r="AU122" s="431"/>
      <c r="AV122" s="435"/>
      <c r="AW122" s="494"/>
      <c r="AX122" s="429"/>
      <c r="AY122" s="424"/>
      <c r="AZ122" s="424"/>
      <c r="BA122" s="430"/>
      <c r="BB122" s="431"/>
      <c r="BC122" s="432"/>
      <c r="BD122" s="425"/>
      <c r="BE122" s="433"/>
      <c r="BF122" s="425"/>
      <c r="BG122" s="433"/>
      <c r="BH122" s="434"/>
      <c r="BI122" s="431"/>
      <c r="BJ122" s="435"/>
      <c r="BK122" s="494"/>
    </row>
    <row r="123" spans="1:63">
      <c r="A123" s="488"/>
      <c r="B123" s="489"/>
      <c r="C123" s="490"/>
      <c r="D123" s="487"/>
      <c r="E123" s="491"/>
      <c r="F123" s="418"/>
      <c r="G123" s="419"/>
      <c r="H123" s="436"/>
      <c r="I123" s="437"/>
      <c r="J123" s="492"/>
      <c r="K123" s="439"/>
      <c r="L123" s="492"/>
      <c r="M123" s="438"/>
      <c r="N123" s="436"/>
      <c r="O123" s="438"/>
      <c r="P123" s="420"/>
      <c r="Q123" s="421"/>
      <c r="R123" s="421"/>
      <c r="S123" s="422"/>
      <c r="T123" s="422"/>
      <c r="U123" s="423"/>
      <c r="V123" s="424"/>
      <c r="W123" s="424"/>
      <c r="X123" s="425"/>
      <c r="Y123" s="426"/>
      <c r="Z123" s="417"/>
      <c r="AA123" s="493"/>
      <c r="AB123" s="427"/>
      <c r="AC123" s="438"/>
      <c r="AD123" s="428"/>
      <c r="AE123" s="437"/>
      <c r="AF123" s="437"/>
      <c r="AG123" s="438"/>
      <c r="AH123" s="428"/>
      <c r="AI123" s="438"/>
      <c r="AJ123" s="429"/>
      <c r="AK123" s="424"/>
      <c r="AL123" s="424"/>
      <c r="AM123" s="430"/>
      <c r="AN123" s="431"/>
      <c r="AO123" s="432"/>
      <c r="AP123" s="425"/>
      <c r="AQ123" s="433"/>
      <c r="AR123" s="425"/>
      <c r="AS123" s="433"/>
      <c r="AT123" s="434"/>
      <c r="AU123" s="431"/>
      <c r="AV123" s="435"/>
      <c r="AW123" s="494"/>
      <c r="AX123" s="429"/>
      <c r="AY123" s="424"/>
      <c r="AZ123" s="424"/>
      <c r="BA123" s="430"/>
      <c r="BB123" s="431"/>
      <c r="BC123" s="432"/>
      <c r="BD123" s="425"/>
      <c r="BE123" s="433"/>
      <c r="BF123" s="425"/>
      <c r="BG123" s="433"/>
      <c r="BH123" s="434"/>
      <c r="BI123" s="431"/>
      <c r="BJ123" s="435"/>
      <c r="BK123" s="494"/>
    </row>
    <row r="124" spans="1:63">
      <c r="A124" s="488"/>
      <c r="B124" s="489"/>
      <c r="C124" s="490"/>
      <c r="D124" s="487"/>
      <c r="E124" s="491"/>
      <c r="F124" s="418"/>
      <c r="G124" s="419"/>
      <c r="H124" s="436"/>
      <c r="I124" s="437"/>
      <c r="J124" s="492"/>
      <c r="K124" s="439"/>
      <c r="L124" s="492"/>
      <c r="M124" s="438"/>
      <c r="N124" s="436"/>
      <c r="O124" s="438"/>
      <c r="P124" s="420"/>
      <c r="Q124" s="421"/>
      <c r="R124" s="421"/>
      <c r="S124" s="422"/>
      <c r="T124" s="422"/>
      <c r="U124" s="423"/>
      <c r="V124" s="424"/>
      <c r="W124" s="424"/>
      <c r="X124" s="425"/>
      <c r="Y124" s="426"/>
      <c r="Z124" s="417"/>
      <c r="AA124" s="493"/>
      <c r="AB124" s="427"/>
      <c r="AC124" s="438"/>
      <c r="AD124" s="428"/>
      <c r="AE124" s="437"/>
      <c r="AF124" s="437"/>
      <c r="AG124" s="438"/>
      <c r="AH124" s="428"/>
      <c r="AI124" s="438"/>
      <c r="AJ124" s="429"/>
      <c r="AK124" s="424"/>
      <c r="AL124" s="424"/>
      <c r="AM124" s="430"/>
      <c r="AN124" s="431"/>
      <c r="AO124" s="432"/>
      <c r="AP124" s="425"/>
      <c r="AQ124" s="433"/>
      <c r="AR124" s="425"/>
      <c r="AS124" s="433"/>
      <c r="AT124" s="434"/>
      <c r="AU124" s="431"/>
      <c r="AV124" s="435"/>
      <c r="AW124" s="494"/>
      <c r="AX124" s="429"/>
      <c r="AY124" s="424"/>
      <c r="AZ124" s="424"/>
      <c r="BA124" s="430"/>
      <c r="BB124" s="431"/>
      <c r="BC124" s="432"/>
      <c r="BD124" s="425"/>
      <c r="BE124" s="433"/>
      <c r="BF124" s="425"/>
      <c r="BG124" s="433"/>
      <c r="BH124" s="434"/>
      <c r="BI124" s="431"/>
      <c r="BJ124" s="435"/>
      <c r="BK124" s="494"/>
    </row>
    <row r="125" spans="1:63">
      <c r="A125" s="488"/>
      <c r="B125" s="489"/>
      <c r="C125" s="490"/>
      <c r="D125" s="487"/>
      <c r="E125" s="491"/>
      <c r="F125" s="418"/>
      <c r="G125" s="419"/>
      <c r="H125" s="436"/>
      <c r="I125" s="437"/>
      <c r="J125" s="492"/>
      <c r="K125" s="439"/>
      <c r="L125" s="492"/>
      <c r="M125" s="438"/>
      <c r="N125" s="436"/>
      <c r="O125" s="438"/>
      <c r="P125" s="420"/>
      <c r="Q125" s="421"/>
      <c r="R125" s="421"/>
      <c r="S125" s="422"/>
      <c r="T125" s="422"/>
      <c r="U125" s="423"/>
      <c r="V125" s="424"/>
      <c r="W125" s="424"/>
      <c r="X125" s="425"/>
      <c r="Y125" s="426"/>
      <c r="Z125" s="417"/>
      <c r="AA125" s="493"/>
      <c r="AB125" s="427"/>
      <c r="AC125" s="438"/>
      <c r="AD125" s="428"/>
      <c r="AE125" s="437"/>
      <c r="AF125" s="437"/>
      <c r="AG125" s="438"/>
      <c r="AH125" s="428"/>
      <c r="AI125" s="438"/>
      <c r="AJ125" s="429"/>
      <c r="AK125" s="424"/>
      <c r="AL125" s="424"/>
      <c r="AM125" s="430"/>
      <c r="AN125" s="431"/>
      <c r="AO125" s="432"/>
      <c r="AP125" s="425"/>
      <c r="AQ125" s="433"/>
      <c r="AR125" s="425"/>
      <c r="AS125" s="433"/>
      <c r="AT125" s="434"/>
      <c r="AU125" s="431"/>
      <c r="AV125" s="435"/>
      <c r="AW125" s="494"/>
      <c r="AX125" s="429"/>
      <c r="AY125" s="424"/>
      <c r="AZ125" s="424"/>
      <c r="BA125" s="430"/>
      <c r="BB125" s="431"/>
      <c r="BC125" s="432"/>
      <c r="BD125" s="425"/>
      <c r="BE125" s="433"/>
      <c r="BF125" s="425"/>
      <c r="BG125" s="433"/>
      <c r="BH125" s="434"/>
      <c r="BI125" s="431"/>
      <c r="BJ125" s="435"/>
      <c r="BK125" s="494"/>
    </row>
    <row r="126" spans="1:63">
      <c r="A126" s="488"/>
      <c r="B126" s="489"/>
      <c r="C126" s="490"/>
      <c r="D126" s="487"/>
      <c r="E126" s="491"/>
      <c r="F126" s="418"/>
      <c r="G126" s="419"/>
      <c r="H126" s="436"/>
      <c r="I126" s="437"/>
      <c r="J126" s="492"/>
      <c r="K126" s="439"/>
      <c r="L126" s="492"/>
      <c r="M126" s="438"/>
      <c r="N126" s="436"/>
      <c r="O126" s="438"/>
      <c r="P126" s="420"/>
      <c r="Q126" s="421"/>
      <c r="R126" s="421"/>
      <c r="S126" s="422"/>
      <c r="T126" s="422"/>
      <c r="U126" s="423"/>
      <c r="V126" s="424"/>
      <c r="W126" s="424"/>
      <c r="X126" s="425"/>
      <c r="Y126" s="426"/>
      <c r="Z126" s="417"/>
      <c r="AA126" s="493"/>
      <c r="AB126" s="427"/>
      <c r="AC126" s="438"/>
      <c r="AD126" s="428"/>
      <c r="AE126" s="437"/>
      <c r="AF126" s="437"/>
      <c r="AG126" s="438"/>
      <c r="AH126" s="428"/>
      <c r="AI126" s="438"/>
      <c r="AJ126" s="429"/>
      <c r="AK126" s="424"/>
      <c r="AL126" s="424"/>
      <c r="AM126" s="430"/>
      <c r="AN126" s="431"/>
      <c r="AO126" s="432"/>
      <c r="AP126" s="425"/>
      <c r="AQ126" s="433"/>
      <c r="AR126" s="425"/>
      <c r="AS126" s="433"/>
      <c r="AT126" s="434"/>
      <c r="AU126" s="431"/>
      <c r="AV126" s="435"/>
      <c r="AW126" s="494"/>
      <c r="AX126" s="429"/>
      <c r="AY126" s="424"/>
      <c r="AZ126" s="424"/>
      <c r="BA126" s="430"/>
      <c r="BB126" s="431"/>
      <c r="BC126" s="432"/>
      <c r="BD126" s="425"/>
      <c r="BE126" s="433"/>
      <c r="BF126" s="425"/>
      <c r="BG126" s="433"/>
      <c r="BH126" s="434"/>
      <c r="BI126" s="431"/>
      <c r="BJ126" s="435"/>
      <c r="BK126" s="494"/>
    </row>
    <row r="127" spans="1:63">
      <c r="A127" s="488"/>
      <c r="B127" s="489"/>
      <c r="C127" s="490"/>
      <c r="D127" s="487"/>
      <c r="E127" s="491"/>
      <c r="F127" s="418"/>
      <c r="G127" s="419"/>
      <c r="H127" s="436"/>
      <c r="I127" s="437"/>
      <c r="J127" s="492"/>
      <c r="K127" s="439"/>
      <c r="L127" s="492"/>
      <c r="M127" s="438"/>
      <c r="N127" s="436"/>
      <c r="O127" s="438"/>
      <c r="P127" s="420"/>
      <c r="Q127" s="421"/>
      <c r="R127" s="421"/>
      <c r="S127" s="422"/>
      <c r="T127" s="422"/>
      <c r="U127" s="423"/>
      <c r="V127" s="424"/>
      <c r="W127" s="424"/>
      <c r="X127" s="425"/>
      <c r="Y127" s="426"/>
      <c r="Z127" s="417"/>
      <c r="AA127" s="493"/>
      <c r="AB127" s="427"/>
      <c r="AC127" s="438"/>
      <c r="AD127" s="428"/>
      <c r="AE127" s="437"/>
      <c r="AF127" s="437"/>
      <c r="AG127" s="438"/>
      <c r="AH127" s="428"/>
      <c r="AI127" s="438"/>
      <c r="AJ127" s="429"/>
      <c r="AK127" s="424"/>
      <c r="AL127" s="424"/>
      <c r="AM127" s="430"/>
      <c r="AN127" s="431"/>
      <c r="AO127" s="432"/>
      <c r="AP127" s="425"/>
      <c r="AQ127" s="433"/>
      <c r="AR127" s="425"/>
      <c r="AS127" s="433"/>
      <c r="AT127" s="434"/>
      <c r="AU127" s="431"/>
      <c r="AV127" s="435"/>
      <c r="AW127" s="494"/>
      <c r="AX127" s="429"/>
      <c r="AY127" s="424"/>
      <c r="AZ127" s="424"/>
      <c r="BA127" s="430"/>
      <c r="BB127" s="431"/>
      <c r="BC127" s="432"/>
      <c r="BD127" s="425"/>
      <c r="BE127" s="433"/>
      <c r="BF127" s="425"/>
      <c r="BG127" s="433"/>
      <c r="BH127" s="434"/>
      <c r="BI127" s="431"/>
      <c r="BJ127" s="435"/>
      <c r="BK127" s="494"/>
    </row>
    <row r="128" spans="1:63">
      <c r="A128" s="488"/>
      <c r="B128" s="489"/>
      <c r="C128" s="490"/>
      <c r="D128" s="487"/>
      <c r="E128" s="491"/>
      <c r="F128" s="418"/>
      <c r="G128" s="419"/>
      <c r="H128" s="436"/>
      <c r="I128" s="437"/>
      <c r="J128" s="492"/>
      <c r="K128" s="439"/>
      <c r="L128" s="492"/>
      <c r="M128" s="438"/>
      <c r="N128" s="436"/>
      <c r="O128" s="438"/>
      <c r="P128" s="420"/>
      <c r="Q128" s="421"/>
      <c r="R128" s="421"/>
      <c r="S128" s="422"/>
      <c r="T128" s="422"/>
      <c r="U128" s="423"/>
      <c r="V128" s="424"/>
      <c r="W128" s="424"/>
      <c r="X128" s="425"/>
      <c r="Y128" s="426"/>
      <c r="Z128" s="417"/>
      <c r="AA128" s="493"/>
      <c r="AB128" s="427"/>
      <c r="AC128" s="438"/>
      <c r="AD128" s="428"/>
      <c r="AE128" s="437"/>
      <c r="AF128" s="437"/>
      <c r="AG128" s="438"/>
      <c r="AH128" s="428"/>
      <c r="AI128" s="438"/>
      <c r="AJ128" s="429"/>
      <c r="AK128" s="424"/>
      <c r="AL128" s="424"/>
      <c r="AM128" s="430"/>
      <c r="AN128" s="431"/>
      <c r="AO128" s="432"/>
      <c r="AP128" s="425"/>
      <c r="AQ128" s="433"/>
      <c r="AR128" s="425"/>
      <c r="AS128" s="433"/>
      <c r="AT128" s="434"/>
      <c r="AU128" s="431"/>
      <c r="AV128" s="435"/>
      <c r="AW128" s="494"/>
      <c r="AX128" s="429"/>
      <c r="AY128" s="424"/>
      <c r="AZ128" s="424"/>
      <c r="BA128" s="430"/>
      <c r="BB128" s="431"/>
      <c r="BC128" s="432"/>
      <c r="BD128" s="425"/>
      <c r="BE128" s="433"/>
      <c r="BF128" s="425"/>
      <c r="BG128" s="433"/>
      <c r="BH128" s="434"/>
      <c r="BI128" s="431"/>
      <c r="BJ128" s="435"/>
      <c r="BK128" s="494"/>
    </row>
    <row r="129" spans="1:63">
      <c r="A129" s="488"/>
      <c r="B129" s="489"/>
      <c r="C129" s="490"/>
      <c r="D129" s="487"/>
      <c r="E129" s="491"/>
      <c r="F129" s="418"/>
      <c r="G129" s="419"/>
      <c r="H129" s="436"/>
      <c r="I129" s="437"/>
      <c r="J129" s="492"/>
      <c r="K129" s="439"/>
      <c r="L129" s="492"/>
      <c r="M129" s="438"/>
      <c r="N129" s="436"/>
      <c r="O129" s="438"/>
      <c r="P129" s="420"/>
      <c r="Q129" s="421"/>
      <c r="R129" s="421"/>
      <c r="S129" s="422"/>
      <c r="T129" s="422"/>
      <c r="U129" s="423"/>
      <c r="V129" s="424"/>
      <c r="W129" s="424"/>
      <c r="X129" s="425"/>
      <c r="Y129" s="426"/>
      <c r="Z129" s="417"/>
      <c r="AA129" s="493"/>
      <c r="AB129" s="427"/>
      <c r="AC129" s="438"/>
      <c r="AD129" s="428"/>
      <c r="AE129" s="437"/>
      <c r="AF129" s="437"/>
      <c r="AG129" s="438"/>
      <c r="AH129" s="428"/>
      <c r="AI129" s="438"/>
      <c r="AJ129" s="429"/>
      <c r="AK129" s="424"/>
      <c r="AL129" s="424"/>
      <c r="AM129" s="430"/>
      <c r="AN129" s="431"/>
      <c r="AO129" s="432"/>
      <c r="AP129" s="425"/>
      <c r="AQ129" s="433"/>
      <c r="AR129" s="425"/>
      <c r="AS129" s="433"/>
      <c r="AT129" s="434"/>
      <c r="AU129" s="431"/>
      <c r="AV129" s="435"/>
      <c r="AW129" s="494"/>
      <c r="AX129" s="429"/>
      <c r="AY129" s="424"/>
      <c r="AZ129" s="424"/>
      <c r="BA129" s="430"/>
      <c r="BB129" s="431"/>
      <c r="BC129" s="432"/>
      <c r="BD129" s="425"/>
      <c r="BE129" s="433"/>
      <c r="BF129" s="425"/>
      <c r="BG129" s="433"/>
      <c r="BH129" s="434"/>
      <c r="BI129" s="431"/>
      <c r="BJ129" s="435"/>
      <c r="BK129" s="494"/>
    </row>
    <row r="130" spans="1:63">
      <c r="A130" s="488"/>
      <c r="B130" s="489"/>
      <c r="C130" s="490"/>
      <c r="D130" s="487"/>
      <c r="E130" s="491"/>
      <c r="F130" s="418"/>
      <c r="G130" s="419"/>
      <c r="H130" s="436"/>
      <c r="I130" s="437"/>
      <c r="J130" s="492"/>
      <c r="K130" s="439"/>
      <c r="L130" s="492"/>
      <c r="M130" s="438"/>
      <c r="N130" s="436"/>
      <c r="O130" s="438"/>
      <c r="P130" s="420"/>
      <c r="Q130" s="421"/>
      <c r="R130" s="421"/>
      <c r="S130" s="422"/>
      <c r="T130" s="422"/>
      <c r="U130" s="423"/>
      <c r="V130" s="424"/>
      <c r="W130" s="424"/>
      <c r="X130" s="425"/>
      <c r="Y130" s="426"/>
      <c r="Z130" s="417"/>
      <c r="AA130" s="493"/>
      <c r="AB130" s="427"/>
      <c r="AC130" s="438"/>
      <c r="AD130" s="428"/>
      <c r="AE130" s="437"/>
      <c r="AF130" s="437"/>
      <c r="AG130" s="438"/>
      <c r="AH130" s="428"/>
      <c r="AI130" s="438"/>
      <c r="AJ130" s="429"/>
      <c r="AK130" s="424"/>
      <c r="AL130" s="424"/>
      <c r="AM130" s="430"/>
      <c r="AN130" s="431"/>
      <c r="AO130" s="432"/>
      <c r="AP130" s="425"/>
      <c r="AQ130" s="433"/>
      <c r="AR130" s="425"/>
      <c r="AS130" s="433"/>
      <c r="AT130" s="434"/>
      <c r="AU130" s="431"/>
      <c r="AV130" s="435"/>
      <c r="AW130" s="494"/>
      <c r="AX130" s="429"/>
      <c r="AY130" s="424"/>
      <c r="AZ130" s="424"/>
      <c r="BA130" s="430"/>
      <c r="BB130" s="431"/>
      <c r="BC130" s="432"/>
      <c r="BD130" s="425"/>
      <c r="BE130" s="433"/>
      <c r="BF130" s="425"/>
      <c r="BG130" s="433"/>
      <c r="BH130" s="434"/>
      <c r="BI130" s="431"/>
      <c r="BJ130" s="435"/>
      <c r="BK130" s="494"/>
    </row>
    <row r="131" spans="1:63">
      <c r="A131" s="488"/>
      <c r="B131" s="489"/>
      <c r="C131" s="490"/>
      <c r="D131" s="487"/>
      <c r="E131" s="491"/>
      <c r="F131" s="418"/>
      <c r="G131" s="419"/>
      <c r="H131" s="436"/>
      <c r="I131" s="437"/>
      <c r="J131" s="492"/>
      <c r="K131" s="439"/>
      <c r="L131" s="492"/>
      <c r="M131" s="438"/>
      <c r="N131" s="436"/>
      <c r="O131" s="438"/>
      <c r="P131" s="420"/>
      <c r="Q131" s="421"/>
      <c r="R131" s="421"/>
      <c r="S131" s="422"/>
      <c r="T131" s="422"/>
      <c r="U131" s="423"/>
      <c r="V131" s="424"/>
      <c r="W131" s="424"/>
      <c r="X131" s="425"/>
      <c r="Y131" s="426"/>
      <c r="Z131" s="417"/>
      <c r="AA131" s="493"/>
      <c r="AB131" s="427"/>
      <c r="AC131" s="438"/>
      <c r="AD131" s="428"/>
      <c r="AE131" s="437"/>
      <c r="AF131" s="437"/>
      <c r="AG131" s="438"/>
      <c r="AH131" s="428"/>
      <c r="AI131" s="438"/>
      <c r="AJ131" s="429"/>
      <c r="AK131" s="424"/>
      <c r="AL131" s="424"/>
      <c r="AM131" s="430"/>
      <c r="AN131" s="431"/>
      <c r="AO131" s="432"/>
      <c r="AP131" s="425"/>
      <c r="AQ131" s="433"/>
      <c r="AR131" s="425"/>
      <c r="AS131" s="433"/>
      <c r="AT131" s="434"/>
      <c r="AU131" s="431"/>
      <c r="AV131" s="435"/>
      <c r="AW131" s="494"/>
      <c r="AX131" s="429"/>
      <c r="AY131" s="424"/>
      <c r="AZ131" s="424"/>
      <c r="BA131" s="430"/>
      <c r="BB131" s="431"/>
      <c r="BC131" s="432"/>
      <c r="BD131" s="425"/>
      <c r="BE131" s="433"/>
      <c r="BF131" s="425"/>
      <c r="BG131" s="433"/>
      <c r="BH131" s="434"/>
      <c r="BI131" s="431"/>
      <c r="BJ131" s="435"/>
      <c r="BK131" s="494"/>
    </row>
    <row r="132" spans="1:63">
      <c r="A132" s="488"/>
      <c r="B132" s="489"/>
      <c r="C132" s="490"/>
      <c r="D132" s="487"/>
      <c r="E132" s="491"/>
      <c r="F132" s="418"/>
      <c r="G132" s="419"/>
      <c r="H132" s="436"/>
      <c r="I132" s="437"/>
      <c r="J132" s="492"/>
      <c r="K132" s="439"/>
      <c r="L132" s="492"/>
      <c r="M132" s="438"/>
      <c r="N132" s="436"/>
      <c r="O132" s="438"/>
      <c r="P132" s="420"/>
      <c r="Q132" s="421"/>
      <c r="R132" s="421"/>
      <c r="S132" s="422"/>
      <c r="T132" s="422"/>
      <c r="U132" s="423"/>
      <c r="V132" s="424"/>
      <c r="W132" s="424"/>
      <c r="X132" s="425"/>
      <c r="Y132" s="426"/>
      <c r="Z132" s="417"/>
      <c r="AA132" s="493"/>
      <c r="AB132" s="427"/>
      <c r="AC132" s="438"/>
      <c r="AD132" s="428"/>
      <c r="AE132" s="437"/>
      <c r="AF132" s="437"/>
      <c r="AG132" s="438"/>
      <c r="AH132" s="428"/>
      <c r="AI132" s="438"/>
      <c r="AJ132" s="429"/>
      <c r="AK132" s="424"/>
      <c r="AL132" s="424"/>
      <c r="AM132" s="430"/>
      <c r="AN132" s="431"/>
      <c r="AO132" s="432"/>
      <c r="AP132" s="425"/>
      <c r="AQ132" s="433"/>
      <c r="AR132" s="425"/>
      <c r="AS132" s="433"/>
      <c r="AT132" s="434"/>
      <c r="AU132" s="431"/>
      <c r="AV132" s="435"/>
      <c r="AW132" s="494"/>
      <c r="AX132" s="429"/>
      <c r="AY132" s="424"/>
      <c r="AZ132" s="424"/>
      <c r="BA132" s="430"/>
      <c r="BB132" s="431"/>
      <c r="BC132" s="432"/>
      <c r="BD132" s="425"/>
      <c r="BE132" s="433"/>
      <c r="BF132" s="425"/>
      <c r="BG132" s="433"/>
      <c r="BH132" s="434"/>
      <c r="BI132" s="431"/>
      <c r="BJ132" s="435"/>
      <c r="BK132" s="494"/>
    </row>
    <row r="133" spans="1:63">
      <c r="A133" s="488"/>
      <c r="B133" s="489"/>
      <c r="C133" s="490"/>
      <c r="D133" s="487"/>
      <c r="E133" s="491"/>
      <c r="F133" s="418"/>
      <c r="G133" s="419"/>
      <c r="H133" s="436"/>
      <c r="I133" s="437"/>
      <c r="J133" s="492"/>
      <c r="K133" s="439"/>
      <c r="L133" s="492"/>
      <c r="M133" s="438"/>
      <c r="N133" s="436"/>
      <c r="O133" s="438"/>
      <c r="P133" s="420"/>
      <c r="Q133" s="421"/>
      <c r="R133" s="421"/>
      <c r="S133" s="422"/>
      <c r="T133" s="422"/>
      <c r="U133" s="423"/>
      <c r="V133" s="424"/>
      <c r="W133" s="424"/>
      <c r="X133" s="425"/>
      <c r="Y133" s="426"/>
      <c r="Z133" s="417"/>
      <c r="AA133" s="493"/>
      <c r="AB133" s="427"/>
      <c r="AC133" s="438"/>
      <c r="AD133" s="428"/>
      <c r="AE133" s="437"/>
      <c r="AF133" s="437"/>
      <c r="AG133" s="438"/>
      <c r="AH133" s="428"/>
      <c r="AI133" s="438"/>
      <c r="AJ133" s="429"/>
      <c r="AK133" s="424"/>
      <c r="AL133" s="424"/>
      <c r="AM133" s="430"/>
      <c r="AN133" s="431"/>
      <c r="AO133" s="432"/>
      <c r="AP133" s="425"/>
      <c r="AQ133" s="433"/>
      <c r="AR133" s="425"/>
      <c r="AS133" s="433"/>
      <c r="AT133" s="434"/>
      <c r="AU133" s="431"/>
      <c r="AV133" s="435"/>
      <c r="AW133" s="494"/>
      <c r="AX133" s="429"/>
      <c r="AY133" s="424"/>
      <c r="AZ133" s="424"/>
      <c r="BA133" s="430"/>
      <c r="BB133" s="431"/>
      <c r="BC133" s="432"/>
      <c r="BD133" s="425"/>
      <c r="BE133" s="433"/>
      <c r="BF133" s="425"/>
      <c r="BG133" s="433"/>
      <c r="BH133" s="434"/>
      <c r="BI133" s="431"/>
      <c r="BJ133" s="435"/>
      <c r="BK133" s="494"/>
    </row>
    <row r="134" spans="1:63">
      <c r="A134" s="488"/>
      <c r="B134" s="489"/>
      <c r="C134" s="490"/>
      <c r="D134" s="487"/>
      <c r="E134" s="491"/>
      <c r="F134" s="418"/>
      <c r="G134" s="419"/>
      <c r="H134" s="436"/>
      <c r="I134" s="437"/>
      <c r="J134" s="492"/>
      <c r="K134" s="439"/>
      <c r="L134" s="492"/>
      <c r="M134" s="438"/>
      <c r="N134" s="436"/>
      <c r="O134" s="438"/>
      <c r="P134" s="420"/>
      <c r="Q134" s="421"/>
      <c r="R134" s="421"/>
      <c r="S134" s="422"/>
      <c r="T134" s="422"/>
      <c r="U134" s="423"/>
      <c r="V134" s="424"/>
      <c r="W134" s="424"/>
      <c r="X134" s="425"/>
      <c r="Y134" s="426"/>
      <c r="Z134" s="417"/>
      <c r="AA134" s="493"/>
      <c r="AB134" s="427"/>
      <c r="AC134" s="438"/>
      <c r="AD134" s="428"/>
      <c r="AE134" s="437"/>
      <c r="AF134" s="437"/>
      <c r="AG134" s="438"/>
      <c r="AH134" s="428"/>
      <c r="AI134" s="438"/>
      <c r="AJ134" s="429"/>
      <c r="AK134" s="424"/>
      <c r="AL134" s="424"/>
      <c r="AM134" s="430"/>
      <c r="AN134" s="431"/>
      <c r="AO134" s="432"/>
      <c r="AP134" s="425"/>
      <c r="AQ134" s="433"/>
      <c r="AR134" s="425"/>
      <c r="AS134" s="433"/>
      <c r="AT134" s="434"/>
      <c r="AU134" s="431"/>
      <c r="AV134" s="435"/>
      <c r="AW134" s="494"/>
      <c r="AX134" s="429"/>
      <c r="AY134" s="424"/>
      <c r="AZ134" s="424"/>
      <c r="BA134" s="430"/>
      <c r="BB134" s="431"/>
      <c r="BC134" s="432"/>
      <c r="BD134" s="425"/>
      <c r="BE134" s="433"/>
      <c r="BF134" s="425"/>
      <c r="BG134" s="433"/>
      <c r="BH134" s="434"/>
      <c r="BI134" s="431"/>
      <c r="BJ134" s="435"/>
      <c r="BK134" s="494"/>
    </row>
    <row r="135" spans="1:63">
      <c r="A135" s="488"/>
      <c r="B135" s="489"/>
      <c r="C135" s="490"/>
      <c r="D135" s="487"/>
      <c r="E135" s="491"/>
      <c r="F135" s="418"/>
      <c r="G135" s="419"/>
      <c r="H135" s="436"/>
      <c r="I135" s="437"/>
      <c r="J135" s="492"/>
      <c r="K135" s="439"/>
      <c r="L135" s="492"/>
      <c r="M135" s="438"/>
      <c r="N135" s="436"/>
      <c r="O135" s="438"/>
      <c r="P135" s="420"/>
      <c r="Q135" s="421"/>
      <c r="R135" s="421"/>
      <c r="S135" s="422"/>
      <c r="T135" s="422"/>
      <c r="U135" s="423"/>
      <c r="V135" s="424"/>
      <c r="W135" s="424"/>
      <c r="X135" s="425"/>
      <c r="Y135" s="426"/>
      <c r="Z135" s="417"/>
      <c r="AA135" s="493"/>
      <c r="AB135" s="427"/>
      <c r="AC135" s="438"/>
      <c r="AD135" s="428"/>
      <c r="AE135" s="437"/>
      <c r="AF135" s="437"/>
      <c r="AG135" s="438"/>
      <c r="AH135" s="428"/>
      <c r="AI135" s="438"/>
      <c r="AJ135" s="429"/>
      <c r="AK135" s="424"/>
      <c r="AL135" s="424"/>
      <c r="AM135" s="430"/>
      <c r="AN135" s="431"/>
      <c r="AO135" s="432"/>
      <c r="AP135" s="425"/>
      <c r="AQ135" s="433"/>
      <c r="AR135" s="425"/>
      <c r="AS135" s="433"/>
      <c r="AT135" s="434"/>
      <c r="AU135" s="431"/>
      <c r="AV135" s="435"/>
      <c r="AW135" s="494"/>
      <c r="AX135" s="429"/>
      <c r="AY135" s="424"/>
      <c r="AZ135" s="424"/>
      <c r="BA135" s="430"/>
      <c r="BB135" s="431"/>
      <c r="BC135" s="432"/>
      <c r="BD135" s="425"/>
      <c r="BE135" s="433"/>
      <c r="BF135" s="425"/>
      <c r="BG135" s="433"/>
      <c r="BH135" s="434"/>
      <c r="BI135" s="431"/>
      <c r="BJ135" s="435"/>
      <c r="BK135" s="494"/>
    </row>
    <row r="136" spans="1:63">
      <c r="A136" s="488"/>
      <c r="B136" s="489"/>
      <c r="C136" s="490"/>
      <c r="D136" s="487"/>
      <c r="E136" s="491"/>
      <c r="F136" s="418"/>
      <c r="G136" s="419"/>
      <c r="H136" s="436"/>
      <c r="I136" s="437"/>
      <c r="J136" s="492"/>
      <c r="K136" s="439"/>
      <c r="L136" s="492"/>
      <c r="M136" s="438"/>
      <c r="N136" s="436"/>
      <c r="O136" s="438"/>
      <c r="P136" s="420"/>
      <c r="Q136" s="421"/>
      <c r="R136" s="421"/>
      <c r="S136" s="422"/>
      <c r="T136" s="422"/>
      <c r="U136" s="423"/>
      <c r="V136" s="424"/>
      <c r="W136" s="424"/>
      <c r="X136" s="425"/>
      <c r="Y136" s="426"/>
      <c r="Z136" s="417"/>
      <c r="AA136" s="493"/>
      <c r="AB136" s="427"/>
      <c r="AC136" s="438"/>
      <c r="AD136" s="428"/>
      <c r="AE136" s="437"/>
      <c r="AF136" s="437"/>
      <c r="AG136" s="438"/>
      <c r="AH136" s="428"/>
      <c r="AI136" s="438"/>
      <c r="AJ136" s="429"/>
      <c r="AK136" s="424"/>
      <c r="AL136" s="424"/>
      <c r="AM136" s="430"/>
      <c r="AN136" s="431"/>
      <c r="AO136" s="432"/>
      <c r="AP136" s="425"/>
      <c r="AQ136" s="433"/>
      <c r="AR136" s="425"/>
      <c r="AS136" s="433"/>
      <c r="AT136" s="434"/>
      <c r="AU136" s="431"/>
      <c r="AV136" s="435"/>
      <c r="AW136" s="494"/>
      <c r="AX136" s="429"/>
      <c r="AY136" s="424"/>
      <c r="AZ136" s="424"/>
      <c r="BA136" s="430"/>
      <c r="BB136" s="431"/>
      <c r="BC136" s="432"/>
      <c r="BD136" s="425"/>
      <c r="BE136" s="433"/>
      <c r="BF136" s="425"/>
      <c r="BG136" s="433"/>
      <c r="BH136" s="434"/>
      <c r="BI136" s="431"/>
      <c r="BJ136" s="435"/>
      <c r="BK136" s="494"/>
    </row>
    <row r="137" spans="1:63">
      <c r="A137" s="488"/>
      <c r="B137" s="489"/>
      <c r="C137" s="490"/>
      <c r="D137" s="487"/>
      <c r="E137" s="491"/>
      <c r="F137" s="418"/>
      <c r="G137" s="419"/>
      <c r="H137" s="436"/>
      <c r="I137" s="437"/>
      <c r="J137" s="492"/>
      <c r="K137" s="439"/>
      <c r="L137" s="492"/>
      <c r="M137" s="438"/>
      <c r="N137" s="436"/>
      <c r="O137" s="438"/>
      <c r="P137" s="420"/>
      <c r="Q137" s="421"/>
      <c r="R137" s="421"/>
      <c r="S137" s="422"/>
      <c r="T137" s="422"/>
      <c r="U137" s="423"/>
      <c r="V137" s="424"/>
      <c r="W137" s="424"/>
      <c r="X137" s="425"/>
      <c r="Y137" s="426"/>
      <c r="Z137" s="417"/>
      <c r="AA137" s="493"/>
      <c r="AB137" s="427"/>
      <c r="AC137" s="438"/>
      <c r="AD137" s="428"/>
      <c r="AE137" s="437"/>
      <c r="AF137" s="437"/>
      <c r="AG137" s="438"/>
      <c r="AH137" s="428"/>
      <c r="AI137" s="438"/>
      <c r="AJ137" s="429"/>
      <c r="AK137" s="424"/>
      <c r="AL137" s="424"/>
      <c r="AM137" s="430"/>
      <c r="AN137" s="431"/>
      <c r="AO137" s="432"/>
      <c r="AP137" s="425"/>
      <c r="AQ137" s="433"/>
      <c r="AR137" s="425"/>
      <c r="AS137" s="433"/>
      <c r="AT137" s="434"/>
      <c r="AU137" s="431"/>
      <c r="AV137" s="435"/>
      <c r="AW137" s="494"/>
      <c r="AX137" s="429"/>
      <c r="AY137" s="424"/>
      <c r="AZ137" s="424"/>
      <c r="BA137" s="430"/>
      <c r="BB137" s="431"/>
      <c r="BC137" s="432"/>
      <c r="BD137" s="425"/>
      <c r="BE137" s="433"/>
      <c r="BF137" s="425"/>
      <c r="BG137" s="433"/>
      <c r="BH137" s="434"/>
      <c r="BI137" s="431"/>
      <c r="BJ137" s="435"/>
      <c r="BK137" s="494"/>
    </row>
    <row r="138" spans="1:63">
      <c r="A138" s="488"/>
      <c r="B138" s="489"/>
      <c r="C138" s="490"/>
      <c r="D138" s="487"/>
      <c r="E138" s="491"/>
      <c r="F138" s="418"/>
      <c r="G138" s="419"/>
      <c r="H138" s="436"/>
      <c r="I138" s="437"/>
      <c r="J138" s="492"/>
      <c r="K138" s="439"/>
      <c r="L138" s="492"/>
      <c r="M138" s="438"/>
      <c r="N138" s="436"/>
      <c r="O138" s="438"/>
      <c r="P138" s="420"/>
      <c r="Q138" s="421"/>
      <c r="R138" s="421"/>
      <c r="S138" s="422"/>
      <c r="T138" s="422"/>
      <c r="U138" s="423"/>
      <c r="V138" s="424"/>
      <c r="W138" s="424"/>
      <c r="X138" s="425"/>
      <c r="Y138" s="426"/>
      <c r="Z138" s="417"/>
      <c r="AA138" s="493"/>
      <c r="AB138" s="427"/>
      <c r="AC138" s="438"/>
      <c r="AD138" s="428"/>
      <c r="AE138" s="437"/>
      <c r="AF138" s="437"/>
      <c r="AG138" s="438"/>
      <c r="AH138" s="428"/>
      <c r="AI138" s="438"/>
      <c r="AJ138" s="429"/>
      <c r="AK138" s="424"/>
      <c r="AL138" s="424"/>
      <c r="AM138" s="430"/>
      <c r="AN138" s="431"/>
      <c r="AO138" s="432"/>
      <c r="AP138" s="425"/>
      <c r="AQ138" s="433"/>
      <c r="AR138" s="425"/>
      <c r="AS138" s="433"/>
      <c r="AT138" s="434"/>
      <c r="AU138" s="431"/>
      <c r="AV138" s="435"/>
      <c r="AW138" s="494"/>
      <c r="AX138" s="429"/>
      <c r="AY138" s="424"/>
      <c r="AZ138" s="424"/>
      <c r="BA138" s="430"/>
      <c r="BB138" s="431"/>
      <c r="BC138" s="432"/>
      <c r="BD138" s="425"/>
      <c r="BE138" s="433"/>
      <c r="BF138" s="425"/>
      <c r="BG138" s="433"/>
      <c r="BH138" s="434"/>
      <c r="BI138" s="431"/>
      <c r="BJ138" s="435"/>
      <c r="BK138" s="494"/>
    </row>
    <row r="139" spans="1:63">
      <c r="A139" s="488"/>
      <c r="B139" s="489"/>
      <c r="C139" s="490"/>
      <c r="D139" s="487"/>
      <c r="E139" s="491"/>
      <c r="F139" s="418"/>
      <c r="G139" s="419"/>
      <c r="H139" s="436"/>
      <c r="I139" s="437"/>
      <c r="J139" s="492"/>
      <c r="K139" s="439"/>
      <c r="L139" s="492"/>
      <c r="M139" s="438"/>
      <c r="N139" s="436"/>
      <c r="O139" s="438"/>
      <c r="P139" s="420"/>
      <c r="Q139" s="421"/>
      <c r="R139" s="421"/>
      <c r="S139" s="422"/>
      <c r="T139" s="422"/>
      <c r="U139" s="423"/>
      <c r="V139" s="424"/>
      <c r="W139" s="424"/>
      <c r="X139" s="425"/>
      <c r="Y139" s="426"/>
      <c r="Z139" s="417"/>
      <c r="AA139" s="493"/>
      <c r="AB139" s="427"/>
      <c r="AC139" s="438"/>
      <c r="AD139" s="428"/>
      <c r="AE139" s="437"/>
      <c r="AF139" s="437"/>
      <c r="AG139" s="438"/>
      <c r="AH139" s="428"/>
      <c r="AI139" s="438"/>
      <c r="AJ139" s="429"/>
      <c r="AK139" s="424"/>
      <c r="AL139" s="424"/>
      <c r="AM139" s="430"/>
      <c r="AN139" s="431"/>
      <c r="AO139" s="432"/>
      <c r="AP139" s="425"/>
      <c r="AQ139" s="433"/>
      <c r="AR139" s="425"/>
      <c r="AS139" s="433"/>
      <c r="AT139" s="434"/>
      <c r="AU139" s="431"/>
      <c r="AV139" s="435"/>
      <c r="AW139" s="494"/>
      <c r="AX139" s="429"/>
      <c r="AY139" s="424"/>
      <c r="AZ139" s="424"/>
      <c r="BA139" s="430"/>
      <c r="BB139" s="431"/>
      <c r="BC139" s="432"/>
      <c r="BD139" s="425"/>
      <c r="BE139" s="433"/>
      <c r="BF139" s="425"/>
      <c r="BG139" s="433"/>
      <c r="BH139" s="434"/>
      <c r="BI139" s="431"/>
      <c r="BJ139" s="435"/>
      <c r="BK139" s="494"/>
    </row>
    <row r="140" spans="1:63">
      <c r="A140" s="488"/>
      <c r="B140" s="489"/>
      <c r="C140" s="490"/>
      <c r="D140" s="487"/>
      <c r="E140" s="491"/>
      <c r="F140" s="418"/>
      <c r="G140" s="419"/>
      <c r="H140" s="436"/>
      <c r="I140" s="437"/>
      <c r="J140" s="492"/>
      <c r="K140" s="439"/>
      <c r="L140" s="492"/>
      <c r="M140" s="438"/>
      <c r="N140" s="436"/>
      <c r="O140" s="438"/>
      <c r="P140" s="420"/>
      <c r="Q140" s="421"/>
      <c r="R140" s="421"/>
      <c r="S140" s="422"/>
      <c r="T140" s="422"/>
      <c r="U140" s="423"/>
      <c r="V140" s="424"/>
      <c r="W140" s="424"/>
      <c r="X140" s="425"/>
      <c r="Y140" s="426"/>
      <c r="Z140" s="417"/>
      <c r="AA140" s="493"/>
      <c r="AB140" s="427"/>
      <c r="AC140" s="438"/>
      <c r="AD140" s="428"/>
      <c r="AE140" s="437"/>
      <c r="AF140" s="437"/>
      <c r="AG140" s="438"/>
      <c r="AH140" s="428"/>
      <c r="AI140" s="438"/>
      <c r="AJ140" s="429"/>
      <c r="AK140" s="424"/>
      <c r="AL140" s="424"/>
      <c r="AM140" s="430"/>
      <c r="AN140" s="431"/>
      <c r="AO140" s="432"/>
      <c r="AP140" s="425"/>
      <c r="AQ140" s="433"/>
      <c r="AR140" s="425"/>
      <c r="AS140" s="433"/>
      <c r="AT140" s="434"/>
      <c r="AU140" s="431"/>
      <c r="AV140" s="435"/>
      <c r="AW140" s="494"/>
      <c r="AX140" s="429"/>
      <c r="AY140" s="424"/>
      <c r="AZ140" s="424"/>
      <c r="BA140" s="430"/>
      <c r="BB140" s="431"/>
      <c r="BC140" s="432"/>
      <c r="BD140" s="425"/>
      <c r="BE140" s="433"/>
      <c r="BF140" s="425"/>
      <c r="BG140" s="433"/>
      <c r="BH140" s="434"/>
      <c r="BI140" s="431"/>
      <c r="BJ140" s="435"/>
      <c r="BK140" s="494"/>
    </row>
    <row r="141" spans="1:63">
      <c r="A141" s="488"/>
      <c r="B141" s="489"/>
      <c r="C141" s="490"/>
      <c r="D141" s="487"/>
      <c r="E141" s="491"/>
      <c r="F141" s="418"/>
      <c r="G141" s="419"/>
      <c r="H141" s="436"/>
      <c r="I141" s="437"/>
      <c r="J141" s="492"/>
      <c r="K141" s="439"/>
      <c r="L141" s="492"/>
      <c r="M141" s="438"/>
      <c r="N141" s="436"/>
      <c r="O141" s="438"/>
      <c r="P141" s="420"/>
      <c r="Q141" s="421"/>
      <c r="R141" s="421"/>
      <c r="S141" s="422"/>
      <c r="T141" s="422"/>
      <c r="U141" s="423"/>
      <c r="V141" s="424"/>
      <c r="W141" s="424"/>
      <c r="X141" s="425"/>
      <c r="Y141" s="426"/>
      <c r="Z141" s="417"/>
      <c r="AA141" s="493"/>
      <c r="AB141" s="427"/>
      <c r="AC141" s="438"/>
      <c r="AD141" s="428"/>
      <c r="AE141" s="437"/>
      <c r="AF141" s="437"/>
      <c r="AG141" s="438"/>
      <c r="AH141" s="428"/>
      <c r="AI141" s="438"/>
      <c r="AJ141" s="429"/>
      <c r="AK141" s="424"/>
      <c r="AL141" s="424"/>
      <c r="AM141" s="430"/>
      <c r="AN141" s="431"/>
      <c r="AO141" s="432"/>
      <c r="AP141" s="425"/>
      <c r="AQ141" s="433"/>
      <c r="AR141" s="425"/>
      <c r="AS141" s="433"/>
      <c r="AT141" s="434"/>
      <c r="AU141" s="431"/>
      <c r="AV141" s="435"/>
      <c r="AW141" s="494"/>
      <c r="AX141" s="429"/>
      <c r="AY141" s="424"/>
      <c r="AZ141" s="424"/>
      <c r="BA141" s="430"/>
      <c r="BB141" s="431"/>
      <c r="BC141" s="432"/>
      <c r="BD141" s="425"/>
      <c r="BE141" s="433"/>
      <c r="BF141" s="425"/>
      <c r="BG141" s="433"/>
      <c r="BH141" s="434"/>
      <c r="BI141" s="431"/>
      <c r="BJ141" s="435"/>
      <c r="BK141" s="494"/>
    </row>
    <row r="142" spans="1:63">
      <c r="A142" s="488"/>
      <c r="B142" s="489"/>
      <c r="C142" s="490"/>
      <c r="D142" s="487"/>
      <c r="E142" s="491"/>
      <c r="F142" s="418"/>
      <c r="G142" s="419"/>
      <c r="H142" s="436"/>
      <c r="I142" s="437"/>
      <c r="J142" s="492"/>
      <c r="K142" s="439"/>
      <c r="L142" s="492"/>
      <c r="M142" s="438"/>
      <c r="N142" s="436"/>
      <c r="O142" s="438"/>
      <c r="P142" s="420"/>
      <c r="Q142" s="421"/>
      <c r="R142" s="421"/>
      <c r="S142" s="422"/>
      <c r="T142" s="422"/>
      <c r="U142" s="423"/>
      <c r="V142" s="424"/>
      <c r="W142" s="424"/>
      <c r="X142" s="425"/>
      <c r="Y142" s="426"/>
      <c r="Z142" s="417"/>
      <c r="AA142" s="493"/>
      <c r="AB142" s="427"/>
      <c r="AC142" s="438"/>
      <c r="AD142" s="428"/>
      <c r="AE142" s="437"/>
      <c r="AF142" s="437"/>
      <c r="AG142" s="438"/>
      <c r="AH142" s="428"/>
      <c r="AI142" s="438"/>
      <c r="AJ142" s="429"/>
      <c r="AK142" s="424"/>
      <c r="AL142" s="424"/>
      <c r="AM142" s="430"/>
      <c r="AN142" s="431"/>
      <c r="AO142" s="432"/>
      <c r="AP142" s="425"/>
      <c r="AQ142" s="433"/>
      <c r="AR142" s="425"/>
      <c r="AS142" s="433"/>
      <c r="AT142" s="434"/>
      <c r="AU142" s="431"/>
      <c r="AV142" s="435"/>
      <c r="AW142" s="494"/>
      <c r="AX142" s="429"/>
      <c r="AY142" s="424"/>
      <c r="AZ142" s="424"/>
      <c r="BA142" s="430"/>
      <c r="BB142" s="431"/>
      <c r="BC142" s="432"/>
      <c r="BD142" s="425"/>
      <c r="BE142" s="433"/>
      <c r="BF142" s="425"/>
      <c r="BG142" s="433"/>
      <c r="BH142" s="434"/>
      <c r="BI142" s="431"/>
      <c r="BJ142" s="435"/>
      <c r="BK142" s="494"/>
    </row>
    <row r="143" spans="1:63">
      <c r="A143" s="488"/>
      <c r="B143" s="489"/>
      <c r="C143" s="490"/>
      <c r="D143" s="487"/>
      <c r="E143" s="491"/>
      <c r="F143" s="418"/>
      <c r="G143" s="419"/>
      <c r="H143" s="436"/>
      <c r="I143" s="437"/>
      <c r="J143" s="492"/>
      <c r="K143" s="439"/>
      <c r="L143" s="492"/>
      <c r="M143" s="438"/>
      <c r="N143" s="436"/>
      <c r="O143" s="438"/>
      <c r="P143" s="420"/>
      <c r="Q143" s="421"/>
      <c r="R143" s="421"/>
      <c r="S143" s="422"/>
      <c r="T143" s="422"/>
      <c r="U143" s="423"/>
      <c r="V143" s="424"/>
      <c r="W143" s="424"/>
      <c r="X143" s="425"/>
      <c r="Y143" s="426"/>
      <c r="Z143" s="417"/>
      <c r="AA143" s="493"/>
      <c r="AB143" s="427"/>
      <c r="AC143" s="438"/>
      <c r="AD143" s="428"/>
      <c r="AE143" s="437"/>
      <c r="AF143" s="437"/>
      <c r="AG143" s="438"/>
      <c r="AH143" s="428"/>
      <c r="AI143" s="438"/>
      <c r="AJ143" s="429"/>
      <c r="AK143" s="424"/>
      <c r="AL143" s="424"/>
      <c r="AM143" s="430"/>
      <c r="AN143" s="431"/>
      <c r="AO143" s="432"/>
      <c r="AP143" s="425"/>
      <c r="AQ143" s="433"/>
      <c r="AR143" s="425"/>
      <c r="AS143" s="433"/>
      <c r="AT143" s="434"/>
      <c r="AU143" s="431"/>
      <c r="AV143" s="435"/>
      <c r="AW143" s="494"/>
      <c r="AX143" s="429"/>
      <c r="AY143" s="424"/>
      <c r="AZ143" s="424"/>
      <c r="BA143" s="430"/>
      <c r="BB143" s="431"/>
      <c r="BC143" s="432"/>
      <c r="BD143" s="425"/>
      <c r="BE143" s="433"/>
      <c r="BF143" s="425"/>
      <c r="BG143" s="433"/>
      <c r="BH143" s="434"/>
      <c r="BI143" s="431"/>
      <c r="BJ143" s="435"/>
      <c r="BK143" s="494"/>
    </row>
    <row r="144" spans="1:63">
      <c r="A144" s="488"/>
      <c r="B144" s="489"/>
      <c r="C144" s="490"/>
      <c r="D144" s="487"/>
      <c r="E144" s="491"/>
      <c r="F144" s="418"/>
      <c r="G144" s="419"/>
      <c r="H144" s="436"/>
      <c r="I144" s="437"/>
      <c r="J144" s="492"/>
      <c r="K144" s="439"/>
      <c r="L144" s="492"/>
      <c r="M144" s="438"/>
      <c r="N144" s="436"/>
      <c r="O144" s="438"/>
      <c r="P144" s="420"/>
      <c r="Q144" s="421"/>
      <c r="R144" s="421"/>
      <c r="S144" s="422"/>
      <c r="T144" s="422"/>
      <c r="U144" s="423"/>
      <c r="V144" s="424"/>
      <c r="W144" s="424"/>
      <c r="X144" s="425"/>
      <c r="Y144" s="426"/>
      <c r="Z144" s="417"/>
      <c r="AA144" s="493"/>
      <c r="AB144" s="427"/>
      <c r="AC144" s="438"/>
      <c r="AD144" s="428"/>
      <c r="AE144" s="437"/>
      <c r="AF144" s="437"/>
      <c r="AG144" s="438"/>
      <c r="AH144" s="428"/>
      <c r="AI144" s="438"/>
      <c r="AJ144" s="429"/>
      <c r="AK144" s="424"/>
      <c r="AL144" s="424"/>
      <c r="AM144" s="430"/>
      <c r="AN144" s="431"/>
      <c r="AO144" s="432"/>
      <c r="AP144" s="425"/>
      <c r="AQ144" s="433"/>
      <c r="AR144" s="425"/>
      <c r="AS144" s="433"/>
      <c r="AT144" s="434"/>
      <c r="AU144" s="431"/>
      <c r="AV144" s="435"/>
      <c r="AW144" s="494"/>
      <c r="AX144" s="429"/>
      <c r="AY144" s="424"/>
      <c r="AZ144" s="424"/>
      <c r="BA144" s="430"/>
      <c r="BB144" s="431"/>
      <c r="BC144" s="432"/>
      <c r="BD144" s="425"/>
      <c r="BE144" s="433"/>
      <c r="BF144" s="425"/>
      <c r="BG144" s="433"/>
      <c r="BH144" s="434"/>
      <c r="BI144" s="431"/>
      <c r="BJ144" s="435"/>
      <c r="BK144" s="494"/>
    </row>
    <row r="145" spans="1:63">
      <c r="A145" s="488"/>
      <c r="B145" s="489"/>
      <c r="C145" s="490"/>
      <c r="D145" s="487"/>
      <c r="E145" s="491"/>
      <c r="F145" s="418"/>
      <c r="G145" s="419"/>
      <c r="H145" s="436"/>
      <c r="I145" s="437"/>
      <c r="J145" s="492"/>
      <c r="K145" s="439"/>
      <c r="L145" s="492"/>
      <c r="M145" s="438"/>
      <c r="N145" s="436"/>
      <c r="O145" s="438"/>
      <c r="P145" s="420"/>
      <c r="Q145" s="421"/>
      <c r="R145" s="421"/>
      <c r="S145" s="422"/>
      <c r="T145" s="422"/>
      <c r="U145" s="423"/>
      <c r="V145" s="424"/>
      <c r="W145" s="424"/>
      <c r="X145" s="425"/>
      <c r="Y145" s="426"/>
      <c r="Z145" s="417"/>
      <c r="AA145" s="493"/>
      <c r="AB145" s="427"/>
      <c r="AC145" s="438"/>
      <c r="AD145" s="428"/>
      <c r="AE145" s="437"/>
      <c r="AF145" s="437"/>
      <c r="AG145" s="438"/>
      <c r="AH145" s="428"/>
      <c r="AI145" s="438"/>
      <c r="AJ145" s="429"/>
      <c r="AK145" s="424"/>
      <c r="AL145" s="424"/>
      <c r="AM145" s="430"/>
      <c r="AN145" s="431"/>
      <c r="AO145" s="432"/>
      <c r="AP145" s="425"/>
      <c r="AQ145" s="433"/>
      <c r="AR145" s="425"/>
      <c r="AS145" s="433"/>
      <c r="AT145" s="434"/>
      <c r="AU145" s="431"/>
      <c r="AV145" s="435"/>
      <c r="AW145" s="494"/>
      <c r="AX145" s="429"/>
      <c r="AY145" s="424"/>
      <c r="AZ145" s="424"/>
      <c r="BA145" s="430"/>
      <c r="BB145" s="431"/>
      <c r="BC145" s="432"/>
      <c r="BD145" s="425"/>
      <c r="BE145" s="433"/>
      <c r="BF145" s="425"/>
      <c r="BG145" s="433"/>
      <c r="BH145" s="434"/>
      <c r="BI145" s="431"/>
      <c r="BJ145" s="435"/>
      <c r="BK145" s="494"/>
    </row>
    <row r="146" spans="1:63">
      <c r="A146" s="488"/>
      <c r="B146" s="489"/>
      <c r="C146" s="490"/>
      <c r="D146" s="487"/>
      <c r="E146" s="491"/>
      <c r="F146" s="418"/>
      <c r="G146" s="419"/>
      <c r="H146" s="436"/>
      <c r="I146" s="437"/>
      <c r="J146" s="492"/>
      <c r="K146" s="439"/>
      <c r="L146" s="492"/>
      <c r="M146" s="438"/>
      <c r="N146" s="436"/>
      <c r="O146" s="438"/>
      <c r="P146" s="420"/>
      <c r="Q146" s="421"/>
      <c r="R146" s="421"/>
      <c r="S146" s="422"/>
      <c r="T146" s="422"/>
      <c r="U146" s="423"/>
      <c r="V146" s="424"/>
      <c r="W146" s="424"/>
      <c r="X146" s="425"/>
      <c r="Y146" s="426"/>
      <c r="Z146" s="417"/>
      <c r="AA146" s="493"/>
      <c r="AB146" s="427"/>
      <c r="AC146" s="438"/>
      <c r="AD146" s="428"/>
      <c r="AE146" s="437"/>
      <c r="AF146" s="437"/>
      <c r="AG146" s="438"/>
      <c r="AH146" s="428"/>
      <c r="AI146" s="438"/>
      <c r="AJ146" s="429"/>
      <c r="AK146" s="424"/>
      <c r="AL146" s="424"/>
      <c r="AM146" s="430"/>
      <c r="AN146" s="431"/>
      <c r="AO146" s="432"/>
      <c r="AP146" s="425"/>
      <c r="AQ146" s="433"/>
      <c r="AR146" s="425"/>
      <c r="AS146" s="433"/>
      <c r="AT146" s="434"/>
      <c r="AU146" s="431"/>
      <c r="AV146" s="435"/>
      <c r="AW146" s="494"/>
      <c r="AX146" s="429"/>
      <c r="AY146" s="424"/>
      <c r="AZ146" s="424"/>
      <c r="BA146" s="430"/>
      <c r="BB146" s="431"/>
      <c r="BC146" s="432"/>
      <c r="BD146" s="425"/>
      <c r="BE146" s="433"/>
      <c r="BF146" s="425"/>
      <c r="BG146" s="433"/>
      <c r="BH146" s="434"/>
      <c r="BI146" s="431"/>
      <c r="BJ146" s="435"/>
      <c r="BK146" s="494"/>
    </row>
    <row r="147" spans="1:63">
      <c r="A147" s="488"/>
      <c r="B147" s="489"/>
      <c r="C147" s="490"/>
      <c r="D147" s="487"/>
      <c r="E147" s="491"/>
      <c r="F147" s="418"/>
      <c r="G147" s="419"/>
      <c r="H147" s="436"/>
      <c r="I147" s="437"/>
      <c r="J147" s="492"/>
      <c r="K147" s="439"/>
      <c r="L147" s="492"/>
      <c r="M147" s="438"/>
      <c r="N147" s="436"/>
      <c r="O147" s="438"/>
      <c r="P147" s="420"/>
      <c r="Q147" s="421"/>
      <c r="R147" s="421"/>
      <c r="S147" s="422"/>
      <c r="T147" s="422"/>
      <c r="U147" s="423"/>
      <c r="V147" s="424"/>
      <c r="W147" s="424"/>
      <c r="X147" s="425"/>
      <c r="Y147" s="426"/>
      <c r="Z147" s="417"/>
      <c r="AA147" s="493"/>
      <c r="AB147" s="427"/>
      <c r="AC147" s="438"/>
      <c r="AD147" s="428"/>
      <c r="AE147" s="437"/>
      <c r="AF147" s="437"/>
      <c r="AG147" s="438"/>
      <c r="AH147" s="428"/>
      <c r="AI147" s="438"/>
      <c r="AJ147" s="429"/>
      <c r="AK147" s="424"/>
      <c r="AL147" s="424"/>
      <c r="AM147" s="430"/>
      <c r="AN147" s="431"/>
      <c r="AO147" s="432"/>
      <c r="AP147" s="425"/>
      <c r="AQ147" s="433"/>
      <c r="AR147" s="425"/>
      <c r="AS147" s="433"/>
      <c r="AT147" s="434"/>
      <c r="AU147" s="431"/>
      <c r="AV147" s="435"/>
      <c r="AW147" s="494"/>
      <c r="AX147" s="429"/>
      <c r="AY147" s="424"/>
      <c r="AZ147" s="424"/>
      <c r="BA147" s="430"/>
      <c r="BB147" s="431"/>
      <c r="BC147" s="432"/>
      <c r="BD147" s="425"/>
      <c r="BE147" s="433"/>
      <c r="BF147" s="425"/>
      <c r="BG147" s="433"/>
      <c r="BH147" s="434"/>
      <c r="BI147" s="431"/>
      <c r="BJ147" s="435"/>
      <c r="BK147" s="494"/>
    </row>
    <row r="148" spans="1:63">
      <c r="A148" s="488"/>
      <c r="B148" s="489"/>
      <c r="C148" s="490"/>
      <c r="D148" s="487"/>
      <c r="E148" s="491"/>
      <c r="F148" s="418"/>
      <c r="G148" s="419"/>
      <c r="H148" s="436"/>
      <c r="I148" s="437"/>
      <c r="J148" s="492"/>
      <c r="K148" s="439"/>
      <c r="L148" s="492"/>
      <c r="M148" s="438"/>
      <c r="N148" s="436"/>
      <c r="O148" s="438"/>
      <c r="P148" s="420"/>
      <c r="Q148" s="420"/>
      <c r="R148" s="421"/>
      <c r="S148" s="422"/>
      <c r="T148" s="422"/>
      <c r="U148" s="423"/>
      <c r="V148" s="424"/>
      <c r="W148" s="424"/>
      <c r="X148" s="425"/>
      <c r="Y148" s="426"/>
      <c r="Z148" s="417"/>
      <c r="AA148" s="493"/>
      <c r="AB148" s="427"/>
      <c r="AC148" s="438"/>
      <c r="AD148" s="428"/>
      <c r="AE148" s="437"/>
      <c r="AF148" s="437"/>
      <c r="AG148" s="438"/>
      <c r="AH148" s="428"/>
      <c r="AI148" s="438"/>
      <c r="AJ148" s="429"/>
      <c r="AK148" s="424"/>
      <c r="AL148" s="424"/>
      <c r="AM148" s="430"/>
      <c r="AN148" s="431"/>
      <c r="AO148" s="432"/>
      <c r="AP148" s="425"/>
      <c r="AQ148" s="433"/>
      <c r="AR148" s="425"/>
      <c r="AS148" s="433"/>
      <c r="AT148" s="434"/>
      <c r="AU148" s="431"/>
      <c r="AV148" s="435"/>
      <c r="AW148" s="494"/>
      <c r="AX148" s="429"/>
      <c r="AY148" s="424"/>
      <c r="AZ148" s="424"/>
      <c r="BA148" s="430"/>
      <c r="BB148" s="431"/>
      <c r="BC148" s="432"/>
      <c r="BD148" s="425"/>
      <c r="BE148" s="433"/>
      <c r="BF148" s="425"/>
      <c r="BG148" s="433"/>
      <c r="BH148" s="434"/>
      <c r="BI148" s="431"/>
      <c r="BJ148" s="435"/>
      <c r="BK148" s="494"/>
    </row>
    <row r="149" spans="1:63">
      <c r="A149" s="488"/>
      <c r="B149" s="489"/>
      <c r="C149" s="490"/>
      <c r="D149" s="487"/>
      <c r="E149" s="491"/>
      <c r="F149" s="418"/>
      <c r="G149" s="419"/>
      <c r="H149" s="436"/>
      <c r="I149" s="437"/>
      <c r="J149" s="492"/>
      <c r="K149" s="439"/>
      <c r="L149" s="492"/>
      <c r="M149" s="438"/>
      <c r="N149" s="436"/>
      <c r="O149" s="438"/>
      <c r="P149" s="420"/>
      <c r="Q149" s="421"/>
      <c r="R149" s="421"/>
      <c r="S149" s="422"/>
      <c r="T149" s="422"/>
      <c r="U149" s="423"/>
      <c r="V149" s="424"/>
      <c r="W149" s="424"/>
      <c r="X149" s="425"/>
      <c r="Y149" s="426"/>
      <c r="Z149" s="417"/>
      <c r="AA149" s="493"/>
      <c r="AB149" s="427"/>
      <c r="AC149" s="438"/>
      <c r="AD149" s="428"/>
      <c r="AE149" s="437"/>
      <c r="AF149" s="437"/>
      <c r="AG149" s="438"/>
      <c r="AH149" s="428"/>
      <c r="AI149" s="438"/>
      <c r="AJ149" s="429"/>
      <c r="AK149" s="424"/>
      <c r="AL149" s="424"/>
      <c r="AM149" s="430"/>
      <c r="AN149" s="431"/>
      <c r="AO149" s="432"/>
      <c r="AP149" s="425"/>
      <c r="AQ149" s="433"/>
      <c r="AR149" s="425"/>
      <c r="AS149" s="433"/>
      <c r="AT149" s="434"/>
      <c r="AU149" s="431"/>
      <c r="AV149" s="435"/>
      <c r="AW149" s="494"/>
      <c r="AX149" s="429"/>
      <c r="AY149" s="424"/>
      <c r="AZ149" s="424"/>
      <c r="BA149" s="430"/>
      <c r="BB149" s="431"/>
      <c r="BC149" s="432"/>
      <c r="BD149" s="425"/>
      <c r="BE149" s="433"/>
      <c r="BF149" s="425"/>
      <c r="BG149" s="433"/>
      <c r="BH149" s="434"/>
      <c r="BI149" s="431"/>
      <c r="BJ149" s="435"/>
      <c r="BK149" s="494"/>
    </row>
    <row r="150" spans="1:63">
      <c r="A150" s="488"/>
      <c r="B150" s="489"/>
      <c r="C150" s="490"/>
      <c r="D150" s="487"/>
      <c r="E150" s="491"/>
      <c r="F150" s="418"/>
      <c r="G150" s="419"/>
      <c r="H150" s="436"/>
      <c r="I150" s="437"/>
      <c r="J150" s="492"/>
      <c r="K150" s="439"/>
      <c r="L150" s="492"/>
      <c r="M150" s="438"/>
      <c r="N150" s="436"/>
      <c r="O150" s="438"/>
      <c r="P150" s="420"/>
      <c r="Q150" s="421"/>
      <c r="R150" s="421"/>
      <c r="S150" s="422"/>
      <c r="T150" s="422"/>
      <c r="U150" s="423"/>
      <c r="V150" s="424"/>
      <c r="W150" s="424"/>
      <c r="X150" s="425"/>
      <c r="Y150" s="426"/>
      <c r="Z150" s="417"/>
      <c r="AA150" s="493"/>
      <c r="AB150" s="427"/>
      <c r="AC150" s="438"/>
      <c r="AD150" s="428"/>
      <c r="AE150" s="437"/>
      <c r="AF150" s="437"/>
      <c r="AG150" s="438"/>
      <c r="AH150" s="428"/>
      <c r="AI150" s="438"/>
      <c r="AJ150" s="429"/>
      <c r="AK150" s="424"/>
      <c r="AL150" s="424"/>
      <c r="AM150" s="430"/>
      <c r="AN150" s="431"/>
      <c r="AO150" s="432"/>
      <c r="AP150" s="425"/>
      <c r="AQ150" s="433"/>
      <c r="AR150" s="425"/>
      <c r="AS150" s="433"/>
      <c r="AT150" s="434"/>
      <c r="AU150" s="431"/>
      <c r="AV150" s="435"/>
      <c r="AW150" s="494"/>
      <c r="AX150" s="429"/>
      <c r="AY150" s="424"/>
      <c r="AZ150" s="424"/>
      <c r="BA150" s="430"/>
      <c r="BB150" s="431"/>
      <c r="BC150" s="432"/>
      <c r="BD150" s="425"/>
      <c r="BE150" s="433"/>
      <c r="BF150" s="425"/>
      <c r="BG150" s="433"/>
      <c r="BH150" s="434"/>
      <c r="BI150" s="431"/>
      <c r="BJ150" s="435"/>
      <c r="BK150" s="494"/>
    </row>
    <row r="151" spans="1:63">
      <c r="A151" s="488"/>
      <c r="B151" s="489"/>
      <c r="C151" s="490"/>
      <c r="D151" s="487"/>
      <c r="E151" s="491"/>
      <c r="F151" s="418"/>
      <c r="G151" s="419"/>
      <c r="H151" s="436"/>
      <c r="I151" s="437"/>
      <c r="J151" s="492"/>
      <c r="K151" s="439"/>
      <c r="L151" s="492"/>
      <c r="M151" s="438"/>
      <c r="N151" s="436"/>
      <c r="O151" s="438"/>
      <c r="P151" s="420"/>
      <c r="Q151" s="421"/>
      <c r="R151" s="421"/>
      <c r="S151" s="422"/>
      <c r="T151" s="422"/>
      <c r="U151" s="423"/>
      <c r="V151" s="424"/>
      <c r="W151" s="424"/>
      <c r="X151" s="425"/>
      <c r="Y151" s="426"/>
      <c r="Z151" s="417"/>
      <c r="AA151" s="493"/>
      <c r="AB151" s="427"/>
      <c r="AC151" s="438"/>
      <c r="AD151" s="428"/>
      <c r="AE151" s="437"/>
      <c r="AF151" s="437"/>
      <c r="AG151" s="438"/>
      <c r="AH151" s="428"/>
      <c r="AI151" s="438"/>
      <c r="AJ151" s="429"/>
      <c r="AK151" s="424"/>
      <c r="AL151" s="424"/>
      <c r="AM151" s="430"/>
      <c r="AN151" s="431"/>
      <c r="AO151" s="432"/>
      <c r="AP151" s="425"/>
      <c r="AQ151" s="433"/>
      <c r="AR151" s="425"/>
      <c r="AS151" s="433"/>
      <c r="AT151" s="434"/>
      <c r="AU151" s="431"/>
      <c r="AV151" s="435"/>
      <c r="AW151" s="494"/>
      <c r="AX151" s="429"/>
      <c r="AY151" s="424"/>
      <c r="AZ151" s="424"/>
      <c r="BA151" s="430"/>
      <c r="BB151" s="431"/>
      <c r="BC151" s="432"/>
      <c r="BD151" s="425"/>
      <c r="BE151" s="433"/>
      <c r="BF151" s="425"/>
      <c r="BG151" s="433"/>
      <c r="BH151" s="434"/>
      <c r="BI151" s="431"/>
      <c r="BJ151" s="435"/>
      <c r="BK151" s="494"/>
    </row>
    <row r="152" spans="1:63">
      <c r="A152" s="488"/>
      <c r="B152" s="489"/>
      <c r="C152" s="490"/>
      <c r="D152" s="487"/>
      <c r="E152" s="491"/>
      <c r="F152" s="418"/>
      <c r="G152" s="419"/>
      <c r="H152" s="436"/>
      <c r="I152" s="437"/>
      <c r="J152" s="492"/>
      <c r="K152" s="439"/>
      <c r="L152" s="492"/>
      <c r="M152" s="438"/>
      <c r="N152" s="436"/>
      <c r="O152" s="438"/>
      <c r="P152" s="420"/>
      <c r="Q152" s="421"/>
      <c r="R152" s="421"/>
      <c r="S152" s="422"/>
      <c r="T152" s="422"/>
      <c r="U152" s="423"/>
      <c r="V152" s="424"/>
      <c r="W152" s="424"/>
      <c r="X152" s="425"/>
      <c r="Y152" s="426"/>
      <c r="Z152" s="417"/>
      <c r="AA152" s="493"/>
      <c r="AB152" s="427"/>
      <c r="AC152" s="438"/>
      <c r="AD152" s="428"/>
      <c r="AE152" s="437"/>
      <c r="AF152" s="437"/>
      <c r="AG152" s="438"/>
      <c r="AH152" s="428"/>
      <c r="AI152" s="438"/>
      <c r="AJ152" s="429"/>
      <c r="AK152" s="424"/>
      <c r="AL152" s="424"/>
      <c r="AM152" s="430"/>
      <c r="AN152" s="431"/>
      <c r="AO152" s="432"/>
      <c r="AP152" s="425"/>
      <c r="AQ152" s="433"/>
      <c r="AR152" s="425"/>
      <c r="AS152" s="433"/>
      <c r="AT152" s="434"/>
      <c r="AU152" s="431"/>
      <c r="AV152" s="435"/>
      <c r="AW152" s="494"/>
      <c r="AX152" s="429"/>
      <c r="AY152" s="424"/>
      <c r="AZ152" s="424"/>
      <c r="BA152" s="430"/>
      <c r="BB152" s="431"/>
      <c r="BC152" s="432"/>
      <c r="BD152" s="425"/>
      <c r="BE152" s="433"/>
      <c r="BF152" s="425"/>
      <c r="BG152" s="433"/>
      <c r="BH152" s="434"/>
      <c r="BI152" s="431"/>
      <c r="BJ152" s="435"/>
      <c r="BK152" s="494"/>
    </row>
    <row r="153" spans="1:63">
      <c r="A153" s="488"/>
      <c r="B153" s="489"/>
      <c r="C153" s="490"/>
      <c r="D153" s="487"/>
      <c r="E153" s="491"/>
      <c r="F153" s="418"/>
      <c r="G153" s="419"/>
      <c r="H153" s="436"/>
      <c r="I153" s="437"/>
      <c r="J153" s="492"/>
      <c r="K153" s="439"/>
      <c r="L153" s="492"/>
      <c r="M153" s="438"/>
      <c r="N153" s="436"/>
      <c r="O153" s="438"/>
      <c r="P153" s="420"/>
      <c r="Q153" s="421"/>
      <c r="R153" s="421"/>
      <c r="S153" s="422"/>
      <c r="T153" s="422"/>
      <c r="U153" s="423"/>
      <c r="V153" s="424"/>
      <c r="W153" s="424"/>
      <c r="X153" s="425"/>
      <c r="Y153" s="426"/>
      <c r="Z153" s="417"/>
      <c r="AA153" s="493"/>
      <c r="AB153" s="427"/>
      <c r="AC153" s="438"/>
      <c r="AD153" s="428"/>
      <c r="AE153" s="437"/>
      <c r="AF153" s="437"/>
      <c r="AG153" s="438"/>
      <c r="AH153" s="428"/>
      <c r="AI153" s="438"/>
      <c r="AJ153" s="429"/>
      <c r="AK153" s="424"/>
      <c r="AL153" s="424"/>
      <c r="AM153" s="430"/>
      <c r="AN153" s="431"/>
      <c r="AO153" s="432"/>
      <c r="AP153" s="425"/>
      <c r="AQ153" s="433"/>
      <c r="AR153" s="425"/>
      <c r="AS153" s="433"/>
      <c r="AT153" s="434"/>
      <c r="AU153" s="431"/>
      <c r="AV153" s="435"/>
      <c r="AW153" s="494"/>
      <c r="AX153" s="429"/>
      <c r="AY153" s="424"/>
      <c r="AZ153" s="424"/>
      <c r="BA153" s="430"/>
      <c r="BB153" s="431"/>
      <c r="BC153" s="432"/>
      <c r="BD153" s="425"/>
      <c r="BE153" s="433"/>
      <c r="BF153" s="425"/>
      <c r="BG153" s="433"/>
      <c r="BH153" s="434"/>
      <c r="BI153" s="431"/>
      <c r="BJ153" s="435"/>
      <c r="BK153" s="494"/>
    </row>
    <row r="154" spans="1:63">
      <c r="A154" s="488"/>
      <c r="B154" s="489"/>
      <c r="C154" s="490"/>
      <c r="D154" s="487"/>
      <c r="E154" s="491"/>
      <c r="F154" s="418"/>
      <c r="G154" s="419"/>
      <c r="H154" s="436"/>
      <c r="I154" s="437"/>
      <c r="J154" s="492"/>
      <c r="K154" s="439"/>
      <c r="L154" s="492"/>
      <c r="M154" s="438"/>
      <c r="N154" s="436"/>
      <c r="O154" s="438"/>
      <c r="P154" s="420"/>
      <c r="Q154" s="421"/>
      <c r="R154" s="421"/>
      <c r="S154" s="422"/>
      <c r="T154" s="422"/>
      <c r="U154" s="423"/>
      <c r="V154" s="424"/>
      <c r="W154" s="424"/>
      <c r="X154" s="425"/>
      <c r="Y154" s="426"/>
      <c r="Z154" s="417"/>
      <c r="AA154" s="493"/>
      <c r="AB154" s="427"/>
      <c r="AC154" s="438"/>
      <c r="AD154" s="428"/>
      <c r="AE154" s="437"/>
      <c r="AF154" s="437"/>
      <c r="AG154" s="438"/>
      <c r="AH154" s="428"/>
      <c r="AI154" s="438"/>
      <c r="AJ154" s="429"/>
      <c r="AK154" s="424"/>
      <c r="AL154" s="424"/>
      <c r="AM154" s="430"/>
      <c r="AN154" s="431"/>
      <c r="AO154" s="432"/>
      <c r="AP154" s="425"/>
      <c r="AQ154" s="433"/>
      <c r="AR154" s="425"/>
      <c r="AS154" s="433"/>
      <c r="AT154" s="434"/>
      <c r="AU154" s="431"/>
      <c r="AV154" s="435"/>
      <c r="AW154" s="494"/>
      <c r="AX154" s="429"/>
      <c r="AY154" s="424"/>
      <c r="AZ154" s="424"/>
      <c r="BA154" s="430"/>
      <c r="BB154" s="431"/>
      <c r="BC154" s="432"/>
      <c r="BD154" s="425"/>
      <c r="BE154" s="433"/>
      <c r="BF154" s="425"/>
      <c r="BG154" s="433"/>
      <c r="BH154" s="434"/>
      <c r="BI154" s="431"/>
      <c r="BJ154" s="435"/>
      <c r="BK154" s="494"/>
    </row>
    <row r="155" spans="1:63">
      <c r="A155" s="488"/>
      <c r="B155" s="489"/>
      <c r="C155" s="490"/>
      <c r="D155" s="487"/>
      <c r="E155" s="491"/>
      <c r="F155" s="418"/>
      <c r="G155" s="419"/>
      <c r="H155" s="436"/>
      <c r="I155" s="437"/>
      <c r="J155" s="492"/>
      <c r="K155" s="439"/>
      <c r="L155" s="492"/>
      <c r="M155" s="438"/>
      <c r="N155" s="436"/>
      <c r="O155" s="438"/>
      <c r="P155" s="420"/>
      <c r="Q155" s="421"/>
      <c r="R155" s="421"/>
      <c r="S155" s="422"/>
      <c r="T155" s="422"/>
      <c r="U155" s="423"/>
      <c r="V155" s="424"/>
      <c r="W155" s="424"/>
      <c r="X155" s="425"/>
      <c r="Y155" s="426"/>
      <c r="Z155" s="417"/>
      <c r="AA155" s="493"/>
      <c r="AB155" s="427"/>
      <c r="AC155" s="438"/>
      <c r="AD155" s="428"/>
      <c r="AE155" s="437"/>
      <c r="AF155" s="437"/>
      <c r="AG155" s="438"/>
      <c r="AH155" s="428"/>
      <c r="AI155" s="438"/>
      <c r="AJ155" s="429"/>
      <c r="AK155" s="424"/>
      <c r="AL155" s="424"/>
      <c r="AM155" s="430"/>
      <c r="AN155" s="431"/>
      <c r="AO155" s="432"/>
      <c r="AP155" s="425"/>
      <c r="AQ155" s="433"/>
      <c r="AR155" s="425"/>
      <c r="AS155" s="433"/>
      <c r="AT155" s="434"/>
      <c r="AU155" s="431"/>
      <c r="AV155" s="435"/>
      <c r="AW155" s="494"/>
      <c r="AX155" s="429"/>
      <c r="AY155" s="424"/>
      <c r="AZ155" s="424"/>
      <c r="BA155" s="430"/>
      <c r="BB155" s="431"/>
      <c r="BC155" s="432"/>
      <c r="BD155" s="425"/>
      <c r="BE155" s="433"/>
      <c r="BF155" s="425"/>
      <c r="BG155" s="433"/>
      <c r="BH155" s="434"/>
      <c r="BI155" s="431"/>
      <c r="BJ155" s="435"/>
      <c r="BK155" s="494"/>
    </row>
    <row r="156" spans="1:63">
      <c r="A156" s="488"/>
      <c r="B156" s="489"/>
      <c r="C156" s="490"/>
      <c r="D156" s="487"/>
      <c r="E156" s="491"/>
      <c r="F156" s="418"/>
      <c r="G156" s="419"/>
      <c r="H156" s="436"/>
      <c r="I156" s="437"/>
      <c r="J156" s="492"/>
      <c r="K156" s="439"/>
      <c r="L156" s="492"/>
      <c r="M156" s="438"/>
      <c r="N156" s="436"/>
      <c r="O156" s="438"/>
      <c r="P156" s="420"/>
      <c r="Q156" s="421"/>
      <c r="R156" s="421"/>
      <c r="S156" s="422"/>
      <c r="T156" s="422"/>
      <c r="U156" s="423"/>
      <c r="V156" s="424"/>
      <c r="W156" s="424"/>
      <c r="X156" s="425"/>
      <c r="Y156" s="426"/>
      <c r="Z156" s="417"/>
      <c r="AA156" s="493"/>
      <c r="AB156" s="427"/>
      <c r="AC156" s="438"/>
      <c r="AD156" s="428"/>
      <c r="AE156" s="437"/>
      <c r="AF156" s="437"/>
      <c r="AG156" s="438"/>
      <c r="AH156" s="428"/>
      <c r="AI156" s="438"/>
      <c r="AJ156" s="429"/>
      <c r="AK156" s="424"/>
      <c r="AL156" s="424"/>
      <c r="AM156" s="430"/>
      <c r="AN156" s="431"/>
      <c r="AO156" s="432"/>
      <c r="AP156" s="425"/>
      <c r="AQ156" s="433"/>
      <c r="AR156" s="425"/>
      <c r="AS156" s="433"/>
      <c r="AT156" s="434"/>
      <c r="AU156" s="431"/>
      <c r="AV156" s="435"/>
      <c r="AW156" s="494"/>
      <c r="AX156" s="429"/>
      <c r="AY156" s="424"/>
      <c r="AZ156" s="424"/>
      <c r="BA156" s="430"/>
      <c r="BB156" s="431"/>
      <c r="BC156" s="432"/>
      <c r="BD156" s="425"/>
      <c r="BE156" s="433"/>
      <c r="BF156" s="425"/>
      <c r="BG156" s="433"/>
      <c r="BH156" s="434"/>
      <c r="BI156" s="431"/>
      <c r="BJ156" s="435"/>
      <c r="BK156" s="494"/>
    </row>
    <row r="157" spans="1:63">
      <c r="A157" s="488"/>
      <c r="B157" s="489"/>
      <c r="C157" s="490"/>
      <c r="D157" s="487"/>
      <c r="E157" s="491"/>
      <c r="F157" s="418"/>
      <c r="G157" s="419"/>
      <c r="H157" s="436"/>
      <c r="I157" s="437"/>
      <c r="J157" s="492"/>
      <c r="K157" s="439"/>
      <c r="L157" s="492"/>
      <c r="M157" s="438"/>
      <c r="N157" s="436"/>
      <c r="O157" s="438"/>
      <c r="P157" s="420"/>
      <c r="Q157" s="421"/>
      <c r="R157" s="421"/>
      <c r="S157" s="422"/>
      <c r="T157" s="422"/>
      <c r="U157" s="423"/>
      <c r="V157" s="424"/>
      <c r="W157" s="424"/>
      <c r="X157" s="425"/>
      <c r="Y157" s="426"/>
      <c r="Z157" s="417"/>
      <c r="AA157" s="493"/>
      <c r="AB157" s="427"/>
      <c r="AC157" s="438"/>
      <c r="AD157" s="428"/>
      <c r="AE157" s="437"/>
      <c r="AF157" s="437"/>
      <c r="AG157" s="438"/>
      <c r="AH157" s="428"/>
      <c r="AI157" s="438"/>
      <c r="AJ157" s="429"/>
      <c r="AK157" s="424"/>
      <c r="AL157" s="424"/>
      <c r="AM157" s="430"/>
      <c r="AN157" s="431"/>
      <c r="AO157" s="432"/>
      <c r="AP157" s="425"/>
      <c r="AQ157" s="433"/>
      <c r="AR157" s="425"/>
      <c r="AS157" s="433"/>
      <c r="AT157" s="434"/>
      <c r="AU157" s="431"/>
      <c r="AV157" s="435"/>
      <c r="AW157" s="494"/>
      <c r="AX157" s="429"/>
      <c r="AY157" s="424"/>
      <c r="AZ157" s="424"/>
      <c r="BA157" s="430"/>
      <c r="BB157" s="431"/>
      <c r="BC157" s="432"/>
      <c r="BD157" s="425"/>
      <c r="BE157" s="433"/>
      <c r="BF157" s="425"/>
      <c r="BG157" s="433"/>
      <c r="BH157" s="434"/>
      <c r="BI157" s="431"/>
      <c r="BJ157" s="435"/>
      <c r="BK157" s="494"/>
    </row>
    <row r="158" spans="1:63">
      <c r="A158" s="488"/>
      <c r="B158" s="489"/>
      <c r="C158" s="490"/>
      <c r="D158" s="487"/>
      <c r="E158" s="491"/>
      <c r="F158" s="418"/>
      <c r="G158" s="419"/>
      <c r="H158" s="436"/>
      <c r="I158" s="437"/>
      <c r="J158" s="492"/>
      <c r="K158" s="439"/>
      <c r="L158" s="492"/>
      <c r="M158" s="438"/>
      <c r="N158" s="436"/>
      <c r="O158" s="438"/>
      <c r="P158" s="420"/>
      <c r="Q158" s="421"/>
      <c r="R158" s="421"/>
      <c r="S158" s="422"/>
      <c r="T158" s="422"/>
      <c r="U158" s="423"/>
      <c r="V158" s="424"/>
      <c r="W158" s="424"/>
      <c r="X158" s="425"/>
      <c r="Y158" s="426"/>
      <c r="Z158" s="417"/>
      <c r="AA158" s="493"/>
      <c r="AB158" s="427"/>
      <c r="AC158" s="438"/>
      <c r="AD158" s="428"/>
      <c r="AE158" s="437"/>
      <c r="AF158" s="437"/>
      <c r="AG158" s="438"/>
      <c r="AH158" s="428"/>
      <c r="AI158" s="438"/>
      <c r="AJ158" s="429"/>
      <c r="AK158" s="424"/>
      <c r="AL158" s="424"/>
      <c r="AM158" s="430"/>
      <c r="AN158" s="431"/>
      <c r="AO158" s="432"/>
      <c r="AP158" s="425"/>
      <c r="AQ158" s="433"/>
      <c r="AR158" s="425"/>
      <c r="AS158" s="433"/>
      <c r="AT158" s="434"/>
      <c r="AU158" s="431"/>
      <c r="AV158" s="435"/>
      <c r="AW158" s="494"/>
      <c r="AX158" s="429"/>
      <c r="AY158" s="424"/>
      <c r="AZ158" s="424"/>
      <c r="BA158" s="430"/>
      <c r="BB158" s="431"/>
      <c r="BC158" s="432"/>
      <c r="BD158" s="425"/>
      <c r="BE158" s="433"/>
      <c r="BF158" s="425"/>
      <c r="BG158" s="433"/>
      <c r="BH158" s="434"/>
      <c r="BI158" s="431"/>
      <c r="BJ158" s="435"/>
      <c r="BK158" s="494"/>
    </row>
    <row r="159" spans="1:63">
      <c r="A159" s="488"/>
      <c r="B159" s="489"/>
      <c r="C159" s="490"/>
      <c r="D159" s="487"/>
      <c r="E159" s="491"/>
      <c r="F159" s="418"/>
      <c r="G159" s="419"/>
      <c r="H159" s="436"/>
      <c r="I159" s="437"/>
      <c r="J159" s="492"/>
      <c r="K159" s="439"/>
      <c r="L159" s="492"/>
      <c r="M159" s="438"/>
      <c r="N159" s="436"/>
      <c r="O159" s="438"/>
      <c r="P159" s="420"/>
      <c r="Q159" s="421"/>
      <c r="R159" s="421"/>
      <c r="S159" s="422"/>
      <c r="T159" s="422"/>
      <c r="U159" s="423"/>
      <c r="V159" s="424"/>
      <c r="W159" s="424"/>
      <c r="X159" s="425"/>
      <c r="Y159" s="426"/>
      <c r="Z159" s="417"/>
      <c r="AA159" s="493"/>
      <c r="AB159" s="427"/>
      <c r="AC159" s="438"/>
      <c r="AD159" s="428"/>
      <c r="AE159" s="437"/>
      <c r="AF159" s="437"/>
      <c r="AG159" s="438"/>
      <c r="AH159" s="428"/>
      <c r="AI159" s="438"/>
      <c r="AJ159" s="429"/>
      <c r="AK159" s="424"/>
      <c r="AL159" s="424"/>
      <c r="AM159" s="430"/>
      <c r="AN159" s="431"/>
      <c r="AO159" s="432"/>
      <c r="AP159" s="425"/>
      <c r="AQ159" s="433"/>
      <c r="AR159" s="425"/>
      <c r="AS159" s="433"/>
      <c r="AT159" s="434"/>
      <c r="AU159" s="431"/>
      <c r="AV159" s="435"/>
      <c r="AW159" s="494"/>
      <c r="AX159" s="429"/>
      <c r="AY159" s="424"/>
      <c r="AZ159" s="424"/>
      <c r="BA159" s="430"/>
      <c r="BB159" s="431"/>
      <c r="BC159" s="432"/>
      <c r="BD159" s="425"/>
      <c r="BE159" s="433"/>
      <c r="BF159" s="425"/>
      <c r="BG159" s="433"/>
      <c r="BH159" s="434"/>
      <c r="BI159" s="431"/>
      <c r="BJ159" s="435"/>
      <c r="BK159" s="494"/>
    </row>
    <row r="160" spans="1:63">
      <c r="A160" s="488"/>
      <c r="B160" s="489"/>
      <c r="C160" s="490"/>
      <c r="D160" s="487"/>
      <c r="E160" s="491"/>
      <c r="F160" s="418"/>
      <c r="G160" s="419"/>
      <c r="H160" s="436"/>
      <c r="I160" s="437"/>
      <c r="J160" s="492"/>
      <c r="K160" s="439"/>
      <c r="L160" s="492"/>
      <c r="M160" s="438"/>
      <c r="N160" s="436"/>
      <c r="O160" s="438"/>
      <c r="P160" s="420"/>
      <c r="Q160" s="421"/>
      <c r="R160" s="421"/>
      <c r="S160" s="422"/>
      <c r="T160" s="422"/>
      <c r="U160" s="423"/>
      <c r="V160" s="424"/>
      <c r="W160" s="424"/>
      <c r="X160" s="425"/>
      <c r="Y160" s="426"/>
      <c r="Z160" s="417"/>
      <c r="AA160" s="493"/>
      <c r="AB160" s="427"/>
      <c r="AC160" s="438"/>
      <c r="AD160" s="428"/>
      <c r="AE160" s="437"/>
      <c r="AF160" s="437"/>
      <c r="AG160" s="438"/>
      <c r="AH160" s="428"/>
      <c r="AI160" s="438"/>
      <c r="AJ160" s="429"/>
      <c r="AK160" s="424"/>
      <c r="AL160" s="424"/>
      <c r="AM160" s="430"/>
      <c r="AN160" s="431"/>
      <c r="AO160" s="432"/>
      <c r="AP160" s="425"/>
      <c r="AQ160" s="433"/>
      <c r="AR160" s="425"/>
      <c r="AS160" s="433"/>
      <c r="AT160" s="434"/>
      <c r="AU160" s="431"/>
      <c r="AV160" s="435"/>
      <c r="AW160" s="494"/>
      <c r="AX160" s="429"/>
      <c r="AY160" s="424"/>
      <c r="AZ160" s="424"/>
      <c r="BA160" s="430"/>
      <c r="BB160" s="431"/>
      <c r="BC160" s="432"/>
      <c r="BD160" s="425"/>
      <c r="BE160" s="433"/>
      <c r="BF160" s="425"/>
      <c r="BG160" s="433"/>
      <c r="BH160" s="434"/>
      <c r="BI160" s="431"/>
      <c r="BJ160" s="435"/>
      <c r="BK160" s="494"/>
    </row>
    <row r="161" spans="1:63">
      <c r="A161" s="488"/>
      <c r="B161" s="489"/>
      <c r="C161" s="490"/>
      <c r="D161" s="487"/>
      <c r="E161" s="491"/>
      <c r="F161" s="418"/>
      <c r="G161" s="419"/>
      <c r="H161" s="436"/>
      <c r="I161" s="437"/>
      <c r="J161" s="492"/>
      <c r="K161" s="439"/>
      <c r="L161" s="492"/>
      <c r="M161" s="438"/>
      <c r="N161" s="436"/>
      <c r="O161" s="438"/>
      <c r="P161" s="420"/>
      <c r="Q161" s="421"/>
      <c r="R161" s="421"/>
      <c r="S161" s="422"/>
      <c r="T161" s="422"/>
      <c r="U161" s="423"/>
      <c r="V161" s="424"/>
      <c r="W161" s="424"/>
      <c r="X161" s="425"/>
      <c r="Y161" s="426"/>
      <c r="Z161" s="417"/>
      <c r="AA161" s="493"/>
      <c r="AB161" s="427"/>
      <c r="AC161" s="438"/>
      <c r="AD161" s="428"/>
      <c r="AE161" s="437"/>
      <c r="AF161" s="437"/>
      <c r="AG161" s="438"/>
      <c r="AH161" s="428"/>
      <c r="AI161" s="438"/>
      <c r="AJ161" s="429"/>
      <c r="AK161" s="424"/>
      <c r="AL161" s="424"/>
      <c r="AM161" s="430"/>
      <c r="AN161" s="431"/>
      <c r="AO161" s="432"/>
      <c r="AP161" s="425"/>
      <c r="AQ161" s="433"/>
      <c r="AR161" s="425"/>
      <c r="AS161" s="433"/>
      <c r="AT161" s="434"/>
      <c r="AU161" s="431"/>
      <c r="AV161" s="435"/>
      <c r="AW161" s="494"/>
      <c r="AX161" s="429"/>
      <c r="AY161" s="424"/>
      <c r="AZ161" s="424"/>
      <c r="BA161" s="430"/>
      <c r="BB161" s="431"/>
      <c r="BC161" s="432"/>
      <c r="BD161" s="425"/>
      <c r="BE161" s="433"/>
      <c r="BF161" s="425"/>
      <c r="BG161" s="433"/>
      <c r="BH161" s="434"/>
      <c r="BI161" s="431"/>
      <c r="BJ161" s="435"/>
      <c r="BK161" s="494"/>
    </row>
    <row r="162" spans="1:63">
      <c r="A162" s="488"/>
      <c r="B162" s="489"/>
      <c r="C162" s="490"/>
      <c r="D162" s="487"/>
      <c r="E162" s="491"/>
      <c r="F162" s="418"/>
      <c r="G162" s="419"/>
      <c r="H162" s="436"/>
      <c r="I162" s="437"/>
      <c r="J162" s="492"/>
      <c r="K162" s="439"/>
      <c r="L162" s="492"/>
      <c r="M162" s="438"/>
      <c r="N162" s="436"/>
      <c r="O162" s="438"/>
      <c r="P162" s="420"/>
      <c r="Q162" s="421"/>
      <c r="R162" s="421"/>
      <c r="S162" s="422"/>
      <c r="T162" s="422"/>
      <c r="U162" s="423"/>
      <c r="V162" s="424"/>
      <c r="W162" s="424"/>
      <c r="X162" s="425"/>
      <c r="Y162" s="426"/>
      <c r="Z162" s="417"/>
      <c r="AA162" s="493"/>
      <c r="AB162" s="427"/>
      <c r="AC162" s="438"/>
      <c r="AD162" s="428"/>
      <c r="AE162" s="437"/>
      <c r="AF162" s="437"/>
      <c r="AG162" s="438"/>
      <c r="AH162" s="428"/>
      <c r="AI162" s="438"/>
      <c r="AJ162" s="429"/>
      <c r="AK162" s="424"/>
      <c r="AL162" s="424"/>
      <c r="AM162" s="430"/>
      <c r="AN162" s="431"/>
      <c r="AO162" s="432"/>
      <c r="AP162" s="425"/>
      <c r="AQ162" s="433"/>
      <c r="AR162" s="425"/>
      <c r="AS162" s="433"/>
      <c r="AT162" s="434"/>
      <c r="AU162" s="431"/>
      <c r="AV162" s="435"/>
      <c r="AW162" s="494"/>
      <c r="AX162" s="429"/>
      <c r="AY162" s="424"/>
      <c r="AZ162" s="424"/>
      <c r="BA162" s="430"/>
      <c r="BB162" s="431"/>
      <c r="BC162" s="432"/>
      <c r="BD162" s="425"/>
      <c r="BE162" s="433"/>
      <c r="BF162" s="425"/>
      <c r="BG162" s="433"/>
      <c r="BH162" s="434"/>
      <c r="BI162" s="431"/>
      <c r="BJ162" s="435"/>
      <c r="BK162" s="494"/>
    </row>
    <row r="163" spans="1:63">
      <c r="A163" s="488"/>
      <c r="B163" s="489"/>
      <c r="C163" s="490"/>
      <c r="D163" s="487"/>
      <c r="E163" s="491"/>
      <c r="F163" s="418"/>
      <c r="G163" s="419"/>
      <c r="H163" s="436"/>
      <c r="I163" s="437"/>
      <c r="J163" s="492"/>
      <c r="K163" s="439"/>
      <c r="L163" s="492"/>
      <c r="M163" s="438"/>
      <c r="N163" s="436"/>
      <c r="O163" s="438"/>
      <c r="P163" s="420"/>
      <c r="Q163" s="421"/>
      <c r="R163" s="421"/>
      <c r="S163" s="422"/>
      <c r="T163" s="422"/>
      <c r="U163" s="423"/>
      <c r="V163" s="424"/>
      <c r="W163" s="424"/>
      <c r="X163" s="425"/>
      <c r="Y163" s="426"/>
      <c r="Z163" s="417"/>
      <c r="AA163" s="493"/>
      <c r="AB163" s="427"/>
      <c r="AC163" s="438"/>
      <c r="AD163" s="428"/>
      <c r="AE163" s="437"/>
      <c r="AF163" s="437"/>
      <c r="AG163" s="438"/>
      <c r="AH163" s="428"/>
      <c r="AI163" s="438"/>
      <c r="AJ163" s="429"/>
      <c r="AK163" s="424"/>
      <c r="AL163" s="424"/>
      <c r="AM163" s="430"/>
      <c r="AN163" s="431"/>
      <c r="AO163" s="432"/>
      <c r="AP163" s="425"/>
      <c r="AQ163" s="433"/>
      <c r="AR163" s="425"/>
      <c r="AS163" s="433"/>
      <c r="AT163" s="434"/>
      <c r="AU163" s="431"/>
      <c r="AV163" s="435"/>
      <c r="AW163" s="494"/>
      <c r="AX163" s="429"/>
      <c r="AY163" s="424"/>
      <c r="AZ163" s="424"/>
      <c r="BA163" s="430"/>
      <c r="BB163" s="431"/>
      <c r="BC163" s="432"/>
      <c r="BD163" s="425"/>
      <c r="BE163" s="433"/>
      <c r="BF163" s="425"/>
      <c r="BG163" s="433"/>
      <c r="BH163" s="434"/>
      <c r="BI163" s="431"/>
      <c r="BJ163" s="435"/>
      <c r="BK163" s="494"/>
    </row>
    <row r="164" spans="1:63">
      <c r="A164" s="488"/>
      <c r="B164" s="489"/>
      <c r="C164" s="490"/>
      <c r="D164" s="487"/>
      <c r="E164" s="491"/>
      <c r="F164" s="418"/>
      <c r="G164" s="419"/>
      <c r="H164" s="436"/>
      <c r="I164" s="437"/>
      <c r="J164" s="492"/>
      <c r="K164" s="439"/>
      <c r="L164" s="492"/>
      <c r="M164" s="438"/>
      <c r="N164" s="436"/>
      <c r="O164" s="438"/>
      <c r="P164" s="420"/>
      <c r="Q164" s="421"/>
      <c r="R164" s="421"/>
      <c r="S164" s="422"/>
      <c r="T164" s="422"/>
      <c r="U164" s="423"/>
      <c r="V164" s="424"/>
      <c r="W164" s="424"/>
      <c r="X164" s="425"/>
      <c r="Y164" s="426"/>
      <c r="Z164" s="417"/>
      <c r="AA164" s="493"/>
      <c r="AB164" s="427"/>
      <c r="AC164" s="438"/>
      <c r="AD164" s="428"/>
      <c r="AE164" s="437"/>
      <c r="AF164" s="437"/>
      <c r="AG164" s="438"/>
      <c r="AH164" s="428"/>
      <c r="AI164" s="438"/>
      <c r="AJ164" s="429"/>
      <c r="AK164" s="424"/>
      <c r="AL164" s="424"/>
      <c r="AM164" s="430"/>
      <c r="AN164" s="431"/>
      <c r="AO164" s="432"/>
      <c r="AP164" s="425"/>
      <c r="AQ164" s="433"/>
      <c r="AR164" s="425"/>
      <c r="AS164" s="433"/>
      <c r="AT164" s="434"/>
      <c r="AU164" s="431"/>
      <c r="AV164" s="435"/>
      <c r="AW164" s="494"/>
      <c r="AX164" s="429"/>
      <c r="AY164" s="424"/>
      <c r="AZ164" s="424"/>
      <c r="BA164" s="430"/>
      <c r="BB164" s="431"/>
      <c r="BC164" s="432"/>
      <c r="BD164" s="425"/>
      <c r="BE164" s="433"/>
      <c r="BF164" s="425"/>
      <c r="BG164" s="433"/>
      <c r="BH164" s="434"/>
      <c r="BI164" s="431"/>
      <c r="BJ164" s="435"/>
      <c r="BK164" s="494"/>
    </row>
    <row r="165" spans="1:63">
      <c r="A165" s="488"/>
      <c r="B165" s="489"/>
      <c r="C165" s="490"/>
      <c r="D165" s="487"/>
      <c r="E165" s="491"/>
      <c r="F165" s="418"/>
      <c r="G165" s="419"/>
      <c r="H165" s="436"/>
      <c r="I165" s="437"/>
      <c r="J165" s="492"/>
      <c r="K165" s="439"/>
      <c r="L165" s="492"/>
      <c r="M165" s="438"/>
      <c r="N165" s="436"/>
      <c r="O165" s="438"/>
      <c r="P165" s="420"/>
      <c r="Q165" s="421"/>
      <c r="R165" s="421"/>
      <c r="S165" s="422"/>
      <c r="T165" s="422"/>
      <c r="U165" s="423"/>
      <c r="V165" s="424"/>
      <c r="W165" s="424"/>
      <c r="X165" s="425"/>
      <c r="Y165" s="426"/>
      <c r="Z165" s="417"/>
      <c r="AA165" s="493"/>
      <c r="AB165" s="427"/>
      <c r="AC165" s="438"/>
      <c r="AD165" s="428"/>
      <c r="AE165" s="437"/>
      <c r="AF165" s="437"/>
      <c r="AG165" s="438"/>
      <c r="AH165" s="428"/>
      <c r="AI165" s="438"/>
      <c r="AJ165" s="429"/>
      <c r="AK165" s="424"/>
      <c r="AL165" s="424"/>
      <c r="AM165" s="430"/>
      <c r="AN165" s="431"/>
      <c r="AO165" s="432"/>
      <c r="AP165" s="425"/>
      <c r="AQ165" s="433"/>
      <c r="AR165" s="425"/>
      <c r="AS165" s="433"/>
      <c r="AT165" s="434"/>
      <c r="AU165" s="431"/>
      <c r="AV165" s="435"/>
      <c r="AW165" s="494"/>
      <c r="AX165" s="429"/>
      <c r="AY165" s="424"/>
      <c r="AZ165" s="424"/>
      <c r="BA165" s="430"/>
      <c r="BB165" s="431"/>
      <c r="BC165" s="432"/>
      <c r="BD165" s="425"/>
      <c r="BE165" s="433"/>
      <c r="BF165" s="425"/>
      <c r="BG165" s="433"/>
      <c r="BH165" s="434"/>
      <c r="BI165" s="431"/>
      <c r="BJ165" s="435"/>
      <c r="BK165" s="494"/>
    </row>
    <row r="166" spans="1:63">
      <c r="A166" s="488"/>
      <c r="B166" s="489"/>
      <c r="C166" s="490"/>
      <c r="D166" s="487"/>
      <c r="E166" s="491"/>
      <c r="F166" s="418"/>
      <c r="G166" s="419"/>
      <c r="H166" s="436"/>
      <c r="I166" s="437"/>
      <c r="J166" s="492"/>
      <c r="K166" s="439"/>
      <c r="L166" s="492"/>
      <c r="M166" s="438"/>
      <c r="N166" s="436"/>
      <c r="O166" s="438"/>
      <c r="P166" s="420"/>
      <c r="Q166" s="421"/>
      <c r="R166" s="421"/>
      <c r="S166" s="422"/>
      <c r="T166" s="422"/>
      <c r="U166" s="423"/>
      <c r="V166" s="424"/>
      <c r="W166" s="424"/>
      <c r="X166" s="425"/>
      <c r="Y166" s="426"/>
      <c r="Z166" s="417"/>
      <c r="AA166" s="493"/>
      <c r="AB166" s="427"/>
      <c r="AC166" s="438"/>
      <c r="AD166" s="428"/>
      <c r="AE166" s="437"/>
      <c r="AF166" s="437"/>
      <c r="AG166" s="438"/>
      <c r="AH166" s="428"/>
      <c r="AI166" s="438"/>
      <c r="AJ166" s="429"/>
      <c r="AK166" s="424"/>
      <c r="AL166" s="424"/>
      <c r="AM166" s="430"/>
      <c r="AN166" s="431"/>
      <c r="AO166" s="432"/>
      <c r="AP166" s="425"/>
      <c r="AQ166" s="433"/>
      <c r="AR166" s="425"/>
      <c r="AS166" s="433"/>
      <c r="AT166" s="434"/>
      <c r="AU166" s="431"/>
      <c r="AV166" s="435"/>
      <c r="AW166" s="494"/>
      <c r="AX166" s="429"/>
      <c r="AY166" s="424"/>
      <c r="AZ166" s="424"/>
      <c r="BA166" s="430"/>
      <c r="BB166" s="431"/>
      <c r="BC166" s="432"/>
      <c r="BD166" s="425"/>
      <c r="BE166" s="433"/>
      <c r="BF166" s="425"/>
      <c r="BG166" s="433"/>
      <c r="BH166" s="434"/>
      <c r="BI166" s="431"/>
      <c r="BJ166" s="435"/>
      <c r="BK166" s="494"/>
    </row>
    <row r="167" spans="1:63">
      <c r="A167" s="488"/>
      <c r="B167" s="489"/>
      <c r="C167" s="490"/>
      <c r="D167" s="487"/>
      <c r="E167" s="491"/>
      <c r="F167" s="418"/>
      <c r="G167" s="419"/>
      <c r="H167" s="436"/>
      <c r="I167" s="437"/>
      <c r="J167" s="492"/>
      <c r="K167" s="439"/>
      <c r="L167" s="492"/>
      <c r="M167" s="438"/>
      <c r="N167" s="436"/>
      <c r="O167" s="438"/>
      <c r="P167" s="420"/>
      <c r="Q167" s="421"/>
      <c r="R167" s="421"/>
      <c r="S167" s="422"/>
      <c r="T167" s="422"/>
      <c r="U167" s="423"/>
      <c r="V167" s="424"/>
      <c r="W167" s="424"/>
      <c r="X167" s="425"/>
      <c r="Y167" s="426"/>
      <c r="Z167" s="417"/>
      <c r="AA167" s="493"/>
      <c r="AB167" s="427"/>
      <c r="AC167" s="438"/>
      <c r="AD167" s="428"/>
      <c r="AE167" s="437"/>
      <c r="AF167" s="437"/>
      <c r="AG167" s="438"/>
      <c r="AH167" s="428"/>
      <c r="AI167" s="438"/>
      <c r="AJ167" s="429"/>
      <c r="AK167" s="424"/>
      <c r="AL167" s="424"/>
      <c r="AM167" s="430"/>
      <c r="AN167" s="431"/>
      <c r="AO167" s="432"/>
      <c r="AP167" s="425"/>
      <c r="AQ167" s="433"/>
      <c r="AR167" s="425"/>
      <c r="AS167" s="433"/>
      <c r="AT167" s="434"/>
      <c r="AU167" s="431"/>
      <c r="AV167" s="435"/>
      <c r="AW167" s="494"/>
      <c r="AX167" s="429"/>
      <c r="AY167" s="424"/>
      <c r="AZ167" s="424"/>
      <c r="BA167" s="430"/>
      <c r="BB167" s="431"/>
      <c r="BC167" s="432"/>
      <c r="BD167" s="425"/>
      <c r="BE167" s="433"/>
      <c r="BF167" s="425"/>
      <c r="BG167" s="433"/>
      <c r="BH167" s="434"/>
      <c r="BI167" s="431"/>
      <c r="BJ167" s="435"/>
      <c r="BK167" s="494"/>
    </row>
    <row r="168" spans="1:63">
      <c r="A168" s="488"/>
      <c r="B168" s="489"/>
      <c r="C168" s="490"/>
      <c r="D168" s="487"/>
      <c r="E168" s="491"/>
      <c r="F168" s="418"/>
      <c r="G168" s="419"/>
      <c r="H168" s="436"/>
      <c r="I168" s="437"/>
      <c r="J168" s="492"/>
      <c r="K168" s="439"/>
      <c r="L168" s="492"/>
      <c r="M168" s="438"/>
      <c r="N168" s="436"/>
      <c r="O168" s="438"/>
      <c r="P168" s="420"/>
      <c r="Q168" s="421"/>
      <c r="R168" s="421"/>
      <c r="S168" s="422"/>
      <c r="T168" s="422"/>
      <c r="U168" s="423"/>
      <c r="V168" s="424"/>
      <c r="W168" s="424"/>
      <c r="X168" s="425"/>
      <c r="Y168" s="426"/>
      <c r="Z168" s="417"/>
      <c r="AA168" s="493"/>
      <c r="AB168" s="427"/>
      <c r="AC168" s="438"/>
      <c r="AD168" s="428"/>
      <c r="AE168" s="437"/>
      <c r="AF168" s="437"/>
      <c r="AG168" s="438"/>
      <c r="AH168" s="428"/>
      <c r="AI168" s="438"/>
      <c r="AJ168" s="429"/>
      <c r="AK168" s="424"/>
      <c r="AL168" s="424"/>
      <c r="AM168" s="430"/>
      <c r="AN168" s="431"/>
      <c r="AO168" s="432"/>
      <c r="AP168" s="425"/>
      <c r="AQ168" s="433"/>
      <c r="AR168" s="425"/>
      <c r="AS168" s="433"/>
      <c r="AT168" s="434"/>
      <c r="AU168" s="431"/>
      <c r="AV168" s="435"/>
      <c r="AW168" s="494"/>
      <c r="AX168" s="429"/>
      <c r="AY168" s="424"/>
      <c r="AZ168" s="424"/>
      <c r="BA168" s="430"/>
      <c r="BB168" s="431"/>
      <c r="BC168" s="432"/>
      <c r="BD168" s="425"/>
      <c r="BE168" s="433"/>
      <c r="BF168" s="425"/>
      <c r="BG168" s="433"/>
      <c r="BH168" s="434"/>
      <c r="BI168" s="431"/>
      <c r="BJ168" s="435"/>
      <c r="BK168" s="494"/>
    </row>
    <row r="169" spans="1:63">
      <c r="A169" s="488"/>
      <c r="B169" s="489"/>
      <c r="C169" s="490"/>
      <c r="D169" s="487"/>
      <c r="E169" s="491"/>
      <c r="F169" s="418"/>
      <c r="G169" s="419"/>
      <c r="H169" s="436"/>
      <c r="I169" s="437"/>
      <c r="J169" s="492"/>
      <c r="K169" s="439"/>
      <c r="L169" s="492"/>
      <c r="M169" s="438"/>
      <c r="N169" s="436"/>
      <c r="O169" s="438"/>
      <c r="P169" s="420"/>
      <c r="Q169" s="421"/>
      <c r="R169" s="421"/>
      <c r="S169" s="422"/>
      <c r="T169" s="422"/>
      <c r="U169" s="423"/>
      <c r="V169" s="424"/>
      <c r="W169" s="424"/>
      <c r="X169" s="425"/>
      <c r="Y169" s="426"/>
      <c r="Z169" s="417"/>
      <c r="AA169" s="493"/>
      <c r="AB169" s="427"/>
      <c r="AC169" s="438"/>
      <c r="AD169" s="428"/>
      <c r="AE169" s="437"/>
      <c r="AF169" s="437"/>
      <c r="AG169" s="438"/>
      <c r="AH169" s="428"/>
      <c r="AI169" s="438"/>
      <c r="AJ169" s="429"/>
      <c r="AK169" s="424"/>
      <c r="AL169" s="424"/>
      <c r="AM169" s="430"/>
      <c r="AN169" s="431"/>
      <c r="AO169" s="432"/>
      <c r="AP169" s="425"/>
      <c r="AQ169" s="433"/>
      <c r="AR169" s="425"/>
      <c r="AS169" s="433"/>
      <c r="AT169" s="434"/>
      <c r="AU169" s="431"/>
      <c r="AV169" s="435"/>
      <c r="AW169" s="494"/>
      <c r="AX169" s="429"/>
      <c r="AY169" s="424"/>
      <c r="AZ169" s="424"/>
      <c r="BA169" s="430"/>
      <c r="BB169" s="431"/>
      <c r="BC169" s="432"/>
      <c r="BD169" s="425"/>
      <c r="BE169" s="433"/>
      <c r="BF169" s="425"/>
      <c r="BG169" s="433"/>
      <c r="BH169" s="434"/>
      <c r="BI169" s="431"/>
      <c r="BJ169" s="435"/>
      <c r="BK169" s="494"/>
    </row>
    <row r="170" spans="1:63">
      <c r="A170" s="488"/>
      <c r="B170" s="489"/>
      <c r="C170" s="490"/>
      <c r="D170" s="487"/>
      <c r="E170" s="491"/>
      <c r="F170" s="418"/>
      <c r="G170" s="419"/>
      <c r="H170" s="436"/>
      <c r="I170" s="437"/>
      <c r="J170" s="492"/>
      <c r="K170" s="439"/>
      <c r="L170" s="492"/>
      <c r="M170" s="438"/>
      <c r="N170" s="436"/>
      <c r="O170" s="438"/>
      <c r="P170" s="420"/>
      <c r="Q170" s="421"/>
      <c r="R170" s="421"/>
      <c r="S170" s="422"/>
      <c r="T170" s="422"/>
      <c r="U170" s="423"/>
      <c r="V170" s="424"/>
      <c r="W170" s="424"/>
      <c r="X170" s="425"/>
      <c r="Y170" s="426"/>
      <c r="Z170" s="417"/>
      <c r="AA170" s="493"/>
      <c r="AB170" s="427"/>
      <c r="AC170" s="438"/>
      <c r="AD170" s="428"/>
      <c r="AE170" s="437"/>
      <c r="AF170" s="437"/>
      <c r="AG170" s="438"/>
      <c r="AH170" s="428"/>
      <c r="AI170" s="438"/>
      <c r="AJ170" s="429"/>
      <c r="AK170" s="424"/>
      <c r="AL170" s="424"/>
      <c r="AM170" s="430"/>
      <c r="AN170" s="431"/>
      <c r="AO170" s="432"/>
      <c r="AP170" s="425"/>
      <c r="AQ170" s="433"/>
      <c r="AR170" s="425"/>
      <c r="AS170" s="433"/>
      <c r="AT170" s="434"/>
      <c r="AU170" s="431"/>
      <c r="AV170" s="435"/>
      <c r="AW170" s="494"/>
      <c r="AX170" s="429"/>
      <c r="AY170" s="424"/>
      <c r="AZ170" s="424"/>
      <c r="BA170" s="430"/>
      <c r="BB170" s="431"/>
      <c r="BC170" s="432"/>
      <c r="BD170" s="425"/>
      <c r="BE170" s="433"/>
      <c r="BF170" s="425"/>
      <c r="BG170" s="433"/>
      <c r="BH170" s="434"/>
      <c r="BI170" s="431"/>
      <c r="BJ170" s="435"/>
      <c r="BK170" s="494"/>
    </row>
    <row r="171" spans="1:63">
      <c r="A171" s="488"/>
      <c r="B171" s="489"/>
      <c r="C171" s="490"/>
      <c r="D171" s="487"/>
      <c r="E171" s="491"/>
      <c r="F171" s="418"/>
      <c r="G171" s="419"/>
      <c r="H171" s="436"/>
      <c r="I171" s="437"/>
      <c r="J171" s="492"/>
      <c r="K171" s="439"/>
      <c r="L171" s="492"/>
      <c r="M171" s="438"/>
      <c r="N171" s="436"/>
      <c r="O171" s="438"/>
      <c r="P171" s="420"/>
      <c r="Q171" s="421"/>
      <c r="R171" s="421"/>
      <c r="S171" s="422"/>
      <c r="T171" s="422"/>
      <c r="U171" s="423"/>
      <c r="V171" s="424"/>
      <c r="W171" s="424"/>
      <c r="X171" s="425"/>
      <c r="Y171" s="426"/>
      <c r="Z171" s="417"/>
      <c r="AA171" s="493"/>
      <c r="AB171" s="427"/>
      <c r="AC171" s="438"/>
      <c r="AD171" s="428"/>
      <c r="AE171" s="437"/>
      <c r="AF171" s="437"/>
      <c r="AG171" s="438"/>
      <c r="AH171" s="428"/>
      <c r="AI171" s="438"/>
      <c r="AJ171" s="429"/>
      <c r="AK171" s="424"/>
      <c r="AL171" s="424"/>
      <c r="AM171" s="430"/>
      <c r="AN171" s="431"/>
      <c r="AO171" s="432"/>
      <c r="AP171" s="425"/>
      <c r="AQ171" s="433"/>
      <c r="AR171" s="425"/>
      <c r="AS171" s="433"/>
      <c r="AT171" s="434"/>
      <c r="AU171" s="431"/>
      <c r="AV171" s="435"/>
      <c r="AW171" s="494"/>
      <c r="AX171" s="429"/>
      <c r="AY171" s="424"/>
      <c r="AZ171" s="424"/>
      <c r="BA171" s="430"/>
      <c r="BB171" s="431"/>
      <c r="BC171" s="432"/>
      <c r="BD171" s="425"/>
      <c r="BE171" s="433"/>
      <c r="BF171" s="425"/>
      <c r="BG171" s="433"/>
      <c r="BH171" s="434"/>
      <c r="BI171" s="431"/>
      <c r="BJ171" s="435"/>
      <c r="BK171" s="494"/>
    </row>
    <row r="172" spans="1:63">
      <c r="A172" s="488"/>
      <c r="B172" s="489"/>
      <c r="C172" s="490"/>
      <c r="D172" s="487"/>
      <c r="E172" s="491"/>
      <c r="F172" s="418"/>
      <c r="G172" s="419"/>
      <c r="H172" s="436"/>
      <c r="I172" s="437"/>
      <c r="J172" s="492"/>
      <c r="K172" s="439"/>
      <c r="L172" s="492"/>
      <c r="M172" s="438"/>
      <c r="N172" s="436"/>
      <c r="O172" s="438"/>
      <c r="P172" s="420"/>
      <c r="Q172" s="421"/>
      <c r="R172" s="421"/>
      <c r="S172" s="422"/>
      <c r="T172" s="422"/>
      <c r="U172" s="423"/>
      <c r="V172" s="424"/>
      <c r="W172" s="424"/>
      <c r="X172" s="425"/>
      <c r="Y172" s="426"/>
      <c r="Z172" s="417"/>
      <c r="AA172" s="493"/>
      <c r="AB172" s="427"/>
      <c r="AC172" s="438"/>
      <c r="AD172" s="428"/>
      <c r="AE172" s="437"/>
      <c r="AF172" s="437"/>
      <c r="AG172" s="438"/>
      <c r="AH172" s="428"/>
      <c r="AI172" s="438"/>
      <c r="AJ172" s="429"/>
      <c r="AK172" s="424"/>
      <c r="AL172" s="424"/>
      <c r="AM172" s="430"/>
      <c r="AN172" s="431"/>
      <c r="AO172" s="432"/>
      <c r="AP172" s="425"/>
      <c r="AQ172" s="433"/>
      <c r="AR172" s="425"/>
      <c r="AS172" s="433"/>
      <c r="AT172" s="434"/>
      <c r="AU172" s="431"/>
      <c r="AV172" s="435"/>
      <c r="AW172" s="494"/>
      <c r="AX172" s="429"/>
      <c r="AY172" s="424"/>
      <c r="AZ172" s="424"/>
      <c r="BA172" s="430"/>
      <c r="BB172" s="431"/>
      <c r="BC172" s="432"/>
      <c r="BD172" s="425"/>
      <c r="BE172" s="433"/>
      <c r="BF172" s="425"/>
      <c r="BG172" s="433"/>
      <c r="BH172" s="434"/>
      <c r="BI172" s="431"/>
      <c r="BJ172" s="435"/>
      <c r="BK172" s="494"/>
    </row>
    <row r="173" spans="1:63">
      <c r="A173" s="488"/>
      <c r="B173" s="489"/>
      <c r="C173" s="490"/>
      <c r="D173" s="487"/>
      <c r="E173" s="491"/>
      <c r="F173" s="418"/>
      <c r="G173" s="419"/>
      <c r="H173" s="436"/>
      <c r="I173" s="437"/>
      <c r="J173" s="492"/>
      <c r="K173" s="439"/>
      <c r="L173" s="492"/>
      <c r="M173" s="438"/>
      <c r="N173" s="436"/>
      <c r="O173" s="438"/>
      <c r="P173" s="420"/>
      <c r="Q173" s="421"/>
      <c r="R173" s="421"/>
      <c r="S173" s="422"/>
      <c r="T173" s="422"/>
      <c r="U173" s="423"/>
      <c r="V173" s="424"/>
      <c r="W173" s="424"/>
      <c r="X173" s="425"/>
      <c r="Y173" s="426"/>
      <c r="Z173" s="417"/>
      <c r="AA173" s="493"/>
      <c r="AB173" s="427"/>
      <c r="AC173" s="438"/>
      <c r="AD173" s="428"/>
      <c r="AE173" s="437"/>
      <c r="AF173" s="437"/>
      <c r="AG173" s="438"/>
      <c r="AH173" s="428"/>
      <c r="AI173" s="438"/>
      <c r="AJ173" s="429"/>
      <c r="AK173" s="424"/>
      <c r="AL173" s="424"/>
      <c r="AM173" s="430"/>
      <c r="AN173" s="431"/>
      <c r="AO173" s="432"/>
      <c r="AP173" s="425"/>
      <c r="AQ173" s="433"/>
      <c r="AR173" s="425"/>
      <c r="AS173" s="433"/>
      <c r="AT173" s="434"/>
      <c r="AU173" s="431"/>
      <c r="AV173" s="435"/>
      <c r="AW173" s="494"/>
      <c r="AX173" s="429"/>
      <c r="AY173" s="424"/>
      <c r="AZ173" s="424"/>
      <c r="BA173" s="430"/>
      <c r="BB173" s="431"/>
      <c r="BC173" s="432"/>
      <c r="BD173" s="425"/>
      <c r="BE173" s="433"/>
      <c r="BF173" s="425"/>
      <c r="BG173" s="433"/>
      <c r="BH173" s="434"/>
      <c r="BI173" s="431"/>
      <c r="BJ173" s="435"/>
      <c r="BK173" s="494"/>
    </row>
    <row r="174" spans="1:63">
      <c r="A174" s="488"/>
      <c r="B174" s="489"/>
      <c r="C174" s="490"/>
      <c r="D174" s="487"/>
      <c r="E174" s="491"/>
      <c r="F174" s="418"/>
      <c r="G174" s="419"/>
      <c r="H174" s="436"/>
      <c r="I174" s="437"/>
      <c r="J174" s="492"/>
      <c r="K174" s="439"/>
      <c r="L174" s="492"/>
      <c r="M174" s="438"/>
      <c r="N174" s="436"/>
      <c r="O174" s="438"/>
      <c r="P174" s="420"/>
      <c r="Q174" s="421"/>
      <c r="R174" s="421"/>
      <c r="S174" s="422"/>
      <c r="T174" s="422"/>
      <c r="U174" s="423"/>
      <c r="V174" s="424"/>
      <c r="W174" s="424"/>
      <c r="X174" s="425"/>
      <c r="Y174" s="426"/>
      <c r="Z174" s="417"/>
      <c r="AA174" s="493"/>
      <c r="AB174" s="427"/>
      <c r="AC174" s="438"/>
      <c r="AD174" s="428"/>
      <c r="AE174" s="437"/>
      <c r="AF174" s="437"/>
      <c r="AG174" s="438"/>
      <c r="AH174" s="428"/>
      <c r="AI174" s="438"/>
      <c r="AJ174" s="429"/>
      <c r="AK174" s="424"/>
      <c r="AL174" s="424"/>
      <c r="AM174" s="430"/>
      <c r="AN174" s="431"/>
      <c r="AO174" s="432"/>
      <c r="AP174" s="425"/>
      <c r="AQ174" s="433"/>
      <c r="AR174" s="425"/>
      <c r="AS174" s="433"/>
      <c r="AT174" s="434"/>
      <c r="AU174" s="431"/>
      <c r="AV174" s="435"/>
      <c r="AW174" s="494"/>
      <c r="AX174" s="429"/>
      <c r="AY174" s="424"/>
      <c r="AZ174" s="424"/>
      <c r="BA174" s="430"/>
      <c r="BB174" s="431"/>
      <c r="BC174" s="432"/>
      <c r="BD174" s="425"/>
      <c r="BE174" s="433"/>
      <c r="BF174" s="425"/>
      <c r="BG174" s="433"/>
      <c r="BH174" s="434"/>
      <c r="BI174" s="431"/>
      <c r="BJ174" s="435"/>
      <c r="BK174" s="494"/>
    </row>
    <row r="175" spans="1:63">
      <c r="A175" s="488"/>
      <c r="B175" s="489"/>
      <c r="C175" s="490"/>
      <c r="D175" s="487"/>
      <c r="E175" s="491"/>
      <c r="F175" s="418"/>
      <c r="G175" s="419"/>
      <c r="H175" s="436"/>
      <c r="I175" s="437"/>
      <c r="J175" s="492"/>
      <c r="K175" s="439"/>
      <c r="L175" s="492"/>
      <c r="M175" s="438"/>
      <c r="N175" s="436"/>
      <c r="O175" s="438"/>
      <c r="P175" s="420"/>
      <c r="Q175" s="421"/>
      <c r="R175" s="421"/>
      <c r="S175" s="422"/>
      <c r="T175" s="422"/>
      <c r="U175" s="423"/>
      <c r="V175" s="424"/>
      <c r="W175" s="424"/>
      <c r="X175" s="425"/>
      <c r="Y175" s="426"/>
      <c r="Z175" s="417"/>
      <c r="AA175" s="493"/>
      <c r="AB175" s="427"/>
      <c r="AC175" s="438"/>
      <c r="AD175" s="428"/>
      <c r="AE175" s="437"/>
      <c r="AF175" s="437"/>
      <c r="AG175" s="438"/>
      <c r="AH175" s="428"/>
      <c r="AI175" s="438"/>
      <c r="AJ175" s="429"/>
      <c r="AK175" s="424"/>
      <c r="AL175" s="424"/>
      <c r="AM175" s="430"/>
      <c r="AN175" s="431"/>
      <c r="AO175" s="432"/>
      <c r="AP175" s="425"/>
      <c r="AQ175" s="433"/>
      <c r="AR175" s="425"/>
      <c r="AS175" s="433"/>
      <c r="AT175" s="434"/>
      <c r="AU175" s="431"/>
      <c r="AV175" s="435"/>
      <c r="AW175" s="494"/>
      <c r="AX175" s="429"/>
      <c r="AY175" s="424"/>
      <c r="AZ175" s="424"/>
      <c r="BA175" s="430"/>
      <c r="BB175" s="431"/>
      <c r="BC175" s="432"/>
      <c r="BD175" s="425"/>
      <c r="BE175" s="433"/>
      <c r="BF175" s="425"/>
      <c r="BG175" s="433"/>
      <c r="BH175" s="434"/>
      <c r="BI175" s="431"/>
      <c r="BJ175" s="435"/>
      <c r="BK175" s="494"/>
    </row>
    <row r="176" spans="1:63">
      <c r="A176" s="488"/>
      <c r="B176" s="489"/>
      <c r="C176" s="490"/>
      <c r="D176" s="487"/>
      <c r="E176" s="491"/>
      <c r="F176" s="418"/>
      <c r="G176" s="419"/>
      <c r="H176" s="436"/>
      <c r="I176" s="437"/>
      <c r="J176" s="492"/>
      <c r="K176" s="439"/>
      <c r="L176" s="492"/>
      <c r="M176" s="438"/>
      <c r="N176" s="436"/>
      <c r="O176" s="438"/>
      <c r="P176" s="420"/>
      <c r="Q176" s="421"/>
      <c r="R176" s="421"/>
      <c r="S176" s="422"/>
      <c r="T176" s="422"/>
      <c r="U176" s="423"/>
      <c r="V176" s="424"/>
      <c r="W176" s="424"/>
      <c r="X176" s="425"/>
      <c r="Y176" s="426"/>
      <c r="Z176" s="417"/>
      <c r="AA176" s="493"/>
      <c r="AB176" s="427"/>
      <c r="AC176" s="438"/>
      <c r="AD176" s="428"/>
      <c r="AE176" s="437"/>
      <c r="AF176" s="437"/>
      <c r="AG176" s="438"/>
      <c r="AH176" s="428"/>
      <c r="AI176" s="438"/>
      <c r="AJ176" s="429"/>
      <c r="AK176" s="424"/>
      <c r="AL176" s="424"/>
      <c r="AM176" s="430"/>
      <c r="AN176" s="431"/>
      <c r="AO176" s="432"/>
      <c r="AP176" s="425"/>
      <c r="AQ176" s="433"/>
      <c r="AR176" s="425"/>
      <c r="AS176" s="433"/>
      <c r="AT176" s="434"/>
      <c r="AU176" s="431"/>
      <c r="AV176" s="435"/>
      <c r="AW176" s="494"/>
      <c r="AX176" s="429"/>
      <c r="AY176" s="424"/>
      <c r="AZ176" s="424"/>
      <c r="BA176" s="430"/>
      <c r="BB176" s="431"/>
      <c r="BC176" s="432"/>
      <c r="BD176" s="425"/>
      <c r="BE176" s="433"/>
      <c r="BF176" s="425"/>
      <c r="BG176" s="433"/>
      <c r="BH176" s="434"/>
      <c r="BI176" s="431"/>
      <c r="BJ176" s="435"/>
      <c r="BK176" s="494"/>
    </row>
    <row r="177" spans="1:63">
      <c r="A177" s="488"/>
      <c r="B177" s="489"/>
      <c r="C177" s="490"/>
      <c r="D177" s="487"/>
      <c r="E177" s="491"/>
      <c r="F177" s="418"/>
      <c r="G177" s="419"/>
      <c r="H177" s="436"/>
      <c r="I177" s="437"/>
      <c r="J177" s="492"/>
      <c r="K177" s="439"/>
      <c r="L177" s="492"/>
      <c r="M177" s="438"/>
      <c r="N177" s="436"/>
      <c r="O177" s="438"/>
      <c r="P177" s="420"/>
      <c r="Q177" s="421"/>
      <c r="R177" s="421"/>
      <c r="S177" s="422"/>
      <c r="T177" s="422"/>
      <c r="U177" s="423"/>
      <c r="V177" s="424"/>
      <c r="W177" s="424"/>
      <c r="X177" s="425"/>
      <c r="Y177" s="426"/>
      <c r="Z177" s="417"/>
      <c r="AA177" s="493"/>
      <c r="AB177" s="427"/>
      <c r="AC177" s="438"/>
      <c r="AD177" s="428"/>
      <c r="AE177" s="437"/>
      <c r="AF177" s="437"/>
      <c r="AG177" s="438"/>
      <c r="AH177" s="428"/>
      <c r="AI177" s="438"/>
      <c r="AJ177" s="429"/>
      <c r="AK177" s="424"/>
      <c r="AL177" s="424"/>
      <c r="AM177" s="430"/>
      <c r="AN177" s="431"/>
      <c r="AO177" s="432"/>
      <c r="AP177" s="425"/>
      <c r="AQ177" s="433"/>
      <c r="AR177" s="425"/>
      <c r="AS177" s="433"/>
      <c r="AT177" s="434"/>
      <c r="AU177" s="431"/>
      <c r="AV177" s="435"/>
      <c r="AW177" s="494"/>
      <c r="AX177" s="429"/>
      <c r="AY177" s="424"/>
      <c r="AZ177" s="424"/>
      <c r="BA177" s="430"/>
      <c r="BB177" s="431"/>
      <c r="BC177" s="432"/>
      <c r="BD177" s="425"/>
      <c r="BE177" s="433"/>
      <c r="BF177" s="425"/>
      <c r="BG177" s="433"/>
      <c r="BH177" s="434"/>
      <c r="BI177" s="431"/>
      <c r="BJ177" s="435"/>
      <c r="BK177" s="494"/>
    </row>
    <row r="178" spans="1:63">
      <c r="A178" s="488"/>
      <c r="B178" s="489"/>
      <c r="C178" s="490"/>
      <c r="D178" s="487"/>
      <c r="E178" s="491"/>
      <c r="F178" s="418"/>
      <c r="G178" s="419"/>
      <c r="H178" s="436"/>
      <c r="I178" s="437"/>
      <c r="J178" s="492"/>
      <c r="K178" s="439"/>
      <c r="L178" s="492"/>
      <c r="M178" s="438"/>
      <c r="N178" s="436"/>
      <c r="O178" s="438"/>
      <c r="P178" s="420"/>
      <c r="Q178" s="421"/>
      <c r="R178" s="421"/>
      <c r="S178" s="422"/>
      <c r="T178" s="422"/>
      <c r="U178" s="423"/>
      <c r="V178" s="424"/>
      <c r="W178" s="424"/>
      <c r="X178" s="425"/>
      <c r="Y178" s="426"/>
      <c r="Z178" s="417"/>
      <c r="AA178" s="493"/>
      <c r="AB178" s="427"/>
      <c r="AC178" s="438"/>
      <c r="AD178" s="428"/>
      <c r="AE178" s="437"/>
      <c r="AF178" s="437"/>
      <c r="AG178" s="438"/>
      <c r="AH178" s="428"/>
      <c r="AI178" s="438"/>
      <c r="AJ178" s="429"/>
      <c r="AK178" s="424"/>
      <c r="AL178" s="424"/>
      <c r="AM178" s="430"/>
      <c r="AN178" s="431"/>
      <c r="AO178" s="432"/>
      <c r="AP178" s="425"/>
      <c r="AQ178" s="433"/>
      <c r="AR178" s="425"/>
      <c r="AS178" s="433"/>
      <c r="AT178" s="434"/>
      <c r="AU178" s="431"/>
      <c r="AV178" s="435"/>
      <c r="AW178" s="494"/>
      <c r="AX178" s="429"/>
      <c r="AY178" s="424"/>
      <c r="AZ178" s="424"/>
      <c r="BA178" s="430"/>
      <c r="BB178" s="431"/>
      <c r="BC178" s="432"/>
      <c r="BD178" s="425"/>
      <c r="BE178" s="433"/>
      <c r="BF178" s="425"/>
      <c r="BG178" s="433"/>
      <c r="BH178" s="434"/>
      <c r="BI178" s="431"/>
      <c r="BJ178" s="435"/>
      <c r="BK178" s="494"/>
    </row>
    <row r="179" spans="1:63">
      <c r="A179" s="488"/>
      <c r="B179" s="489"/>
      <c r="C179" s="490"/>
      <c r="D179" s="487"/>
      <c r="E179" s="491"/>
      <c r="F179" s="418"/>
      <c r="G179" s="419"/>
      <c r="H179" s="436"/>
      <c r="I179" s="437"/>
      <c r="J179" s="492"/>
      <c r="K179" s="439"/>
      <c r="L179" s="492"/>
      <c r="M179" s="438"/>
      <c r="N179" s="436"/>
      <c r="O179" s="438"/>
      <c r="P179" s="420"/>
      <c r="Q179" s="421"/>
      <c r="R179" s="421"/>
      <c r="S179" s="422"/>
      <c r="T179" s="422"/>
      <c r="U179" s="423"/>
      <c r="V179" s="424"/>
      <c r="W179" s="424"/>
      <c r="X179" s="425"/>
      <c r="Y179" s="426"/>
      <c r="Z179" s="417"/>
      <c r="AA179" s="493"/>
      <c r="AB179" s="427"/>
      <c r="AC179" s="438"/>
      <c r="AD179" s="428"/>
      <c r="AE179" s="437"/>
      <c r="AF179" s="437"/>
      <c r="AG179" s="438"/>
      <c r="AH179" s="428"/>
      <c r="AI179" s="438"/>
      <c r="AJ179" s="429"/>
      <c r="AK179" s="424"/>
      <c r="AL179" s="424"/>
      <c r="AM179" s="430"/>
      <c r="AN179" s="431"/>
      <c r="AO179" s="432"/>
      <c r="AP179" s="425"/>
      <c r="AQ179" s="433"/>
      <c r="AR179" s="425"/>
      <c r="AS179" s="433"/>
      <c r="AT179" s="434"/>
      <c r="AU179" s="431"/>
      <c r="AV179" s="435"/>
      <c r="AW179" s="494"/>
      <c r="AX179" s="429"/>
      <c r="AY179" s="424"/>
      <c r="AZ179" s="424"/>
      <c r="BA179" s="430"/>
      <c r="BB179" s="431"/>
      <c r="BC179" s="432"/>
      <c r="BD179" s="425"/>
      <c r="BE179" s="433"/>
      <c r="BF179" s="425"/>
      <c r="BG179" s="433"/>
      <c r="BH179" s="434"/>
      <c r="BI179" s="431"/>
      <c r="BJ179" s="435"/>
      <c r="BK179" s="494"/>
    </row>
    <row r="180" spans="1:63">
      <c r="A180" s="488"/>
      <c r="B180" s="489"/>
      <c r="C180" s="490"/>
      <c r="D180" s="487"/>
      <c r="E180" s="491"/>
      <c r="F180" s="418"/>
      <c r="G180" s="419"/>
      <c r="H180" s="436"/>
      <c r="I180" s="437"/>
      <c r="J180" s="492"/>
      <c r="K180" s="439"/>
      <c r="L180" s="492"/>
      <c r="M180" s="438"/>
      <c r="N180" s="436"/>
      <c r="O180" s="438"/>
      <c r="P180" s="420"/>
      <c r="Q180" s="421"/>
      <c r="R180" s="421"/>
      <c r="S180" s="422"/>
      <c r="T180" s="422"/>
      <c r="U180" s="423"/>
      <c r="V180" s="424"/>
      <c r="W180" s="424"/>
      <c r="X180" s="425"/>
      <c r="Y180" s="426"/>
      <c r="Z180" s="417"/>
      <c r="AA180" s="493"/>
      <c r="AB180" s="427"/>
      <c r="AC180" s="438"/>
      <c r="AD180" s="428"/>
      <c r="AE180" s="437"/>
      <c r="AF180" s="437"/>
      <c r="AG180" s="438"/>
      <c r="AH180" s="428"/>
      <c r="AI180" s="438"/>
      <c r="AJ180" s="429"/>
      <c r="AK180" s="424"/>
      <c r="AL180" s="424"/>
      <c r="AM180" s="430"/>
      <c r="AN180" s="431"/>
      <c r="AO180" s="432"/>
      <c r="AP180" s="425"/>
      <c r="AQ180" s="433"/>
      <c r="AR180" s="425"/>
      <c r="AS180" s="433"/>
      <c r="AT180" s="434"/>
      <c r="AU180" s="431"/>
      <c r="AV180" s="435"/>
      <c r="AW180" s="494"/>
      <c r="AX180" s="429"/>
      <c r="AY180" s="424"/>
      <c r="AZ180" s="424"/>
      <c r="BA180" s="430"/>
      <c r="BB180" s="431"/>
      <c r="BC180" s="432"/>
      <c r="BD180" s="425"/>
      <c r="BE180" s="433"/>
      <c r="BF180" s="425"/>
      <c r="BG180" s="433"/>
      <c r="BH180" s="434"/>
      <c r="BI180" s="431"/>
      <c r="BJ180" s="435"/>
      <c r="BK180" s="494"/>
    </row>
    <row r="181" spans="1:63">
      <c r="A181" s="488"/>
      <c r="B181" s="489"/>
      <c r="C181" s="490"/>
      <c r="D181" s="487"/>
      <c r="E181" s="491"/>
      <c r="F181" s="418"/>
      <c r="G181" s="419"/>
      <c r="H181" s="436"/>
      <c r="I181" s="437"/>
      <c r="J181" s="492"/>
      <c r="K181" s="439"/>
      <c r="L181" s="492"/>
      <c r="M181" s="438"/>
      <c r="N181" s="436"/>
      <c r="O181" s="438"/>
      <c r="P181" s="420"/>
      <c r="Q181" s="421"/>
      <c r="R181" s="421"/>
      <c r="S181" s="422"/>
      <c r="T181" s="422"/>
      <c r="U181" s="423"/>
      <c r="V181" s="424"/>
      <c r="W181" s="424"/>
      <c r="X181" s="425"/>
      <c r="Y181" s="426"/>
      <c r="Z181" s="417"/>
      <c r="AA181" s="493"/>
      <c r="AB181" s="427"/>
      <c r="AC181" s="438"/>
      <c r="AD181" s="428"/>
      <c r="AE181" s="437"/>
      <c r="AF181" s="437"/>
      <c r="AG181" s="438"/>
      <c r="AH181" s="428"/>
      <c r="AI181" s="438"/>
      <c r="AJ181" s="429"/>
      <c r="AK181" s="424"/>
      <c r="AL181" s="424"/>
      <c r="AM181" s="430"/>
      <c r="AN181" s="431"/>
      <c r="AO181" s="432"/>
      <c r="AP181" s="425"/>
      <c r="AQ181" s="433"/>
      <c r="AR181" s="425"/>
      <c r="AS181" s="433"/>
      <c r="AT181" s="434"/>
      <c r="AU181" s="431"/>
      <c r="AV181" s="435"/>
      <c r="AW181" s="494"/>
      <c r="AX181" s="429"/>
      <c r="AY181" s="424"/>
      <c r="AZ181" s="424"/>
      <c r="BA181" s="430"/>
      <c r="BB181" s="431"/>
      <c r="BC181" s="432"/>
      <c r="BD181" s="425"/>
      <c r="BE181" s="433"/>
      <c r="BF181" s="425"/>
      <c r="BG181" s="433"/>
      <c r="BH181" s="434"/>
      <c r="BI181" s="431"/>
      <c r="BJ181" s="435"/>
      <c r="BK181" s="494"/>
    </row>
    <row r="182" spans="1:63">
      <c r="A182" s="488"/>
      <c r="B182" s="489"/>
      <c r="C182" s="490"/>
      <c r="D182" s="487"/>
      <c r="E182" s="491"/>
      <c r="F182" s="418"/>
      <c r="G182" s="419"/>
      <c r="H182" s="436"/>
      <c r="I182" s="437"/>
      <c r="J182" s="492"/>
      <c r="K182" s="439"/>
      <c r="L182" s="492"/>
      <c r="M182" s="438"/>
      <c r="N182" s="436"/>
      <c r="O182" s="438"/>
      <c r="P182" s="420"/>
      <c r="Q182" s="421"/>
      <c r="R182" s="421"/>
      <c r="S182" s="422"/>
      <c r="T182" s="422"/>
      <c r="U182" s="423"/>
      <c r="V182" s="424"/>
      <c r="W182" s="424"/>
      <c r="X182" s="425"/>
      <c r="Y182" s="426"/>
      <c r="Z182" s="417"/>
      <c r="AA182" s="493"/>
      <c r="AB182" s="427"/>
      <c r="AC182" s="438"/>
      <c r="AD182" s="428"/>
      <c r="AE182" s="437"/>
      <c r="AF182" s="437"/>
      <c r="AG182" s="438"/>
      <c r="AH182" s="428"/>
      <c r="AI182" s="438"/>
      <c r="AJ182" s="429"/>
      <c r="AK182" s="424"/>
      <c r="AL182" s="424"/>
      <c r="AM182" s="430"/>
      <c r="AN182" s="431"/>
      <c r="AO182" s="432"/>
      <c r="AP182" s="425"/>
      <c r="AQ182" s="433"/>
      <c r="AR182" s="425"/>
      <c r="AS182" s="433"/>
      <c r="AT182" s="434"/>
      <c r="AU182" s="431"/>
      <c r="AV182" s="435"/>
      <c r="AW182" s="494"/>
      <c r="AX182" s="429"/>
      <c r="AY182" s="424"/>
      <c r="AZ182" s="424"/>
      <c r="BA182" s="430"/>
      <c r="BB182" s="431"/>
      <c r="BC182" s="432"/>
      <c r="BD182" s="425"/>
      <c r="BE182" s="433"/>
      <c r="BF182" s="425"/>
      <c r="BG182" s="433"/>
      <c r="BH182" s="434"/>
      <c r="BI182" s="431"/>
      <c r="BJ182" s="435"/>
      <c r="BK182" s="494"/>
    </row>
    <row r="183" spans="1:63">
      <c r="A183" s="488"/>
      <c r="B183" s="489"/>
      <c r="C183" s="490"/>
      <c r="D183" s="487"/>
      <c r="E183" s="491"/>
      <c r="F183" s="418"/>
      <c r="G183" s="419"/>
      <c r="H183" s="436"/>
      <c r="I183" s="437"/>
      <c r="J183" s="492"/>
      <c r="K183" s="439"/>
      <c r="L183" s="492"/>
      <c r="M183" s="438"/>
      <c r="N183" s="436"/>
      <c r="O183" s="438"/>
      <c r="P183" s="420"/>
      <c r="Q183" s="421"/>
      <c r="R183" s="421"/>
      <c r="S183" s="422"/>
      <c r="T183" s="422"/>
      <c r="U183" s="423"/>
      <c r="V183" s="424"/>
      <c r="W183" s="424"/>
      <c r="X183" s="425"/>
      <c r="Y183" s="426"/>
      <c r="Z183" s="417"/>
      <c r="AA183" s="493"/>
      <c r="AB183" s="427"/>
      <c r="AC183" s="438"/>
      <c r="AD183" s="428"/>
      <c r="AE183" s="437"/>
      <c r="AF183" s="437"/>
      <c r="AG183" s="438"/>
      <c r="AH183" s="428"/>
      <c r="AI183" s="438"/>
      <c r="AJ183" s="429"/>
      <c r="AK183" s="424"/>
      <c r="AL183" s="424"/>
      <c r="AM183" s="430"/>
      <c r="AN183" s="431"/>
      <c r="AO183" s="432"/>
      <c r="AP183" s="425"/>
      <c r="AQ183" s="433"/>
      <c r="AR183" s="425"/>
      <c r="AS183" s="433"/>
      <c r="AT183" s="434"/>
      <c r="AU183" s="431"/>
      <c r="AV183" s="435"/>
      <c r="AW183" s="494"/>
      <c r="AX183" s="429"/>
      <c r="AY183" s="424"/>
      <c r="AZ183" s="424"/>
      <c r="BA183" s="430"/>
      <c r="BB183" s="431"/>
      <c r="BC183" s="432"/>
      <c r="BD183" s="425"/>
      <c r="BE183" s="433"/>
      <c r="BF183" s="425"/>
      <c r="BG183" s="433"/>
      <c r="BH183" s="434"/>
      <c r="BI183" s="431"/>
      <c r="BJ183" s="435"/>
      <c r="BK183" s="494"/>
    </row>
    <row r="184" spans="1:63">
      <c r="A184" s="488"/>
      <c r="B184" s="489"/>
      <c r="C184" s="490"/>
      <c r="D184" s="487"/>
      <c r="E184" s="491"/>
      <c r="F184" s="418"/>
      <c r="G184" s="419"/>
      <c r="H184" s="436"/>
      <c r="I184" s="437"/>
      <c r="J184" s="492"/>
      <c r="K184" s="439"/>
      <c r="L184" s="492"/>
      <c r="M184" s="438"/>
      <c r="N184" s="436"/>
      <c r="O184" s="438"/>
      <c r="P184" s="420"/>
      <c r="Q184" s="421"/>
      <c r="R184" s="421"/>
      <c r="S184" s="422"/>
      <c r="T184" s="422"/>
      <c r="U184" s="423"/>
      <c r="V184" s="424"/>
      <c r="W184" s="424"/>
      <c r="X184" s="425"/>
      <c r="Y184" s="426"/>
      <c r="Z184" s="417"/>
      <c r="AA184" s="493"/>
      <c r="AB184" s="427"/>
      <c r="AC184" s="438"/>
      <c r="AD184" s="428"/>
      <c r="AE184" s="437"/>
      <c r="AF184" s="437"/>
      <c r="AG184" s="438"/>
      <c r="AH184" s="428"/>
      <c r="AI184" s="438"/>
      <c r="AJ184" s="429"/>
      <c r="AK184" s="424"/>
      <c r="AL184" s="424"/>
      <c r="AM184" s="430"/>
      <c r="AN184" s="431"/>
      <c r="AO184" s="432"/>
      <c r="AP184" s="425"/>
      <c r="AQ184" s="433"/>
      <c r="AR184" s="425"/>
      <c r="AS184" s="433"/>
      <c r="AT184" s="434"/>
      <c r="AU184" s="431"/>
      <c r="AV184" s="435"/>
      <c r="AW184" s="494"/>
      <c r="AX184" s="429"/>
      <c r="AY184" s="424"/>
      <c r="AZ184" s="424"/>
      <c r="BA184" s="430"/>
      <c r="BB184" s="431"/>
      <c r="BC184" s="432"/>
      <c r="BD184" s="425"/>
      <c r="BE184" s="433"/>
      <c r="BF184" s="425"/>
      <c r="BG184" s="433"/>
      <c r="BH184" s="434"/>
      <c r="BI184" s="431"/>
      <c r="BJ184" s="435"/>
      <c r="BK184" s="494"/>
    </row>
    <row r="185" spans="1:63">
      <c r="A185" s="488"/>
      <c r="B185" s="489"/>
      <c r="C185" s="490"/>
      <c r="D185" s="487"/>
      <c r="E185" s="491"/>
      <c r="F185" s="418"/>
      <c r="G185" s="419"/>
      <c r="H185" s="436"/>
      <c r="I185" s="437"/>
      <c r="J185" s="492"/>
      <c r="K185" s="439"/>
      <c r="L185" s="492"/>
      <c r="M185" s="438"/>
      <c r="N185" s="436"/>
      <c r="O185" s="438"/>
      <c r="P185" s="420"/>
      <c r="Q185" s="421"/>
      <c r="R185" s="421"/>
      <c r="S185" s="422"/>
      <c r="T185" s="422"/>
      <c r="U185" s="423"/>
      <c r="V185" s="424"/>
      <c r="W185" s="424"/>
      <c r="X185" s="425"/>
      <c r="Y185" s="426"/>
      <c r="Z185" s="417"/>
      <c r="AA185" s="493"/>
      <c r="AB185" s="427"/>
      <c r="AC185" s="438"/>
      <c r="AD185" s="428"/>
      <c r="AE185" s="437"/>
      <c r="AF185" s="437"/>
      <c r="AG185" s="438"/>
      <c r="AH185" s="428"/>
      <c r="AI185" s="438"/>
      <c r="AJ185" s="429"/>
      <c r="AK185" s="424"/>
      <c r="AL185" s="424"/>
      <c r="AM185" s="430"/>
      <c r="AN185" s="431"/>
      <c r="AO185" s="432"/>
      <c r="AP185" s="425"/>
      <c r="AQ185" s="433"/>
      <c r="AR185" s="425"/>
      <c r="AS185" s="433"/>
      <c r="AT185" s="434"/>
      <c r="AU185" s="431"/>
      <c r="AV185" s="435"/>
      <c r="AW185" s="494"/>
      <c r="AX185" s="429"/>
      <c r="AY185" s="424"/>
      <c r="AZ185" s="424"/>
      <c r="BA185" s="430"/>
      <c r="BB185" s="431"/>
      <c r="BC185" s="432"/>
      <c r="BD185" s="425"/>
      <c r="BE185" s="433"/>
      <c r="BF185" s="425"/>
      <c r="BG185" s="433"/>
      <c r="BH185" s="434"/>
      <c r="BI185" s="431"/>
      <c r="BJ185" s="435"/>
      <c r="BK185" s="494"/>
    </row>
    <row r="186" spans="1:63">
      <c r="A186" s="488"/>
      <c r="B186" s="489"/>
      <c r="C186" s="490"/>
      <c r="D186" s="487"/>
      <c r="E186" s="491"/>
      <c r="F186" s="418"/>
      <c r="G186" s="419"/>
      <c r="H186" s="436"/>
      <c r="I186" s="437"/>
      <c r="J186" s="492"/>
      <c r="K186" s="439"/>
      <c r="L186" s="492"/>
      <c r="M186" s="438"/>
      <c r="N186" s="436"/>
      <c r="O186" s="438"/>
      <c r="P186" s="420"/>
      <c r="Q186" s="421"/>
      <c r="R186" s="421"/>
      <c r="S186" s="422"/>
      <c r="T186" s="422"/>
      <c r="U186" s="423"/>
      <c r="V186" s="424"/>
      <c r="W186" s="424"/>
      <c r="X186" s="425"/>
      <c r="Y186" s="426"/>
      <c r="Z186" s="417"/>
      <c r="AA186" s="493"/>
      <c r="AB186" s="427"/>
      <c r="AC186" s="438"/>
      <c r="AD186" s="428"/>
      <c r="AE186" s="437"/>
      <c r="AF186" s="437"/>
      <c r="AG186" s="438"/>
      <c r="AH186" s="428"/>
      <c r="AI186" s="438"/>
      <c r="AJ186" s="429"/>
      <c r="AK186" s="424"/>
      <c r="AL186" s="424"/>
      <c r="AM186" s="430"/>
      <c r="AN186" s="431"/>
      <c r="AO186" s="432"/>
      <c r="AP186" s="425"/>
      <c r="AQ186" s="433"/>
      <c r="AR186" s="425"/>
      <c r="AS186" s="433"/>
      <c r="AT186" s="434"/>
      <c r="AU186" s="431"/>
      <c r="AV186" s="435"/>
      <c r="AW186" s="494"/>
      <c r="AX186" s="429"/>
      <c r="AY186" s="424"/>
      <c r="AZ186" s="424"/>
      <c r="BA186" s="430"/>
      <c r="BB186" s="431"/>
      <c r="BC186" s="432"/>
      <c r="BD186" s="425"/>
      <c r="BE186" s="433"/>
      <c r="BF186" s="425"/>
      <c r="BG186" s="433"/>
      <c r="BH186" s="434"/>
      <c r="BI186" s="431"/>
      <c r="BJ186" s="435"/>
      <c r="BK186" s="494"/>
    </row>
    <row r="187" spans="1:63">
      <c r="A187" s="488"/>
      <c r="B187" s="489"/>
      <c r="C187" s="490"/>
      <c r="D187" s="487"/>
      <c r="E187" s="491"/>
      <c r="F187" s="418"/>
      <c r="G187" s="419"/>
      <c r="H187" s="436"/>
      <c r="I187" s="437"/>
      <c r="J187" s="492"/>
      <c r="K187" s="439"/>
      <c r="L187" s="492"/>
      <c r="M187" s="438"/>
      <c r="N187" s="436"/>
      <c r="O187" s="438"/>
      <c r="P187" s="420"/>
      <c r="Q187" s="421"/>
      <c r="R187" s="421"/>
      <c r="S187" s="422"/>
      <c r="T187" s="422"/>
      <c r="U187" s="423"/>
      <c r="V187" s="424"/>
      <c r="W187" s="424"/>
      <c r="X187" s="425"/>
      <c r="Y187" s="426"/>
      <c r="Z187" s="417"/>
      <c r="AA187" s="493"/>
      <c r="AB187" s="427"/>
      <c r="AC187" s="438"/>
      <c r="AD187" s="428"/>
      <c r="AE187" s="437"/>
      <c r="AF187" s="437"/>
      <c r="AG187" s="438"/>
      <c r="AH187" s="428"/>
      <c r="AI187" s="438"/>
      <c r="AJ187" s="429"/>
      <c r="AK187" s="424"/>
      <c r="AL187" s="424"/>
      <c r="AM187" s="430"/>
      <c r="AN187" s="431"/>
      <c r="AO187" s="432"/>
      <c r="AP187" s="425"/>
      <c r="AQ187" s="433"/>
      <c r="AR187" s="425"/>
      <c r="AS187" s="433"/>
      <c r="AT187" s="434"/>
      <c r="AU187" s="431"/>
      <c r="AV187" s="435"/>
      <c r="AW187" s="494"/>
      <c r="AX187" s="429"/>
      <c r="AY187" s="424"/>
      <c r="AZ187" s="424"/>
      <c r="BA187" s="430"/>
      <c r="BB187" s="431"/>
      <c r="BC187" s="432"/>
      <c r="BD187" s="425"/>
      <c r="BE187" s="433"/>
      <c r="BF187" s="425"/>
      <c r="BG187" s="433"/>
      <c r="BH187" s="434"/>
      <c r="BI187" s="431"/>
      <c r="BJ187" s="435"/>
      <c r="BK187" s="494"/>
    </row>
    <row r="188" spans="1:63">
      <c r="A188" s="488"/>
      <c r="B188" s="489"/>
      <c r="C188" s="490"/>
      <c r="D188" s="487"/>
      <c r="E188" s="491"/>
      <c r="F188" s="418"/>
      <c r="G188" s="419"/>
      <c r="H188" s="436"/>
      <c r="I188" s="437"/>
      <c r="J188" s="492"/>
      <c r="K188" s="439"/>
      <c r="L188" s="492"/>
      <c r="M188" s="438"/>
      <c r="N188" s="436"/>
      <c r="O188" s="438"/>
      <c r="P188" s="420"/>
      <c r="Q188" s="421"/>
      <c r="R188" s="421"/>
      <c r="S188" s="422"/>
      <c r="T188" s="422"/>
      <c r="U188" s="423"/>
      <c r="V188" s="424"/>
      <c r="W188" s="424"/>
      <c r="X188" s="425"/>
      <c r="Y188" s="426"/>
      <c r="Z188" s="417"/>
      <c r="AA188" s="493"/>
      <c r="AB188" s="427"/>
      <c r="AC188" s="438"/>
      <c r="AD188" s="428"/>
      <c r="AE188" s="437"/>
      <c r="AF188" s="437"/>
      <c r="AG188" s="438"/>
      <c r="AH188" s="428"/>
      <c r="AI188" s="438"/>
      <c r="AJ188" s="429"/>
      <c r="AK188" s="424"/>
      <c r="AL188" s="424"/>
      <c r="AM188" s="430"/>
      <c r="AN188" s="431"/>
      <c r="AO188" s="432"/>
      <c r="AP188" s="425"/>
      <c r="AQ188" s="433"/>
      <c r="AR188" s="425"/>
      <c r="AS188" s="433"/>
      <c r="AT188" s="434"/>
      <c r="AU188" s="431"/>
      <c r="AV188" s="435"/>
      <c r="AW188" s="494"/>
      <c r="AX188" s="429"/>
      <c r="AY188" s="424"/>
      <c r="AZ188" s="424"/>
      <c r="BA188" s="430"/>
      <c r="BB188" s="431"/>
      <c r="BC188" s="432"/>
      <c r="BD188" s="425"/>
      <c r="BE188" s="433"/>
      <c r="BF188" s="425"/>
      <c r="BG188" s="433"/>
      <c r="BH188" s="434"/>
      <c r="BI188" s="431"/>
      <c r="BJ188" s="435"/>
      <c r="BK188" s="494"/>
    </row>
    <row r="189" spans="1:63">
      <c r="A189" s="488"/>
      <c r="B189" s="489"/>
      <c r="C189" s="490"/>
      <c r="D189" s="487"/>
      <c r="E189" s="491"/>
      <c r="F189" s="418"/>
      <c r="G189" s="419"/>
      <c r="H189" s="436"/>
      <c r="I189" s="437"/>
      <c r="J189" s="492"/>
      <c r="K189" s="439"/>
      <c r="L189" s="492"/>
      <c r="M189" s="438"/>
      <c r="N189" s="436"/>
      <c r="O189" s="438"/>
      <c r="P189" s="420"/>
      <c r="Q189" s="421"/>
      <c r="R189" s="421"/>
      <c r="S189" s="422"/>
      <c r="T189" s="422"/>
      <c r="U189" s="423"/>
      <c r="V189" s="424"/>
      <c r="W189" s="424"/>
      <c r="X189" s="425"/>
      <c r="Y189" s="426"/>
      <c r="Z189" s="417"/>
      <c r="AA189" s="493"/>
      <c r="AB189" s="427"/>
      <c r="AC189" s="438"/>
      <c r="AD189" s="428"/>
      <c r="AE189" s="437"/>
      <c r="AF189" s="437"/>
      <c r="AG189" s="438"/>
      <c r="AH189" s="428"/>
      <c r="AI189" s="438"/>
      <c r="AJ189" s="429"/>
      <c r="AK189" s="424"/>
      <c r="AL189" s="424"/>
      <c r="AM189" s="430"/>
      <c r="AN189" s="431"/>
      <c r="AO189" s="432"/>
      <c r="AP189" s="425"/>
      <c r="AQ189" s="433"/>
      <c r="AR189" s="425"/>
      <c r="AS189" s="433"/>
      <c r="AT189" s="434"/>
      <c r="AU189" s="431"/>
      <c r="AV189" s="435"/>
      <c r="AW189" s="494"/>
      <c r="AX189" s="429"/>
      <c r="AY189" s="424"/>
      <c r="AZ189" s="424"/>
      <c r="BA189" s="430"/>
      <c r="BB189" s="431"/>
      <c r="BC189" s="432"/>
      <c r="BD189" s="425"/>
      <c r="BE189" s="433"/>
      <c r="BF189" s="425"/>
      <c r="BG189" s="433"/>
      <c r="BH189" s="434"/>
      <c r="BI189" s="431"/>
      <c r="BJ189" s="435"/>
      <c r="BK189" s="494"/>
    </row>
    <row r="190" spans="1:63">
      <c r="A190" s="488"/>
      <c r="B190" s="489"/>
      <c r="C190" s="490"/>
      <c r="D190" s="487"/>
      <c r="E190" s="491"/>
      <c r="F190" s="418"/>
      <c r="G190" s="419"/>
      <c r="H190" s="436"/>
      <c r="I190" s="437"/>
      <c r="J190" s="492"/>
      <c r="K190" s="439"/>
      <c r="L190" s="492"/>
      <c r="M190" s="438"/>
      <c r="N190" s="436"/>
      <c r="O190" s="438"/>
      <c r="P190" s="420"/>
      <c r="Q190" s="421"/>
      <c r="R190" s="421"/>
      <c r="S190" s="422"/>
      <c r="T190" s="422"/>
      <c r="U190" s="423"/>
      <c r="V190" s="424"/>
      <c r="W190" s="424"/>
      <c r="X190" s="425"/>
      <c r="Y190" s="426"/>
      <c r="Z190" s="417"/>
      <c r="AA190" s="493"/>
      <c r="AB190" s="427"/>
      <c r="AC190" s="438"/>
      <c r="AD190" s="428"/>
      <c r="AE190" s="437"/>
      <c r="AF190" s="437"/>
      <c r="AG190" s="438"/>
      <c r="AH190" s="428"/>
      <c r="AI190" s="438"/>
      <c r="AJ190" s="429"/>
      <c r="AK190" s="424"/>
      <c r="AL190" s="424"/>
      <c r="AM190" s="430"/>
      <c r="AN190" s="431"/>
      <c r="AO190" s="432"/>
      <c r="AP190" s="425"/>
      <c r="AQ190" s="433"/>
      <c r="AR190" s="425"/>
      <c r="AS190" s="433"/>
      <c r="AT190" s="434"/>
      <c r="AU190" s="431"/>
      <c r="AV190" s="435"/>
      <c r="AW190" s="494"/>
      <c r="AX190" s="429"/>
      <c r="AY190" s="424"/>
      <c r="AZ190" s="424"/>
      <c r="BA190" s="430"/>
      <c r="BB190" s="431"/>
      <c r="BC190" s="432"/>
      <c r="BD190" s="425"/>
      <c r="BE190" s="433"/>
      <c r="BF190" s="425"/>
      <c r="BG190" s="433"/>
      <c r="BH190" s="434"/>
      <c r="BI190" s="431"/>
      <c r="BJ190" s="435"/>
      <c r="BK190" s="494"/>
    </row>
    <row r="191" spans="1:63">
      <c r="A191" s="488"/>
      <c r="B191" s="489"/>
      <c r="C191" s="490"/>
      <c r="D191" s="487"/>
      <c r="E191" s="491"/>
      <c r="F191" s="418"/>
      <c r="G191" s="419"/>
      <c r="H191" s="436"/>
      <c r="I191" s="437"/>
      <c r="J191" s="492"/>
      <c r="K191" s="439"/>
      <c r="L191" s="492"/>
      <c r="M191" s="438"/>
      <c r="N191" s="436"/>
      <c r="O191" s="438"/>
      <c r="P191" s="420"/>
      <c r="Q191" s="421"/>
      <c r="R191" s="421"/>
      <c r="S191" s="422"/>
      <c r="T191" s="422"/>
      <c r="U191" s="423"/>
      <c r="V191" s="424"/>
      <c r="W191" s="424"/>
      <c r="X191" s="425"/>
      <c r="Y191" s="426"/>
      <c r="Z191" s="417"/>
      <c r="AA191" s="493"/>
      <c r="AB191" s="427"/>
      <c r="AC191" s="438"/>
      <c r="AD191" s="428"/>
      <c r="AE191" s="437"/>
      <c r="AF191" s="437"/>
      <c r="AG191" s="438"/>
      <c r="AH191" s="428"/>
      <c r="AI191" s="438"/>
      <c r="AJ191" s="429"/>
      <c r="AK191" s="424"/>
      <c r="AL191" s="424"/>
      <c r="AM191" s="430"/>
      <c r="AN191" s="431"/>
      <c r="AO191" s="432"/>
      <c r="AP191" s="425"/>
      <c r="AQ191" s="433"/>
      <c r="AR191" s="425"/>
      <c r="AS191" s="433"/>
      <c r="AT191" s="434"/>
      <c r="AU191" s="431"/>
      <c r="AV191" s="435"/>
      <c r="AW191" s="494"/>
      <c r="AX191" s="429"/>
      <c r="AY191" s="424"/>
      <c r="AZ191" s="424"/>
      <c r="BA191" s="430"/>
      <c r="BB191" s="431"/>
      <c r="BC191" s="432"/>
      <c r="BD191" s="425"/>
      <c r="BE191" s="433"/>
      <c r="BF191" s="425"/>
      <c r="BG191" s="433"/>
      <c r="BH191" s="434"/>
      <c r="BI191" s="431"/>
      <c r="BJ191" s="435"/>
      <c r="BK191" s="494"/>
    </row>
    <row r="192" spans="1:63">
      <c r="A192" s="488"/>
      <c r="B192" s="489"/>
      <c r="C192" s="490"/>
      <c r="D192" s="487"/>
      <c r="E192" s="491"/>
      <c r="F192" s="418"/>
      <c r="G192" s="419"/>
      <c r="H192" s="436"/>
      <c r="I192" s="437"/>
      <c r="J192" s="492"/>
      <c r="K192" s="439"/>
      <c r="L192" s="492"/>
      <c r="M192" s="438"/>
      <c r="N192" s="436"/>
      <c r="O192" s="438"/>
      <c r="P192" s="420"/>
      <c r="Q192" s="421"/>
      <c r="R192" s="421"/>
      <c r="S192" s="422"/>
      <c r="T192" s="422"/>
      <c r="U192" s="423"/>
      <c r="V192" s="424"/>
      <c r="W192" s="424"/>
      <c r="X192" s="425"/>
      <c r="Y192" s="426"/>
      <c r="Z192" s="417"/>
      <c r="AA192" s="493"/>
      <c r="AB192" s="427"/>
      <c r="AC192" s="438"/>
      <c r="AD192" s="428"/>
      <c r="AE192" s="437"/>
      <c r="AF192" s="437"/>
      <c r="AG192" s="438"/>
      <c r="AH192" s="428"/>
      <c r="AI192" s="438"/>
      <c r="AJ192" s="429"/>
      <c r="AK192" s="424"/>
      <c r="AL192" s="424"/>
      <c r="AM192" s="430"/>
      <c r="AN192" s="431"/>
      <c r="AO192" s="432"/>
      <c r="AP192" s="425"/>
      <c r="AQ192" s="433"/>
      <c r="AR192" s="425"/>
      <c r="AS192" s="433"/>
      <c r="AT192" s="434"/>
      <c r="AU192" s="431"/>
      <c r="AV192" s="435"/>
      <c r="AW192" s="494"/>
      <c r="AX192" s="429"/>
      <c r="AY192" s="424"/>
      <c r="AZ192" s="424"/>
      <c r="BA192" s="430"/>
      <c r="BB192" s="431"/>
      <c r="BC192" s="432"/>
      <c r="BD192" s="425"/>
      <c r="BE192" s="433"/>
      <c r="BF192" s="425"/>
      <c r="BG192" s="433"/>
      <c r="BH192" s="434"/>
      <c r="BI192" s="431"/>
      <c r="BJ192" s="435"/>
      <c r="BK192" s="494"/>
    </row>
    <row r="193" spans="1:63">
      <c r="A193" s="488"/>
      <c r="B193" s="489"/>
      <c r="C193" s="490"/>
      <c r="D193" s="487"/>
      <c r="E193" s="491"/>
      <c r="F193" s="418"/>
      <c r="G193" s="419"/>
      <c r="H193" s="436"/>
      <c r="I193" s="437"/>
      <c r="J193" s="492"/>
      <c r="K193" s="439"/>
      <c r="L193" s="492"/>
      <c r="M193" s="438"/>
      <c r="N193" s="436"/>
      <c r="O193" s="438"/>
      <c r="P193" s="420"/>
      <c r="Q193" s="421"/>
      <c r="R193" s="421"/>
      <c r="S193" s="422"/>
      <c r="T193" s="422"/>
      <c r="U193" s="423"/>
      <c r="V193" s="424"/>
      <c r="W193" s="424"/>
      <c r="X193" s="425"/>
      <c r="Y193" s="426"/>
      <c r="Z193" s="417"/>
      <c r="AA193" s="493"/>
      <c r="AB193" s="427"/>
      <c r="AC193" s="438"/>
      <c r="AD193" s="428"/>
      <c r="AE193" s="437"/>
      <c r="AF193" s="437"/>
      <c r="AG193" s="438"/>
      <c r="AH193" s="428"/>
      <c r="AI193" s="438"/>
      <c r="AJ193" s="429"/>
      <c r="AK193" s="424"/>
      <c r="AL193" s="424"/>
      <c r="AM193" s="430"/>
      <c r="AN193" s="431"/>
      <c r="AO193" s="432"/>
      <c r="AP193" s="425"/>
      <c r="AQ193" s="433"/>
      <c r="AR193" s="425"/>
      <c r="AS193" s="433"/>
      <c r="AT193" s="434"/>
      <c r="AU193" s="431"/>
      <c r="AV193" s="435"/>
      <c r="AW193" s="494"/>
      <c r="AX193" s="429"/>
      <c r="AY193" s="424"/>
      <c r="AZ193" s="424"/>
      <c r="BA193" s="430"/>
      <c r="BB193" s="431"/>
      <c r="BC193" s="432"/>
      <c r="BD193" s="425"/>
      <c r="BE193" s="433"/>
      <c r="BF193" s="425"/>
      <c r="BG193" s="433"/>
      <c r="BH193" s="434"/>
      <c r="BI193" s="431"/>
      <c r="BJ193" s="435"/>
      <c r="BK193" s="494"/>
    </row>
    <row r="194" spans="1:63">
      <c r="A194" s="488"/>
      <c r="B194" s="489"/>
      <c r="C194" s="490"/>
      <c r="D194" s="487"/>
      <c r="E194" s="491"/>
      <c r="F194" s="418"/>
      <c r="G194" s="419"/>
      <c r="H194" s="436"/>
      <c r="I194" s="437"/>
      <c r="J194" s="492"/>
      <c r="K194" s="439"/>
      <c r="L194" s="492"/>
      <c r="M194" s="438"/>
      <c r="N194" s="436"/>
      <c r="O194" s="438"/>
      <c r="P194" s="420"/>
      <c r="Q194" s="421"/>
      <c r="R194" s="421"/>
      <c r="S194" s="422"/>
      <c r="T194" s="422"/>
      <c r="U194" s="423"/>
      <c r="V194" s="424"/>
      <c r="W194" s="424"/>
      <c r="X194" s="425"/>
      <c r="Y194" s="426"/>
      <c r="Z194" s="417"/>
      <c r="AA194" s="493"/>
      <c r="AB194" s="427"/>
      <c r="AC194" s="438"/>
      <c r="AD194" s="428"/>
      <c r="AE194" s="437"/>
      <c r="AF194" s="437"/>
      <c r="AG194" s="438"/>
      <c r="AH194" s="428"/>
      <c r="AI194" s="438"/>
      <c r="AJ194" s="429"/>
      <c r="AK194" s="424"/>
      <c r="AL194" s="424"/>
      <c r="AM194" s="430"/>
      <c r="AN194" s="431"/>
      <c r="AO194" s="432"/>
      <c r="AP194" s="425"/>
      <c r="AQ194" s="433"/>
      <c r="AR194" s="425"/>
      <c r="AS194" s="433"/>
      <c r="AT194" s="434"/>
      <c r="AU194" s="431"/>
      <c r="AV194" s="435"/>
      <c r="AW194" s="494"/>
      <c r="AX194" s="429"/>
      <c r="AY194" s="424"/>
      <c r="AZ194" s="424"/>
      <c r="BA194" s="430"/>
      <c r="BB194" s="431"/>
      <c r="BC194" s="432"/>
      <c r="BD194" s="425"/>
      <c r="BE194" s="433"/>
      <c r="BF194" s="425"/>
      <c r="BG194" s="433"/>
      <c r="BH194" s="434"/>
      <c r="BI194" s="431"/>
      <c r="BJ194" s="435"/>
      <c r="BK194" s="494"/>
    </row>
    <row r="195" spans="1:63">
      <c r="A195" s="488"/>
      <c r="B195" s="489"/>
      <c r="C195" s="490"/>
      <c r="D195" s="487"/>
      <c r="E195" s="491"/>
      <c r="F195" s="418"/>
      <c r="G195" s="419"/>
      <c r="H195" s="436"/>
      <c r="I195" s="437"/>
      <c r="J195" s="492"/>
      <c r="K195" s="439"/>
      <c r="L195" s="492"/>
      <c r="M195" s="438"/>
      <c r="N195" s="436"/>
      <c r="O195" s="438"/>
      <c r="P195" s="420"/>
      <c r="Q195" s="421"/>
      <c r="R195" s="421"/>
      <c r="S195" s="422"/>
      <c r="T195" s="422"/>
      <c r="U195" s="423"/>
      <c r="V195" s="424"/>
      <c r="W195" s="424"/>
      <c r="X195" s="425"/>
      <c r="Y195" s="426"/>
      <c r="Z195" s="417"/>
      <c r="AA195" s="493"/>
      <c r="AB195" s="427"/>
      <c r="AC195" s="438"/>
      <c r="AD195" s="428"/>
      <c r="AE195" s="437"/>
      <c r="AF195" s="437"/>
      <c r="AG195" s="438"/>
      <c r="AH195" s="428"/>
      <c r="AI195" s="438"/>
      <c r="AJ195" s="429"/>
      <c r="AK195" s="424"/>
      <c r="AL195" s="424"/>
      <c r="AM195" s="430"/>
      <c r="AN195" s="431"/>
      <c r="AO195" s="432"/>
      <c r="AP195" s="425"/>
      <c r="AQ195" s="433"/>
      <c r="AR195" s="425"/>
      <c r="AS195" s="433"/>
      <c r="AT195" s="434"/>
      <c r="AU195" s="431"/>
      <c r="AV195" s="435"/>
      <c r="AW195" s="494"/>
      <c r="AX195" s="429"/>
      <c r="AY195" s="424"/>
      <c r="AZ195" s="424"/>
      <c r="BA195" s="430"/>
      <c r="BB195" s="431"/>
      <c r="BC195" s="432"/>
      <c r="BD195" s="425"/>
      <c r="BE195" s="433"/>
      <c r="BF195" s="425"/>
      <c r="BG195" s="433"/>
      <c r="BH195" s="434"/>
      <c r="BI195" s="431"/>
      <c r="BJ195" s="435"/>
      <c r="BK195" s="494"/>
    </row>
    <row r="196" spans="1:63">
      <c r="A196" s="488"/>
      <c r="B196" s="489"/>
      <c r="C196" s="490"/>
      <c r="D196" s="487"/>
      <c r="E196" s="491"/>
      <c r="F196" s="418"/>
      <c r="G196" s="419"/>
      <c r="H196" s="436"/>
      <c r="I196" s="437"/>
      <c r="J196" s="492"/>
      <c r="K196" s="439"/>
      <c r="L196" s="492"/>
      <c r="M196" s="438"/>
      <c r="N196" s="436"/>
      <c r="O196" s="438"/>
      <c r="P196" s="420"/>
      <c r="Q196" s="421"/>
      <c r="R196" s="421"/>
      <c r="S196" s="422"/>
      <c r="T196" s="422"/>
      <c r="U196" s="423"/>
      <c r="V196" s="424"/>
      <c r="W196" s="424"/>
      <c r="X196" s="425"/>
      <c r="Y196" s="426"/>
      <c r="Z196" s="417"/>
      <c r="AA196" s="493"/>
      <c r="AB196" s="427"/>
      <c r="AC196" s="438"/>
      <c r="AD196" s="428"/>
      <c r="AE196" s="437"/>
      <c r="AF196" s="437"/>
      <c r="AG196" s="438"/>
      <c r="AH196" s="428"/>
      <c r="AI196" s="438"/>
      <c r="AJ196" s="429"/>
      <c r="AK196" s="424"/>
      <c r="AL196" s="424"/>
      <c r="AM196" s="430"/>
      <c r="AN196" s="431"/>
      <c r="AO196" s="432"/>
      <c r="AP196" s="425"/>
      <c r="AQ196" s="433"/>
      <c r="AR196" s="425"/>
      <c r="AS196" s="433"/>
      <c r="AT196" s="434"/>
      <c r="AU196" s="431"/>
      <c r="AV196" s="435"/>
      <c r="AW196" s="494"/>
      <c r="AX196" s="429"/>
      <c r="AY196" s="424"/>
      <c r="AZ196" s="424"/>
      <c r="BA196" s="430"/>
      <c r="BB196" s="431"/>
      <c r="BC196" s="432"/>
      <c r="BD196" s="425"/>
      <c r="BE196" s="433"/>
      <c r="BF196" s="425"/>
      <c r="BG196" s="433"/>
      <c r="BH196" s="434"/>
      <c r="BI196" s="431"/>
      <c r="BJ196" s="435"/>
      <c r="BK196" s="494"/>
    </row>
    <row r="197" spans="1:63">
      <c r="A197" s="488"/>
      <c r="B197" s="489"/>
      <c r="C197" s="490"/>
      <c r="D197" s="487"/>
      <c r="E197" s="491"/>
      <c r="F197" s="418"/>
      <c r="G197" s="419"/>
      <c r="H197" s="436"/>
      <c r="I197" s="437"/>
      <c r="J197" s="492"/>
      <c r="K197" s="439"/>
      <c r="L197" s="492"/>
      <c r="M197" s="438"/>
      <c r="N197" s="436"/>
      <c r="O197" s="438"/>
      <c r="P197" s="420"/>
      <c r="Q197" s="421"/>
      <c r="R197" s="421"/>
      <c r="S197" s="422"/>
      <c r="T197" s="422"/>
      <c r="U197" s="423"/>
      <c r="V197" s="424"/>
      <c r="W197" s="424"/>
      <c r="X197" s="425"/>
      <c r="Y197" s="426"/>
      <c r="Z197" s="417"/>
      <c r="AA197" s="493"/>
      <c r="AB197" s="427"/>
      <c r="AC197" s="438"/>
      <c r="AD197" s="428"/>
      <c r="AE197" s="437"/>
      <c r="AF197" s="437"/>
      <c r="AG197" s="438"/>
      <c r="AH197" s="428"/>
      <c r="AI197" s="438"/>
      <c r="AJ197" s="429"/>
      <c r="AK197" s="424"/>
      <c r="AL197" s="424"/>
      <c r="AM197" s="430"/>
      <c r="AN197" s="431"/>
      <c r="AO197" s="432"/>
      <c r="AP197" s="425"/>
      <c r="AQ197" s="433"/>
      <c r="AR197" s="425"/>
      <c r="AS197" s="433"/>
      <c r="AT197" s="434"/>
      <c r="AU197" s="431"/>
      <c r="AV197" s="435"/>
      <c r="AW197" s="494"/>
      <c r="AX197" s="429"/>
      <c r="AY197" s="424"/>
      <c r="AZ197" s="424"/>
      <c r="BA197" s="430"/>
      <c r="BB197" s="431"/>
      <c r="BC197" s="432"/>
      <c r="BD197" s="425"/>
      <c r="BE197" s="433"/>
      <c r="BF197" s="425"/>
      <c r="BG197" s="433"/>
      <c r="BH197" s="434"/>
      <c r="BI197" s="431"/>
      <c r="BJ197" s="435"/>
      <c r="BK197" s="494"/>
    </row>
    <row r="198" spans="1:63">
      <c r="A198" s="488"/>
      <c r="B198" s="489"/>
      <c r="C198" s="490"/>
      <c r="D198" s="487"/>
      <c r="E198" s="491"/>
      <c r="F198" s="418"/>
      <c r="G198" s="419"/>
      <c r="H198" s="436"/>
      <c r="I198" s="437"/>
      <c r="J198" s="492"/>
      <c r="K198" s="439"/>
      <c r="L198" s="492"/>
      <c r="M198" s="438"/>
      <c r="N198" s="436"/>
      <c r="O198" s="438"/>
      <c r="P198" s="420"/>
      <c r="Q198" s="420"/>
      <c r="R198" s="421"/>
      <c r="S198" s="422"/>
      <c r="T198" s="422"/>
      <c r="U198" s="423"/>
      <c r="V198" s="424"/>
      <c r="W198" s="424"/>
      <c r="X198" s="425"/>
      <c r="Y198" s="426"/>
      <c r="Z198" s="417"/>
      <c r="AA198" s="493"/>
      <c r="AB198" s="427"/>
      <c r="AC198" s="438"/>
      <c r="AD198" s="428"/>
      <c r="AE198" s="437"/>
      <c r="AF198" s="437"/>
      <c r="AG198" s="438"/>
      <c r="AH198" s="428"/>
      <c r="AI198" s="438"/>
      <c r="AJ198" s="429"/>
      <c r="AK198" s="424"/>
      <c r="AL198" s="424"/>
      <c r="AM198" s="430"/>
      <c r="AN198" s="431"/>
      <c r="AO198" s="432"/>
      <c r="AP198" s="425"/>
      <c r="AQ198" s="433"/>
      <c r="AR198" s="425"/>
      <c r="AS198" s="433"/>
      <c r="AT198" s="434"/>
      <c r="AU198" s="431"/>
      <c r="AV198" s="435"/>
      <c r="AW198" s="494"/>
      <c r="AX198" s="429"/>
      <c r="AY198" s="424"/>
      <c r="AZ198" s="424"/>
      <c r="BA198" s="430"/>
      <c r="BB198" s="431"/>
      <c r="BC198" s="432"/>
      <c r="BD198" s="425"/>
      <c r="BE198" s="433"/>
      <c r="BF198" s="425"/>
      <c r="BG198" s="433"/>
      <c r="BH198" s="434"/>
      <c r="BI198" s="431"/>
      <c r="BJ198" s="435"/>
      <c r="BK198" s="494"/>
    </row>
    <row r="199" spans="1:63">
      <c r="A199" s="488"/>
      <c r="B199" s="489"/>
      <c r="C199" s="490"/>
      <c r="D199" s="487"/>
      <c r="E199" s="491"/>
      <c r="F199" s="418"/>
      <c r="G199" s="419"/>
      <c r="H199" s="436"/>
      <c r="I199" s="437"/>
      <c r="J199" s="492"/>
      <c r="K199" s="439"/>
      <c r="L199" s="492"/>
      <c r="M199" s="438"/>
      <c r="N199" s="436"/>
      <c r="O199" s="438"/>
      <c r="P199" s="420"/>
      <c r="Q199" s="421"/>
      <c r="R199" s="421"/>
      <c r="S199" s="422"/>
      <c r="T199" s="422"/>
      <c r="U199" s="423"/>
      <c r="V199" s="424"/>
      <c r="W199" s="424"/>
      <c r="X199" s="425"/>
      <c r="Y199" s="426"/>
      <c r="Z199" s="417"/>
      <c r="AA199" s="493"/>
      <c r="AB199" s="427"/>
      <c r="AC199" s="438"/>
      <c r="AD199" s="428"/>
      <c r="AE199" s="437"/>
      <c r="AF199" s="437"/>
      <c r="AG199" s="438"/>
      <c r="AH199" s="428"/>
      <c r="AI199" s="438"/>
      <c r="AJ199" s="429"/>
      <c r="AK199" s="424"/>
      <c r="AL199" s="424"/>
      <c r="AM199" s="430"/>
      <c r="AN199" s="431"/>
      <c r="AO199" s="432"/>
      <c r="AP199" s="425"/>
      <c r="AQ199" s="433"/>
      <c r="AR199" s="425"/>
      <c r="AS199" s="433"/>
      <c r="AT199" s="434"/>
      <c r="AU199" s="431"/>
      <c r="AV199" s="435"/>
      <c r="AW199" s="494"/>
      <c r="AX199" s="429"/>
      <c r="AY199" s="424"/>
      <c r="AZ199" s="424"/>
      <c r="BA199" s="430"/>
      <c r="BB199" s="431"/>
      <c r="BC199" s="432"/>
      <c r="BD199" s="425"/>
      <c r="BE199" s="433"/>
      <c r="BF199" s="425"/>
      <c r="BG199" s="433"/>
      <c r="BH199" s="434"/>
      <c r="BI199" s="431"/>
      <c r="BJ199" s="435"/>
      <c r="BK199" s="494"/>
    </row>
    <row r="200" spans="1:63">
      <c r="A200" s="488"/>
      <c r="B200" s="489"/>
      <c r="C200" s="490"/>
      <c r="D200" s="487"/>
      <c r="E200" s="491"/>
      <c r="F200" s="418"/>
      <c r="G200" s="419"/>
      <c r="H200" s="436"/>
      <c r="I200" s="437"/>
      <c r="J200" s="492"/>
      <c r="K200" s="439"/>
      <c r="L200" s="492"/>
      <c r="M200" s="438"/>
      <c r="N200" s="436"/>
      <c r="O200" s="438"/>
      <c r="P200" s="420"/>
      <c r="Q200" s="421"/>
      <c r="R200" s="421"/>
      <c r="S200" s="422"/>
      <c r="T200" s="422"/>
      <c r="U200" s="423"/>
      <c r="V200" s="424"/>
      <c r="W200" s="424"/>
      <c r="X200" s="425"/>
      <c r="Y200" s="426"/>
      <c r="Z200" s="417"/>
      <c r="AA200" s="493"/>
      <c r="AB200" s="427"/>
      <c r="AC200" s="438"/>
      <c r="AD200" s="428"/>
      <c r="AE200" s="437"/>
      <c r="AF200" s="437"/>
      <c r="AG200" s="438"/>
      <c r="AH200" s="428"/>
      <c r="AI200" s="438"/>
      <c r="AJ200" s="429"/>
      <c r="AK200" s="424"/>
      <c r="AL200" s="424"/>
      <c r="AM200" s="430"/>
      <c r="AN200" s="431"/>
      <c r="AO200" s="432"/>
      <c r="AP200" s="425"/>
      <c r="AQ200" s="433"/>
      <c r="AR200" s="425"/>
      <c r="AS200" s="433"/>
      <c r="AT200" s="434"/>
      <c r="AU200" s="431"/>
      <c r="AV200" s="435"/>
      <c r="AW200" s="494"/>
      <c r="AX200" s="429"/>
      <c r="AY200" s="424"/>
      <c r="AZ200" s="424"/>
      <c r="BA200" s="430"/>
      <c r="BB200" s="431"/>
      <c r="BC200" s="432"/>
      <c r="BD200" s="425"/>
      <c r="BE200" s="433"/>
      <c r="BF200" s="425"/>
      <c r="BG200" s="433"/>
      <c r="BH200" s="434"/>
      <c r="BI200" s="431"/>
      <c r="BJ200" s="435"/>
      <c r="BK200" s="494"/>
    </row>
    <row r="201" spans="1:63">
      <c r="A201" s="488"/>
      <c r="B201" s="489"/>
      <c r="C201" s="490"/>
      <c r="D201" s="487"/>
      <c r="E201" s="491"/>
      <c r="F201" s="418"/>
      <c r="G201" s="419"/>
      <c r="H201" s="436"/>
      <c r="I201" s="437"/>
      <c r="J201" s="492"/>
      <c r="K201" s="439"/>
      <c r="L201" s="492"/>
      <c r="M201" s="438"/>
      <c r="N201" s="436"/>
      <c r="O201" s="438"/>
      <c r="P201" s="420"/>
      <c r="Q201" s="421"/>
      <c r="R201" s="421"/>
      <c r="S201" s="422"/>
      <c r="T201" s="422"/>
      <c r="U201" s="423"/>
      <c r="V201" s="424"/>
      <c r="W201" s="424"/>
      <c r="X201" s="425"/>
      <c r="Y201" s="426"/>
      <c r="Z201" s="417"/>
      <c r="AA201" s="493"/>
      <c r="AB201" s="427"/>
      <c r="AC201" s="438"/>
      <c r="AD201" s="428"/>
      <c r="AE201" s="437"/>
      <c r="AF201" s="437"/>
      <c r="AG201" s="438"/>
      <c r="AH201" s="428"/>
      <c r="AI201" s="438"/>
      <c r="AJ201" s="429"/>
      <c r="AK201" s="424"/>
      <c r="AL201" s="424"/>
      <c r="AM201" s="430"/>
      <c r="AN201" s="431"/>
      <c r="AO201" s="432"/>
      <c r="AP201" s="425"/>
      <c r="AQ201" s="433"/>
      <c r="AR201" s="425"/>
      <c r="AS201" s="433"/>
      <c r="AT201" s="434"/>
      <c r="AU201" s="431"/>
      <c r="AV201" s="435"/>
      <c r="AW201" s="494"/>
      <c r="AX201" s="429"/>
      <c r="AY201" s="424"/>
      <c r="AZ201" s="424"/>
      <c r="BA201" s="430"/>
      <c r="BB201" s="431"/>
      <c r="BC201" s="432"/>
      <c r="BD201" s="425"/>
      <c r="BE201" s="433"/>
      <c r="BF201" s="425"/>
      <c r="BG201" s="433"/>
      <c r="BH201" s="434"/>
      <c r="BI201" s="431"/>
      <c r="BJ201" s="435"/>
      <c r="BK201" s="494"/>
    </row>
    <row r="202" spans="1:63">
      <c r="A202" s="488"/>
      <c r="B202" s="489"/>
      <c r="C202" s="490"/>
      <c r="D202" s="487"/>
      <c r="E202" s="491"/>
      <c r="F202" s="418"/>
      <c r="G202" s="419"/>
      <c r="H202" s="436"/>
      <c r="I202" s="437"/>
      <c r="J202" s="492"/>
      <c r="K202" s="439"/>
      <c r="L202" s="492"/>
      <c r="M202" s="438"/>
      <c r="N202" s="436"/>
      <c r="O202" s="438"/>
      <c r="P202" s="420"/>
      <c r="Q202" s="421"/>
      <c r="R202" s="421"/>
      <c r="S202" s="422"/>
      <c r="T202" s="422"/>
      <c r="U202" s="423"/>
      <c r="V202" s="424"/>
      <c r="W202" s="424"/>
      <c r="X202" s="425"/>
      <c r="Y202" s="426"/>
      <c r="Z202" s="417"/>
      <c r="AA202" s="493"/>
      <c r="AB202" s="427"/>
      <c r="AC202" s="438"/>
      <c r="AD202" s="428"/>
      <c r="AE202" s="437"/>
      <c r="AF202" s="437"/>
      <c r="AG202" s="438"/>
      <c r="AH202" s="428"/>
      <c r="AI202" s="438"/>
      <c r="AJ202" s="429"/>
      <c r="AK202" s="424"/>
      <c r="AL202" s="424"/>
      <c r="AM202" s="430"/>
      <c r="AN202" s="431"/>
      <c r="AO202" s="432"/>
      <c r="AP202" s="425"/>
      <c r="AQ202" s="433"/>
      <c r="AR202" s="425"/>
      <c r="AS202" s="433"/>
      <c r="AT202" s="434"/>
      <c r="AU202" s="431"/>
      <c r="AV202" s="435"/>
      <c r="AW202" s="494"/>
      <c r="AX202" s="429"/>
      <c r="AY202" s="424"/>
      <c r="AZ202" s="424"/>
      <c r="BA202" s="430"/>
      <c r="BB202" s="431"/>
      <c r="BC202" s="432"/>
      <c r="BD202" s="425"/>
      <c r="BE202" s="433"/>
      <c r="BF202" s="425"/>
      <c r="BG202" s="433"/>
      <c r="BH202" s="434"/>
      <c r="BI202" s="431"/>
      <c r="BJ202" s="435"/>
      <c r="BK202" s="494"/>
    </row>
    <row r="203" spans="1:63">
      <c r="A203" s="488"/>
      <c r="B203" s="489"/>
      <c r="C203" s="490"/>
      <c r="D203" s="487"/>
      <c r="E203" s="491"/>
      <c r="F203" s="418"/>
      <c r="G203" s="419"/>
      <c r="H203" s="436"/>
      <c r="I203" s="437"/>
      <c r="J203" s="492"/>
      <c r="K203" s="439"/>
      <c r="L203" s="492"/>
      <c r="M203" s="438"/>
      <c r="N203" s="436"/>
      <c r="O203" s="438"/>
      <c r="P203" s="420"/>
      <c r="Q203" s="421"/>
      <c r="R203" s="421"/>
      <c r="S203" s="422"/>
      <c r="T203" s="422"/>
      <c r="U203" s="423"/>
      <c r="V203" s="424"/>
      <c r="W203" s="424"/>
      <c r="X203" s="425"/>
      <c r="Y203" s="426"/>
      <c r="Z203" s="417"/>
      <c r="AA203" s="493"/>
      <c r="AB203" s="427"/>
      <c r="AC203" s="438"/>
      <c r="AD203" s="428"/>
      <c r="AE203" s="437"/>
      <c r="AF203" s="437"/>
      <c r="AG203" s="438"/>
      <c r="AH203" s="428"/>
      <c r="AI203" s="438"/>
      <c r="AJ203" s="429"/>
      <c r="AK203" s="424"/>
      <c r="AL203" s="424"/>
      <c r="AM203" s="430"/>
      <c r="AN203" s="431"/>
      <c r="AO203" s="432"/>
      <c r="AP203" s="425"/>
      <c r="AQ203" s="433"/>
      <c r="AR203" s="425"/>
      <c r="AS203" s="433"/>
      <c r="AT203" s="434"/>
      <c r="AU203" s="431"/>
      <c r="AV203" s="435"/>
      <c r="AW203" s="494"/>
      <c r="AX203" s="429"/>
      <c r="AY203" s="424"/>
      <c r="AZ203" s="424"/>
      <c r="BA203" s="430"/>
      <c r="BB203" s="431"/>
      <c r="BC203" s="432"/>
      <c r="BD203" s="425"/>
      <c r="BE203" s="433"/>
      <c r="BF203" s="425"/>
      <c r="BG203" s="433"/>
      <c r="BH203" s="434"/>
      <c r="BI203" s="431"/>
      <c r="BJ203" s="435"/>
      <c r="BK203" s="494"/>
    </row>
    <row r="204" spans="1:63">
      <c r="A204" s="488"/>
      <c r="B204" s="489"/>
      <c r="C204" s="490"/>
      <c r="D204" s="487"/>
      <c r="E204" s="491"/>
      <c r="F204" s="418"/>
      <c r="G204" s="419"/>
      <c r="H204" s="436"/>
      <c r="I204" s="437"/>
      <c r="J204" s="492"/>
      <c r="K204" s="439"/>
      <c r="L204" s="492"/>
      <c r="M204" s="438"/>
      <c r="N204" s="436"/>
      <c r="O204" s="438"/>
      <c r="P204" s="420"/>
      <c r="Q204" s="421"/>
      <c r="R204" s="421"/>
      <c r="S204" s="422"/>
      <c r="T204" s="422"/>
      <c r="U204" s="423"/>
      <c r="V204" s="424"/>
      <c r="W204" s="424"/>
      <c r="X204" s="425"/>
      <c r="Y204" s="426"/>
      <c r="Z204" s="417"/>
      <c r="AA204" s="493"/>
      <c r="AB204" s="427"/>
      <c r="AC204" s="438"/>
      <c r="AD204" s="428"/>
      <c r="AE204" s="437"/>
      <c r="AF204" s="437"/>
      <c r="AG204" s="438"/>
      <c r="AH204" s="428"/>
      <c r="AI204" s="438"/>
      <c r="AJ204" s="429"/>
      <c r="AK204" s="424"/>
      <c r="AL204" s="424"/>
      <c r="AM204" s="430"/>
      <c r="AN204" s="431"/>
      <c r="AO204" s="432"/>
      <c r="AP204" s="425"/>
      <c r="AQ204" s="433"/>
      <c r="AR204" s="425"/>
      <c r="AS204" s="433"/>
      <c r="AT204" s="434"/>
      <c r="AU204" s="431"/>
      <c r="AV204" s="435"/>
      <c r="AW204" s="494"/>
      <c r="AX204" s="429"/>
      <c r="AY204" s="424"/>
      <c r="AZ204" s="424"/>
      <c r="BA204" s="430"/>
      <c r="BB204" s="431"/>
      <c r="BC204" s="432"/>
      <c r="BD204" s="425"/>
      <c r="BE204" s="433"/>
      <c r="BF204" s="425"/>
      <c r="BG204" s="433"/>
      <c r="BH204" s="434"/>
      <c r="BI204" s="431"/>
      <c r="BJ204" s="435"/>
      <c r="BK204" s="494"/>
    </row>
    <row r="205" spans="1:63">
      <c r="A205" s="488"/>
      <c r="B205" s="489"/>
      <c r="C205" s="490"/>
      <c r="D205" s="487"/>
      <c r="E205" s="491"/>
      <c r="F205" s="418"/>
      <c r="G205" s="419"/>
      <c r="H205" s="436"/>
      <c r="I205" s="437"/>
      <c r="J205" s="492"/>
      <c r="K205" s="439"/>
      <c r="L205" s="492"/>
      <c r="M205" s="438"/>
      <c r="N205" s="436"/>
      <c r="O205" s="438"/>
      <c r="P205" s="420"/>
      <c r="Q205" s="421"/>
      <c r="R205" s="421"/>
      <c r="S205" s="422"/>
      <c r="T205" s="422"/>
      <c r="U205" s="423"/>
      <c r="V205" s="424"/>
      <c r="W205" s="424"/>
      <c r="X205" s="425"/>
      <c r="Y205" s="426"/>
      <c r="Z205" s="417"/>
      <c r="AA205" s="493"/>
      <c r="AB205" s="427"/>
      <c r="AC205" s="438"/>
      <c r="AD205" s="428"/>
      <c r="AE205" s="437"/>
      <c r="AF205" s="437"/>
      <c r="AG205" s="438"/>
      <c r="AH205" s="428"/>
      <c r="AI205" s="438"/>
      <c r="AJ205" s="429"/>
      <c r="AK205" s="424"/>
      <c r="AL205" s="424"/>
      <c r="AM205" s="430"/>
      <c r="AN205" s="431"/>
      <c r="AO205" s="432"/>
      <c r="AP205" s="425"/>
      <c r="AQ205" s="433"/>
      <c r="AR205" s="425"/>
      <c r="AS205" s="433"/>
      <c r="AT205" s="434"/>
      <c r="AU205" s="431"/>
      <c r="AV205" s="435"/>
      <c r="AW205" s="494"/>
      <c r="AX205" s="429"/>
      <c r="AY205" s="424"/>
      <c r="AZ205" s="424"/>
      <c r="BA205" s="430"/>
      <c r="BB205" s="431"/>
      <c r="BC205" s="432"/>
      <c r="BD205" s="425"/>
      <c r="BE205" s="433"/>
      <c r="BF205" s="425"/>
      <c r="BG205" s="433"/>
      <c r="BH205" s="434"/>
      <c r="BI205" s="431"/>
      <c r="BJ205" s="435"/>
      <c r="BK205" s="494"/>
    </row>
    <row r="206" spans="1:63">
      <c r="A206" s="488"/>
      <c r="B206" s="489"/>
      <c r="C206" s="490"/>
      <c r="D206" s="487"/>
      <c r="E206" s="491"/>
      <c r="F206" s="418"/>
      <c r="G206" s="419"/>
      <c r="H206" s="436"/>
      <c r="I206" s="437"/>
      <c r="J206" s="492"/>
      <c r="K206" s="439"/>
      <c r="L206" s="492"/>
      <c r="M206" s="438"/>
      <c r="N206" s="436"/>
      <c r="O206" s="438"/>
      <c r="P206" s="420"/>
      <c r="Q206" s="421"/>
      <c r="R206" s="421"/>
      <c r="S206" s="422"/>
      <c r="T206" s="422"/>
      <c r="U206" s="423"/>
      <c r="V206" s="424"/>
      <c r="W206" s="424"/>
      <c r="X206" s="425"/>
      <c r="Y206" s="426"/>
      <c r="Z206" s="417"/>
      <c r="AA206" s="493"/>
      <c r="AB206" s="427"/>
      <c r="AC206" s="438"/>
      <c r="AD206" s="428"/>
      <c r="AE206" s="437"/>
      <c r="AF206" s="437"/>
      <c r="AG206" s="438"/>
      <c r="AH206" s="428"/>
      <c r="AI206" s="438"/>
      <c r="AJ206" s="429"/>
      <c r="AK206" s="424"/>
      <c r="AL206" s="424"/>
      <c r="AM206" s="430"/>
      <c r="AN206" s="431"/>
      <c r="AO206" s="432"/>
      <c r="AP206" s="425"/>
      <c r="AQ206" s="433"/>
      <c r="AR206" s="425"/>
      <c r="AS206" s="433"/>
      <c r="AT206" s="434"/>
      <c r="AU206" s="431"/>
      <c r="AV206" s="435"/>
      <c r="AW206" s="494"/>
      <c r="AX206" s="429"/>
      <c r="AY206" s="424"/>
      <c r="AZ206" s="424"/>
      <c r="BA206" s="430"/>
      <c r="BB206" s="431"/>
      <c r="BC206" s="432"/>
      <c r="BD206" s="425"/>
      <c r="BE206" s="433"/>
      <c r="BF206" s="425"/>
      <c r="BG206" s="433"/>
      <c r="BH206" s="434"/>
      <c r="BI206" s="431"/>
      <c r="BJ206" s="435"/>
      <c r="BK206" s="494"/>
    </row>
    <row r="207" spans="1:63">
      <c r="A207" s="488"/>
      <c r="B207" s="489"/>
      <c r="C207" s="490"/>
      <c r="D207" s="487"/>
      <c r="E207" s="491"/>
      <c r="F207" s="418"/>
      <c r="G207" s="419"/>
      <c r="H207" s="436"/>
      <c r="I207" s="437"/>
      <c r="J207" s="492"/>
      <c r="K207" s="439"/>
      <c r="L207" s="492"/>
      <c r="M207" s="438"/>
      <c r="N207" s="436"/>
      <c r="O207" s="438"/>
      <c r="P207" s="420"/>
      <c r="Q207" s="421"/>
      <c r="R207" s="421"/>
      <c r="S207" s="422"/>
      <c r="T207" s="422"/>
      <c r="U207" s="423"/>
      <c r="V207" s="424"/>
      <c r="W207" s="424"/>
      <c r="X207" s="425"/>
      <c r="Y207" s="426"/>
      <c r="Z207" s="417"/>
      <c r="AA207" s="493"/>
      <c r="AB207" s="427"/>
      <c r="AC207" s="438"/>
      <c r="AD207" s="428"/>
      <c r="AE207" s="437"/>
      <c r="AF207" s="437"/>
      <c r="AG207" s="438"/>
      <c r="AH207" s="428"/>
      <c r="AI207" s="438"/>
      <c r="AJ207" s="429"/>
      <c r="AK207" s="424"/>
      <c r="AL207" s="424"/>
      <c r="AM207" s="430"/>
      <c r="AN207" s="431"/>
      <c r="AO207" s="432"/>
      <c r="AP207" s="425"/>
      <c r="AQ207" s="433"/>
      <c r="AR207" s="425"/>
      <c r="AS207" s="433"/>
      <c r="AT207" s="434"/>
      <c r="AU207" s="431"/>
      <c r="AV207" s="435"/>
      <c r="AW207" s="494"/>
      <c r="AX207" s="429"/>
      <c r="AY207" s="424"/>
      <c r="AZ207" s="424"/>
      <c r="BA207" s="430"/>
      <c r="BB207" s="431"/>
      <c r="BC207" s="432"/>
      <c r="BD207" s="425"/>
      <c r="BE207" s="433"/>
      <c r="BF207" s="425"/>
      <c r="BG207" s="433"/>
      <c r="BH207" s="434"/>
      <c r="BI207" s="431"/>
      <c r="BJ207" s="435"/>
      <c r="BK207" s="494"/>
    </row>
    <row r="208" spans="1:63">
      <c r="A208" s="488"/>
      <c r="B208" s="489"/>
      <c r="C208" s="490"/>
      <c r="D208" s="487"/>
      <c r="E208" s="491"/>
      <c r="F208" s="418"/>
      <c r="G208" s="419"/>
      <c r="H208" s="436"/>
      <c r="I208" s="437"/>
      <c r="J208" s="492"/>
      <c r="K208" s="439"/>
      <c r="L208" s="492"/>
      <c r="M208" s="438"/>
      <c r="N208" s="436"/>
      <c r="O208" s="438"/>
      <c r="P208" s="420"/>
      <c r="Q208" s="421"/>
      <c r="R208" s="421"/>
      <c r="S208" s="422"/>
      <c r="T208" s="422"/>
      <c r="U208" s="423"/>
      <c r="V208" s="424"/>
      <c r="W208" s="424"/>
      <c r="X208" s="425"/>
      <c r="Y208" s="426"/>
      <c r="Z208" s="417"/>
      <c r="AA208" s="493"/>
      <c r="AB208" s="427"/>
      <c r="AC208" s="438"/>
      <c r="AD208" s="428"/>
      <c r="AE208" s="437"/>
      <c r="AF208" s="437"/>
      <c r="AG208" s="438"/>
      <c r="AH208" s="428"/>
      <c r="AI208" s="438"/>
      <c r="AJ208" s="429"/>
      <c r="AK208" s="424"/>
      <c r="AL208" s="424"/>
      <c r="AM208" s="430"/>
      <c r="AN208" s="431"/>
      <c r="AO208" s="432"/>
      <c r="AP208" s="425"/>
      <c r="AQ208" s="433"/>
      <c r="AR208" s="425"/>
      <c r="AS208" s="433"/>
      <c r="AT208" s="434"/>
      <c r="AU208" s="431"/>
      <c r="AV208" s="435"/>
      <c r="AW208" s="494"/>
      <c r="AX208" s="429"/>
      <c r="AY208" s="424"/>
      <c r="AZ208" s="424"/>
      <c r="BA208" s="430"/>
      <c r="BB208" s="431"/>
      <c r="BC208" s="432"/>
      <c r="BD208" s="425"/>
      <c r="BE208" s="433"/>
      <c r="BF208" s="425"/>
      <c r="BG208" s="433"/>
      <c r="BH208" s="434"/>
      <c r="BI208" s="431"/>
      <c r="BJ208" s="435"/>
      <c r="BK208" s="494"/>
    </row>
    <row r="209" spans="1:63">
      <c r="A209" s="488"/>
      <c r="B209" s="489"/>
      <c r="C209" s="490"/>
      <c r="D209" s="487"/>
      <c r="E209" s="491"/>
      <c r="F209" s="418"/>
      <c r="G209" s="419"/>
      <c r="H209" s="436"/>
      <c r="I209" s="437"/>
      <c r="J209" s="492"/>
      <c r="K209" s="439"/>
      <c r="L209" s="492"/>
      <c r="M209" s="438"/>
      <c r="N209" s="436"/>
      <c r="O209" s="438"/>
      <c r="P209" s="420"/>
      <c r="Q209" s="421"/>
      <c r="R209" s="421"/>
      <c r="S209" s="422"/>
      <c r="T209" s="422"/>
      <c r="U209" s="423"/>
      <c r="V209" s="424"/>
      <c r="W209" s="424"/>
      <c r="X209" s="425"/>
      <c r="Y209" s="426"/>
      <c r="Z209" s="417"/>
      <c r="AA209" s="493"/>
      <c r="AB209" s="427"/>
      <c r="AC209" s="438"/>
      <c r="AD209" s="428"/>
      <c r="AE209" s="437"/>
      <c r="AF209" s="437"/>
      <c r="AG209" s="438"/>
      <c r="AH209" s="428"/>
      <c r="AI209" s="438"/>
      <c r="AJ209" s="429"/>
      <c r="AK209" s="424"/>
      <c r="AL209" s="424"/>
      <c r="AM209" s="430"/>
      <c r="AN209" s="431"/>
      <c r="AO209" s="432"/>
      <c r="AP209" s="425"/>
      <c r="AQ209" s="433"/>
      <c r="AR209" s="425"/>
      <c r="AS209" s="433"/>
      <c r="AT209" s="434"/>
      <c r="AU209" s="431"/>
      <c r="AV209" s="435"/>
      <c r="AW209" s="494"/>
      <c r="AX209" s="429"/>
      <c r="AY209" s="424"/>
      <c r="AZ209" s="424"/>
      <c r="BA209" s="430"/>
      <c r="BB209" s="431"/>
      <c r="BC209" s="432"/>
      <c r="BD209" s="425"/>
      <c r="BE209" s="433"/>
      <c r="BF209" s="425"/>
      <c r="BG209" s="433"/>
      <c r="BH209" s="434"/>
      <c r="BI209" s="431"/>
      <c r="BJ209" s="435"/>
      <c r="BK209" s="494"/>
    </row>
    <row r="210" spans="1:63">
      <c r="A210" s="488"/>
      <c r="B210" s="489"/>
      <c r="C210" s="490"/>
      <c r="D210" s="487"/>
      <c r="E210" s="491"/>
      <c r="F210" s="418"/>
      <c r="G210" s="419"/>
      <c r="H210" s="436"/>
      <c r="I210" s="437"/>
      <c r="J210" s="492"/>
      <c r="K210" s="439"/>
      <c r="L210" s="492"/>
      <c r="M210" s="438"/>
      <c r="N210" s="436"/>
      <c r="O210" s="438"/>
      <c r="P210" s="420"/>
      <c r="Q210" s="421"/>
      <c r="R210" s="421"/>
      <c r="S210" s="422"/>
      <c r="T210" s="422"/>
      <c r="U210" s="423"/>
      <c r="V210" s="424"/>
      <c r="W210" s="424"/>
      <c r="X210" s="425"/>
      <c r="Y210" s="426"/>
      <c r="Z210" s="417"/>
      <c r="AA210" s="493"/>
      <c r="AB210" s="427"/>
      <c r="AC210" s="438"/>
      <c r="AD210" s="428"/>
      <c r="AE210" s="437"/>
      <c r="AF210" s="437"/>
      <c r="AG210" s="438"/>
      <c r="AH210" s="428"/>
      <c r="AI210" s="438"/>
      <c r="AJ210" s="429"/>
      <c r="AK210" s="424"/>
      <c r="AL210" s="424"/>
      <c r="AM210" s="430"/>
      <c r="AN210" s="431"/>
      <c r="AO210" s="432"/>
      <c r="AP210" s="425"/>
      <c r="AQ210" s="433"/>
      <c r="AR210" s="425"/>
      <c r="AS210" s="433"/>
      <c r="AT210" s="434"/>
      <c r="AU210" s="431"/>
      <c r="AV210" s="435"/>
      <c r="AW210" s="494"/>
      <c r="AX210" s="429"/>
      <c r="AY210" s="424"/>
      <c r="AZ210" s="424"/>
      <c r="BA210" s="430"/>
      <c r="BB210" s="431"/>
      <c r="BC210" s="432"/>
      <c r="BD210" s="425"/>
      <c r="BE210" s="433"/>
      <c r="BF210" s="425"/>
      <c r="BG210" s="433"/>
      <c r="BH210" s="434"/>
      <c r="BI210" s="431"/>
      <c r="BJ210" s="435"/>
      <c r="BK210" s="494"/>
    </row>
    <row r="211" spans="1:63">
      <c r="A211" s="488"/>
      <c r="B211" s="489"/>
      <c r="C211" s="490"/>
      <c r="D211" s="487"/>
      <c r="E211" s="491"/>
      <c r="F211" s="418"/>
      <c r="G211" s="419"/>
      <c r="H211" s="436"/>
      <c r="I211" s="437"/>
      <c r="J211" s="492"/>
      <c r="K211" s="439"/>
      <c r="L211" s="492"/>
      <c r="M211" s="438"/>
      <c r="N211" s="436"/>
      <c r="O211" s="438"/>
      <c r="P211" s="420"/>
      <c r="Q211" s="421"/>
      <c r="R211" s="421"/>
      <c r="S211" s="422"/>
      <c r="T211" s="422"/>
      <c r="U211" s="423"/>
      <c r="V211" s="424"/>
      <c r="W211" s="424"/>
      <c r="X211" s="425"/>
      <c r="Y211" s="426"/>
      <c r="Z211" s="417"/>
      <c r="AA211" s="493"/>
      <c r="AB211" s="427"/>
      <c r="AC211" s="438"/>
      <c r="AD211" s="428"/>
      <c r="AE211" s="437"/>
      <c r="AF211" s="437"/>
      <c r="AG211" s="438"/>
      <c r="AH211" s="428"/>
      <c r="AI211" s="438"/>
      <c r="AJ211" s="429"/>
      <c r="AK211" s="424"/>
      <c r="AL211" s="424"/>
      <c r="AM211" s="430"/>
      <c r="AN211" s="431"/>
      <c r="AO211" s="432"/>
      <c r="AP211" s="425"/>
      <c r="AQ211" s="433"/>
      <c r="AR211" s="425"/>
      <c r="AS211" s="433"/>
      <c r="AT211" s="434"/>
      <c r="AU211" s="431"/>
      <c r="AV211" s="435"/>
      <c r="AW211" s="494"/>
      <c r="AX211" s="429"/>
      <c r="AY211" s="424"/>
      <c r="AZ211" s="424"/>
      <c r="BA211" s="430"/>
      <c r="BB211" s="431"/>
      <c r="BC211" s="432"/>
      <c r="BD211" s="425"/>
      <c r="BE211" s="433"/>
      <c r="BF211" s="425"/>
      <c r="BG211" s="433"/>
      <c r="BH211" s="434"/>
      <c r="BI211" s="431"/>
      <c r="BJ211" s="435"/>
      <c r="BK211" s="494"/>
    </row>
    <row r="212" spans="1:63">
      <c r="A212" s="488"/>
      <c r="B212" s="489"/>
      <c r="C212" s="490"/>
      <c r="D212" s="487"/>
      <c r="E212" s="491"/>
      <c r="F212" s="418"/>
      <c r="G212" s="419"/>
      <c r="H212" s="436"/>
      <c r="I212" s="437"/>
      <c r="J212" s="492"/>
      <c r="K212" s="439"/>
      <c r="L212" s="492"/>
      <c r="M212" s="438"/>
      <c r="N212" s="436"/>
      <c r="O212" s="438"/>
      <c r="P212" s="420"/>
      <c r="Q212" s="421"/>
      <c r="R212" s="421"/>
      <c r="S212" s="422"/>
      <c r="T212" s="422"/>
      <c r="U212" s="423"/>
      <c r="V212" s="424"/>
      <c r="W212" s="424"/>
      <c r="X212" s="425"/>
      <c r="Y212" s="426"/>
      <c r="Z212" s="417"/>
      <c r="AA212" s="493"/>
      <c r="AB212" s="427"/>
      <c r="AC212" s="438"/>
      <c r="AD212" s="428"/>
      <c r="AE212" s="437"/>
      <c r="AF212" s="437"/>
      <c r="AG212" s="438"/>
      <c r="AH212" s="428"/>
      <c r="AI212" s="438"/>
      <c r="AJ212" s="429"/>
      <c r="AK212" s="424"/>
      <c r="AL212" s="424"/>
      <c r="AM212" s="430"/>
      <c r="AN212" s="431"/>
      <c r="AO212" s="432"/>
      <c r="AP212" s="425"/>
      <c r="AQ212" s="433"/>
      <c r="AR212" s="425"/>
      <c r="AS212" s="433"/>
      <c r="AT212" s="434"/>
      <c r="AU212" s="431"/>
      <c r="AV212" s="435"/>
      <c r="AW212" s="494"/>
      <c r="AX212" s="429"/>
      <c r="AY212" s="424"/>
      <c r="AZ212" s="424"/>
      <c r="BA212" s="430"/>
      <c r="BB212" s="431"/>
      <c r="BC212" s="432"/>
      <c r="BD212" s="425"/>
      <c r="BE212" s="433"/>
      <c r="BF212" s="425"/>
      <c r="BG212" s="433"/>
      <c r="BH212" s="434"/>
      <c r="BI212" s="431"/>
      <c r="BJ212" s="435"/>
      <c r="BK212" s="494"/>
    </row>
    <row r="213" spans="1:63">
      <c r="A213" s="488"/>
      <c r="B213" s="489"/>
      <c r="C213" s="490"/>
      <c r="D213" s="487"/>
      <c r="E213" s="491"/>
      <c r="F213" s="418"/>
      <c r="G213" s="419"/>
      <c r="H213" s="436"/>
      <c r="I213" s="437"/>
      <c r="J213" s="492"/>
      <c r="K213" s="439"/>
      <c r="L213" s="492"/>
      <c r="M213" s="438"/>
      <c r="N213" s="436"/>
      <c r="O213" s="438"/>
      <c r="P213" s="420"/>
      <c r="Q213" s="421"/>
      <c r="R213" s="421"/>
      <c r="S213" s="422"/>
      <c r="T213" s="422"/>
      <c r="U213" s="423"/>
      <c r="V213" s="424"/>
      <c r="W213" s="424"/>
      <c r="X213" s="425"/>
      <c r="Y213" s="426"/>
      <c r="Z213" s="417"/>
      <c r="AA213" s="493"/>
      <c r="AB213" s="427"/>
      <c r="AC213" s="438"/>
      <c r="AD213" s="428"/>
      <c r="AE213" s="437"/>
      <c r="AF213" s="437"/>
      <c r="AG213" s="438"/>
      <c r="AH213" s="428"/>
      <c r="AI213" s="438"/>
      <c r="AJ213" s="429"/>
      <c r="AK213" s="424"/>
      <c r="AL213" s="424"/>
      <c r="AM213" s="430"/>
      <c r="AN213" s="431"/>
      <c r="AO213" s="432"/>
      <c r="AP213" s="425"/>
      <c r="AQ213" s="433"/>
      <c r="AR213" s="425"/>
      <c r="AS213" s="433"/>
      <c r="AT213" s="434"/>
      <c r="AU213" s="431"/>
      <c r="AV213" s="435"/>
      <c r="AW213" s="494"/>
      <c r="AX213" s="429"/>
      <c r="AY213" s="424"/>
      <c r="AZ213" s="424"/>
      <c r="BA213" s="430"/>
      <c r="BB213" s="431"/>
      <c r="BC213" s="432"/>
      <c r="BD213" s="425"/>
      <c r="BE213" s="433"/>
      <c r="BF213" s="425"/>
      <c r="BG213" s="433"/>
      <c r="BH213" s="434"/>
      <c r="BI213" s="431"/>
      <c r="BJ213" s="435"/>
      <c r="BK213" s="494"/>
    </row>
    <row r="214" spans="1:63">
      <c r="A214" s="488"/>
      <c r="B214" s="489"/>
      <c r="C214" s="490"/>
      <c r="D214" s="487"/>
      <c r="E214" s="491"/>
      <c r="F214" s="418"/>
      <c r="G214" s="419"/>
      <c r="H214" s="436"/>
      <c r="I214" s="437"/>
      <c r="J214" s="492"/>
      <c r="K214" s="439"/>
      <c r="L214" s="492"/>
      <c r="M214" s="438"/>
      <c r="N214" s="436"/>
      <c r="O214" s="438"/>
      <c r="P214" s="420"/>
      <c r="Q214" s="421"/>
      <c r="R214" s="421"/>
      <c r="S214" s="422"/>
      <c r="T214" s="422"/>
      <c r="U214" s="423"/>
      <c r="V214" s="424"/>
      <c r="W214" s="424"/>
      <c r="X214" s="425"/>
      <c r="Y214" s="426"/>
      <c r="Z214" s="417"/>
      <c r="AA214" s="493"/>
      <c r="AB214" s="427"/>
      <c r="AC214" s="438"/>
      <c r="AD214" s="428"/>
      <c r="AE214" s="437"/>
      <c r="AF214" s="437"/>
      <c r="AG214" s="438"/>
      <c r="AH214" s="428"/>
      <c r="AI214" s="438"/>
      <c r="AJ214" s="429"/>
      <c r="AK214" s="424"/>
      <c r="AL214" s="424"/>
      <c r="AM214" s="430"/>
      <c r="AN214" s="431"/>
      <c r="AO214" s="432"/>
      <c r="AP214" s="425"/>
      <c r="AQ214" s="433"/>
      <c r="AR214" s="425"/>
      <c r="AS214" s="433"/>
      <c r="AT214" s="434"/>
      <c r="AU214" s="431"/>
      <c r="AV214" s="435"/>
      <c r="AW214" s="494"/>
      <c r="AX214" s="429"/>
      <c r="AY214" s="424"/>
      <c r="AZ214" s="424"/>
      <c r="BA214" s="430"/>
      <c r="BB214" s="431"/>
      <c r="BC214" s="432"/>
      <c r="BD214" s="425"/>
      <c r="BE214" s="433"/>
      <c r="BF214" s="425"/>
      <c r="BG214" s="433"/>
      <c r="BH214" s="434"/>
      <c r="BI214" s="431"/>
      <c r="BJ214" s="435"/>
      <c r="BK214" s="494"/>
    </row>
    <row r="215" spans="1:63">
      <c r="A215" s="488"/>
      <c r="B215" s="489"/>
      <c r="C215" s="490"/>
      <c r="D215" s="487"/>
      <c r="E215" s="491"/>
      <c r="F215" s="418"/>
      <c r="G215" s="419"/>
      <c r="H215" s="436"/>
      <c r="I215" s="437"/>
      <c r="J215" s="492"/>
      <c r="K215" s="439"/>
      <c r="L215" s="492"/>
      <c r="M215" s="438"/>
      <c r="N215" s="436"/>
      <c r="O215" s="438"/>
      <c r="P215" s="420"/>
      <c r="Q215" s="421"/>
      <c r="R215" s="421"/>
      <c r="S215" s="422"/>
      <c r="T215" s="422"/>
      <c r="U215" s="423"/>
      <c r="V215" s="424"/>
      <c r="W215" s="424"/>
      <c r="X215" s="425"/>
      <c r="Y215" s="426"/>
      <c r="Z215" s="417"/>
      <c r="AA215" s="493"/>
      <c r="AB215" s="427"/>
      <c r="AC215" s="438"/>
      <c r="AD215" s="428"/>
      <c r="AE215" s="437"/>
      <c r="AF215" s="437"/>
      <c r="AG215" s="438"/>
      <c r="AH215" s="428"/>
      <c r="AI215" s="438"/>
      <c r="AJ215" s="429"/>
      <c r="AK215" s="424"/>
      <c r="AL215" s="424"/>
      <c r="AM215" s="430"/>
      <c r="AN215" s="431"/>
      <c r="AO215" s="432"/>
      <c r="AP215" s="425"/>
      <c r="AQ215" s="433"/>
      <c r="AR215" s="425"/>
      <c r="AS215" s="433"/>
      <c r="AT215" s="434"/>
      <c r="AU215" s="431"/>
      <c r="AV215" s="435"/>
      <c r="AW215" s="494"/>
      <c r="AX215" s="429"/>
      <c r="AY215" s="424"/>
      <c r="AZ215" s="424"/>
      <c r="BA215" s="430"/>
      <c r="BB215" s="431"/>
      <c r="BC215" s="432"/>
      <c r="BD215" s="425"/>
      <c r="BE215" s="433"/>
      <c r="BF215" s="425"/>
      <c r="BG215" s="433"/>
      <c r="BH215" s="434"/>
      <c r="BI215" s="431"/>
      <c r="BJ215" s="435"/>
      <c r="BK215" s="494"/>
    </row>
    <row r="216" spans="1:63">
      <c r="A216" s="488"/>
      <c r="B216" s="489"/>
      <c r="C216" s="490"/>
      <c r="D216" s="487"/>
      <c r="E216" s="491"/>
      <c r="F216" s="418"/>
      <c r="G216" s="419"/>
      <c r="H216" s="436"/>
      <c r="I216" s="437"/>
      <c r="J216" s="492"/>
      <c r="K216" s="439"/>
      <c r="L216" s="492"/>
      <c r="M216" s="438"/>
      <c r="N216" s="436"/>
      <c r="O216" s="438"/>
      <c r="P216" s="420"/>
      <c r="Q216" s="421"/>
      <c r="R216" s="421"/>
      <c r="S216" s="422"/>
      <c r="T216" s="422"/>
      <c r="U216" s="423"/>
      <c r="V216" s="424"/>
      <c r="W216" s="424"/>
      <c r="X216" s="425"/>
      <c r="Y216" s="426"/>
      <c r="Z216" s="417"/>
      <c r="AA216" s="493"/>
      <c r="AB216" s="427"/>
      <c r="AC216" s="438"/>
      <c r="AD216" s="428"/>
      <c r="AE216" s="437"/>
      <c r="AF216" s="437"/>
      <c r="AG216" s="438"/>
      <c r="AH216" s="428"/>
      <c r="AI216" s="438"/>
      <c r="AJ216" s="429"/>
      <c r="AK216" s="424"/>
      <c r="AL216" s="424"/>
      <c r="AM216" s="430"/>
      <c r="AN216" s="431"/>
      <c r="AO216" s="432"/>
      <c r="AP216" s="425"/>
      <c r="AQ216" s="433"/>
      <c r="AR216" s="425"/>
      <c r="AS216" s="433"/>
      <c r="AT216" s="434"/>
      <c r="AU216" s="431"/>
      <c r="AV216" s="435"/>
      <c r="AW216" s="494"/>
      <c r="AX216" s="429"/>
      <c r="AY216" s="424"/>
      <c r="AZ216" s="424"/>
      <c r="BA216" s="430"/>
      <c r="BB216" s="431"/>
      <c r="BC216" s="432"/>
      <c r="BD216" s="425"/>
      <c r="BE216" s="433"/>
      <c r="BF216" s="425"/>
      <c r="BG216" s="433"/>
      <c r="BH216" s="434"/>
      <c r="BI216" s="431"/>
      <c r="BJ216" s="435"/>
      <c r="BK216" s="494"/>
    </row>
    <row r="217" spans="1:63">
      <c r="A217" s="488"/>
      <c r="B217" s="489"/>
      <c r="C217" s="490"/>
      <c r="D217" s="487"/>
      <c r="E217" s="491"/>
      <c r="F217" s="418"/>
      <c r="G217" s="419"/>
      <c r="H217" s="436"/>
      <c r="I217" s="437"/>
      <c r="J217" s="492"/>
      <c r="K217" s="439"/>
      <c r="L217" s="492"/>
      <c r="M217" s="438"/>
      <c r="N217" s="436"/>
      <c r="O217" s="438"/>
      <c r="P217" s="420"/>
      <c r="Q217" s="421"/>
      <c r="R217" s="421"/>
      <c r="S217" s="422"/>
      <c r="T217" s="422"/>
      <c r="U217" s="423"/>
      <c r="V217" s="424"/>
      <c r="W217" s="424"/>
      <c r="X217" s="425"/>
      <c r="Y217" s="426"/>
      <c r="Z217" s="417"/>
      <c r="AA217" s="493"/>
      <c r="AB217" s="427"/>
      <c r="AC217" s="438"/>
      <c r="AD217" s="428"/>
      <c r="AE217" s="437"/>
      <c r="AF217" s="437"/>
      <c r="AG217" s="438"/>
      <c r="AH217" s="428"/>
      <c r="AI217" s="438"/>
      <c r="AJ217" s="429"/>
      <c r="AK217" s="424"/>
      <c r="AL217" s="424"/>
      <c r="AM217" s="430"/>
      <c r="AN217" s="431"/>
      <c r="AO217" s="432"/>
      <c r="AP217" s="425"/>
      <c r="AQ217" s="433"/>
      <c r="AR217" s="425"/>
      <c r="AS217" s="433"/>
      <c r="AT217" s="434"/>
      <c r="AU217" s="431"/>
      <c r="AV217" s="435"/>
      <c r="AW217" s="494"/>
      <c r="AX217" s="429"/>
      <c r="AY217" s="424"/>
      <c r="AZ217" s="424"/>
      <c r="BA217" s="430"/>
      <c r="BB217" s="431"/>
      <c r="BC217" s="432"/>
      <c r="BD217" s="425"/>
      <c r="BE217" s="433"/>
      <c r="BF217" s="425"/>
      <c r="BG217" s="433"/>
      <c r="BH217" s="434"/>
      <c r="BI217" s="431"/>
      <c r="BJ217" s="435"/>
      <c r="BK217" s="494"/>
    </row>
    <row r="218" spans="1:63">
      <c r="A218" s="488"/>
      <c r="B218" s="489"/>
      <c r="C218" s="490"/>
      <c r="D218" s="487"/>
      <c r="E218" s="491"/>
      <c r="F218" s="418"/>
      <c r="G218" s="419"/>
      <c r="H218" s="436"/>
      <c r="I218" s="437"/>
      <c r="J218" s="492"/>
      <c r="K218" s="439"/>
      <c r="L218" s="492"/>
      <c r="M218" s="438"/>
      <c r="N218" s="436"/>
      <c r="O218" s="438"/>
      <c r="P218" s="420"/>
      <c r="Q218" s="421"/>
      <c r="R218" s="421"/>
      <c r="S218" s="422"/>
      <c r="T218" s="422"/>
      <c r="U218" s="423"/>
      <c r="V218" s="424"/>
      <c r="W218" s="424"/>
      <c r="X218" s="425"/>
      <c r="Y218" s="426"/>
      <c r="Z218" s="417"/>
      <c r="AA218" s="493"/>
      <c r="AB218" s="427"/>
      <c r="AC218" s="438"/>
      <c r="AD218" s="428"/>
      <c r="AE218" s="437"/>
      <c r="AF218" s="437"/>
      <c r="AG218" s="438"/>
      <c r="AH218" s="428"/>
      <c r="AI218" s="438"/>
      <c r="AJ218" s="429"/>
      <c r="AK218" s="424"/>
      <c r="AL218" s="424"/>
      <c r="AM218" s="430"/>
      <c r="AN218" s="431"/>
      <c r="AO218" s="432"/>
      <c r="AP218" s="425"/>
      <c r="AQ218" s="433"/>
      <c r="AR218" s="425"/>
      <c r="AS218" s="433"/>
      <c r="AT218" s="434"/>
      <c r="AU218" s="431"/>
      <c r="AV218" s="435"/>
      <c r="AW218" s="494"/>
      <c r="AX218" s="429"/>
      <c r="AY218" s="424"/>
      <c r="AZ218" s="424"/>
      <c r="BA218" s="430"/>
      <c r="BB218" s="431"/>
      <c r="BC218" s="432"/>
      <c r="BD218" s="425"/>
      <c r="BE218" s="433"/>
      <c r="BF218" s="425"/>
      <c r="BG218" s="433"/>
      <c r="BH218" s="434"/>
      <c r="BI218" s="431"/>
      <c r="BJ218" s="435"/>
      <c r="BK218" s="494"/>
    </row>
    <row r="219" spans="1:63">
      <c r="A219" s="488"/>
      <c r="B219" s="489"/>
      <c r="C219" s="490"/>
      <c r="D219" s="487"/>
      <c r="E219" s="491"/>
      <c r="F219" s="418"/>
      <c r="G219" s="419"/>
      <c r="H219" s="436"/>
      <c r="I219" s="437"/>
      <c r="J219" s="492"/>
      <c r="K219" s="439"/>
      <c r="L219" s="492"/>
      <c r="M219" s="438"/>
      <c r="N219" s="436"/>
      <c r="O219" s="438"/>
      <c r="P219" s="420"/>
      <c r="Q219" s="421"/>
      <c r="R219" s="421"/>
      <c r="S219" s="422"/>
      <c r="T219" s="422"/>
      <c r="U219" s="423"/>
      <c r="V219" s="424"/>
      <c r="W219" s="424"/>
      <c r="X219" s="425"/>
      <c r="Y219" s="426"/>
      <c r="Z219" s="417"/>
      <c r="AA219" s="493"/>
      <c r="AB219" s="427"/>
      <c r="AC219" s="438"/>
      <c r="AD219" s="428"/>
      <c r="AE219" s="437"/>
      <c r="AF219" s="437"/>
      <c r="AG219" s="438"/>
      <c r="AH219" s="428"/>
      <c r="AI219" s="438"/>
      <c r="AJ219" s="429"/>
      <c r="AK219" s="424"/>
      <c r="AL219" s="424"/>
      <c r="AM219" s="430"/>
      <c r="AN219" s="431"/>
      <c r="AO219" s="432"/>
      <c r="AP219" s="425"/>
      <c r="AQ219" s="433"/>
      <c r="AR219" s="425"/>
      <c r="AS219" s="433"/>
      <c r="AT219" s="434"/>
      <c r="AU219" s="431"/>
      <c r="AV219" s="435"/>
      <c r="AW219" s="494"/>
      <c r="AX219" s="429"/>
      <c r="AY219" s="424"/>
      <c r="AZ219" s="424"/>
      <c r="BA219" s="430"/>
      <c r="BB219" s="431"/>
      <c r="BC219" s="432"/>
      <c r="BD219" s="425"/>
      <c r="BE219" s="433"/>
      <c r="BF219" s="425"/>
      <c r="BG219" s="433"/>
      <c r="BH219" s="434"/>
      <c r="BI219" s="431"/>
      <c r="BJ219" s="435"/>
      <c r="BK219" s="494"/>
    </row>
    <row r="220" spans="1:63">
      <c r="A220" s="488"/>
      <c r="B220" s="489"/>
      <c r="C220" s="490"/>
      <c r="D220" s="487"/>
      <c r="E220" s="491"/>
      <c r="F220" s="418"/>
      <c r="G220" s="419"/>
      <c r="H220" s="436"/>
      <c r="I220" s="437"/>
      <c r="J220" s="492"/>
      <c r="K220" s="439"/>
      <c r="L220" s="492"/>
      <c r="M220" s="438"/>
      <c r="N220" s="436"/>
      <c r="O220" s="438"/>
      <c r="P220" s="420"/>
      <c r="Q220" s="421"/>
      <c r="R220" s="421"/>
      <c r="S220" s="422"/>
      <c r="T220" s="422"/>
      <c r="U220" s="423"/>
      <c r="V220" s="424"/>
      <c r="W220" s="424"/>
      <c r="X220" s="425"/>
      <c r="Y220" s="426"/>
      <c r="Z220" s="417"/>
      <c r="AA220" s="493"/>
      <c r="AB220" s="427"/>
      <c r="AC220" s="438"/>
      <c r="AD220" s="428"/>
      <c r="AE220" s="437"/>
      <c r="AF220" s="437"/>
      <c r="AG220" s="438"/>
      <c r="AH220" s="428"/>
      <c r="AI220" s="438"/>
      <c r="AJ220" s="429"/>
      <c r="AK220" s="424"/>
      <c r="AL220" s="424"/>
      <c r="AM220" s="430"/>
      <c r="AN220" s="431"/>
      <c r="AO220" s="432"/>
      <c r="AP220" s="425"/>
      <c r="AQ220" s="433"/>
      <c r="AR220" s="425"/>
      <c r="AS220" s="433"/>
      <c r="AT220" s="434"/>
      <c r="AU220" s="431"/>
      <c r="AV220" s="435"/>
      <c r="AW220" s="494"/>
      <c r="AX220" s="429"/>
      <c r="AY220" s="424"/>
      <c r="AZ220" s="424"/>
      <c r="BA220" s="430"/>
      <c r="BB220" s="431"/>
      <c r="BC220" s="432"/>
      <c r="BD220" s="425"/>
      <c r="BE220" s="433"/>
      <c r="BF220" s="425"/>
      <c r="BG220" s="433"/>
      <c r="BH220" s="434"/>
      <c r="BI220" s="431"/>
      <c r="BJ220" s="435"/>
      <c r="BK220" s="494"/>
    </row>
    <row r="221" spans="1:63">
      <c r="A221" s="488"/>
      <c r="B221" s="489"/>
      <c r="C221" s="490"/>
      <c r="D221" s="487"/>
      <c r="E221" s="491"/>
      <c r="F221" s="418"/>
      <c r="G221" s="419"/>
      <c r="H221" s="436"/>
      <c r="I221" s="437"/>
      <c r="J221" s="492"/>
      <c r="K221" s="439"/>
      <c r="L221" s="492"/>
      <c r="M221" s="438"/>
      <c r="N221" s="436"/>
      <c r="O221" s="438"/>
      <c r="P221" s="420"/>
      <c r="Q221" s="421"/>
      <c r="R221" s="421"/>
      <c r="S221" s="422"/>
      <c r="T221" s="422"/>
      <c r="U221" s="423"/>
      <c r="V221" s="424"/>
      <c r="W221" s="424"/>
      <c r="X221" s="425"/>
      <c r="Y221" s="426"/>
      <c r="Z221" s="417"/>
      <c r="AA221" s="493"/>
      <c r="AB221" s="427"/>
      <c r="AC221" s="438"/>
      <c r="AD221" s="428"/>
      <c r="AE221" s="437"/>
      <c r="AF221" s="437"/>
      <c r="AG221" s="438"/>
      <c r="AH221" s="428"/>
      <c r="AI221" s="438"/>
      <c r="AJ221" s="429"/>
      <c r="AK221" s="424"/>
      <c r="AL221" s="424"/>
      <c r="AM221" s="430"/>
      <c r="AN221" s="431"/>
      <c r="AO221" s="432"/>
      <c r="AP221" s="425"/>
      <c r="AQ221" s="433"/>
      <c r="AR221" s="425"/>
      <c r="AS221" s="433"/>
      <c r="AT221" s="434"/>
      <c r="AU221" s="431"/>
      <c r="AV221" s="435"/>
      <c r="AW221" s="494"/>
      <c r="AX221" s="429"/>
      <c r="AY221" s="424"/>
      <c r="AZ221" s="424"/>
      <c r="BA221" s="430"/>
      <c r="BB221" s="431"/>
      <c r="BC221" s="432"/>
      <c r="BD221" s="425"/>
      <c r="BE221" s="433"/>
      <c r="BF221" s="425"/>
      <c r="BG221" s="433"/>
      <c r="BH221" s="434"/>
      <c r="BI221" s="431"/>
      <c r="BJ221" s="435"/>
      <c r="BK221" s="494"/>
    </row>
    <row r="222" spans="1:63">
      <c r="A222" s="488"/>
      <c r="B222" s="489"/>
      <c r="C222" s="490"/>
      <c r="D222" s="487"/>
      <c r="E222" s="491"/>
      <c r="F222" s="418"/>
      <c r="G222" s="419"/>
      <c r="H222" s="436"/>
      <c r="I222" s="437"/>
      <c r="J222" s="492"/>
      <c r="K222" s="439"/>
      <c r="L222" s="492"/>
      <c r="M222" s="438"/>
      <c r="N222" s="436"/>
      <c r="O222" s="438"/>
      <c r="P222" s="420"/>
      <c r="Q222" s="421"/>
      <c r="R222" s="421"/>
      <c r="S222" s="422"/>
      <c r="T222" s="422"/>
      <c r="U222" s="423"/>
      <c r="V222" s="424"/>
      <c r="W222" s="424"/>
      <c r="X222" s="425"/>
      <c r="Y222" s="426"/>
      <c r="Z222" s="417"/>
      <c r="AA222" s="493"/>
      <c r="AB222" s="427"/>
      <c r="AC222" s="438"/>
      <c r="AD222" s="428"/>
      <c r="AE222" s="437"/>
      <c r="AF222" s="437"/>
      <c r="AG222" s="438"/>
      <c r="AH222" s="428"/>
      <c r="AI222" s="438"/>
      <c r="AJ222" s="429"/>
      <c r="AK222" s="424"/>
      <c r="AL222" s="424"/>
      <c r="AM222" s="430"/>
      <c r="AN222" s="431"/>
      <c r="AO222" s="432"/>
      <c r="AP222" s="425"/>
      <c r="AQ222" s="433"/>
      <c r="AR222" s="425"/>
      <c r="AS222" s="433"/>
      <c r="AT222" s="434"/>
      <c r="AU222" s="431"/>
      <c r="AV222" s="435"/>
      <c r="AW222" s="494"/>
      <c r="AX222" s="429"/>
      <c r="AY222" s="424"/>
      <c r="AZ222" s="424"/>
      <c r="BA222" s="430"/>
      <c r="BB222" s="431"/>
      <c r="BC222" s="432"/>
      <c r="BD222" s="425"/>
      <c r="BE222" s="433"/>
      <c r="BF222" s="425"/>
      <c r="BG222" s="433"/>
      <c r="BH222" s="434"/>
      <c r="BI222" s="431"/>
      <c r="BJ222" s="435"/>
      <c r="BK222" s="494"/>
    </row>
    <row r="223" spans="1:63">
      <c r="A223" s="488"/>
      <c r="B223" s="489"/>
      <c r="C223" s="490"/>
      <c r="D223" s="487"/>
      <c r="E223" s="491"/>
      <c r="F223" s="418"/>
      <c r="G223" s="419"/>
      <c r="H223" s="436"/>
      <c r="I223" s="437"/>
      <c r="J223" s="492"/>
      <c r="K223" s="439"/>
      <c r="L223" s="492"/>
      <c r="M223" s="438"/>
      <c r="N223" s="436"/>
      <c r="O223" s="438"/>
      <c r="P223" s="420"/>
      <c r="Q223" s="421"/>
      <c r="R223" s="421"/>
      <c r="S223" s="422"/>
      <c r="T223" s="422"/>
      <c r="U223" s="423"/>
      <c r="V223" s="424"/>
      <c r="W223" s="424"/>
      <c r="X223" s="425"/>
      <c r="Y223" s="426"/>
      <c r="Z223" s="417"/>
      <c r="AA223" s="493"/>
      <c r="AB223" s="427"/>
      <c r="AC223" s="438"/>
      <c r="AD223" s="428"/>
      <c r="AE223" s="437"/>
      <c r="AF223" s="437"/>
      <c r="AG223" s="438"/>
      <c r="AH223" s="428"/>
      <c r="AI223" s="438"/>
      <c r="AJ223" s="429"/>
      <c r="AK223" s="424"/>
      <c r="AL223" s="424"/>
      <c r="AM223" s="430"/>
      <c r="AN223" s="431"/>
      <c r="AO223" s="432"/>
      <c r="AP223" s="425"/>
      <c r="AQ223" s="433"/>
      <c r="AR223" s="425"/>
      <c r="AS223" s="433"/>
      <c r="AT223" s="434"/>
      <c r="AU223" s="431"/>
      <c r="AV223" s="435"/>
      <c r="AW223" s="494"/>
      <c r="AX223" s="429"/>
      <c r="AY223" s="424"/>
      <c r="AZ223" s="424"/>
      <c r="BA223" s="430"/>
      <c r="BB223" s="431"/>
      <c r="BC223" s="432"/>
      <c r="BD223" s="425"/>
      <c r="BE223" s="433"/>
      <c r="BF223" s="425"/>
      <c r="BG223" s="433"/>
      <c r="BH223" s="434"/>
      <c r="BI223" s="431"/>
      <c r="BJ223" s="435"/>
      <c r="BK223" s="494"/>
    </row>
    <row r="224" spans="1:63">
      <c r="A224" s="488"/>
      <c r="B224" s="489"/>
      <c r="C224" s="490"/>
      <c r="D224" s="487"/>
      <c r="E224" s="491"/>
      <c r="F224" s="418"/>
      <c r="G224" s="419"/>
      <c r="H224" s="436"/>
      <c r="I224" s="437"/>
      <c r="J224" s="492"/>
      <c r="K224" s="439"/>
      <c r="L224" s="492"/>
      <c r="M224" s="438"/>
      <c r="N224" s="436"/>
      <c r="O224" s="438"/>
      <c r="P224" s="420"/>
      <c r="Q224" s="421"/>
      <c r="R224" s="421"/>
      <c r="S224" s="422"/>
      <c r="T224" s="422"/>
      <c r="U224" s="423"/>
      <c r="V224" s="424"/>
      <c r="W224" s="424"/>
      <c r="X224" s="425"/>
      <c r="Y224" s="426"/>
      <c r="Z224" s="417"/>
      <c r="AA224" s="493"/>
      <c r="AB224" s="427"/>
      <c r="AC224" s="438"/>
      <c r="AD224" s="428"/>
      <c r="AE224" s="437"/>
      <c r="AF224" s="437"/>
      <c r="AG224" s="438"/>
      <c r="AH224" s="428"/>
      <c r="AI224" s="438"/>
      <c r="AJ224" s="429"/>
      <c r="AK224" s="424"/>
      <c r="AL224" s="424"/>
      <c r="AM224" s="430"/>
      <c r="AN224" s="431"/>
      <c r="AO224" s="432"/>
      <c r="AP224" s="425"/>
      <c r="AQ224" s="433"/>
      <c r="AR224" s="425"/>
      <c r="AS224" s="433"/>
      <c r="AT224" s="434"/>
      <c r="AU224" s="431"/>
      <c r="AV224" s="435"/>
      <c r="AW224" s="494"/>
      <c r="AX224" s="429"/>
      <c r="AY224" s="424"/>
      <c r="AZ224" s="424"/>
      <c r="BA224" s="430"/>
      <c r="BB224" s="431"/>
      <c r="BC224" s="432"/>
      <c r="BD224" s="425"/>
      <c r="BE224" s="433"/>
      <c r="BF224" s="425"/>
      <c r="BG224" s="433"/>
      <c r="BH224" s="434"/>
      <c r="BI224" s="431"/>
      <c r="BJ224" s="435"/>
      <c r="BK224" s="494"/>
    </row>
    <row r="225" spans="1:63">
      <c r="A225" s="488"/>
      <c r="B225" s="489"/>
      <c r="C225" s="490"/>
      <c r="D225" s="487"/>
      <c r="E225" s="491"/>
      <c r="F225" s="418"/>
      <c r="G225" s="419"/>
      <c r="H225" s="436"/>
      <c r="I225" s="437"/>
      <c r="J225" s="492"/>
      <c r="K225" s="439"/>
      <c r="L225" s="492"/>
      <c r="M225" s="438"/>
      <c r="N225" s="436"/>
      <c r="O225" s="438"/>
      <c r="P225" s="420"/>
      <c r="Q225" s="421"/>
      <c r="R225" s="421"/>
      <c r="S225" s="422"/>
      <c r="T225" s="422"/>
      <c r="U225" s="423"/>
      <c r="V225" s="424"/>
      <c r="W225" s="424"/>
      <c r="X225" s="425"/>
      <c r="Y225" s="426"/>
      <c r="Z225" s="417"/>
      <c r="AA225" s="493"/>
      <c r="AB225" s="427"/>
      <c r="AC225" s="438"/>
      <c r="AD225" s="428"/>
      <c r="AE225" s="437"/>
      <c r="AF225" s="437"/>
      <c r="AG225" s="438"/>
      <c r="AH225" s="428"/>
      <c r="AI225" s="438"/>
      <c r="AJ225" s="429"/>
      <c r="AK225" s="424"/>
      <c r="AL225" s="424"/>
      <c r="AM225" s="430"/>
      <c r="AN225" s="431"/>
      <c r="AO225" s="432"/>
      <c r="AP225" s="425"/>
      <c r="AQ225" s="433"/>
      <c r="AR225" s="425"/>
      <c r="AS225" s="433"/>
      <c r="AT225" s="434"/>
      <c r="AU225" s="431"/>
      <c r="AV225" s="435"/>
      <c r="AW225" s="494"/>
      <c r="AX225" s="429"/>
      <c r="AY225" s="424"/>
      <c r="AZ225" s="424"/>
      <c r="BA225" s="430"/>
      <c r="BB225" s="431"/>
      <c r="BC225" s="432"/>
      <c r="BD225" s="425"/>
      <c r="BE225" s="433"/>
      <c r="BF225" s="425"/>
      <c r="BG225" s="433"/>
      <c r="BH225" s="434"/>
      <c r="BI225" s="431"/>
      <c r="BJ225" s="435"/>
      <c r="BK225" s="494"/>
    </row>
    <row r="226" spans="1:63">
      <c r="A226" s="488"/>
      <c r="B226" s="489"/>
      <c r="C226" s="490"/>
      <c r="D226" s="487"/>
      <c r="E226" s="491"/>
      <c r="F226" s="418"/>
      <c r="G226" s="419"/>
      <c r="H226" s="436"/>
      <c r="I226" s="437"/>
      <c r="J226" s="492"/>
      <c r="K226" s="439"/>
      <c r="L226" s="492"/>
      <c r="M226" s="438"/>
      <c r="N226" s="436"/>
      <c r="O226" s="438"/>
      <c r="P226" s="420"/>
      <c r="Q226" s="421"/>
      <c r="R226" s="421"/>
      <c r="S226" s="422"/>
      <c r="T226" s="422"/>
      <c r="U226" s="423"/>
      <c r="V226" s="424"/>
      <c r="W226" s="424"/>
      <c r="X226" s="425"/>
      <c r="Y226" s="426"/>
      <c r="Z226" s="417"/>
      <c r="AA226" s="493"/>
      <c r="AB226" s="427"/>
      <c r="AC226" s="438"/>
      <c r="AD226" s="428"/>
      <c r="AE226" s="437"/>
      <c r="AF226" s="437"/>
      <c r="AG226" s="438"/>
      <c r="AH226" s="428"/>
      <c r="AI226" s="438"/>
      <c r="AJ226" s="429"/>
      <c r="AK226" s="424"/>
      <c r="AL226" s="424"/>
      <c r="AM226" s="430"/>
      <c r="AN226" s="431"/>
      <c r="AO226" s="432"/>
      <c r="AP226" s="425"/>
      <c r="AQ226" s="433"/>
      <c r="AR226" s="425"/>
      <c r="AS226" s="433"/>
      <c r="AT226" s="434"/>
      <c r="AU226" s="431"/>
      <c r="AV226" s="435"/>
      <c r="AW226" s="494"/>
      <c r="AX226" s="429"/>
      <c r="AY226" s="424"/>
      <c r="AZ226" s="424"/>
      <c r="BA226" s="430"/>
      <c r="BB226" s="431"/>
      <c r="BC226" s="432"/>
      <c r="BD226" s="425"/>
      <c r="BE226" s="433"/>
      <c r="BF226" s="425"/>
      <c r="BG226" s="433"/>
      <c r="BH226" s="434"/>
      <c r="BI226" s="431"/>
      <c r="BJ226" s="435"/>
      <c r="BK226" s="494"/>
    </row>
    <row r="227" spans="1:63">
      <c r="A227" s="488"/>
      <c r="B227" s="489"/>
      <c r="C227" s="490"/>
      <c r="D227" s="487"/>
      <c r="E227" s="491"/>
      <c r="F227" s="418"/>
      <c r="G227" s="419"/>
      <c r="H227" s="436"/>
      <c r="I227" s="437"/>
      <c r="J227" s="492"/>
      <c r="K227" s="439"/>
      <c r="L227" s="492"/>
      <c r="M227" s="438"/>
      <c r="N227" s="436"/>
      <c r="O227" s="438"/>
      <c r="P227" s="420"/>
      <c r="Q227" s="421"/>
      <c r="R227" s="421"/>
      <c r="S227" s="422"/>
      <c r="T227" s="422"/>
      <c r="U227" s="423"/>
      <c r="V227" s="424"/>
      <c r="W227" s="424"/>
      <c r="X227" s="425"/>
      <c r="Y227" s="426"/>
      <c r="Z227" s="417"/>
      <c r="AA227" s="493"/>
      <c r="AB227" s="427"/>
      <c r="AC227" s="438"/>
      <c r="AD227" s="428"/>
      <c r="AE227" s="437"/>
      <c r="AF227" s="437"/>
      <c r="AG227" s="438"/>
      <c r="AH227" s="428"/>
      <c r="AI227" s="438"/>
      <c r="AJ227" s="429"/>
      <c r="AK227" s="424"/>
      <c r="AL227" s="424"/>
      <c r="AM227" s="430"/>
      <c r="AN227" s="431"/>
      <c r="AO227" s="432"/>
      <c r="AP227" s="425"/>
      <c r="AQ227" s="433"/>
      <c r="AR227" s="425"/>
      <c r="AS227" s="433"/>
      <c r="AT227" s="434"/>
      <c r="AU227" s="431"/>
      <c r="AV227" s="435"/>
      <c r="AW227" s="494"/>
      <c r="AX227" s="429"/>
      <c r="AY227" s="424"/>
      <c r="AZ227" s="424"/>
      <c r="BA227" s="430"/>
      <c r="BB227" s="431"/>
      <c r="BC227" s="432"/>
      <c r="BD227" s="425"/>
      <c r="BE227" s="433"/>
      <c r="BF227" s="425"/>
      <c r="BG227" s="433"/>
      <c r="BH227" s="434"/>
      <c r="BI227" s="431"/>
      <c r="BJ227" s="435"/>
      <c r="BK227" s="494"/>
    </row>
    <row r="228" spans="1:63">
      <c r="A228" s="488"/>
      <c r="B228" s="489"/>
      <c r="C228" s="490"/>
      <c r="D228" s="487"/>
      <c r="E228" s="491"/>
      <c r="F228" s="418"/>
      <c r="G228" s="419"/>
      <c r="H228" s="436"/>
      <c r="I228" s="437"/>
      <c r="J228" s="492"/>
      <c r="K228" s="439"/>
      <c r="L228" s="492"/>
      <c r="M228" s="438"/>
      <c r="N228" s="436"/>
      <c r="O228" s="438"/>
      <c r="P228" s="420"/>
      <c r="Q228" s="421"/>
      <c r="R228" s="421"/>
      <c r="S228" s="422"/>
      <c r="T228" s="422"/>
      <c r="U228" s="423"/>
      <c r="V228" s="424"/>
      <c r="W228" s="424"/>
      <c r="X228" s="425"/>
      <c r="Y228" s="426"/>
      <c r="Z228" s="417"/>
      <c r="AA228" s="493"/>
      <c r="AB228" s="427"/>
      <c r="AC228" s="438"/>
      <c r="AD228" s="428"/>
      <c r="AE228" s="437"/>
      <c r="AF228" s="437"/>
      <c r="AG228" s="438"/>
      <c r="AH228" s="428"/>
      <c r="AI228" s="438"/>
      <c r="AJ228" s="429"/>
      <c r="AK228" s="424"/>
      <c r="AL228" s="424"/>
      <c r="AM228" s="430"/>
      <c r="AN228" s="431"/>
      <c r="AO228" s="432"/>
      <c r="AP228" s="425"/>
      <c r="AQ228" s="433"/>
      <c r="AR228" s="425"/>
      <c r="AS228" s="433"/>
      <c r="AT228" s="434"/>
      <c r="AU228" s="431"/>
      <c r="AV228" s="435"/>
      <c r="AW228" s="494"/>
      <c r="AX228" s="429"/>
      <c r="AY228" s="424"/>
      <c r="AZ228" s="424"/>
      <c r="BA228" s="430"/>
      <c r="BB228" s="431"/>
      <c r="BC228" s="432"/>
      <c r="BD228" s="425"/>
      <c r="BE228" s="433"/>
      <c r="BF228" s="425"/>
      <c r="BG228" s="433"/>
      <c r="BH228" s="434"/>
      <c r="BI228" s="431"/>
      <c r="BJ228" s="435"/>
      <c r="BK228" s="494"/>
    </row>
    <row r="229" spans="1:63">
      <c r="A229" s="488"/>
      <c r="B229" s="489"/>
      <c r="C229" s="490"/>
      <c r="D229" s="487"/>
      <c r="E229" s="491"/>
      <c r="F229" s="418"/>
      <c r="G229" s="419"/>
      <c r="H229" s="436"/>
      <c r="I229" s="437"/>
      <c r="J229" s="492"/>
      <c r="K229" s="439"/>
      <c r="L229" s="492"/>
      <c r="M229" s="438"/>
      <c r="N229" s="436"/>
      <c r="O229" s="438"/>
      <c r="P229" s="420"/>
      <c r="Q229" s="421"/>
      <c r="R229" s="421"/>
      <c r="S229" s="422"/>
      <c r="T229" s="422"/>
      <c r="U229" s="423"/>
      <c r="V229" s="424"/>
      <c r="W229" s="424"/>
      <c r="X229" s="425"/>
      <c r="Y229" s="426"/>
      <c r="Z229" s="417"/>
      <c r="AA229" s="493"/>
      <c r="AB229" s="427"/>
      <c r="AC229" s="438"/>
      <c r="AD229" s="428"/>
      <c r="AE229" s="437"/>
      <c r="AF229" s="437"/>
      <c r="AG229" s="438"/>
      <c r="AH229" s="428"/>
      <c r="AI229" s="438"/>
      <c r="AJ229" s="429"/>
      <c r="AK229" s="424"/>
      <c r="AL229" s="424"/>
      <c r="AM229" s="430"/>
      <c r="AN229" s="431"/>
      <c r="AO229" s="432"/>
      <c r="AP229" s="425"/>
      <c r="AQ229" s="433"/>
      <c r="AR229" s="425"/>
      <c r="AS229" s="433"/>
      <c r="AT229" s="434"/>
      <c r="AU229" s="431"/>
      <c r="AV229" s="435"/>
      <c r="AW229" s="494"/>
      <c r="AX229" s="429"/>
      <c r="AY229" s="424"/>
      <c r="AZ229" s="424"/>
      <c r="BA229" s="430"/>
      <c r="BB229" s="431"/>
      <c r="BC229" s="432"/>
      <c r="BD229" s="425"/>
      <c r="BE229" s="433"/>
      <c r="BF229" s="425"/>
      <c r="BG229" s="433"/>
      <c r="BH229" s="434"/>
      <c r="BI229" s="431"/>
      <c r="BJ229" s="435"/>
      <c r="BK229" s="494"/>
    </row>
    <row r="230" spans="1:63">
      <c r="A230" s="488"/>
      <c r="B230" s="489"/>
      <c r="C230" s="490"/>
      <c r="D230" s="487"/>
      <c r="E230" s="491"/>
      <c r="F230" s="418"/>
      <c r="G230" s="419"/>
      <c r="H230" s="436"/>
      <c r="I230" s="437"/>
      <c r="J230" s="492"/>
      <c r="K230" s="439"/>
      <c r="L230" s="492"/>
      <c r="M230" s="438"/>
      <c r="N230" s="436"/>
      <c r="O230" s="438"/>
      <c r="P230" s="420"/>
      <c r="Q230" s="421"/>
      <c r="R230" s="421"/>
      <c r="S230" s="422"/>
      <c r="T230" s="422"/>
      <c r="U230" s="423"/>
      <c r="V230" s="424"/>
      <c r="W230" s="424"/>
      <c r="X230" s="425"/>
      <c r="Y230" s="426"/>
      <c r="Z230" s="417"/>
      <c r="AA230" s="493"/>
      <c r="AB230" s="427"/>
      <c r="AC230" s="438"/>
      <c r="AD230" s="428"/>
      <c r="AE230" s="437"/>
      <c r="AF230" s="437"/>
      <c r="AG230" s="438"/>
      <c r="AH230" s="428"/>
      <c r="AI230" s="438"/>
      <c r="AJ230" s="429"/>
      <c r="AK230" s="424"/>
      <c r="AL230" s="424"/>
      <c r="AM230" s="430"/>
      <c r="AN230" s="431"/>
      <c r="AO230" s="432"/>
      <c r="AP230" s="425"/>
      <c r="AQ230" s="433"/>
      <c r="AR230" s="425"/>
      <c r="AS230" s="433"/>
      <c r="AT230" s="434"/>
      <c r="AU230" s="431"/>
      <c r="AV230" s="435"/>
      <c r="AW230" s="494"/>
      <c r="AX230" s="429"/>
      <c r="AY230" s="424"/>
      <c r="AZ230" s="424"/>
      <c r="BA230" s="430"/>
      <c r="BB230" s="431"/>
      <c r="BC230" s="432"/>
      <c r="BD230" s="425"/>
      <c r="BE230" s="433"/>
      <c r="BF230" s="425"/>
      <c r="BG230" s="433"/>
      <c r="BH230" s="434"/>
      <c r="BI230" s="431"/>
      <c r="BJ230" s="435"/>
      <c r="BK230" s="494"/>
    </row>
    <row r="231" spans="1:63">
      <c r="A231" s="488"/>
      <c r="B231" s="489"/>
      <c r="C231" s="490"/>
      <c r="D231" s="487"/>
      <c r="E231" s="491"/>
      <c r="F231" s="418"/>
      <c r="G231" s="419"/>
      <c r="H231" s="436"/>
      <c r="I231" s="437"/>
      <c r="J231" s="492"/>
      <c r="K231" s="439"/>
      <c r="L231" s="492"/>
      <c r="M231" s="438"/>
      <c r="N231" s="436"/>
      <c r="O231" s="438"/>
      <c r="P231" s="420"/>
      <c r="Q231" s="421"/>
      <c r="R231" s="421"/>
      <c r="S231" s="422"/>
      <c r="T231" s="422"/>
      <c r="U231" s="423"/>
      <c r="V231" s="424"/>
      <c r="W231" s="424"/>
      <c r="X231" s="425"/>
      <c r="Y231" s="426"/>
      <c r="Z231" s="417"/>
      <c r="AA231" s="493"/>
      <c r="AB231" s="427"/>
      <c r="AC231" s="438"/>
      <c r="AD231" s="428"/>
      <c r="AE231" s="437"/>
      <c r="AF231" s="437"/>
      <c r="AG231" s="438"/>
      <c r="AH231" s="428"/>
      <c r="AI231" s="438"/>
      <c r="AJ231" s="429"/>
      <c r="AK231" s="424"/>
      <c r="AL231" s="424"/>
      <c r="AM231" s="430"/>
      <c r="AN231" s="431"/>
      <c r="AO231" s="432"/>
      <c r="AP231" s="425"/>
      <c r="AQ231" s="433"/>
      <c r="AR231" s="425"/>
      <c r="AS231" s="433"/>
      <c r="AT231" s="434"/>
      <c r="AU231" s="431"/>
      <c r="AV231" s="435"/>
      <c r="AW231" s="494"/>
      <c r="AX231" s="429"/>
      <c r="AY231" s="424"/>
      <c r="AZ231" s="424"/>
      <c r="BA231" s="430"/>
      <c r="BB231" s="431"/>
      <c r="BC231" s="432"/>
      <c r="BD231" s="425"/>
      <c r="BE231" s="433"/>
      <c r="BF231" s="425"/>
      <c r="BG231" s="433"/>
      <c r="BH231" s="434"/>
      <c r="BI231" s="431"/>
      <c r="BJ231" s="435"/>
      <c r="BK231" s="494"/>
    </row>
    <row r="232" spans="1:63">
      <c r="A232" s="488"/>
      <c r="B232" s="489"/>
      <c r="C232" s="490"/>
      <c r="D232" s="487"/>
      <c r="E232" s="491"/>
      <c r="F232" s="418"/>
      <c r="G232" s="419"/>
      <c r="H232" s="436"/>
      <c r="I232" s="437"/>
      <c r="J232" s="492"/>
      <c r="K232" s="439"/>
      <c r="L232" s="492"/>
      <c r="M232" s="438"/>
      <c r="N232" s="436"/>
      <c r="O232" s="438"/>
      <c r="P232" s="420"/>
      <c r="Q232" s="421"/>
      <c r="R232" s="421"/>
      <c r="S232" s="422"/>
      <c r="T232" s="422"/>
      <c r="U232" s="423"/>
      <c r="V232" s="424"/>
      <c r="W232" s="424"/>
      <c r="X232" s="425"/>
      <c r="Y232" s="426"/>
      <c r="Z232" s="417"/>
      <c r="AA232" s="493"/>
      <c r="AB232" s="427"/>
      <c r="AC232" s="438"/>
      <c r="AD232" s="428"/>
      <c r="AE232" s="437"/>
      <c r="AF232" s="437"/>
      <c r="AG232" s="438"/>
      <c r="AH232" s="428"/>
      <c r="AI232" s="438"/>
      <c r="AJ232" s="429"/>
      <c r="AK232" s="424"/>
      <c r="AL232" s="424"/>
      <c r="AM232" s="430"/>
      <c r="AN232" s="431"/>
      <c r="AO232" s="432"/>
      <c r="AP232" s="425"/>
      <c r="AQ232" s="433"/>
      <c r="AR232" s="425"/>
      <c r="AS232" s="433"/>
      <c r="AT232" s="434"/>
      <c r="AU232" s="431"/>
      <c r="AV232" s="435"/>
      <c r="AW232" s="494"/>
      <c r="AX232" s="429"/>
      <c r="AY232" s="424"/>
      <c r="AZ232" s="424"/>
      <c r="BA232" s="430"/>
      <c r="BB232" s="431"/>
      <c r="BC232" s="432"/>
      <c r="BD232" s="425"/>
      <c r="BE232" s="433"/>
      <c r="BF232" s="425"/>
      <c r="BG232" s="433"/>
      <c r="BH232" s="434"/>
      <c r="BI232" s="431"/>
      <c r="BJ232" s="435"/>
      <c r="BK232" s="494"/>
    </row>
    <row r="233" spans="1:63">
      <c r="A233" s="488"/>
      <c r="B233" s="489"/>
      <c r="C233" s="490"/>
      <c r="D233" s="487"/>
      <c r="E233" s="491"/>
      <c r="F233" s="418"/>
      <c r="G233" s="419"/>
      <c r="H233" s="436"/>
      <c r="I233" s="437"/>
      <c r="J233" s="492"/>
      <c r="K233" s="439"/>
      <c r="L233" s="492"/>
      <c r="M233" s="438"/>
      <c r="N233" s="436"/>
      <c r="O233" s="438"/>
      <c r="P233" s="420"/>
      <c r="Q233" s="421"/>
      <c r="R233" s="421"/>
      <c r="S233" s="422"/>
      <c r="T233" s="422"/>
      <c r="U233" s="423"/>
      <c r="V233" s="424"/>
      <c r="W233" s="424"/>
      <c r="X233" s="425"/>
      <c r="Y233" s="426"/>
      <c r="Z233" s="417"/>
      <c r="AA233" s="493"/>
      <c r="AB233" s="427"/>
      <c r="AC233" s="438"/>
      <c r="AD233" s="428"/>
      <c r="AE233" s="437"/>
      <c r="AF233" s="437"/>
      <c r="AG233" s="438"/>
      <c r="AH233" s="428"/>
      <c r="AI233" s="438"/>
      <c r="AJ233" s="429"/>
      <c r="AK233" s="424"/>
      <c r="AL233" s="424"/>
      <c r="AM233" s="430"/>
      <c r="AN233" s="431"/>
      <c r="AO233" s="432"/>
      <c r="AP233" s="425"/>
      <c r="AQ233" s="433"/>
      <c r="AR233" s="425"/>
      <c r="AS233" s="433"/>
      <c r="AT233" s="434"/>
      <c r="AU233" s="431"/>
      <c r="AV233" s="435"/>
      <c r="AW233" s="494"/>
      <c r="AX233" s="429"/>
      <c r="AY233" s="424"/>
      <c r="AZ233" s="424"/>
      <c r="BA233" s="430"/>
      <c r="BB233" s="431"/>
      <c r="BC233" s="432"/>
      <c r="BD233" s="425"/>
      <c r="BE233" s="433"/>
      <c r="BF233" s="425"/>
      <c r="BG233" s="433"/>
      <c r="BH233" s="434"/>
      <c r="BI233" s="431"/>
      <c r="BJ233" s="435"/>
      <c r="BK233" s="494"/>
    </row>
    <row r="234" spans="1:63">
      <c r="A234" s="488"/>
      <c r="B234" s="489"/>
      <c r="C234" s="490"/>
      <c r="D234" s="487"/>
      <c r="E234" s="491"/>
      <c r="F234" s="418"/>
      <c r="G234" s="419"/>
      <c r="H234" s="436"/>
      <c r="I234" s="437"/>
      <c r="J234" s="492"/>
      <c r="K234" s="439"/>
      <c r="L234" s="492"/>
      <c r="M234" s="438"/>
      <c r="N234" s="436"/>
      <c r="O234" s="438"/>
      <c r="P234" s="420"/>
      <c r="Q234" s="421"/>
      <c r="R234" s="421"/>
      <c r="S234" s="422"/>
      <c r="T234" s="422"/>
      <c r="U234" s="423"/>
      <c r="V234" s="424"/>
      <c r="W234" s="424"/>
      <c r="X234" s="425"/>
      <c r="Y234" s="426"/>
      <c r="Z234" s="417"/>
      <c r="AA234" s="493"/>
      <c r="AB234" s="427"/>
      <c r="AC234" s="438"/>
      <c r="AD234" s="428"/>
      <c r="AE234" s="437"/>
      <c r="AF234" s="437"/>
      <c r="AG234" s="438"/>
      <c r="AH234" s="428"/>
      <c r="AI234" s="438"/>
      <c r="AJ234" s="429"/>
      <c r="AK234" s="424"/>
      <c r="AL234" s="424"/>
      <c r="AM234" s="430"/>
      <c r="AN234" s="431"/>
      <c r="AO234" s="432"/>
      <c r="AP234" s="425"/>
      <c r="AQ234" s="433"/>
      <c r="AR234" s="425"/>
      <c r="AS234" s="433"/>
      <c r="AT234" s="434"/>
      <c r="AU234" s="431"/>
      <c r="AV234" s="435"/>
      <c r="AW234" s="494"/>
      <c r="AX234" s="429"/>
      <c r="AY234" s="424"/>
      <c r="AZ234" s="424"/>
      <c r="BA234" s="430"/>
      <c r="BB234" s="431"/>
      <c r="BC234" s="432"/>
      <c r="BD234" s="425"/>
      <c r="BE234" s="433"/>
      <c r="BF234" s="425"/>
      <c r="BG234" s="433"/>
      <c r="BH234" s="434"/>
      <c r="BI234" s="431"/>
      <c r="BJ234" s="435"/>
      <c r="BK234" s="494"/>
    </row>
    <row r="235" spans="1:63">
      <c r="A235" s="488"/>
      <c r="B235" s="489"/>
      <c r="C235" s="490"/>
      <c r="D235" s="487"/>
      <c r="E235" s="491"/>
      <c r="F235" s="418"/>
      <c r="G235" s="419"/>
      <c r="H235" s="436"/>
      <c r="I235" s="437"/>
      <c r="J235" s="492"/>
      <c r="K235" s="439"/>
      <c r="L235" s="492"/>
      <c r="M235" s="438"/>
      <c r="N235" s="436"/>
      <c r="O235" s="438"/>
      <c r="P235" s="420"/>
      <c r="Q235" s="421"/>
      <c r="R235" s="421"/>
      <c r="S235" s="422"/>
      <c r="T235" s="422"/>
      <c r="U235" s="423"/>
      <c r="V235" s="424"/>
      <c r="W235" s="424"/>
      <c r="X235" s="425"/>
      <c r="Y235" s="426"/>
      <c r="Z235" s="417"/>
      <c r="AA235" s="493"/>
      <c r="AB235" s="427"/>
      <c r="AC235" s="438"/>
      <c r="AD235" s="428"/>
      <c r="AE235" s="437"/>
      <c r="AF235" s="437"/>
      <c r="AG235" s="438"/>
      <c r="AH235" s="428"/>
      <c r="AI235" s="438"/>
      <c r="AJ235" s="429"/>
      <c r="AK235" s="424"/>
      <c r="AL235" s="424"/>
      <c r="AM235" s="430"/>
      <c r="AN235" s="431"/>
      <c r="AO235" s="432"/>
      <c r="AP235" s="425"/>
      <c r="AQ235" s="433"/>
      <c r="AR235" s="425"/>
      <c r="AS235" s="433"/>
      <c r="AT235" s="434"/>
      <c r="AU235" s="431"/>
      <c r="AV235" s="435"/>
      <c r="AW235" s="494"/>
      <c r="AX235" s="429"/>
      <c r="AY235" s="424"/>
      <c r="AZ235" s="424"/>
      <c r="BA235" s="430"/>
      <c r="BB235" s="431"/>
      <c r="BC235" s="432"/>
      <c r="BD235" s="425"/>
      <c r="BE235" s="433"/>
      <c r="BF235" s="425"/>
      <c r="BG235" s="433"/>
      <c r="BH235" s="434"/>
      <c r="BI235" s="431"/>
      <c r="BJ235" s="435"/>
      <c r="BK235" s="494"/>
    </row>
    <row r="236" spans="1:63">
      <c r="A236" s="488"/>
      <c r="B236" s="489"/>
      <c r="C236" s="490"/>
      <c r="D236" s="487"/>
      <c r="E236" s="491"/>
      <c r="F236" s="418"/>
      <c r="G236" s="419"/>
      <c r="H236" s="436"/>
      <c r="I236" s="437"/>
      <c r="J236" s="492"/>
      <c r="K236" s="439"/>
      <c r="L236" s="492"/>
      <c r="M236" s="438"/>
      <c r="N236" s="436"/>
      <c r="O236" s="438"/>
      <c r="P236" s="420"/>
      <c r="Q236" s="421"/>
      <c r="R236" s="421"/>
      <c r="S236" s="422"/>
      <c r="T236" s="422"/>
      <c r="U236" s="423"/>
      <c r="V236" s="424"/>
      <c r="W236" s="424"/>
      <c r="X236" s="425"/>
      <c r="Y236" s="426"/>
      <c r="Z236" s="417"/>
      <c r="AA236" s="493"/>
      <c r="AB236" s="427"/>
      <c r="AC236" s="438"/>
      <c r="AD236" s="428"/>
      <c r="AE236" s="437"/>
      <c r="AF236" s="437"/>
      <c r="AG236" s="438"/>
      <c r="AH236" s="428"/>
      <c r="AI236" s="438"/>
      <c r="AJ236" s="429"/>
      <c r="AK236" s="424"/>
      <c r="AL236" s="424"/>
      <c r="AM236" s="430"/>
      <c r="AN236" s="431"/>
      <c r="AO236" s="432"/>
      <c r="AP236" s="425"/>
      <c r="AQ236" s="433"/>
      <c r="AR236" s="425"/>
      <c r="AS236" s="433"/>
      <c r="AT236" s="434"/>
      <c r="AU236" s="431"/>
      <c r="AV236" s="435"/>
      <c r="AW236" s="494"/>
      <c r="AX236" s="429"/>
      <c r="AY236" s="424"/>
      <c r="AZ236" s="424"/>
      <c r="BA236" s="430"/>
      <c r="BB236" s="431"/>
      <c r="BC236" s="432"/>
      <c r="BD236" s="425"/>
      <c r="BE236" s="433"/>
      <c r="BF236" s="425"/>
      <c r="BG236" s="433"/>
      <c r="BH236" s="434"/>
      <c r="BI236" s="431"/>
      <c r="BJ236" s="435"/>
      <c r="BK236" s="494"/>
    </row>
    <row r="237" spans="1:63">
      <c r="A237" s="488"/>
      <c r="B237" s="489"/>
      <c r="C237" s="490"/>
      <c r="D237" s="487"/>
      <c r="E237" s="491"/>
      <c r="F237" s="418"/>
      <c r="G237" s="419"/>
      <c r="H237" s="436"/>
      <c r="I237" s="437"/>
      <c r="J237" s="492"/>
      <c r="K237" s="439"/>
      <c r="L237" s="492"/>
      <c r="M237" s="438"/>
      <c r="N237" s="436"/>
      <c r="O237" s="438"/>
      <c r="P237" s="420"/>
      <c r="Q237" s="421"/>
      <c r="R237" s="421"/>
      <c r="S237" s="422"/>
      <c r="T237" s="422"/>
      <c r="U237" s="423"/>
      <c r="V237" s="424"/>
      <c r="W237" s="424"/>
      <c r="X237" s="425"/>
      <c r="Y237" s="426"/>
      <c r="Z237" s="417"/>
      <c r="AA237" s="493"/>
      <c r="AB237" s="427"/>
      <c r="AC237" s="438"/>
      <c r="AD237" s="428"/>
      <c r="AE237" s="437"/>
      <c r="AF237" s="437"/>
      <c r="AG237" s="438"/>
      <c r="AH237" s="428"/>
      <c r="AI237" s="438"/>
      <c r="AJ237" s="429"/>
      <c r="AK237" s="424"/>
      <c r="AL237" s="424"/>
      <c r="AM237" s="430"/>
      <c r="AN237" s="431"/>
      <c r="AO237" s="432"/>
      <c r="AP237" s="425"/>
      <c r="AQ237" s="433"/>
      <c r="AR237" s="425"/>
      <c r="AS237" s="433"/>
      <c r="AT237" s="434"/>
      <c r="AU237" s="431"/>
      <c r="AV237" s="435"/>
      <c r="AW237" s="494"/>
      <c r="AX237" s="429"/>
      <c r="AY237" s="424"/>
      <c r="AZ237" s="424"/>
      <c r="BA237" s="430"/>
      <c r="BB237" s="431"/>
      <c r="BC237" s="432"/>
      <c r="BD237" s="425"/>
      <c r="BE237" s="433"/>
      <c r="BF237" s="425"/>
      <c r="BG237" s="433"/>
      <c r="BH237" s="434"/>
      <c r="BI237" s="431"/>
      <c r="BJ237" s="435"/>
      <c r="BK237" s="494"/>
    </row>
    <row r="238" spans="1:63">
      <c r="A238" s="488"/>
      <c r="B238" s="489"/>
      <c r="C238" s="490"/>
      <c r="D238" s="487"/>
      <c r="E238" s="491"/>
      <c r="F238" s="418"/>
      <c r="G238" s="419"/>
      <c r="H238" s="436"/>
      <c r="I238" s="437"/>
      <c r="J238" s="492"/>
      <c r="K238" s="439"/>
      <c r="L238" s="492"/>
      <c r="M238" s="438"/>
      <c r="N238" s="436"/>
      <c r="O238" s="438"/>
      <c r="P238" s="420"/>
      <c r="Q238" s="421"/>
      <c r="R238" s="421"/>
      <c r="S238" s="422"/>
      <c r="T238" s="422"/>
      <c r="U238" s="423"/>
      <c r="V238" s="424"/>
      <c r="W238" s="424"/>
      <c r="X238" s="425"/>
      <c r="Y238" s="426"/>
      <c r="Z238" s="417"/>
      <c r="AA238" s="493"/>
      <c r="AB238" s="427"/>
      <c r="AC238" s="438"/>
      <c r="AD238" s="428"/>
      <c r="AE238" s="437"/>
      <c r="AF238" s="437"/>
      <c r="AG238" s="438"/>
      <c r="AH238" s="428"/>
      <c r="AI238" s="438"/>
      <c r="AJ238" s="429"/>
      <c r="AK238" s="424"/>
      <c r="AL238" s="424"/>
      <c r="AM238" s="430"/>
      <c r="AN238" s="431"/>
      <c r="AO238" s="432"/>
      <c r="AP238" s="425"/>
      <c r="AQ238" s="433"/>
      <c r="AR238" s="425"/>
      <c r="AS238" s="433"/>
      <c r="AT238" s="434"/>
      <c r="AU238" s="431"/>
      <c r="AV238" s="435"/>
      <c r="AW238" s="494"/>
      <c r="AX238" s="429"/>
      <c r="AY238" s="424"/>
      <c r="AZ238" s="424"/>
      <c r="BA238" s="430"/>
      <c r="BB238" s="431"/>
      <c r="BC238" s="432"/>
      <c r="BD238" s="425"/>
      <c r="BE238" s="433"/>
      <c r="BF238" s="425"/>
      <c r="BG238" s="433"/>
      <c r="BH238" s="434"/>
      <c r="BI238" s="431"/>
      <c r="BJ238" s="435"/>
      <c r="BK238" s="494"/>
    </row>
    <row r="239" spans="1:63">
      <c r="A239" s="488"/>
      <c r="B239" s="489"/>
      <c r="C239" s="490"/>
      <c r="D239" s="487"/>
      <c r="E239" s="491"/>
      <c r="F239" s="418"/>
      <c r="G239" s="419"/>
      <c r="H239" s="436"/>
      <c r="I239" s="437"/>
      <c r="J239" s="492"/>
      <c r="K239" s="439"/>
      <c r="L239" s="492"/>
      <c r="M239" s="438"/>
      <c r="N239" s="436"/>
      <c r="O239" s="438"/>
      <c r="P239" s="420"/>
      <c r="Q239" s="421"/>
      <c r="R239" s="421"/>
      <c r="S239" s="422"/>
      <c r="T239" s="422"/>
      <c r="U239" s="423"/>
      <c r="V239" s="424"/>
      <c r="W239" s="424"/>
      <c r="X239" s="425"/>
      <c r="Y239" s="426"/>
      <c r="Z239" s="417"/>
      <c r="AA239" s="493"/>
      <c r="AB239" s="427"/>
      <c r="AC239" s="438"/>
      <c r="AD239" s="428"/>
      <c r="AE239" s="437"/>
      <c r="AF239" s="437"/>
      <c r="AG239" s="438"/>
      <c r="AH239" s="428"/>
      <c r="AI239" s="438"/>
      <c r="AJ239" s="429"/>
      <c r="AK239" s="424"/>
      <c r="AL239" s="424"/>
      <c r="AM239" s="430"/>
      <c r="AN239" s="431"/>
      <c r="AO239" s="432"/>
      <c r="AP239" s="425"/>
      <c r="AQ239" s="433"/>
      <c r="AR239" s="425"/>
      <c r="AS239" s="433"/>
      <c r="AT239" s="434"/>
      <c r="AU239" s="431"/>
      <c r="AV239" s="435"/>
      <c r="AW239" s="494"/>
      <c r="AX239" s="429"/>
      <c r="AY239" s="424"/>
      <c r="AZ239" s="424"/>
      <c r="BA239" s="430"/>
      <c r="BB239" s="431"/>
      <c r="BC239" s="432"/>
      <c r="BD239" s="425"/>
      <c r="BE239" s="433"/>
      <c r="BF239" s="425"/>
      <c r="BG239" s="433"/>
      <c r="BH239" s="434"/>
      <c r="BI239" s="431"/>
      <c r="BJ239" s="435"/>
      <c r="BK239" s="494"/>
    </row>
    <row r="240" spans="1:63">
      <c r="A240" s="488"/>
      <c r="B240" s="489"/>
      <c r="C240" s="490"/>
      <c r="D240" s="487"/>
      <c r="E240" s="491"/>
      <c r="F240" s="418"/>
      <c r="G240" s="419"/>
      <c r="H240" s="436"/>
      <c r="I240" s="437"/>
      <c r="J240" s="492"/>
      <c r="K240" s="439"/>
      <c r="L240" s="492"/>
      <c r="M240" s="438"/>
      <c r="N240" s="436"/>
      <c r="O240" s="438"/>
      <c r="P240" s="420"/>
      <c r="Q240" s="421"/>
      <c r="R240" s="421"/>
      <c r="S240" s="422"/>
      <c r="T240" s="422"/>
      <c r="U240" s="423"/>
      <c r="V240" s="424"/>
      <c r="W240" s="424"/>
      <c r="X240" s="425"/>
      <c r="Y240" s="426"/>
      <c r="Z240" s="417"/>
      <c r="AA240" s="493"/>
      <c r="AB240" s="427"/>
      <c r="AC240" s="438"/>
      <c r="AD240" s="428"/>
      <c r="AE240" s="437"/>
      <c r="AF240" s="437"/>
      <c r="AG240" s="438"/>
      <c r="AH240" s="428"/>
      <c r="AI240" s="438"/>
      <c r="AJ240" s="429"/>
      <c r="AK240" s="424"/>
      <c r="AL240" s="424"/>
      <c r="AM240" s="430"/>
      <c r="AN240" s="431"/>
      <c r="AO240" s="432"/>
      <c r="AP240" s="425"/>
      <c r="AQ240" s="433"/>
      <c r="AR240" s="425"/>
      <c r="AS240" s="433"/>
      <c r="AT240" s="434"/>
      <c r="AU240" s="431"/>
      <c r="AV240" s="435"/>
      <c r="AW240" s="494"/>
      <c r="AX240" s="429"/>
      <c r="AY240" s="424"/>
      <c r="AZ240" s="424"/>
      <c r="BA240" s="430"/>
      <c r="BB240" s="431"/>
      <c r="BC240" s="432"/>
      <c r="BD240" s="425"/>
      <c r="BE240" s="433"/>
      <c r="BF240" s="425"/>
      <c r="BG240" s="433"/>
      <c r="BH240" s="434"/>
      <c r="BI240" s="431"/>
      <c r="BJ240" s="435"/>
      <c r="BK240" s="494"/>
    </row>
    <row r="241" spans="1:63">
      <c r="A241" s="488"/>
      <c r="B241" s="489"/>
      <c r="C241" s="490"/>
      <c r="D241" s="487"/>
      <c r="E241" s="491"/>
      <c r="F241" s="418"/>
      <c r="G241" s="419"/>
      <c r="H241" s="436"/>
      <c r="I241" s="437"/>
      <c r="J241" s="492"/>
      <c r="K241" s="439"/>
      <c r="L241" s="492"/>
      <c r="M241" s="438"/>
      <c r="N241" s="436"/>
      <c r="O241" s="438"/>
      <c r="P241" s="420"/>
      <c r="Q241" s="421"/>
      <c r="R241" s="421"/>
      <c r="S241" s="422"/>
      <c r="T241" s="422"/>
      <c r="U241" s="423"/>
      <c r="V241" s="424"/>
      <c r="W241" s="424"/>
      <c r="X241" s="425"/>
      <c r="Y241" s="426"/>
      <c r="Z241" s="417"/>
      <c r="AA241" s="493"/>
      <c r="AB241" s="427"/>
      <c r="AC241" s="438"/>
      <c r="AD241" s="428"/>
      <c r="AE241" s="437"/>
      <c r="AF241" s="437"/>
      <c r="AG241" s="438"/>
      <c r="AH241" s="428"/>
      <c r="AI241" s="438"/>
      <c r="AJ241" s="429"/>
      <c r="AK241" s="424"/>
      <c r="AL241" s="424"/>
      <c r="AM241" s="430"/>
      <c r="AN241" s="431"/>
      <c r="AO241" s="432"/>
      <c r="AP241" s="425"/>
      <c r="AQ241" s="433"/>
      <c r="AR241" s="425"/>
      <c r="AS241" s="433"/>
      <c r="AT241" s="434"/>
      <c r="AU241" s="431"/>
      <c r="AV241" s="435"/>
      <c r="AW241" s="494"/>
      <c r="AX241" s="429"/>
      <c r="AY241" s="424"/>
      <c r="AZ241" s="424"/>
      <c r="BA241" s="430"/>
      <c r="BB241" s="431"/>
      <c r="BC241" s="432"/>
      <c r="BD241" s="425"/>
      <c r="BE241" s="433"/>
      <c r="BF241" s="425"/>
      <c r="BG241" s="433"/>
      <c r="BH241" s="434"/>
      <c r="BI241" s="431"/>
      <c r="BJ241" s="435"/>
      <c r="BK241" s="494"/>
    </row>
    <row r="242" spans="1:63">
      <c r="A242" s="488"/>
      <c r="B242" s="489"/>
      <c r="C242" s="490"/>
      <c r="D242" s="487"/>
      <c r="E242" s="491"/>
      <c r="F242" s="418"/>
      <c r="G242" s="419"/>
      <c r="H242" s="436"/>
      <c r="I242" s="437"/>
      <c r="J242" s="492"/>
      <c r="K242" s="439"/>
      <c r="L242" s="492"/>
      <c r="M242" s="438"/>
      <c r="N242" s="436"/>
      <c r="O242" s="438"/>
      <c r="P242" s="420"/>
      <c r="Q242" s="421"/>
      <c r="R242" s="421"/>
      <c r="S242" s="422"/>
      <c r="T242" s="422"/>
      <c r="U242" s="423"/>
      <c r="V242" s="424"/>
      <c r="W242" s="424"/>
      <c r="X242" s="425"/>
      <c r="Y242" s="426"/>
      <c r="Z242" s="417"/>
      <c r="AA242" s="493"/>
      <c r="AB242" s="427"/>
      <c r="AC242" s="438"/>
      <c r="AD242" s="428"/>
      <c r="AE242" s="437"/>
      <c r="AF242" s="437"/>
      <c r="AG242" s="438"/>
      <c r="AH242" s="428"/>
      <c r="AI242" s="438"/>
      <c r="AJ242" s="429"/>
      <c r="AK242" s="424"/>
      <c r="AL242" s="424"/>
      <c r="AM242" s="430"/>
      <c r="AN242" s="431"/>
      <c r="AO242" s="432"/>
      <c r="AP242" s="425"/>
      <c r="AQ242" s="433"/>
      <c r="AR242" s="425"/>
      <c r="AS242" s="433"/>
      <c r="AT242" s="434"/>
      <c r="AU242" s="431"/>
      <c r="AV242" s="435"/>
      <c r="AW242" s="494"/>
      <c r="AX242" s="429"/>
      <c r="AY242" s="424"/>
      <c r="AZ242" s="424"/>
      <c r="BA242" s="430"/>
      <c r="BB242" s="431"/>
      <c r="BC242" s="432"/>
      <c r="BD242" s="425"/>
      <c r="BE242" s="433"/>
      <c r="BF242" s="425"/>
      <c r="BG242" s="433"/>
      <c r="BH242" s="434"/>
      <c r="BI242" s="431"/>
      <c r="BJ242" s="435"/>
      <c r="BK242" s="494"/>
    </row>
    <row r="243" spans="1:63">
      <c r="A243" s="488"/>
      <c r="B243" s="489"/>
      <c r="C243" s="490"/>
      <c r="D243" s="487"/>
      <c r="E243" s="491"/>
      <c r="F243" s="418"/>
      <c r="G243" s="419"/>
      <c r="H243" s="436"/>
      <c r="I243" s="437"/>
      <c r="J243" s="492"/>
      <c r="K243" s="439"/>
      <c r="L243" s="492"/>
      <c r="M243" s="438"/>
      <c r="N243" s="436"/>
      <c r="O243" s="438"/>
      <c r="P243" s="420"/>
      <c r="Q243" s="421"/>
      <c r="R243" s="421"/>
      <c r="S243" s="422"/>
      <c r="T243" s="422"/>
      <c r="U243" s="423"/>
      <c r="V243" s="424"/>
      <c r="W243" s="424"/>
      <c r="X243" s="425"/>
      <c r="Y243" s="426"/>
      <c r="Z243" s="417"/>
      <c r="AA243" s="493"/>
      <c r="AB243" s="427"/>
      <c r="AC243" s="438"/>
      <c r="AD243" s="428"/>
      <c r="AE243" s="437"/>
      <c r="AF243" s="437"/>
      <c r="AG243" s="438"/>
      <c r="AH243" s="428"/>
      <c r="AI243" s="438"/>
      <c r="AJ243" s="429"/>
      <c r="AK243" s="424"/>
      <c r="AL243" s="424"/>
      <c r="AM243" s="430"/>
      <c r="AN243" s="431"/>
      <c r="AO243" s="432"/>
      <c r="AP243" s="425"/>
      <c r="AQ243" s="433"/>
      <c r="AR243" s="425"/>
      <c r="AS243" s="433"/>
      <c r="AT243" s="434"/>
      <c r="AU243" s="431"/>
      <c r="AV243" s="435"/>
      <c r="AW243" s="494"/>
      <c r="AX243" s="429"/>
      <c r="AY243" s="424"/>
      <c r="AZ243" s="424"/>
      <c r="BA243" s="430"/>
      <c r="BB243" s="431"/>
      <c r="BC243" s="432"/>
      <c r="BD243" s="425"/>
      <c r="BE243" s="433"/>
      <c r="BF243" s="425"/>
      <c r="BG243" s="433"/>
      <c r="BH243" s="434"/>
      <c r="BI243" s="431"/>
      <c r="BJ243" s="435"/>
      <c r="BK243" s="494"/>
    </row>
    <row r="244" spans="1:63">
      <c r="A244" s="488"/>
      <c r="B244" s="489"/>
      <c r="C244" s="490"/>
      <c r="D244" s="487"/>
      <c r="E244" s="491"/>
      <c r="F244" s="418"/>
      <c r="G244" s="419"/>
      <c r="H244" s="436"/>
      <c r="I244" s="437"/>
      <c r="J244" s="492"/>
      <c r="K244" s="439"/>
      <c r="L244" s="492"/>
      <c r="M244" s="438"/>
      <c r="N244" s="436"/>
      <c r="O244" s="438"/>
      <c r="P244" s="420"/>
      <c r="Q244" s="421"/>
      <c r="R244" s="421"/>
      <c r="S244" s="422"/>
      <c r="T244" s="422"/>
      <c r="U244" s="423"/>
      <c r="V244" s="424"/>
      <c r="W244" s="424"/>
      <c r="X244" s="425"/>
      <c r="Y244" s="426"/>
      <c r="Z244" s="417"/>
      <c r="AA244" s="493"/>
      <c r="AB244" s="427"/>
      <c r="AC244" s="438"/>
      <c r="AD244" s="428"/>
      <c r="AE244" s="437"/>
      <c r="AF244" s="437"/>
      <c r="AG244" s="438"/>
      <c r="AH244" s="428"/>
      <c r="AI244" s="438"/>
      <c r="AJ244" s="429"/>
      <c r="AK244" s="424"/>
      <c r="AL244" s="424"/>
      <c r="AM244" s="430"/>
      <c r="AN244" s="431"/>
      <c r="AO244" s="432"/>
      <c r="AP244" s="425"/>
      <c r="AQ244" s="433"/>
      <c r="AR244" s="425"/>
      <c r="AS244" s="433"/>
      <c r="AT244" s="434"/>
      <c r="AU244" s="431"/>
      <c r="AV244" s="435"/>
      <c r="AW244" s="494"/>
      <c r="AX244" s="429"/>
      <c r="AY244" s="424"/>
      <c r="AZ244" s="424"/>
      <c r="BA244" s="430"/>
      <c r="BB244" s="431"/>
      <c r="BC244" s="432"/>
      <c r="BD244" s="425"/>
      <c r="BE244" s="433"/>
      <c r="BF244" s="425"/>
      <c r="BG244" s="433"/>
      <c r="BH244" s="434"/>
      <c r="BI244" s="431"/>
      <c r="BJ244" s="435"/>
      <c r="BK244" s="494"/>
    </row>
    <row r="245" spans="1:63">
      <c r="A245" s="488"/>
      <c r="B245" s="489"/>
      <c r="C245" s="490"/>
      <c r="D245" s="487"/>
      <c r="E245" s="491"/>
      <c r="F245" s="418"/>
      <c r="G245" s="419"/>
      <c r="H245" s="436"/>
      <c r="I245" s="437"/>
      <c r="J245" s="492"/>
      <c r="K245" s="439"/>
      <c r="L245" s="492"/>
      <c r="M245" s="438"/>
      <c r="N245" s="436"/>
      <c r="O245" s="438"/>
      <c r="P245" s="420"/>
      <c r="Q245" s="421"/>
      <c r="R245" s="421"/>
      <c r="S245" s="422"/>
      <c r="T245" s="422"/>
      <c r="U245" s="423"/>
      <c r="V245" s="424"/>
      <c r="W245" s="424"/>
      <c r="X245" s="425"/>
      <c r="Y245" s="426"/>
      <c r="Z245" s="417"/>
      <c r="AA245" s="493"/>
      <c r="AB245" s="427"/>
      <c r="AC245" s="438"/>
      <c r="AD245" s="428"/>
      <c r="AE245" s="437"/>
      <c r="AF245" s="437"/>
      <c r="AG245" s="438"/>
      <c r="AH245" s="428"/>
      <c r="AI245" s="438"/>
      <c r="AJ245" s="429"/>
      <c r="AK245" s="424"/>
      <c r="AL245" s="424"/>
      <c r="AM245" s="430"/>
      <c r="AN245" s="431"/>
      <c r="AO245" s="432"/>
      <c r="AP245" s="425"/>
      <c r="AQ245" s="433"/>
      <c r="AR245" s="425"/>
      <c r="AS245" s="433"/>
      <c r="AT245" s="434"/>
      <c r="AU245" s="431"/>
      <c r="AV245" s="435"/>
      <c r="AW245" s="494"/>
      <c r="AX245" s="429"/>
      <c r="AY245" s="424"/>
      <c r="AZ245" s="424"/>
      <c r="BA245" s="430"/>
      <c r="BB245" s="431"/>
      <c r="BC245" s="432"/>
      <c r="BD245" s="425"/>
      <c r="BE245" s="433"/>
      <c r="BF245" s="425"/>
      <c r="BG245" s="433"/>
      <c r="BH245" s="434"/>
      <c r="BI245" s="431"/>
      <c r="BJ245" s="435"/>
      <c r="BK245" s="494"/>
    </row>
    <row r="246" spans="1:63">
      <c r="A246" s="488"/>
      <c r="B246" s="489"/>
      <c r="C246" s="490"/>
      <c r="D246" s="487"/>
      <c r="E246" s="491"/>
      <c r="F246" s="418"/>
      <c r="G246" s="419"/>
      <c r="H246" s="436"/>
      <c r="I246" s="437"/>
      <c r="J246" s="492"/>
      <c r="K246" s="439"/>
      <c r="L246" s="492"/>
      <c r="M246" s="438"/>
      <c r="N246" s="436"/>
      <c r="O246" s="438"/>
      <c r="P246" s="420"/>
      <c r="Q246" s="421"/>
      <c r="R246" s="421"/>
      <c r="S246" s="422"/>
      <c r="T246" s="422"/>
      <c r="U246" s="423"/>
      <c r="V246" s="424"/>
      <c r="W246" s="424"/>
      <c r="X246" s="425"/>
      <c r="Y246" s="426"/>
      <c r="Z246" s="417"/>
      <c r="AA246" s="493"/>
      <c r="AB246" s="427"/>
      <c r="AC246" s="438"/>
      <c r="AD246" s="428"/>
      <c r="AE246" s="437"/>
      <c r="AF246" s="437"/>
      <c r="AG246" s="438"/>
      <c r="AH246" s="428"/>
      <c r="AI246" s="438"/>
      <c r="AJ246" s="429"/>
      <c r="AK246" s="424"/>
      <c r="AL246" s="424"/>
      <c r="AM246" s="430"/>
      <c r="AN246" s="431"/>
      <c r="AO246" s="432"/>
      <c r="AP246" s="425"/>
      <c r="AQ246" s="433"/>
      <c r="AR246" s="425"/>
      <c r="AS246" s="433"/>
      <c r="AT246" s="434"/>
      <c r="AU246" s="431"/>
      <c r="AV246" s="435"/>
      <c r="AW246" s="494"/>
      <c r="AX246" s="429"/>
      <c r="AY246" s="424"/>
      <c r="AZ246" s="424"/>
      <c r="BA246" s="430"/>
      <c r="BB246" s="431"/>
      <c r="BC246" s="432"/>
      <c r="BD246" s="425"/>
      <c r="BE246" s="433"/>
      <c r="BF246" s="425"/>
      <c r="BG246" s="433"/>
      <c r="BH246" s="434"/>
      <c r="BI246" s="431"/>
      <c r="BJ246" s="435"/>
      <c r="BK246" s="494"/>
    </row>
    <row r="247" spans="1:63">
      <c r="A247" s="488"/>
      <c r="B247" s="489"/>
      <c r="C247" s="490"/>
      <c r="D247" s="487"/>
      <c r="E247" s="491"/>
      <c r="F247" s="418"/>
      <c r="G247" s="419"/>
      <c r="H247" s="436"/>
      <c r="I247" s="437"/>
      <c r="J247" s="492"/>
      <c r="K247" s="439"/>
      <c r="L247" s="492"/>
      <c r="M247" s="438"/>
      <c r="N247" s="436"/>
      <c r="O247" s="438"/>
      <c r="P247" s="420"/>
      <c r="Q247" s="421"/>
      <c r="R247" s="421"/>
      <c r="S247" s="422"/>
      <c r="T247" s="422"/>
      <c r="U247" s="423"/>
      <c r="V247" s="424"/>
      <c r="W247" s="424"/>
      <c r="X247" s="425"/>
      <c r="Y247" s="426"/>
      <c r="Z247" s="417"/>
      <c r="AA247" s="493"/>
      <c r="AB247" s="427"/>
      <c r="AC247" s="438"/>
      <c r="AD247" s="428"/>
      <c r="AE247" s="437"/>
      <c r="AF247" s="437"/>
      <c r="AG247" s="438"/>
      <c r="AH247" s="428"/>
      <c r="AI247" s="438"/>
      <c r="AJ247" s="429"/>
      <c r="AK247" s="424"/>
      <c r="AL247" s="424"/>
      <c r="AM247" s="430"/>
      <c r="AN247" s="431"/>
      <c r="AO247" s="432"/>
      <c r="AP247" s="425"/>
      <c r="AQ247" s="433"/>
      <c r="AR247" s="425"/>
      <c r="AS247" s="433"/>
      <c r="AT247" s="434"/>
      <c r="AU247" s="431"/>
      <c r="AV247" s="435"/>
      <c r="AW247" s="494"/>
      <c r="AX247" s="429"/>
      <c r="AY247" s="424"/>
      <c r="AZ247" s="424"/>
      <c r="BA247" s="430"/>
      <c r="BB247" s="431"/>
      <c r="BC247" s="432"/>
      <c r="BD247" s="425"/>
      <c r="BE247" s="433"/>
      <c r="BF247" s="425"/>
      <c r="BG247" s="433"/>
      <c r="BH247" s="434"/>
      <c r="BI247" s="431"/>
      <c r="BJ247" s="435"/>
      <c r="BK247" s="494"/>
    </row>
    <row r="248" spans="1:63">
      <c r="A248" s="488"/>
      <c r="B248" s="489"/>
      <c r="C248" s="490"/>
      <c r="D248" s="487"/>
      <c r="E248" s="491"/>
      <c r="F248" s="418"/>
      <c r="G248" s="419"/>
      <c r="H248" s="436"/>
      <c r="I248" s="437"/>
      <c r="J248" s="492"/>
      <c r="K248" s="439"/>
      <c r="L248" s="492"/>
      <c r="M248" s="438"/>
      <c r="N248" s="436"/>
      <c r="O248" s="438"/>
      <c r="P248" s="420"/>
      <c r="Q248" s="421"/>
      <c r="R248" s="421"/>
      <c r="S248" s="422"/>
      <c r="T248" s="422"/>
      <c r="U248" s="423"/>
      <c r="V248" s="424"/>
      <c r="W248" s="424"/>
      <c r="X248" s="425"/>
      <c r="Y248" s="426"/>
      <c r="Z248" s="417"/>
      <c r="AA248" s="493"/>
      <c r="AB248" s="427"/>
      <c r="AC248" s="438"/>
      <c r="AD248" s="428"/>
      <c r="AE248" s="437"/>
      <c r="AF248" s="437"/>
      <c r="AG248" s="438"/>
      <c r="AH248" s="428"/>
      <c r="AI248" s="438"/>
      <c r="AJ248" s="429"/>
      <c r="AK248" s="424"/>
      <c r="AL248" s="424"/>
      <c r="AM248" s="430"/>
      <c r="AN248" s="431"/>
      <c r="AO248" s="432"/>
      <c r="AP248" s="425"/>
      <c r="AQ248" s="433"/>
      <c r="AR248" s="425"/>
      <c r="AS248" s="433"/>
      <c r="AT248" s="434"/>
      <c r="AU248" s="431"/>
      <c r="AV248" s="435"/>
      <c r="AW248" s="494"/>
      <c r="AX248" s="429"/>
      <c r="AY248" s="424"/>
      <c r="AZ248" s="424"/>
      <c r="BA248" s="430"/>
      <c r="BB248" s="431"/>
      <c r="BC248" s="432"/>
      <c r="BD248" s="425"/>
      <c r="BE248" s="433"/>
      <c r="BF248" s="425"/>
      <c r="BG248" s="433"/>
      <c r="BH248" s="434"/>
      <c r="BI248" s="431"/>
      <c r="BJ248" s="435"/>
      <c r="BK248" s="494"/>
    </row>
    <row r="249" spans="1:63">
      <c r="A249" s="488"/>
      <c r="B249" s="489"/>
      <c r="C249" s="490"/>
      <c r="D249" s="487"/>
      <c r="E249" s="491"/>
      <c r="F249" s="418"/>
      <c r="G249" s="419"/>
      <c r="H249" s="436"/>
      <c r="I249" s="437"/>
      <c r="J249" s="492"/>
      <c r="K249" s="439"/>
      <c r="L249" s="492"/>
      <c r="M249" s="438"/>
      <c r="N249" s="436"/>
      <c r="O249" s="438"/>
      <c r="P249" s="420"/>
      <c r="Q249" s="421"/>
      <c r="R249" s="421"/>
      <c r="S249" s="422"/>
      <c r="T249" s="422"/>
      <c r="U249" s="423"/>
      <c r="V249" s="424"/>
      <c r="W249" s="424"/>
      <c r="X249" s="425"/>
      <c r="Y249" s="426"/>
      <c r="Z249" s="417"/>
      <c r="AA249" s="493"/>
      <c r="AB249" s="427"/>
      <c r="AC249" s="438"/>
      <c r="AD249" s="428"/>
      <c r="AE249" s="437"/>
      <c r="AF249" s="437"/>
      <c r="AG249" s="438"/>
      <c r="AH249" s="428"/>
      <c r="AI249" s="438"/>
      <c r="AJ249" s="429"/>
      <c r="AK249" s="424"/>
      <c r="AL249" s="424"/>
      <c r="AM249" s="430"/>
      <c r="AN249" s="431"/>
      <c r="AO249" s="432"/>
      <c r="AP249" s="425"/>
      <c r="AQ249" s="433"/>
      <c r="AR249" s="425"/>
      <c r="AS249" s="433"/>
      <c r="AT249" s="434"/>
      <c r="AU249" s="431"/>
      <c r="AV249" s="435"/>
      <c r="AW249" s="494"/>
      <c r="AX249" s="429"/>
      <c r="AY249" s="424"/>
      <c r="AZ249" s="424"/>
      <c r="BA249" s="430"/>
      <c r="BB249" s="431"/>
      <c r="BC249" s="432"/>
      <c r="BD249" s="425"/>
      <c r="BE249" s="433"/>
      <c r="BF249" s="425"/>
      <c r="BG249" s="433"/>
      <c r="BH249" s="434"/>
      <c r="BI249" s="431"/>
      <c r="BJ249" s="435"/>
      <c r="BK249" s="494"/>
    </row>
    <row r="250" spans="1:63">
      <c r="A250" s="488"/>
      <c r="B250" s="489"/>
      <c r="C250" s="490"/>
      <c r="D250" s="487"/>
      <c r="E250" s="491"/>
      <c r="F250" s="418"/>
      <c r="G250" s="419"/>
      <c r="H250" s="436"/>
      <c r="I250" s="437"/>
      <c r="J250" s="492"/>
      <c r="K250" s="439"/>
      <c r="L250" s="492"/>
      <c r="M250" s="438"/>
      <c r="N250" s="436"/>
      <c r="O250" s="438"/>
      <c r="P250" s="420"/>
      <c r="Q250" s="421"/>
      <c r="R250" s="421"/>
      <c r="S250" s="422"/>
      <c r="T250" s="422"/>
      <c r="U250" s="423"/>
      <c r="V250" s="424"/>
      <c r="W250" s="424"/>
      <c r="X250" s="425"/>
      <c r="Y250" s="426"/>
      <c r="Z250" s="417"/>
      <c r="AA250" s="493"/>
      <c r="AB250" s="427"/>
      <c r="AC250" s="438"/>
      <c r="AD250" s="428"/>
      <c r="AE250" s="437"/>
      <c r="AF250" s="437"/>
      <c r="AG250" s="438"/>
      <c r="AH250" s="428"/>
      <c r="AI250" s="438"/>
      <c r="AJ250" s="429"/>
      <c r="AK250" s="424"/>
      <c r="AL250" s="424"/>
      <c r="AM250" s="430"/>
      <c r="AN250" s="431"/>
      <c r="AO250" s="432"/>
      <c r="AP250" s="425"/>
      <c r="AQ250" s="433"/>
      <c r="AR250" s="425"/>
      <c r="AS250" s="433"/>
      <c r="AT250" s="434"/>
      <c r="AU250" s="431"/>
      <c r="AV250" s="435"/>
      <c r="AW250" s="494"/>
      <c r="AX250" s="429"/>
      <c r="AY250" s="424"/>
      <c r="AZ250" s="424"/>
      <c r="BA250" s="430"/>
      <c r="BB250" s="431"/>
      <c r="BC250" s="432"/>
      <c r="BD250" s="425"/>
      <c r="BE250" s="433"/>
      <c r="BF250" s="425"/>
      <c r="BG250" s="433"/>
      <c r="BH250" s="434"/>
      <c r="BI250" s="431"/>
      <c r="BJ250" s="435"/>
      <c r="BK250" s="494"/>
    </row>
    <row r="251" spans="1:63">
      <c r="A251" s="488"/>
      <c r="B251" s="489"/>
      <c r="C251" s="490"/>
      <c r="D251" s="487"/>
      <c r="E251" s="491"/>
      <c r="F251" s="418"/>
      <c r="G251" s="419"/>
      <c r="H251" s="436"/>
      <c r="I251" s="437"/>
      <c r="J251" s="492"/>
      <c r="K251" s="439"/>
      <c r="L251" s="492"/>
      <c r="M251" s="438"/>
      <c r="N251" s="436"/>
      <c r="O251" s="438"/>
      <c r="P251" s="420"/>
      <c r="Q251" s="421"/>
      <c r="R251" s="421"/>
      <c r="S251" s="422"/>
      <c r="T251" s="422"/>
      <c r="U251" s="423"/>
      <c r="V251" s="424"/>
      <c r="W251" s="424"/>
      <c r="X251" s="425"/>
      <c r="Y251" s="426"/>
      <c r="Z251" s="417"/>
      <c r="AA251" s="493"/>
      <c r="AB251" s="427"/>
      <c r="AC251" s="438"/>
      <c r="AD251" s="428"/>
      <c r="AE251" s="437"/>
      <c r="AF251" s="437"/>
      <c r="AG251" s="438"/>
      <c r="AH251" s="428"/>
      <c r="AI251" s="438"/>
      <c r="AJ251" s="429"/>
      <c r="AK251" s="424"/>
      <c r="AL251" s="424"/>
      <c r="AM251" s="430"/>
      <c r="AN251" s="431"/>
      <c r="AO251" s="432"/>
      <c r="AP251" s="425"/>
      <c r="AQ251" s="433"/>
      <c r="AR251" s="425"/>
      <c r="AS251" s="433"/>
      <c r="AT251" s="434"/>
      <c r="AU251" s="431"/>
      <c r="AV251" s="435"/>
      <c r="AW251" s="494"/>
      <c r="AX251" s="429"/>
      <c r="AY251" s="424"/>
      <c r="AZ251" s="424"/>
      <c r="BA251" s="430"/>
      <c r="BB251" s="431"/>
      <c r="BC251" s="432"/>
      <c r="BD251" s="425"/>
      <c r="BE251" s="433"/>
      <c r="BF251" s="425"/>
      <c r="BG251" s="433"/>
      <c r="BH251" s="434"/>
      <c r="BI251" s="431"/>
      <c r="BJ251" s="435"/>
      <c r="BK251" s="494"/>
    </row>
    <row r="252" spans="1:63">
      <c r="A252" s="488"/>
      <c r="B252" s="489"/>
      <c r="C252" s="490"/>
      <c r="D252" s="487"/>
      <c r="E252" s="491"/>
      <c r="F252" s="418"/>
      <c r="G252" s="419"/>
      <c r="H252" s="436"/>
      <c r="I252" s="437"/>
      <c r="J252" s="492"/>
      <c r="K252" s="439"/>
      <c r="L252" s="492"/>
      <c r="M252" s="438"/>
      <c r="N252" s="436"/>
      <c r="O252" s="438"/>
      <c r="P252" s="420"/>
      <c r="Q252" s="421"/>
      <c r="R252" s="421"/>
      <c r="S252" s="422"/>
      <c r="T252" s="422"/>
      <c r="U252" s="423"/>
      <c r="V252" s="424"/>
      <c r="W252" s="424"/>
      <c r="X252" s="425"/>
      <c r="Y252" s="426"/>
      <c r="Z252" s="417"/>
      <c r="AA252" s="493"/>
      <c r="AB252" s="427"/>
      <c r="AC252" s="438"/>
      <c r="AD252" s="428"/>
      <c r="AE252" s="437"/>
      <c r="AF252" s="437"/>
      <c r="AG252" s="438"/>
      <c r="AH252" s="428"/>
      <c r="AI252" s="438"/>
      <c r="AJ252" s="429"/>
      <c r="AK252" s="424"/>
      <c r="AL252" s="424"/>
      <c r="AM252" s="430"/>
      <c r="AN252" s="431"/>
      <c r="AO252" s="432"/>
      <c r="AP252" s="425"/>
      <c r="AQ252" s="433"/>
      <c r="AR252" s="425"/>
      <c r="AS252" s="433"/>
      <c r="AT252" s="434"/>
      <c r="AU252" s="431"/>
      <c r="AV252" s="435"/>
      <c r="AW252" s="494"/>
      <c r="AX252" s="429"/>
      <c r="AY252" s="424"/>
      <c r="AZ252" s="424"/>
      <c r="BA252" s="430"/>
      <c r="BB252" s="431"/>
      <c r="BC252" s="432"/>
      <c r="BD252" s="425"/>
      <c r="BE252" s="433"/>
      <c r="BF252" s="425"/>
      <c r="BG252" s="433"/>
      <c r="BH252" s="434"/>
      <c r="BI252" s="431"/>
      <c r="BJ252" s="435"/>
      <c r="BK252" s="494"/>
    </row>
  </sheetData>
  <autoFilter ref="A1:BK252" xr:uid="{00000000-0009-0000-0000-000036000000}"/>
  <phoneticPr fontId="15"/>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2"/>
  <dimension ref="A1:DS302"/>
  <sheetViews>
    <sheetView zoomScale="70" zoomScaleNormal="70" workbookViewId="0">
      <pane xSplit="2" ySplit="1" topLeftCell="X92" activePane="bottomRight" state="frozen"/>
      <selection activeCell="W37" sqref="W37"/>
      <selection pane="topRight" activeCell="W37" sqref="W37"/>
      <selection pane="bottomLeft" activeCell="W37" sqref="W37"/>
      <selection pane="bottomRight" activeCell="BA93" sqref="BA93"/>
    </sheetView>
  </sheetViews>
  <sheetFormatPr defaultRowHeight="13.5"/>
  <cols>
    <col min="5" max="5" width="9.625" bestFit="1" customWidth="1"/>
    <col min="7" max="7" width="9.125" bestFit="1" customWidth="1"/>
  </cols>
  <sheetData>
    <row r="1" spans="1:123" ht="38.25">
      <c r="A1" s="440" t="s">
        <v>594</v>
      </c>
      <c r="B1" s="441" t="s">
        <v>595</v>
      </c>
      <c r="C1" s="442" t="s">
        <v>596</v>
      </c>
      <c r="D1" s="441" t="s">
        <v>597</v>
      </c>
      <c r="E1" s="443" t="s">
        <v>2584</v>
      </c>
      <c r="F1" s="444" t="s">
        <v>598</v>
      </c>
      <c r="G1" s="445" t="s">
        <v>599</v>
      </c>
      <c r="H1" s="446" t="s">
        <v>132</v>
      </c>
      <c r="I1" s="442" t="s">
        <v>600</v>
      </c>
      <c r="J1" s="445" t="s">
        <v>601</v>
      </c>
      <c r="K1" s="447" t="s">
        <v>602</v>
      </c>
      <c r="L1" s="442" t="s">
        <v>603</v>
      </c>
      <c r="M1" s="448" t="s">
        <v>604</v>
      </c>
      <c r="N1" s="449" t="s">
        <v>605</v>
      </c>
      <c r="O1" s="448" t="s">
        <v>606</v>
      </c>
      <c r="P1" s="449" t="s">
        <v>607</v>
      </c>
      <c r="Q1" s="442" t="s">
        <v>608</v>
      </c>
      <c r="R1" s="442" t="s">
        <v>609</v>
      </c>
      <c r="S1" s="448" t="s">
        <v>5844</v>
      </c>
      <c r="T1" s="448" t="s">
        <v>5845</v>
      </c>
      <c r="U1" s="450" t="s">
        <v>2585</v>
      </c>
      <c r="V1" s="451" t="s">
        <v>610</v>
      </c>
      <c r="W1" s="451" t="s">
        <v>611</v>
      </c>
      <c r="X1" s="452" t="s">
        <v>612</v>
      </c>
      <c r="Y1" s="447" t="s">
        <v>613</v>
      </c>
      <c r="Z1" s="445" t="s">
        <v>614</v>
      </c>
      <c r="AA1" s="453" t="s">
        <v>615</v>
      </c>
      <c r="AB1" s="447" t="s">
        <v>616</v>
      </c>
      <c r="AC1" s="445" t="s">
        <v>617</v>
      </c>
      <c r="AD1" s="454" t="s">
        <v>618</v>
      </c>
      <c r="AE1" s="442" t="s">
        <v>619</v>
      </c>
      <c r="AF1" s="442" t="s">
        <v>620</v>
      </c>
      <c r="AG1" s="445" t="s">
        <v>621</v>
      </c>
      <c r="AH1" s="454" t="s">
        <v>622</v>
      </c>
      <c r="AI1" s="445" t="s">
        <v>623</v>
      </c>
      <c r="AJ1" s="447" t="s">
        <v>624</v>
      </c>
      <c r="AK1" s="455" t="s">
        <v>625</v>
      </c>
      <c r="AL1" s="455" t="s">
        <v>626</v>
      </c>
      <c r="AM1" s="445" t="s">
        <v>627</v>
      </c>
      <c r="AN1" s="456" t="s">
        <v>628</v>
      </c>
      <c r="AO1" s="454" t="s">
        <v>629</v>
      </c>
      <c r="AP1" s="445" t="s">
        <v>630</v>
      </c>
      <c r="AQ1" s="456" t="s">
        <v>631</v>
      </c>
      <c r="AR1" s="445" t="s">
        <v>632</v>
      </c>
      <c r="AS1" s="456" t="s">
        <v>633</v>
      </c>
      <c r="AT1" s="445" t="s">
        <v>634</v>
      </c>
      <c r="AU1" s="457" t="s">
        <v>635</v>
      </c>
      <c r="AV1" s="458" t="s">
        <v>636</v>
      </c>
      <c r="AW1" s="454" t="s">
        <v>637</v>
      </c>
      <c r="AX1" s="445" t="s">
        <v>638</v>
      </c>
      <c r="AY1" s="456" t="s">
        <v>639</v>
      </c>
      <c r="AZ1" s="445" t="s">
        <v>640</v>
      </c>
      <c r="BA1" s="456" t="s">
        <v>641</v>
      </c>
      <c r="BB1" s="445" t="s">
        <v>642</v>
      </c>
      <c r="BC1" s="457" t="s">
        <v>643</v>
      </c>
      <c r="BD1" s="458" t="s">
        <v>644</v>
      </c>
      <c r="BE1" s="454" t="s">
        <v>645</v>
      </c>
      <c r="BF1" s="445" t="s">
        <v>646</v>
      </c>
      <c r="BG1" s="456" t="s">
        <v>647</v>
      </c>
      <c r="BH1" s="445" t="s">
        <v>648</v>
      </c>
      <c r="BI1" s="456" t="s">
        <v>649</v>
      </c>
      <c r="BJ1" s="445" t="s">
        <v>650</v>
      </c>
      <c r="BK1" s="457" t="s">
        <v>651</v>
      </c>
      <c r="BL1" s="458" t="s">
        <v>652</v>
      </c>
      <c r="BM1" s="454" t="s">
        <v>653</v>
      </c>
      <c r="BN1" s="445" t="s">
        <v>654</v>
      </c>
      <c r="BO1" s="456" t="s">
        <v>655</v>
      </c>
      <c r="BP1" s="445" t="s">
        <v>656</v>
      </c>
      <c r="BQ1" s="456" t="s">
        <v>657</v>
      </c>
      <c r="BR1" s="445" t="s">
        <v>658</v>
      </c>
      <c r="BS1" s="457" t="s">
        <v>659</v>
      </c>
      <c r="BT1" s="457" t="s">
        <v>660</v>
      </c>
      <c r="BU1" s="459" t="s">
        <v>661</v>
      </c>
      <c r="BV1" s="460" t="s">
        <v>662</v>
      </c>
      <c r="BW1" s="461" t="s">
        <v>663</v>
      </c>
      <c r="BX1" s="460" t="s">
        <v>664</v>
      </c>
      <c r="BY1" s="449" t="s">
        <v>624</v>
      </c>
      <c r="BZ1" s="455" t="s">
        <v>665</v>
      </c>
      <c r="CA1" s="455" t="s">
        <v>626</v>
      </c>
      <c r="CB1" s="445" t="s">
        <v>627</v>
      </c>
      <c r="CC1" s="456" t="s">
        <v>628</v>
      </c>
      <c r="CD1" s="454" t="s">
        <v>629</v>
      </c>
      <c r="CE1" s="445" t="s">
        <v>630</v>
      </c>
      <c r="CF1" s="456" t="s">
        <v>631</v>
      </c>
      <c r="CG1" s="445" t="s">
        <v>632</v>
      </c>
      <c r="CH1" s="456" t="s">
        <v>633</v>
      </c>
      <c r="CI1" s="445" t="s">
        <v>634</v>
      </c>
      <c r="CJ1" s="457" t="s">
        <v>635</v>
      </c>
      <c r="CK1" s="458" t="s">
        <v>636</v>
      </c>
      <c r="CL1" s="454" t="s">
        <v>637</v>
      </c>
      <c r="CM1" s="445" t="s">
        <v>638</v>
      </c>
      <c r="CN1" s="456" t="s">
        <v>639</v>
      </c>
      <c r="CO1" s="445" t="s">
        <v>640</v>
      </c>
      <c r="CP1" s="456" t="s">
        <v>641</v>
      </c>
      <c r="CQ1" s="445" t="s">
        <v>642</v>
      </c>
      <c r="CR1" s="457" t="s">
        <v>643</v>
      </c>
      <c r="CS1" s="458" t="s">
        <v>644</v>
      </c>
      <c r="CT1" s="454" t="s">
        <v>645</v>
      </c>
      <c r="CU1" s="445" t="s">
        <v>646</v>
      </c>
      <c r="CV1" s="456" t="s">
        <v>647</v>
      </c>
      <c r="CW1" s="445" t="s">
        <v>648</v>
      </c>
      <c r="CX1" s="456" t="s">
        <v>649</v>
      </c>
      <c r="CY1" s="445" t="s">
        <v>650</v>
      </c>
      <c r="CZ1" s="457" t="s">
        <v>651</v>
      </c>
      <c r="DA1" s="458" t="s">
        <v>652</v>
      </c>
      <c r="DB1" s="454" t="s">
        <v>653</v>
      </c>
      <c r="DC1" s="445" t="s">
        <v>654</v>
      </c>
      <c r="DD1" s="456" t="s">
        <v>655</v>
      </c>
      <c r="DE1" s="445" t="s">
        <v>656</v>
      </c>
      <c r="DF1" s="456" t="s">
        <v>657</v>
      </c>
      <c r="DG1" s="445" t="s">
        <v>658</v>
      </c>
      <c r="DH1" s="457" t="s">
        <v>659</v>
      </c>
      <c r="DI1" s="457" t="s">
        <v>660</v>
      </c>
      <c r="DJ1" s="459" t="s">
        <v>661</v>
      </c>
      <c r="DK1" s="460" t="s">
        <v>662</v>
      </c>
      <c r="DL1" s="461" t="s">
        <v>663</v>
      </c>
      <c r="DM1" s="460" t="s">
        <v>664</v>
      </c>
      <c r="DN1" s="1679" t="s">
        <v>4774</v>
      </c>
      <c r="DO1" s="1680" t="s">
        <v>4775</v>
      </c>
      <c r="DP1" s="1681" t="s">
        <v>4776</v>
      </c>
      <c r="DQ1" s="1680" t="s">
        <v>4777</v>
      </c>
      <c r="DR1" s="1681" t="s">
        <v>4778</v>
      </c>
      <c r="DS1" s="1680" t="s">
        <v>4779</v>
      </c>
    </row>
    <row r="2" spans="1:123" ht="94.5">
      <c r="A2" s="1801" t="s">
        <v>666</v>
      </c>
      <c r="B2" s="1788" t="s">
        <v>667</v>
      </c>
      <c r="C2" s="426">
        <v>2022</v>
      </c>
      <c r="D2" s="417" t="s">
        <v>668</v>
      </c>
      <c r="E2" s="1802">
        <v>2076001</v>
      </c>
      <c r="F2" s="1803" t="s">
        <v>667</v>
      </c>
      <c r="G2" s="419">
        <v>45202</v>
      </c>
      <c r="H2" s="1790" t="s">
        <v>669</v>
      </c>
      <c r="I2" s="1791" t="s">
        <v>667</v>
      </c>
      <c r="J2" s="1793" t="s">
        <v>670</v>
      </c>
      <c r="K2" s="1788" t="s">
        <v>667</v>
      </c>
      <c r="L2" s="1791" t="s">
        <v>670</v>
      </c>
      <c r="M2" s="1793" t="s">
        <v>671</v>
      </c>
      <c r="N2" s="1790" t="s">
        <v>86</v>
      </c>
      <c r="O2" s="1793" t="s">
        <v>88</v>
      </c>
      <c r="P2" s="420"/>
      <c r="Q2" s="421" t="s">
        <v>5862</v>
      </c>
      <c r="R2" s="421"/>
      <c r="S2" s="422"/>
      <c r="T2" s="1794"/>
      <c r="U2" s="423">
        <v>3802.404</v>
      </c>
      <c r="V2" s="424">
        <v>79</v>
      </c>
      <c r="W2" s="424">
        <v>0</v>
      </c>
      <c r="X2" s="425"/>
      <c r="Y2" s="426">
        <v>2022</v>
      </c>
      <c r="Z2" s="417">
        <v>2024</v>
      </c>
      <c r="AA2" s="1804">
        <v>2022</v>
      </c>
      <c r="AB2" s="427"/>
      <c r="AC2" s="1793"/>
      <c r="AD2" s="428" t="s">
        <v>5863</v>
      </c>
      <c r="AE2" s="1791" t="s">
        <v>672</v>
      </c>
      <c r="AF2" s="1791" t="s">
        <v>673</v>
      </c>
      <c r="AG2" s="1793" t="s">
        <v>674</v>
      </c>
      <c r="AH2" s="428"/>
      <c r="AI2" s="1793"/>
      <c r="AJ2" s="429">
        <v>2021</v>
      </c>
      <c r="AK2" s="424">
        <v>3100</v>
      </c>
      <c r="AL2" s="424">
        <v>3058</v>
      </c>
      <c r="AM2" s="430">
        <v>0.93</v>
      </c>
      <c r="AN2" s="431" t="s">
        <v>675</v>
      </c>
      <c r="AO2" s="432">
        <v>2024</v>
      </c>
      <c r="AP2" s="425">
        <v>3321</v>
      </c>
      <c r="AQ2" s="433">
        <v>-7.13</v>
      </c>
      <c r="AR2" s="425">
        <v>3225</v>
      </c>
      <c r="AS2" s="433">
        <v>-5.47</v>
      </c>
      <c r="AT2" s="434">
        <v>0.96</v>
      </c>
      <c r="AU2" s="431" t="s">
        <v>675</v>
      </c>
      <c r="AV2" s="435">
        <v>-3.23</v>
      </c>
      <c r="AW2" s="432">
        <v>2022</v>
      </c>
      <c r="AX2" s="425">
        <v>6778</v>
      </c>
      <c r="AY2" s="433">
        <v>-118.65</v>
      </c>
      <c r="AZ2" s="425">
        <v>6763</v>
      </c>
      <c r="BA2" s="433">
        <v>-121.16</v>
      </c>
      <c r="BB2" s="434">
        <v>1.6364075325929504</v>
      </c>
      <c r="BC2" s="431" t="s">
        <v>675</v>
      </c>
      <c r="BD2" s="435">
        <v>-75.959999999999994</v>
      </c>
      <c r="BE2" s="432">
        <v>2023</v>
      </c>
      <c r="BF2" s="425"/>
      <c r="BG2" s="433"/>
      <c r="BH2" s="425"/>
      <c r="BI2" s="433"/>
      <c r="BJ2" s="434"/>
      <c r="BK2" s="431"/>
      <c r="BL2" s="435"/>
      <c r="BM2" s="432">
        <v>2024</v>
      </c>
      <c r="BN2" s="425"/>
      <c r="BO2" s="433"/>
      <c r="BP2" s="425"/>
      <c r="BQ2" s="433"/>
      <c r="BR2" s="434"/>
      <c r="BS2" s="431"/>
      <c r="BT2" s="435"/>
      <c r="BU2" s="1805" t="s">
        <v>687</v>
      </c>
      <c r="BV2" s="1806" t="s">
        <v>728</v>
      </c>
      <c r="BW2" s="1807" t="s">
        <v>688</v>
      </c>
      <c r="BX2" s="1808"/>
      <c r="BY2" s="1809">
        <v>2021</v>
      </c>
      <c r="BZ2" s="424"/>
      <c r="CA2" s="424"/>
      <c r="CB2" s="430"/>
      <c r="CC2" s="431"/>
      <c r="CD2" s="432">
        <v>2024</v>
      </c>
      <c r="CE2" s="425"/>
      <c r="CF2" s="433"/>
      <c r="CG2" s="425"/>
      <c r="CH2" s="433"/>
      <c r="CI2" s="434"/>
      <c r="CJ2" s="431"/>
      <c r="CK2" s="435"/>
      <c r="CL2" s="432">
        <v>2022</v>
      </c>
      <c r="CM2" s="425">
        <v>0</v>
      </c>
      <c r="CN2" s="433"/>
      <c r="CO2" s="425">
        <v>0</v>
      </c>
      <c r="CP2" s="433"/>
      <c r="CQ2" s="434"/>
      <c r="CR2" s="431"/>
      <c r="CS2" s="435"/>
      <c r="CT2" s="432">
        <v>2023</v>
      </c>
      <c r="CU2" s="425"/>
      <c r="CV2" s="433"/>
      <c r="CW2" s="425"/>
      <c r="CX2" s="433"/>
      <c r="CY2" s="434"/>
      <c r="CZ2" s="431"/>
      <c r="DA2" s="435"/>
      <c r="DB2" s="432">
        <v>2024</v>
      </c>
      <c r="DC2" s="425"/>
      <c r="DD2" s="433"/>
      <c r="DE2" s="425"/>
      <c r="DF2" s="433"/>
      <c r="DG2" s="434"/>
      <c r="DH2" s="431"/>
      <c r="DI2" s="435"/>
      <c r="DJ2" s="1805"/>
      <c r="DK2" s="1806"/>
      <c r="DL2" s="1807"/>
      <c r="DM2" s="1808"/>
      <c r="DN2" s="1810">
        <v>0</v>
      </c>
      <c r="DO2" s="1799">
        <v>0</v>
      </c>
      <c r="DP2" s="1800">
        <v>0</v>
      </c>
      <c r="DQ2" s="1799">
        <v>0</v>
      </c>
      <c r="DR2" s="1800">
        <v>0</v>
      </c>
      <c r="DS2" s="1799">
        <v>0</v>
      </c>
    </row>
    <row r="3" spans="1:123" ht="54">
      <c r="A3" s="1801" t="s">
        <v>679</v>
      </c>
      <c r="B3" s="1788" t="s">
        <v>680</v>
      </c>
      <c r="C3" s="426">
        <v>2022</v>
      </c>
      <c r="D3" s="417" t="s">
        <v>681</v>
      </c>
      <c r="E3" s="1802">
        <v>1060004</v>
      </c>
      <c r="F3" s="1803" t="s">
        <v>680</v>
      </c>
      <c r="G3" s="419">
        <v>45131</v>
      </c>
      <c r="H3" s="1790" t="s">
        <v>682</v>
      </c>
      <c r="I3" s="1791" t="s">
        <v>680</v>
      </c>
      <c r="J3" s="1793" t="s">
        <v>4844</v>
      </c>
      <c r="K3" s="1788" t="s">
        <v>680</v>
      </c>
      <c r="L3" s="1791" t="s">
        <v>4844</v>
      </c>
      <c r="M3" s="1793" t="s">
        <v>682</v>
      </c>
      <c r="N3" s="1790" t="s">
        <v>57</v>
      </c>
      <c r="O3" s="1793" t="s">
        <v>68</v>
      </c>
      <c r="P3" s="420" t="s">
        <v>683</v>
      </c>
      <c r="Q3" s="421"/>
      <c r="R3" s="421"/>
      <c r="S3" s="422"/>
      <c r="T3" s="1794"/>
      <c r="U3" s="423">
        <v>4575.0108</v>
      </c>
      <c r="V3" s="424">
        <v>129</v>
      </c>
      <c r="W3" s="424">
        <v>0</v>
      </c>
      <c r="X3" s="425"/>
      <c r="Y3" s="426">
        <v>2022</v>
      </c>
      <c r="Z3" s="417">
        <v>2024</v>
      </c>
      <c r="AA3" s="1804">
        <v>2022</v>
      </c>
      <c r="AB3" s="427"/>
      <c r="AC3" s="1793"/>
      <c r="AD3" s="428" t="s">
        <v>5863</v>
      </c>
      <c r="AE3" s="1791" t="s">
        <v>684</v>
      </c>
      <c r="AF3" s="1791" t="s">
        <v>682</v>
      </c>
      <c r="AG3" s="1793" t="s">
        <v>685</v>
      </c>
      <c r="AH3" s="428"/>
      <c r="AI3" s="1793"/>
      <c r="AJ3" s="429">
        <v>2021</v>
      </c>
      <c r="AK3" s="424">
        <v>8463</v>
      </c>
      <c r="AL3" s="424">
        <v>8473</v>
      </c>
      <c r="AM3" s="430">
        <v>10.79</v>
      </c>
      <c r="AN3" s="431" t="s">
        <v>686</v>
      </c>
      <c r="AO3" s="432">
        <v>2024</v>
      </c>
      <c r="AP3" s="425">
        <v>8300</v>
      </c>
      <c r="AQ3" s="433">
        <v>1.92</v>
      </c>
      <c r="AR3" s="425">
        <v>8312</v>
      </c>
      <c r="AS3" s="433">
        <v>1.9</v>
      </c>
      <c r="AT3" s="434">
        <v>10.58</v>
      </c>
      <c r="AU3" s="431" t="s">
        <v>686</v>
      </c>
      <c r="AV3" s="435">
        <v>1.94</v>
      </c>
      <c r="AW3" s="432">
        <v>2022</v>
      </c>
      <c r="AX3" s="425">
        <v>8355</v>
      </c>
      <c r="AY3" s="433">
        <v>1.27</v>
      </c>
      <c r="AZ3" s="425">
        <v>8357</v>
      </c>
      <c r="BA3" s="433">
        <v>1.36</v>
      </c>
      <c r="BB3" s="434">
        <v>10.353159851301115</v>
      </c>
      <c r="BC3" s="431" t="s">
        <v>686</v>
      </c>
      <c r="BD3" s="435">
        <v>4.04</v>
      </c>
      <c r="BE3" s="432">
        <v>2023</v>
      </c>
      <c r="BF3" s="425"/>
      <c r="BG3" s="433"/>
      <c r="BH3" s="425"/>
      <c r="BI3" s="433"/>
      <c r="BJ3" s="434"/>
      <c r="BK3" s="431"/>
      <c r="BL3" s="435"/>
      <c r="BM3" s="432">
        <v>2024</v>
      </c>
      <c r="BN3" s="425"/>
      <c r="BO3" s="433"/>
      <c r="BP3" s="425"/>
      <c r="BQ3" s="433"/>
      <c r="BR3" s="434"/>
      <c r="BS3" s="431"/>
      <c r="BT3" s="435"/>
      <c r="BU3" s="1805" t="s">
        <v>719</v>
      </c>
      <c r="BV3" s="1806" t="s">
        <v>728</v>
      </c>
      <c r="BW3" s="1807" t="s">
        <v>688</v>
      </c>
      <c r="BX3" s="1808"/>
      <c r="BY3" s="1809">
        <v>2021</v>
      </c>
      <c r="BZ3" s="424"/>
      <c r="CA3" s="424"/>
      <c r="CB3" s="430"/>
      <c r="CC3" s="431"/>
      <c r="CD3" s="432">
        <v>2024</v>
      </c>
      <c r="CE3" s="425"/>
      <c r="CF3" s="433"/>
      <c r="CG3" s="425"/>
      <c r="CH3" s="433"/>
      <c r="CI3" s="434"/>
      <c r="CJ3" s="431"/>
      <c r="CK3" s="435"/>
      <c r="CL3" s="432">
        <v>2022</v>
      </c>
      <c r="CM3" s="425">
        <v>0</v>
      </c>
      <c r="CN3" s="433"/>
      <c r="CO3" s="425">
        <v>0</v>
      </c>
      <c r="CP3" s="433"/>
      <c r="CQ3" s="434"/>
      <c r="CR3" s="431"/>
      <c r="CS3" s="435">
        <v>0</v>
      </c>
      <c r="CT3" s="432">
        <v>2023</v>
      </c>
      <c r="CU3" s="425"/>
      <c r="CV3" s="433"/>
      <c r="CW3" s="425"/>
      <c r="CX3" s="433"/>
      <c r="CY3" s="434"/>
      <c r="CZ3" s="431"/>
      <c r="DA3" s="435"/>
      <c r="DB3" s="432">
        <v>2024</v>
      </c>
      <c r="DC3" s="425"/>
      <c r="DD3" s="433"/>
      <c r="DE3" s="425"/>
      <c r="DF3" s="433"/>
      <c r="DG3" s="434"/>
      <c r="DH3" s="431"/>
      <c r="DI3" s="435"/>
      <c r="DJ3" s="1805"/>
      <c r="DK3" s="1806"/>
      <c r="DL3" s="1807"/>
      <c r="DM3" s="1808"/>
      <c r="DN3" s="1810">
        <v>0</v>
      </c>
      <c r="DO3" s="1799">
        <v>0</v>
      </c>
      <c r="DP3" s="1800">
        <v>8</v>
      </c>
      <c r="DQ3" s="1799">
        <v>8</v>
      </c>
      <c r="DR3" s="1800">
        <v>0</v>
      </c>
      <c r="DS3" s="1799">
        <v>0</v>
      </c>
    </row>
    <row r="4" spans="1:123" ht="67.5">
      <c r="A4" s="1801" t="s">
        <v>689</v>
      </c>
      <c r="B4" s="1788" t="s">
        <v>690</v>
      </c>
      <c r="C4" s="426">
        <v>2022</v>
      </c>
      <c r="D4" s="417" t="s">
        <v>681</v>
      </c>
      <c r="E4" s="1802">
        <v>1075005</v>
      </c>
      <c r="F4" s="1803" t="s">
        <v>690</v>
      </c>
      <c r="G4" s="419">
        <v>45107</v>
      </c>
      <c r="H4" s="1790" t="s">
        <v>691</v>
      </c>
      <c r="I4" s="1791" t="s">
        <v>690</v>
      </c>
      <c r="J4" s="1793" t="s">
        <v>692</v>
      </c>
      <c r="K4" s="1788" t="s">
        <v>690</v>
      </c>
      <c r="L4" s="1791" t="s">
        <v>692</v>
      </c>
      <c r="M4" s="1793" t="s">
        <v>691</v>
      </c>
      <c r="N4" s="1790" t="s">
        <v>86</v>
      </c>
      <c r="O4" s="1793" t="s">
        <v>87</v>
      </c>
      <c r="P4" s="420" t="s">
        <v>683</v>
      </c>
      <c r="Q4" s="421"/>
      <c r="R4" s="421"/>
      <c r="S4" s="422"/>
      <c r="T4" s="1794"/>
      <c r="U4" s="423">
        <v>2044.1081999999999</v>
      </c>
      <c r="V4" s="424">
        <v>5</v>
      </c>
      <c r="W4" s="424">
        <v>1</v>
      </c>
      <c r="X4" s="425"/>
      <c r="Y4" s="426">
        <v>2022</v>
      </c>
      <c r="Z4" s="417">
        <v>2024</v>
      </c>
      <c r="AA4" s="1804">
        <v>2022</v>
      </c>
      <c r="AB4" s="427"/>
      <c r="AC4" s="1793"/>
      <c r="AD4" s="428" t="s">
        <v>5863</v>
      </c>
      <c r="AE4" s="1791" t="s">
        <v>693</v>
      </c>
      <c r="AF4" s="1791" t="s">
        <v>694</v>
      </c>
      <c r="AG4" s="1793" t="s">
        <v>695</v>
      </c>
      <c r="AH4" s="428"/>
      <c r="AI4" s="1793"/>
      <c r="AJ4" s="429">
        <v>2021</v>
      </c>
      <c r="AK4" s="424">
        <v>3750</v>
      </c>
      <c r="AL4" s="424">
        <v>3402</v>
      </c>
      <c r="AM4" s="430">
        <v>10.52</v>
      </c>
      <c r="AN4" s="431" t="s">
        <v>696</v>
      </c>
      <c r="AO4" s="432">
        <v>2024</v>
      </c>
      <c r="AP4" s="425">
        <v>3712</v>
      </c>
      <c r="AQ4" s="433">
        <v>1.01</v>
      </c>
      <c r="AR4" s="425">
        <v>3367</v>
      </c>
      <c r="AS4" s="433">
        <v>1.02</v>
      </c>
      <c r="AT4" s="434">
        <v>10.41</v>
      </c>
      <c r="AU4" s="431" t="s">
        <v>696</v>
      </c>
      <c r="AV4" s="435">
        <v>1.04</v>
      </c>
      <c r="AW4" s="432">
        <v>2022</v>
      </c>
      <c r="AX4" s="425">
        <v>3794</v>
      </c>
      <c r="AY4" s="433">
        <v>-1.18</v>
      </c>
      <c r="AZ4" s="425">
        <v>3668</v>
      </c>
      <c r="BA4" s="433">
        <v>-7.82</v>
      </c>
      <c r="BB4" s="434">
        <v>10.647950522111618</v>
      </c>
      <c r="BC4" s="431" t="s">
        <v>696</v>
      </c>
      <c r="BD4" s="435">
        <v>-1.22</v>
      </c>
      <c r="BE4" s="432">
        <v>2023</v>
      </c>
      <c r="BF4" s="425"/>
      <c r="BG4" s="433"/>
      <c r="BH4" s="425"/>
      <c r="BI4" s="433"/>
      <c r="BJ4" s="434"/>
      <c r="BK4" s="431"/>
      <c r="BL4" s="435"/>
      <c r="BM4" s="432">
        <v>2024</v>
      </c>
      <c r="BN4" s="425"/>
      <c r="BO4" s="433"/>
      <c r="BP4" s="425"/>
      <c r="BQ4" s="433"/>
      <c r="BR4" s="434"/>
      <c r="BS4" s="431"/>
      <c r="BT4" s="435"/>
      <c r="BU4" s="1805" t="s">
        <v>676</v>
      </c>
      <c r="BV4" s="1806" t="s">
        <v>728</v>
      </c>
      <c r="BW4" s="1807" t="s">
        <v>678</v>
      </c>
      <c r="BX4" s="1808" t="s">
        <v>4845</v>
      </c>
      <c r="BY4" s="1809">
        <v>2021</v>
      </c>
      <c r="BZ4" s="424"/>
      <c r="CA4" s="424"/>
      <c r="CB4" s="430"/>
      <c r="CC4" s="431"/>
      <c r="CD4" s="432">
        <v>2024</v>
      </c>
      <c r="CE4" s="425"/>
      <c r="CF4" s="433"/>
      <c r="CG4" s="425"/>
      <c r="CH4" s="433"/>
      <c r="CI4" s="434"/>
      <c r="CJ4" s="431"/>
      <c r="CK4" s="435"/>
      <c r="CL4" s="432">
        <v>2022</v>
      </c>
      <c r="CM4" s="425">
        <v>0</v>
      </c>
      <c r="CN4" s="433"/>
      <c r="CO4" s="425">
        <v>0</v>
      </c>
      <c r="CP4" s="433"/>
      <c r="CQ4" s="434"/>
      <c r="CR4" s="431"/>
      <c r="CS4" s="435">
        <v>0</v>
      </c>
      <c r="CT4" s="432">
        <v>2023</v>
      </c>
      <c r="CU4" s="425"/>
      <c r="CV4" s="433"/>
      <c r="CW4" s="425"/>
      <c r="CX4" s="433"/>
      <c r="CY4" s="434"/>
      <c r="CZ4" s="431"/>
      <c r="DA4" s="435"/>
      <c r="DB4" s="432">
        <v>2024</v>
      </c>
      <c r="DC4" s="425"/>
      <c r="DD4" s="433"/>
      <c r="DE4" s="425"/>
      <c r="DF4" s="433"/>
      <c r="DG4" s="434"/>
      <c r="DH4" s="431"/>
      <c r="DI4" s="435"/>
      <c r="DJ4" s="1805"/>
      <c r="DK4" s="1806"/>
      <c r="DL4" s="1807"/>
      <c r="DM4" s="1808"/>
      <c r="DN4" s="1810">
        <v>0</v>
      </c>
      <c r="DO4" s="1799">
        <v>0</v>
      </c>
      <c r="DP4" s="1800">
        <v>0</v>
      </c>
      <c r="DQ4" s="1799">
        <v>0</v>
      </c>
      <c r="DR4" s="1800">
        <v>0</v>
      </c>
      <c r="DS4" s="1799">
        <v>0</v>
      </c>
    </row>
    <row r="5" spans="1:123" ht="54">
      <c r="A5" s="1801" t="s">
        <v>698</v>
      </c>
      <c r="B5" s="1788" t="s">
        <v>699</v>
      </c>
      <c r="C5" s="426">
        <v>2022</v>
      </c>
      <c r="D5" s="417" t="s">
        <v>681</v>
      </c>
      <c r="E5" s="1802">
        <v>1058006</v>
      </c>
      <c r="F5" s="1803" t="s">
        <v>699</v>
      </c>
      <c r="G5" s="419">
        <v>45104</v>
      </c>
      <c r="H5" s="1790" t="s">
        <v>700</v>
      </c>
      <c r="I5" s="1791" t="s">
        <v>699</v>
      </c>
      <c r="J5" s="1793" t="s">
        <v>701</v>
      </c>
      <c r="K5" s="1788" t="s">
        <v>699</v>
      </c>
      <c r="L5" s="1791" t="s">
        <v>701</v>
      </c>
      <c r="M5" s="1793" t="s">
        <v>700</v>
      </c>
      <c r="N5" s="1790" t="s">
        <v>57</v>
      </c>
      <c r="O5" s="1793" t="s">
        <v>66</v>
      </c>
      <c r="P5" s="420" t="s">
        <v>683</v>
      </c>
      <c r="Q5" s="421"/>
      <c r="R5" s="421"/>
      <c r="S5" s="422"/>
      <c r="T5" s="1794"/>
      <c r="U5" s="423">
        <v>4426.2222000000002</v>
      </c>
      <c r="V5" s="424">
        <v>20</v>
      </c>
      <c r="W5" s="424">
        <v>1</v>
      </c>
      <c r="X5" s="425"/>
      <c r="Y5" s="426">
        <v>2022</v>
      </c>
      <c r="Z5" s="417">
        <v>2024</v>
      </c>
      <c r="AA5" s="1804">
        <v>2022</v>
      </c>
      <c r="AB5" s="427"/>
      <c r="AC5" s="1793"/>
      <c r="AD5" s="428" t="s">
        <v>5863</v>
      </c>
      <c r="AE5" s="1791" t="s">
        <v>702</v>
      </c>
      <c r="AF5" s="1791" t="s">
        <v>700</v>
      </c>
      <c r="AG5" s="1793" t="s">
        <v>703</v>
      </c>
      <c r="AH5" s="428"/>
      <c r="AI5" s="1793"/>
      <c r="AJ5" s="429">
        <v>2021</v>
      </c>
      <c r="AK5" s="424">
        <v>7922</v>
      </c>
      <c r="AL5" s="424">
        <v>7871</v>
      </c>
      <c r="AM5" s="430"/>
      <c r="AN5" s="431"/>
      <c r="AO5" s="432">
        <v>2024</v>
      </c>
      <c r="AP5" s="425">
        <v>7843</v>
      </c>
      <c r="AQ5" s="433">
        <v>0.99</v>
      </c>
      <c r="AR5" s="425">
        <v>7792</v>
      </c>
      <c r="AS5" s="433">
        <v>1</v>
      </c>
      <c r="AT5" s="434"/>
      <c r="AU5" s="431"/>
      <c r="AV5" s="435"/>
      <c r="AW5" s="432">
        <v>2022</v>
      </c>
      <c r="AX5" s="425">
        <v>7864</v>
      </c>
      <c r="AY5" s="433">
        <v>0.73</v>
      </c>
      <c r="AZ5" s="425">
        <v>7846</v>
      </c>
      <c r="BA5" s="433">
        <v>0.31</v>
      </c>
      <c r="BB5" s="434"/>
      <c r="BC5" s="431"/>
      <c r="BD5" s="435"/>
      <c r="BE5" s="432">
        <v>2023</v>
      </c>
      <c r="BF5" s="425"/>
      <c r="BG5" s="433"/>
      <c r="BH5" s="425"/>
      <c r="BI5" s="433"/>
      <c r="BJ5" s="434"/>
      <c r="BK5" s="431"/>
      <c r="BL5" s="435"/>
      <c r="BM5" s="432">
        <v>2024</v>
      </c>
      <c r="BN5" s="425"/>
      <c r="BO5" s="433"/>
      <c r="BP5" s="425"/>
      <c r="BQ5" s="433"/>
      <c r="BR5" s="434"/>
      <c r="BS5" s="431"/>
      <c r="BT5" s="435"/>
      <c r="BU5" s="1805" t="s">
        <v>687</v>
      </c>
      <c r="BV5" s="1806" t="s">
        <v>728</v>
      </c>
      <c r="BW5" s="1807" t="s">
        <v>688</v>
      </c>
      <c r="BX5" s="1808"/>
      <c r="BY5" s="1809">
        <v>2021</v>
      </c>
      <c r="BZ5" s="424"/>
      <c r="CA5" s="424"/>
      <c r="CB5" s="430"/>
      <c r="CC5" s="431"/>
      <c r="CD5" s="432">
        <v>2024</v>
      </c>
      <c r="CE5" s="425"/>
      <c r="CF5" s="433"/>
      <c r="CG5" s="425"/>
      <c r="CH5" s="433"/>
      <c r="CI5" s="434"/>
      <c r="CJ5" s="431"/>
      <c r="CK5" s="435"/>
      <c r="CL5" s="432">
        <v>2022</v>
      </c>
      <c r="CM5" s="425">
        <v>0</v>
      </c>
      <c r="CN5" s="433"/>
      <c r="CO5" s="425">
        <v>0</v>
      </c>
      <c r="CP5" s="433"/>
      <c r="CQ5" s="434"/>
      <c r="CR5" s="431"/>
      <c r="CS5" s="435"/>
      <c r="CT5" s="432">
        <v>2023</v>
      </c>
      <c r="CU5" s="425"/>
      <c r="CV5" s="433"/>
      <c r="CW5" s="425"/>
      <c r="CX5" s="433"/>
      <c r="CY5" s="434"/>
      <c r="CZ5" s="431"/>
      <c r="DA5" s="435"/>
      <c r="DB5" s="432">
        <v>2024</v>
      </c>
      <c r="DC5" s="425"/>
      <c r="DD5" s="433"/>
      <c r="DE5" s="425"/>
      <c r="DF5" s="433"/>
      <c r="DG5" s="434"/>
      <c r="DH5" s="431"/>
      <c r="DI5" s="435"/>
      <c r="DJ5" s="1805"/>
      <c r="DK5" s="1806"/>
      <c r="DL5" s="1807"/>
      <c r="DM5" s="1808"/>
      <c r="DN5" s="1810">
        <v>0</v>
      </c>
      <c r="DO5" s="1799">
        <v>0</v>
      </c>
      <c r="DP5" s="1800">
        <v>0</v>
      </c>
      <c r="DQ5" s="1799">
        <v>0</v>
      </c>
      <c r="DR5" s="1800">
        <v>0</v>
      </c>
      <c r="DS5" s="1799">
        <v>0</v>
      </c>
    </row>
    <row r="6" spans="1:123" ht="67.5">
      <c r="A6" s="1801" t="s">
        <v>704</v>
      </c>
      <c r="B6" s="1788" t="s">
        <v>705</v>
      </c>
      <c r="C6" s="426">
        <v>2022</v>
      </c>
      <c r="D6" s="417" t="s">
        <v>681</v>
      </c>
      <c r="E6" s="1802">
        <v>1039007</v>
      </c>
      <c r="F6" s="1803" t="s">
        <v>705</v>
      </c>
      <c r="G6" s="419">
        <v>45120</v>
      </c>
      <c r="H6" s="1790" t="s">
        <v>706</v>
      </c>
      <c r="I6" s="1791" t="s">
        <v>705</v>
      </c>
      <c r="J6" s="1793" t="s">
        <v>707</v>
      </c>
      <c r="K6" s="1788" t="s">
        <v>705</v>
      </c>
      <c r="L6" s="1791" t="s">
        <v>707</v>
      </c>
      <c r="M6" s="1793" t="s">
        <v>706</v>
      </c>
      <c r="N6" s="1790" t="s">
        <v>42</v>
      </c>
      <c r="O6" s="1793" t="s">
        <v>45</v>
      </c>
      <c r="P6" s="420" t="s">
        <v>683</v>
      </c>
      <c r="Q6" s="421"/>
      <c r="R6" s="421"/>
      <c r="S6" s="422"/>
      <c r="T6" s="1794"/>
      <c r="U6" s="423">
        <v>1660.1525999999999</v>
      </c>
      <c r="V6" s="424">
        <v>2</v>
      </c>
      <c r="W6" s="424">
        <v>1</v>
      </c>
      <c r="X6" s="425"/>
      <c r="Y6" s="426">
        <v>2022</v>
      </c>
      <c r="Z6" s="417">
        <v>2024</v>
      </c>
      <c r="AA6" s="1804">
        <v>2022</v>
      </c>
      <c r="AB6" s="427"/>
      <c r="AC6" s="1793"/>
      <c r="AD6" s="428" t="s">
        <v>5863</v>
      </c>
      <c r="AE6" s="1791" t="s">
        <v>708</v>
      </c>
      <c r="AF6" s="1791" t="s">
        <v>709</v>
      </c>
      <c r="AG6" s="1793" t="s">
        <v>710</v>
      </c>
      <c r="AH6" s="428"/>
      <c r="AI6" s="1793"/>
      <c r="AJ6" s="429">
        <v>2021</v>
      </c>
      <c r="AK6" s="424">
        <v>3426</v>
      </c>
      <c r="AL6" s="424">
        <v>3395</v>
      </c>
      <c r="AM6" s="430"/>
      <c r="AN6" s="431"/>
      <c r="AO6" s="432">
        <v>2024</v>
      </c>
      <c r="AP6" s="425">
        <v>3323</v>
      </c>
      <c r="AQ6" s="433">
        <v>3</v>
      </c>
      <c r="AR6" s="425">
        <v>3293</v>
      </c>
      <c r="AS6" s="433">
        <v>3</v>
      </c>
      <c r="AT6" s="434"/>
      <c r="AU6" s="431"/>
      <c r="AV6" s="435"/>
      <c r="AW6" s="432">
        <v>2022</v>
      </c>
      <c r="AX6" s="425">
        <v>3037</v>
      </c>
      <c r="AY6" s="433">
        <v>11.35</v>
      </c>
      <c r="AZ6" s="425">
        <v>3031</v>
      </c>
      <c r="BA6" s="433">
        <v>10.72</v>
      </c>
      <c r="BB6" s="434"/>
      <c r="BC6" s="431"/>
      <c r="BD6" s="435"/>
      <c r="BE6" s="432">
        <v>2023</v>
      </c>
      <c r="BF6" s="425"/>
      <c r="BG6" s="433"/>
      <c r="BH6" s="425"/>
      <c r="BI6" s="433"/>
      <c r="BJ6" s="434"/>
      <c r="BK6" s="431"/>
      <c r="BL6" s="435"/>
      <c r="BM6" s="432">
        <v>2024</v>
      </c>
      <c r="BN6" s="425"/>
      <c r="BO6" s="433"/>
      <c r="BP6" s="425"/>
      <c r="BQ6" s="433"/>
      <c r="BR6" s="434"/>
      <c r="BS6" s="431"/>
      <c r="BT6" s="435"/>
      <c r="BU6" s="1805" t="s">
        <v>687</v>
      </c>
      <c r="BV6" s="1806" t="s">
        <v>728</v>
      </c>
      <c r="BW6" s="1807" t="s">
        <v>697</v>
      </c>
      <c r="BX6" s="1808" t="s">
        <v>711</v>
      </c>
      <c r="BY6" s="1809">
        <v>2021</v>
      </c>
      <c r="BZ6" s="424"/>
      <c r="CA6" s="424"/>
      <c r="CB6" s="430"/>
      <c r="CC6" s="431"/>
      <c r="CD6" s="432">
        <v>2024</v>
      </c>
      <c r="CE6" s="425"/>
      <c r="CF6" s="433"/>
      <c r="CG6" s="425"/>
      <c r="CH6" s="433"/>
      <c r="CI6" s="434"/>
      <c r="CJ6" s="431"/>
      <c r="CK6" s="435"/>
      <c r="CL6" s="432">
        <v>2022</v>
      </c>
      <c r="CM6" s="425">
        <v>0</v>
      </c>
      <c r="CN6" s="433"/>
      <c r="CO6" s="425">
        <v>0</v>
      </c>
      <c r="CP6" s="433"/>
      <c r="CQ6" s="434"/>
      <c r="CR6" s="431"/>
      <c r="CS6" s="435">
        <v>0</v>
      </c>
      <c r="CT6" s="432">
        <v>2023</v>
      </c>
      <c r="CU6" s="425"/>
      <c r="CV6" s="433"/>
      <c r="CW6" s="425"/>
      <c r="CX6" s="433"/>
      <c r="CY6" s="434"/>
      <c r="CZ6" s="431"/>
      <c r="DA6" s="435"/>
      <c r="DB6" s="432">
        <v>2024</v>
      </c>
      <c r="DC6" s="425"/>
      <c r="DD6" s="433"/>
      <c r="DE6" s="425"/>
      <c r="DF6" s="433"/>
      <c r="DG6" s="434"/>
      <c r="DH6" s="431"/>
      <c r="DI6" s="435"/>
      <c r="DJ6" s="1805"/>
      <c r="DK6" s="1806"/>
      <c r="DL6" s="1807"/>
      <c r="DM6" s="1808"/>
      <c r="DN6" s="1810">
        <v>0</v>
      </c>
      <c r="DO6" s="1799">
        <v>0</v>
      </c>
      <c r="DP6" s="1800">
        <v>0</v>
      </c>
      <c r="DQ6" s="1799">
        <v>0</v>
      </c>
      <c r="DR6" s="1800">
        <v>0</v>
      </c>
      <c r="DS6" s="1799">
        <v>0</v>
      </c>
    </row>
    <row r="7" spans="1:123" ht="54">
      <c r="A7" s="1801" t="s">
        <v>712</v>
      </c>
      <c r="B7" s="1788" t="s">
        <v>713</v>
      </c>
      <c r="C7" s="426">
        <v>2022</v>
      </c>
      <c r="D7" s="417" t="s">
        <v>714</v>
      </c>
      <c r="E7" s="1802">
        <v>3043008</v>
      </c>
      <c r="F7" s="1803" t="s">
        <v>713</v>
      </c>
      <c r="G7" s="419">
        <v>45135</v>
      </c>
      <c r="H7" s="1790" t="s">
        <v>715</v>
      </c>
      <c r="I7" s="1791" t="s">
        <v>713</v>
      </c>
      <c r="J7" s="1793" t="s">
        <v>716</v>
      </c>
      <c r="K7" s="1788" t="s">
        <v>713</v>
      </c>
      <c r="L7" s="1791" t="s">
        <v>716</v>
      </c>
      <c r="M7" s="1793" t="s">
        <v>715</v>
      </c>
      <c r="N7" s="1790" t="s">
        <v>48</v>
      </c>
      <c r="O7" s="1793" t="s">
        <v>50</v>
      </c>
      <c r="P7" s="420"/>
      <c r="Q7" s="421"/>
      <c r="R7" s="421" t="s">
        <v>717</v>
      </c>
      <c r="S7" s="422"/>
      <c r="T7" s="1794"/>
      <c r="U7" s="423"/>
      <c r="V7" s="424"/>
      <c r="W7" s="424"/>
      <c r="X7" s="425">
        <v>152</v>
      </c>
      <c r="Y7" s="426">
        <v>2022</v>
      </c>
      <c r="Z7" s="417">
        <v>2024</v>
      </c>
      <c r="AA7" s="1804">
        <v>2022</v>
      </c>
      <c r="AB7" s="427"/>
      <c r="AC7" s="1793"/>
      <c r="AD7" s="428" t="s">
        <v>5863</v>
      </c>
      <c r="AE7" s="1791" t="s">
        <v>713</v>
      </c>
      <c r="AF7" s="1791" t="s">
        <v>715</v>
      </c>
      <c r="AG7" s="1793" t="s">
        <v>718</v>
      </c>
      <c r="AH7" s="428"/>
      <c r="AI7" s="1793"/>
      <c r="AJ7" s="429">
        <v>2021</v>
      </c>
      <c r="AK7" s="424">
        <v>0</v>
      </c>
      <c r="AL7" s="424"/>
      <c r="AM7" s="430"/>
      <c r="AN7" s="431"/>
      <c r="AO7" s="432">
        <v>2024</v>
      </c>
      <c r="AP7" s="425">
        <v>0</v>
      </c>
      <c r="AQ7" s="433"/>
      <c r="AR7" s="425">
        <v>0</v>
      </c>
      <c r="AS7" s="433"/>
      <c r="AT7" s="434"/>
      <c r="AU7" s="431"/>
      <c r="AV7" s="435"/>
      <c r="AW7" s="432">
        <v>2022</v>
      </c>
      <c r="AX7" s="425"/>
      <c r="AY7" s="433"/>
      <c r="AZ7" s="425"/>
      <c r="BA7" s="433"/>
      <c r="BB7" s="434"/>
      <c r="BC7" s="431"/>
      <c r="BD7" s="435"/>
      <c r="BE7" s="432">
        <v>2023</v>
      </c>
      <c r="BF7" s="425"/>
      <c r="BG7" s="433"/>
      <c r="BH7" s="425"/>
      <c r="BI7" s="433"/>
      <c r="BJ7" s="434"/>
      <c r="BK7" s="431"/>
      <c r="BL7" s="435"/>
      <c r="BM7" s="432">
        <v>2024</v>
      </c>
      <c r="BN7" s="425"/>
      <c r="BO7" s="433"/>
      <c r="BP7" s="425"/>
      <c r="BQ7" s="433"/>
      <c r="BR7" s="434"/>
      <c r="BS7" s="431"/>
      <c r="BT7" s="435"/>
      <c r="BU7" s="1805"/>
      <c r="BV7" s="1806"/>
      <c r="BW7" s="1807"/>
      <c r="BX7" s="1808"/>
      <c r="BY7" s="1809">
        <v>2021</v>
      </c>
      <c r="BZ7" s="424">
        <v>1948</v>
      </c>
      <c r="CA7" s="424">
        <v>1948</v>
      </c>
      <c r="CB7" s="430"/>
      <c r="CC7" s="431"/>
      <c r="CD7" s="432">
        <v>2024</v>
      </c>
      <c r="CE7" s="425">
        <v>1798</v>
      </c>
      <c r="CF7" s="433">
        <v>7.7</v>
      </c>
      <c r="CG7" s="425">
        <v>1798</v>
      </c>
      <c r="CH7" s="433">
        <v>7.7</v>
      </c>
      <c r="CI7" s="434"/>
      <c r="CJ7" s="431"/>
      <c r="CK7" s="435"/>
      <c r="CL7" s="432">
        <v>2022</v>
      </c>
      <c r="CM7" s="425">
        <v>2040.3448328000002</v>
      </c>
      <c r="CN7" s="433">
        <v>-4.75</v>
      </c>
      <c r="CO7" s="425">
        <v>2040.3448328000002</v>
      </c>
      <c r="CP7" s="433">
        <v>-4.75</v>
      </c>
      <c r="CQ7" s="434"/>
      <c r="CR7" s="431"/>
      <c r="CS7" s="435"/>
      <c r="CT7" s="432">
        <v>2023</v>
      </c>
      <c r="CU7" s="425"/>
      <c r="CV7" s="433"/>
      <c r="CW7" s="425"/>
      <c r="CX7" s="433"/>
      <c r="CY7" s="434"/>
      <c r="CZ7" s="431"/>
      <c r="DA7" s="435"/>
      <c r="DB7" s="432">
        <v>2024</v>
      </c>
      <c r="DC7" s="425"/>
      <c r="DD7" s="433"/>
      <c r="DE7" s="425"/>
      <c r="DF7" s="433"/>
      <c r="DG7" s="434"/>
      <c r="DH7" s="431"/>
      <c r="DI7" s="435"/>
      <c r="DJ7" s="1805" t="s">
        <v>676</v>
      </c>
      <c r="DK7" s="1806" t="s">
        <v>728</v>
      </c>
      <c r="DL7" s="1807" t="s">
        <v>678</v>
      </c>
      <c r="DM7" s="1808" t="s">
        <v>4846</v>
      </c>
      <c r="DN7" s="1810">
        <v>0</v>
      </c>
      <c r="DO7" s="1799">
        <v>0</v>
      </c>
      <c r="DP7" s="1800">
        <v>0</v>
      </c>
      <c r="DQ7" s="1799">
        <v>0</v>
      </c>
      <c r="DR7" s="1800">
        <v>0</v>
      </c>
      <c r="DS7" s="1799">
        <v>0</v>
      </c>
    </row>
    <row r="8" spans="1:123" ht="54">
      <c r="A8" s="1801" t="s">
        <v>720</v>
      </c>
      <c r="B8" s="1788" t="s">
        <v>721</v>
      </c>
      <c r="C8" s="426">
        <v>2022</v>
      </c>
      <c r="D8" s="417" t="s">
        <v>681</v>
      </c>
      <c r="E8" s="1802">
        <v>1024010</v>
      </c>
      <c r="F8" s="1803" t="s">
        <v>721</v>
      </c>
      <c r="G8" s="419">
        <v>45133</v>
      </c>
      <c r="H8" s="1790" t="s">
        <v>722</v>
      </c>
      <c r="I8" s="1791" t="s">
        <v>721</v>
      </c>
      <c r="J8" s="1793" t="s">
        <v>723</v>
      </c>
      <c r="K8" s="1788" t="s">
        <v>721</v>
      </c>
      <c r="L8" s="1791" t="s">
        <v>723</v>
      </c>
      <c r="M8" s="1793" t="s">
        <v>722</v>
      </c>
      <c r="N8" s="1790" t="s">
        <v>12</v>
      </c>
      <c r="O8" s="1793" t="s">
        <v>28</v>
      </c>
      <c r="P8" s="420" t="s">
        <v>683</v>
      </c>
      <c r="Q8" s="421"/>
      <c r="R8" s="421"/>
      <c r="S8" s="422"/>
      <c r="T8" s="1794"/>
      <c r="U8" s="423">
        <v>3424.4598000000001</v>
      </c>
      <c r="V8" s="424">
        <v>2</v>
      </c>
      <c r="W8" s="424">
        <v>2</v>
      </c>
      <c r="X8" s="425"/>
      <c r="Y8" s="426">
        <v>2022</v>
      </c>
      <c r="Z8" s="417">
        <v>2024</v>
      </c>
      <c r="AA8" s="1804">
        <v>2022</v>
      </c>
      <c r="AB8" s="427"/>
      <c r="AC8" s="1793"/>
      <c r="AD8" s="428" t="s">
        <v>5863</v>
      </c>
      <c r="AE8" s="1791" t="s">
        <v>724</v>
      </c>
      <c r="AF8" s="1791" t="s">
        <v>725</v>
      </c>
      <c r="AG8" s="1793" t="s">
        <v>726</v>
      </c>
      <c r="AH8" s="428"/>
      <c r="AI8" s="1793"/>
      <c r="AJ8" s="429">
        <v>2021</v>
      </c>
      <c r="AK8" s="424">
        <v>6149</v>
      </c>
      <c r="AL8" s="424">
        <v>5727</v>
      </c>
      <c r="AM8" s="430">
        <v>4.3899999999999997</v>
      </c>
      <c r="AN8" s="431" t="s">
        <v>727</v>
      </c>
      <c r="AO8" s="432">
        <v>2024</v>
      </c>
      <c r="AP8" s="425">
        <v>5965</v>
      </c>
      <c r="AQ8" s="433">
        <v>2.99</v>
      </c>
      <c r="AR8" s="425">
        <v>5555</v>
      </c>
      <c r="AS8" s="433">
        <v>3</v>
      </c>
      <c r="AT8" s="434">
        <v>4.26</v>
      </c>
      <c r="AU8" s="431" t="s">
        <v>727</v>
      </c>
      <c r="AV8" s="435">
        <v>2.96</v>
      </c>
      <c r="AW8" s="432">
        <v>2022</v>
      </c>
      <c r="AX8" s="425">
        <v>6121</v>
      </c>
      <c r="AY8" s="433">
        <v>0.45</v>
      </c>
      <c r="AZ8" s="425">
        <v>6353</v>
      </c>
      <c r="BA8" s="433">
        <v>-10.94</v>
      </c>
      <c r="BB8" s="434">
        <v>4.521113548568179</v>
      </c>
      <c r="BC8" s="431" t="s">
        <v>727</v>
      </c>
      <c r="BD8" s="435">
        <v>-2.99</v>
      </c>
      <c r="BE8" s="432">
        <v>2023</v>
      </c>
      <c r="BF8" s="425"/>
      <c r="BG8" s="433"/>
      <c r="BH8" s="425"/>
      <c r="BI8" s="433"/>
      <c r="BJ8" s="434"/>
      <c r="BK8" s="431"/>
      <c r="BL8" s="435"/>
      <c r="BM8" s="432">
        <v>2024</v>
      </c>
      <c r="BN8" s="425"/>
      <c r="BO8" s="433"/>
      <c r="BP8" s="425"/>
      <c r="BQ8" s="433"/>
      <c r="BR8" s="434"/>
      <c r="BS8" s="431"/>
      <c r="BT8" s="435"/>
      <c r="BU8" s="1805" t="s">
        <v>676</v>
      </c>
      <c r="BV8" s="1806" t="s">
        <v>677</v>
      </c>
      <c r="BW8" s="1807" t="s">
        <v>697</v>
      </c>
      <c r="BX8" s="1808" t="s">
        <v>4847</v>
      </c>
      <c r="BY8" s="1809">
        <v>2021</v>
      </c>
      <c r="BZ8" s="424"/>
      <c r="CA8" s="424"/>
      <c r="CB8" s="430"/>
      <c r="CC8" s="431"/>
      <c r="CD8" s="432">
        <v>2024</v>
      </c>
      <c r="CE8" s="425"/>
      <c r="CF8" s="433"/>
      <c r="CG8" s="425"/>
      <c r="CH8" s="433"/>
      <c r="CI8" s="434"/>
      <c r="CJ8" s="431"/>
      <c r="CK8" s="435"/>
      <c r="CL8" s="432">
        <v>2022</v>
      </c>
      <c r="CM8" s="425">
        <v>0</v>
      </c>
      <c r="CN8" s="433"/>
      <c r="CO8" s="425">
        <v>0</v>
      </c>
      <c r="CP8" s="433"/>
      <c r="CQ8" s="434"/>
      <c r="CR8" s="431"/>
      <c r="CS8" s="435"/>
      <c r="CT8" s="432">
        <v>2023</v>
      </c>
      <c r="CU8" s="425"/>
      <c r="CV8" s="433"/>
      <c r="CW8" s="425"/>
      <c r="CX8" s="433"/>
      <c r="CY8" s="434"/>
      <c r="CZ8" s="431"/>
      <c r="DA8" s="435"/>
      <c r="DB8" s="432">
        <v>2024</v>
      </c>
      <c r="DC8" s="425"/>
      <c r="DD8" s="433"/>
      <c r="DE8" s="425"/>
      <c r="DF8" s="433"/>
      <c r="DG8" s="434"/>
      <c r="DH8" s="431"/>
      <c r="DI8" s="435"/>
      <c r="DJ8" s="1805"/>
      <c r="DK8" s="1806"/>
      <c r="DL8" s="1807"/>
      <c r="DM8" s="1808"/>
      <c r="DN8" s="1810">
        <v>0</v>
      </c>
      <c r="DO8" s="1799">
        <v>0</v>
      </c>
      <c r="DP8" s="1800">
        <v>0</v>
      </c>
      <c r="DQ8" s="1799">
        <v>0</v>
      </c>
      <c r="DR8" s="1800">
        <v>0</v>
      </c>
      <c r="DS8" s="1799">
        <v>0</v>
      </c>
    </row>
    <row r="9" spans="1:123" ht="67.5">
      <c r="A9" s="1801" t="s">
        <v>729</v>
      </c>
      <c r="B9" s="1788" t="s">
        <v>730</v>
      </c>
      <c r="C9" s="426">
        <v>2022</v>
      </c>
      <c r="D9" s="417" t="s">
        <v>714</v>
      </c>
      <c r="E9" s="1802">
        <v>3043012</v>
      </c>
      <c r="F9" s="1803" t="s">
        <v>730</v>
      </c>
      <c r="G9" s="419">
        <v>45097</v>
      </c>
      <c r="H9" s="1790" t="s">
        <v>731</v>
      </c>
      <c r="I9" s="1791" t="s">
        <v>730</v>
      </c>
      <c r="J9" s="1793" t="s">
        <v>732</v>
      </c>
      <c r="K9" s="1788" t="s">
        <v>730</v>
      </c>
      <c r="L9" s="1791" t="s">
        <v>732</v>
      </c>
      <c r="M9" s="1793" t="s">
        <v>731</v>
      </c>
      <c r="N9" s="1790" t="s">
        <v>48</v>
      </c>
      <c r="O9" s="1793" t="s">
        <v>50</v>
      </c>
      <c r="P9" s="420"/>
      <c r="Q9" s="421"/>
      <c r="R9" s="421" t="s">
        <v>717</v>
      </c>
      <c r="S9" s="422"/>
      <c r="T9" s="1794"/>
      <c r="U9" s="423"/>
      <c r="V9" s="424"/>
      <c r="W9" s="424"/>
      <c r="X9" s="425">
        <v>111</v>
      </c>
      <c r="Y9" s="426">
        <v>2022</v>
      </c>
      <c r="Z9" s="417">
        <v>2024</v>
      </c>
      <c r="AA9" s="1804">
        <v>2022</v>
      </c>
      <c r="AB9" s="427"/>
      <c r="AC9" s="1793"/>
      <c r="AD9" s="428" t="s">
        <v>5863</v>
      </c>
      <c r="AE9" s="1791" t="s">
        <v>733</v>
      </c>
      <c r="AF9" s="1791" t="s">
        <v>734</v>
      </c>
      <c r="AG9" s="1793" t="s">
        <v>735</v>
      </c>
      <c r="AH9" s="428"/>
      <c r="AI9" s="1793"/>
      <c r="AJ9" s="429">
        <v>2021</v>
      </c>
      <c r="AK9" s="424">
        <v>0</v>
      </c>
      <c r="AL9" s="424"/>
      <c r="AM9" s="430"/>
      <c r="AN9" s="431"/>
      <c r="AO9" s="432">
        <v>2024</v>
      </c>
      <c r="AP9" s="425">
        <v>0</v>
      </c>
      <c r="AQ9" s="433"/>
      <c r="AR9" s="425">
        <v>0</v>
      </c>
      <c r="AS9" s="433"/>
      <c r="AT9" s="434"/>
      <c r="AU9" s="431"/>
      <c r="AV9" s="435"/>
      <c r="AW9" s="432">
        <v>2022</v>
      </c>
      <c r="AX9" s="425"/>
      <c r="AY9" s="433"/>
      <c r="AZ9" s="425"/>
      <c r="BA9" s="433"/>
      <c r="BB9" s="434"/>
      <c r="BC9" s="431"/>
      <c r="BD9" s="435">
        <v>0</v>
      </c>
      <c r="BE9" s="432">
        <v>2023</v>
      </c>
      <c r="BF9" s="425"/>
      <c r="BG9" s="433"/>
      <c r="BH9" s="425"/>
      <c r="BI9" s="433"/>
      <c r="BJ9" s="434"/>
      <c r="BK9" s="431"/>
      <c r="BL9" s="435"/>
      <c r="BM9" s="432">
        <v>2024</v>
      </c>
      <c r="BN9" s="425"/>
      <c r="BO9" s="433"/>
      <c r="BP9" s="425"/>
      <c r="BQ9" s="433"/>
      <c r="BR9" s="434"/>
      <c r="BS9" s="431"/>
      <c r="BT9" s="435"/>
      <c r="BU9" s="1805"/>
      <c r="BV9" s="1806"/>
      <c r="BW9" s="1807"/>
      <c r="BX9" s="1808"/>
      <c r="BY9" s="1809">
        <v>2021</v>
      </c>
      <c r="BZ9" s="424">
        <v>1208</v>
      </c>
      <c r="CA9" s="424">
        <v>1208</v>
      </c>
      <c r="CB9" s="430">
        <v>0.28000000000000003</v>
      </c>
      <c r="CC9" s="431" t="s">
        <v>736</v>
      </c>
      <c r="CD9" s="432">
        <v>2024</v>
      </c>
      <c r="CE9" s="425">
        <v>1570</v>
      </c>
      <c r="CF9" s="433">
        <v>-29.97</v>
      </c>
      <c r="CG9" s="425">
        <v>1570</v>
      </c>
      <c r="CH9" s="433">
        <v>-29.97</v>
      </c>
      <c r="CI9" s="434">
        <v>0.27</v>
      </c>
      <c r="CJ9" s="431" t="s">
        <v>736</v>
      </c>
      <c r="CK9" s="435">
        <v>3.57</v>
      </c>
      <c r="CL9" s="432">
        <v>2022</v>
      </c>
      <c r="CM9" s="425">
        <v>1299.4940800000002</v>
      </c>
      <c r="CN9" s="433">
        <v>-7.58</v>
      </c>
      <c r="CO9" s="425">
        <v>1299.4940800000002</v>
      </c>
      <c r="CP9" s="433">
        <v>-7.58</v>
      </c>
      <c r="CQ9" s="434">
        <v>0.25106596389772851</v>
      </c>
      <c r="CR9" s="431" t="s">
        <v>736</v>
      </c>
      <c r="CS9" s="435">
        <v>10.33</v>
      </c>
      <c r="CT9" s="432">
        <v>2023</v>
      </c>
      <c r="CU9" s="425"/>
      <c r="CV9" s="433"/>
      <c r="CW9" s="425"/>
      <c r="CX9" s="433"/>
      <c r="CY9" s="434"/>
      <c r="CZ9" s="431"/>
      <c r="DA9" s="435"/>
      <c r="DB9" s="432">
        <v>2024</v>
      </c>
      <c r="DC9" s="425"/>
      <c r="DD9" s="433"/>
      <c r="DE9" s="425"/>
      <c r="DF9" s="433"/>
      <c r="DG9" s="434"/>
      <c r="DH9" s="431"/>
      <c r="DI9" s="435"/>
      <c r="DJ9" s="1805" t="s">
        <v>687</v>
      </c>
      <c r="DK9" s="1806" t="s">
        <v>728</v>
      </c>
      <c r="DL9" s="1807" t="s">
        <v>678</v>
      </c>
      <c r="DM9" s="1808" t="s">
        <v>4848</v>
      </c>
      <c r="DN9" s="1810">
        <v>0</v>
      </c>
      <c r="DO9" s="1799">
        <v>0</v>
      </c>
      <c r="DP9" s="1800">
        <v>0</v>
      </c>
      <c r="DQ9" s="1799">
        <v>0</v>
      </c>
      <c r="DR9" s="1800">
        <v>0</v>
      </c>
      <c r="DS9" s="1799">
        <v>0</v>
      </c>
    </row>
    <row r="10" spans="1:123" ht="54">
      <c r="A10" s="1801" t="s">
        <v>737</v>
      </c>
      <c r="B10" s="1788" t="s">
        <v>738</v>
      </c>
      <c r="C10" s="426">
        <v>2022</v>
      </c>
      <c r="D10" s="417" t="s">
        <v>681</v>
      </c>
      <c r="E10" s="1802">
        <v>1006013</v>
      </c>
      <c r="F10" s="1803" t="s">
        <v>738</v>
      </c>
      <c r="G10" s="419">
        <v>45133</v>
      </c>
      <c r="H10" s="1790" t="s">
        <v>739</v>
      </c>
      <c r="I10" s="1791" t="s">
        <v>738</v>
      </c>
      <c r="J10" s="1793" t="s">
        <v>740</v>
      </c>
      <c r="K10" s="1788" t="s">
        <v>738</v>
      </c>
      <c r="L10" s="1791" t="s">
        <v>740</v>
      </c>
      <c r="M10" s="1793" t="s">
        <v>741</v>
      </c>
      <c r="N10" s="1790" t="s">
        <v>8</v>
      </c>
      <c r="O10" s="1793" t="s">
        <v>9</v>
      </c>
      <c r="P10" s="420" t="s">
        <v>683</v>
      </c>
      <c r="Q10" s="421"/>
      <c r="R10" s="421"/>
      <c r="S10" s="422"/>
      <c r="T10" s="1794"/>
      <c r="U10" s="423">
        <v>3564.2183999999997</v>
      </c>
      <c r="V10" s="424">
        <v>5</v>
      </c>
      <c r="W10" s="424">
        <v>2</v>
      </c>
      <c r="X10" s="425"/>
      <c r="Y10" s="426">
        <v>2022</v>
      </c>
      <c r="Z10" s="417">
        <v>2024</v>
      </c>
      <c r="AA10" s="1804">
        <v>2022</v>
      </c>
      <c r="AB10" s="427"/>
      <c r="AC10" s="1793"/>
      <c r="AD10" s="428" t="s">
        <v>5863</v>
      </c>
      <c r="AE10" s="1791" t="s">
        <v>742</v>
      </c>
      <c r="AF10" s="1791" t="s">
        <v>743</v>
      </c>
      <c r="AG10" s="1793" t="s">
        <v>695</v>
      </c>
      <c r="AH10" s="428"/>
      <c r="AI10" s="1793"/>
      <c r="AJ10" s="429">
        <v>2021</v>
      </c>
      <c r="AK10" s="424">
        <v>7421</v>
      </c>
      <c r="AL10" s="424">
        <v>7405</v>
      </c>
      <c r="AM10" s="430"/>
      <c r="AN10" s="431"/>
      <c r="AO10" s="432">
        <v>2024</v>
      </c>
      <c r="AP10" s="425">
        <v>7310</v>
      </c>
      <c r="AQ10" s="433">
        <v>1.49</v>
      </c>
      <c r="AR10" s="425">
        <v>7294</v>
      </c>
      <c r="AS10" s="433">
        <v>1.49</v>
      </c>
      <c r="AT10" s="434"/>
      <c r="AU10" s="431"/>
      <c r="AV10" s="435"/>
      <c r="AW10" s="432">
        <v>2022</v>
      </c>
      <c r="AX10" s="425">
        <v>6945</v>
      </c>
      <c r="AY10" s="433">
        <v>6.41</v>
      </c>
      <c r="AZ10" s="425">
        <v>5350</v>
      </c>
      <c r="BA10" s="433">
        <v>27.75</v>
      </c>
      <c r="BB10" s="434"/>
      <c r="BC10" s="431"/>
      <c r="BD10" s="435"/>
      <c r="BE10" s="432">
        <v>2023</v>
      </c>
      <c r="BF10" s="425"/>
      <c r="BG10" s="433"/>
      <c r="BH10" s="425"/>
      <c r="BI10" s="433"/>
      <c r="BJ10" s="434"/>
      <c r="BK10" s="431"/>
      <c r="BL10" s="435"/>
      <c r="BM10" s="432">
        <v>2024</v>
      </c>
      <c r="BN10" s="425"/>
      <c r="BO10" s="433"/>
      <c r="BP10" s="425"/>
      <c r="BQ10" s="433"/>
      <c r="BR10" s="434"/>
      <c r="BS10" s="431"/>
      <c r="BT10" s="435"/>
      <c r="BU10" s="1805" t="s">
        <v>687</v>
      </c>
      <c r="BV10" s="1806" t="s">
        <v>728</v>
      </c>
      <c r="BW10" s="1807" t="s">
        <v>688</v>
      </c>
      <c r="BX10" s="1808" t="s">
        <v>4849</v>
      </c>
      <c r="BY10" s="1809">
        <v>2021</v>
      </c>
      <c r="BZ10" s="424"/>
      <c r="CA10" s="424"/>
      <c r="CB10" s="430"/>
      <c r="CC10" s="431"/>
      <c r="CD10" s="432">
        <v>2024</v>
      </c>
      <c r="CE10" s="425"/>
      <c r="CF10" s="433"/>
      <c r="CG10" s="425"/>
      <c r="CH10" s="433"/>
      <c r="CI10" s="434"/>
      <c r="CJ10" s="431"/>
      <c r="CK10" s="435"/>
      <c r="CL10" s="432">
        <v>2022</v>
      </c>
      <c r="CM10" s="425">
        <v>0</v>
      </c>
      <c r="CN10" s="433"/>
      <c r="CO10" s="425">
        <v>0</v>
      </c>
      <c r="CP10" s="433"/>
      <c r="CQ10" s="434"/>
      <c r="CR10" s="431"/>
      <c r="CS10" s="435">
        <v>0</v>
      </c>
      <c r="CT10" s="432">
        <v>2023</v>
      </c>
      <c r="CU10" s="425"/>
      <c r="CV10" s="433"/>
      <c r="CW10" s="425"/>
      <c r="CX10" s="433"/>
      <c r="CY10" s="434"/>
      <c r="CZ10" s="431"/>
      <c r="DA10" s="435"/>
      <c r="DB10" s="432">
        <v>2024</v>
      </c>
      <c r="DC10" s="425"/>
      <c r="DD10" s="433"/>
      <c r="DE10" s="425"/>
      <c r="DF10" s="433"/>
      <c r="DG10" s="434"/>
      <c r="DH10" s="431"/>
      <c r="DI10" s="435"/>
      <c r="DJ10" s="1805"/>
      <c r="DK10" s="1806"/>
      <c r="DL10" s="1807"/>
      <c r="DM10" s="1808"/>
      <c r="DN10" s="1810">
        <v>0</v>
      </c>
      <c r="DO10" s="1799">
        <v>0</v>
      </c>
      <c r="DP10" s="1800">
        <v>0</v>
      </c>
      <c r="DQ10" s="1799">
        <v>0</v>
      </c>
      <c r="DR10" s="1800">
        <v>0</v>
      </c>
      <c r="DS10" s="1799">
        <v>0</v>
      </c>
    </row>
    <row r="11" spans="1:123" ht="108">
      <c r="A11" s="1801" t="s">
        <v>744</v>
      </c>
      <c r="B11" s="1788" t="s">
        <v>745</v>
      </c>
      <c r="C11" s="426">
        <v>2022</v>
      </c>
      <c r="D11" s="417" t="s">
        <v>5701</v>
      </c>
      <c r="E11" s="1802">
        <v>3052014</v>
      </c>
      <c r="F11" s="1803" t="s">
        <v>745</v>
      </c>
      <c r="G11" s="419">
        <v>45138</v>
      </c>
      <c r="H11" s="1790" t="s">
        <v>746</v>
      </c>
      <c r="I11" s="1791" t="s">
        <v>745</v>
      </c>
      <c r="J11" s="1793" t="s">
        <v>747</v>
      </c>
      <c r="K11" s="1788" t="s">
        <v>745</v>
      </c>
      <c r="L11" s="1791" t="s">
        <v>748</v>
      </c>
      <c r="M11" s="1793" t="s">
        <v>746</v>
      </c>
      <c r="N11" s="1790" t="s">
        <v>57</v>
      </c>
      <c r="O11" s="1793" t="s">
        <v>60</v>
      </c>
      <c r="P11" s="420"/>
      <c r="Q11" s="421"/>
      <c r="R11" s="421"/>
      <c r="S11" s="422"/>
      <c r="T11" s="1794" t="s">
        <v>5864</v>
      </c>
      <c r="U11" s="423"/>
      <c r="V11" s="424"/>
      <c r="W11" s="424"/>
      <c r="X11" s="425">
        <v>88</v>
      </c>
      <c r="Y11" s="426">
        <v>2022</v>
      </c>
      <c r="Z11" s="417">
        <v>2024</v>
      </c>
      <c r="AA11" s="1804">
        <v>2022</v>
      </c>
      <c r="AB11" s="427"/>
      <c r="AC11" s="1793"/>
      <c r="AD11" s="428" t="s">
        <v>5863</v>
      </c>
      <c r="AE11" s="1791" t="s">
        <v>749</v>
      </c>
      <c r="AF11" s="1791" t="s">
        <v>750</v>
      </c>
      <c r="AG11" s="1793" t="s">
        <v>751</v>
      </c>
      <c r="AH11" s="428"/>
      <c r="AI11" s="1793"/>
      <c r="AJ11" s="429">
        <v>2021</v>
      </c>
      <c r="AK11" s="424">
        <v>0</v>
      </c>
      <c r="AL11" s="424"/>
      <c r="AM11" s="430"/>
      <c r="AN11" s="431"/>
      <c r="AO11" s="432">
        <v>2024</v>
      </c>
      <c r="AP11" s="425">
        <v>0</v>
      </c>
      <c r="AQ11" s="433"/>
      <c r="AR11" s="425">
        <v>0</v>
      </c>
      <c r="AS11" s="433"/>
      <c r="AT11" s="434"/>
      <c r="AU11" s="431"/>
      <c r="AV11" s="435"/>
      <c r="AW11" s="432">
        <v>2022</v>
      </c>
      <c r="AX11" s="425"/>
      <c r="AY11" s="433"/>
      <c r="AZ11" s="425"/>
      <c r="BA11" s="433"/>
      <c r="BB11" s="434"/>
      <c r="BC11" s="431"/>
      <c r="BD11" s="435"/>
      <c r="BE11" s="432">
        <v>2023</v>
      </c>
      <c r="BF11" s="425"/>
      <c r="BG11" s="433"/>
      <c r="BH11" s="425"/>
      <c r="BI11" s="433"/>
      <c r="BJ11" s="434"/>
      <c r="BK11" s="431"/>
      <c r="BL11" s="435"/>
      <c r="BM11" s="432">
        <v>2024</v>
      </c>
      <c r="BN11" s="425"/>
      <c r="BO11" s="433"/>
      <c r="BP11" s="425"/>
      <c r="BQ11" s="433"/>
      <c r="BR11" s="434"/>
      <c r="BS11" s="431"/>
      <c r="BT11" s="435"/>
      <c r="BU11" s="1805"/>
      <c r="BV11" s="1806"/>
      <c r="BW11" s="1807"/>
      <c r="BX11" s="1808"/>
      <c r="BY11" s="1809">
        <v>2021</v>
      </c>
      <c r="BZ11" s="424">
        <v>416</v>
      </c>
      <c r="CA11" s="424">
        <v>416</v>
      </c>
      <c r="CB11" s="430"/>
      <c r="CC11" s="431"/>
      <c r="CD11" s="432">
        <v>2024</v>
      </c>
      <c r="CE11" s="425">
        <v>403</v>
      </c>
      <c r="CF11" s="433">
        <v>3.12</v>
      </c>
      <c r="CG11" s="425">
        <v>403</v>
      </c>
      <c r="CH11" s="433">
        <v>3.12</v>
      </c>
      <c r="CI11" s="434"/>
      <c r="CJ11" s="431"/>
      <c r="CK11" s="435"/>
      <c r="CL11" s="432">
        <v>2022</v>
      </c>
      <c r="CM11" s="425">
        <v>359.11511999999999</v>
      </c>
      <c r="CN11" s="433">
        <v>13.67</v>
      </c>
      <c r="CO11" s="425">
        <v>359.11511999999999</v>
      </c>
      <c r="CP11" s="433">
        <v>13.67</v>
      </c>
      <c r="CQ11" s="434"/>
      <c r="CR11" s="431"/>
      <c r="CS11" s="435"/>
      <c r="CT11" s="432">
        <v>2023</v>
      </c>
      <c r="CU11" s="425"/>
      <c r="CV11" s="433"/>
      <c r="CW11" s="425"/>
      <c r="CX11" s="433"/>
      <c r="CY11" s="434"/>
      <c r="CZ11" s="431"/>
      <c r="DA11" s="435"/>
      <c r="DB11" s="432">
        <v>2024</v>
      </c>
      <c r="DC11" s="425"/>
      <c r="DD11" s="433"/>
      <c r="DE11" s="425"/>
      <c r="DF11" s="433"/>
      <c r="DG11" s="434"/>
      <c r="DH11" s="431"/>
      <c r="DI11" s="435"/>
      <c r="DJ11" s="1805" t="s">
        <v>687</v>
      </c>
      <c r="DK11" s="1806" t="s">
        <v>728</v>
      </c>
      <c r="DL11" s="1807" t="s">
        <v>688</v>
      </c>
      <c r="DM11" s="1808" t="s">
        <v>4850</v>
      </c>
      <c r="DN11" s="1810">
        <v>0</v>
      </c>
      <c r="DO11" s="1799">
        <v>0</v>
      </c>
      <c r="DP11" s="1800">
        <v>0</v>
      </c>
      <c r="DQ11" s="1799">
        <v>0</v>
      </c>
      <c r="DR11" s="1800">
        <v>0</v>
      </c>
      <c r="DS11" s="1799">
        <v>0</v>
      </c>
    </row>
    <row r="12" spans="1:123" ht="40.5">
      <c r="A12" s="1801" t="s">
        <v>752</v>
      </c>
      <c r="B12" s="1788" t="s">
        <v>753</v>
      </c>
      <c r="C12" s="426">
        <v>2022</v>
      </c>
      <c r="D12" s="417" t="s">
        <v>714</v>
      </c>
      <c r="E12" s="1802">
        <v>3043016</v>
      </c>
      <c r="F12" s="1803" t="s">
        <v>753</v>
      </c>
      <c r="G12" s="419">
        <v>45098</v>
      </c>
      <c r="H12" s="1790" t="s">
        <v>754</v>
      </c>
      <c r="I12" s="1791" t="s">
        <v>753</v>
      </c>
      <c r="J12" s="1793" t="s">
        <v>755</v>
      </c>
      <c r="K12" s="1788" t="s">
        <v>753</v>
      </c>
      <c r="L12" s="1791" t="s">
        <v>755</v>
      </c>
      <c r="M12" s="1793" t="s">
        <v>754</v>
      </c>
      <c r="N12" s="1790" t="s">
        <v>48</v>
      </c>
      <c r="O12" s="1793" t="s">
        <v>50</v>
      </c>
      <c r="P12" s="420"/>
      <c r="Q12" s="421"/>
      <c r="R12" s="421" t="s">
        <v>717</v>
      </c>
      <c r="S12" s="422"/>
      <c r="T12" s="1794"/>
      <c r="U12" s="423"/>
      <c r="V12" s="424"/>
      <c r="W12" s="424"/>
      <c r="X12" s="425">
        <v>450</v>
      </c>
      <c r="Y12" s="426">
        <v>2022</v>
      </c>
      <c r="Z12" s="417">
        <v>2024</v>
      </c>
      <c r="AA12" s="1804">
        <v>2022</v>
      </c>
      <c r="AB12" s="427"/>
      <c r="AC12" s="1793"/>
      <c r="AD12" s="428" t="s">
        <v>5863</v>
      </c>
      <c r="AE12" s="1791" t="s">
        <v>756</v>
      </c>
      <c r="AF12" s="1791" t="s">
        <v>757</v>
      </c>
      <c r="AG12" s="1793" t="s">
        <v>758</v>
      </c>
      <c r="AH12" s="428"/>
      <c r="AI12" s="1793"/>
      <c r="AJ12" s="429">
        <v>2021</v>
      </c>
      <c r="AK12" s="424">
        <v>0</v>
      </c>
      <c r="AL12" s="424"/>
      <c r="AM12" s="430"/>
      <c r="AN12" s="431"/>
      <c r="AO12" s="432">
        <v>2024</v>
      </c>
      <c r="AP12" s="425">
        <v>0</v>
      </c>
      <c r="AQ12" s="433"/>
      <c r="AR12" s="425">
        <v>0</v>
      </c>
      <c r="AS12" s="433"/>
      <c r="AT12" s="434"/>
      <c r="AU12" s="431"/>
      <c r="AV12" s="435"/>
      <c r="AW12" s="432">
        <v>2022</v>
      </c>
      <c r="AX12" s="425"/>
      <c r="AY12" s="433"/>
      <c r="AZ12" s="425"/>
      <c r="BA12" s="433"/>
      <c r="BB12" s="434"/>
      <c r="BC12" s="431"/>
      <c r="BD12" s="435"/>
      <c r="BE12" s="432">
        <v>2023</v>
      </c>
      <c r="BF12" s="425"/>
      <c r="BG12" s="433"/>
      <c r="BH12" s="425"/>
      <c r="BI12" s="433"/>
      <c r="BJ12" s="434"/>
      <c r="BK12" s="431"/>
      <c r="BL12" s="435"/>
      <c r="BM12" s="432">
        <v>2024</v>
      </c>
      <c r="BN12" s="425"/>
      <c r="BO12" s="433"/>
      <c r="BP12" s="425"/>
      <c r="BQ12" s="433"/>
      <c r="BR12" s="434"/>
      <c r="BS12" s="431"/>
      <c r="BT12" s="435"/>
      <c r="BU12" s="1805"/>
      <c r="BV12" s="1806"/>
      <c r="BW12" s="1807"/>
      <c r="BX12" s="1808"/>
      <c r="BY12" s="1809">
        <v>2021</v>
      </c>
      <c r="BZ12" s="424">
        <v>4601</v>
      </c>
      <c r="CA12" s="424">
        <v>4601</v>
      </c>
      <c r="CB12" s="430"/>
      <c r="CC12" s="431"/>
      <c r="CD12" s="432">
        <v>2024</v>
      </c>
      <c r="CE12" s="425">
        <v>4465</v>
      </c>
      <c r="CF12" s="433">
        <v>2.95</v>
      </c>
      <c r="CG12" s="425">
        <v>4465</v>
      </c>
      <c r="CH12" s="433">
        <v>2.95</v>
      </c>
      <c r="CI12" s="434"/>
      <c r="CJ12" s="431"/>
      <c r="CK12" s="435"/>
      <c r="CL12" s="432">
        <v>2022</v>
      </c>
      <c r="CM12" s="425">
        <v>4811.55152</v>
      </c>
      <c r="CN12" s="433">
        <v>-4.58</v>
      </c>
      <c r="CO12" s="425">
        <v>4811.55152</v>
      </c>
      <c r="CP12" s="433">
        <v>-4.58</v>
      </c>
      <c r="CQ12" s="434"/>
      <c r="CR12" s="431"/>
      <c r="CS12" s="435"/>
      <c r="CT12" s="432">
        <v>2023</v>
      </c>
      <c r="CU12" s="425"/>
      <c r="CV12" s="433"/>
      <c r="CW12" s="425"/>
      <c r="CX12" s="433"/>
      <c r="CY12" s="434"/>
      <c r="CZ12" s="431"/>
      <c r="DA12" s="435"/>
      <c r="DB12" s="432">
        <v>2024</v>
      </c>
      <c r="DC12" s="425"/>
      <c r="DD12" s="433"/>
      <c r="DE12" s="425"/>
      <c r="DF12" s="433"/>
      <c r="DG12" s="434"/>
      <c r="DH12" s="431"/>
      <c r="DI12" s="435"/>
      <c r="DJ12" s="1805" t="s">
        <v>676</v>
      </c>
      <c r="DK12" s="1806" t="s">
        <v>728</v>
      </c>
      <c r="DL12" s="1807" t="s">
        <v>678</v>
      </c>
      <c r="DM12" s="1808" t="s">
        <v>4851</v>
      </c>
      <c r="DN12" s="1810">
        <v>0</v>
      </c>
      <c r="DO12" s="1799">
        <v>0</v>
      </c>
      <c r="DP12" s="1800">
        <v>0</v>
      </c>
      <c r="DQ12" s="1799">
        <v>0</v>
      </c>
      <c r="DR12" s="1800">
        <v>0</v>
      </c>
      <c r="DS12" s="1799">
        <v>0</v>
      </c>
    </row>
    <row r="13" spans="1:123" ht="67.5">
      <c r="A13" s="1801" t="s">
        <v>759</v>
      </c>
      <c r="B13" s="1788" t="s">
        <v>760</v>
      </c>
      <c r="C13" s="426">
        <v>2022</v>
      </c>
      <c r="D13" s="417" t="s">
        <v>681</v>
      </c>
      <c r="E13" s="1802">
        <v>1081017</v>
      </c>
      <c r="F13" s="1803" t="s">
        <v>760</v>
      </c>
      <c r="G13" s="419">
        <v>45137</v>
      </c>
      <c r="H13" s="1790" t="s">
        <v>761</v>
      </c>
      <c r="I13" s="1791" t="s">
        <v>760</v>
      </c>
      <c r="J13" s="1793" t="s">
        <v>762</v>
      </c>
      <c r="K13" s="1788" t="s">
        <v>760</v>
      </c>
      <c r="L13" s="1791" t="s">
        <v>762</v>
      </c>
      <c r="M13" s="1793" t="s">
        <v>761</v>
      </c>
      <c r="N13" s="1790" t="s">
        <v>93</v>
      </c>
      <c r="O13" s="1793" t="s">
        <v>94</v>
      </c>
      <c r="P13" s="420" t="s">
        <v>683</v>
      </c>
      <c r="Q13" s="421"/>
      <c r="R13" s="421"/>
      <c r="S13" s="422"/>
      <c r="T13" s="1794"/>
      <c r="U13" s="423">
        <v>9421.0506000000005</v>
      </c>
      <c r="V13" s="424">
        <v>8</v>
      </c>
      <c r="W13" s="424">
        <v>3</v>
      </c>
      <c r="X13" s="425"/>
      <c r="Y13" s="426">
        <v>2022</v>
      </c>
      <c r="Z13" s="417">
        <v>2024</v>
      </c>
      <c r="AA13" s="1804">
        <v>2022</v>
      </c>
      <c r="AB13" s="427"/>
      <c r="AC13" s="1793"/>
      <c r="AD13" s="428" t="s">
        <v>5863</v>
      </c>
      <c r="AE13" s="1791" t="s">
        <v>763</v>
      </c>
      <c r="AF13" s="1791" t="s">
        <v>764</v>
      </c>
      <c r="AG13" s="1793" t="s">
        <v>765</v>
      </c>
      <c r="AH13" s="428"/>
      <c r="AI13" s="1793"/>
      <c r="AJ13" s="429">
        <v>2021</v>
      </c>
      <c r="AK13" s="424">
        <v>16949</v>
      </c>
      <c r="AL13" s="424">
        <v>16870</v>
      </c>
      <c r="AM13" s="430"/>
      <c r="AN13" s="431"/>
      <c r="AO13" s="432">
        <v>2024</v>
      </c>
      <c r="AP13" s="425">
        <v>16779.509999999998</v>
      </c>
      <c r="AQ13" s="433">
        <v>1</v>
      </c>
      <c r="AR13" s="425">
        <v>16701.3</v>
      </c>
      <c r="AS13" s="433">
        <v>1</v>
      </c>
      <c r="AT13" s="434"/>
      <c r="AU13" s="431"/>
      <c r="AV13" s="435"/>
      <c r="AW13" s="432">
        <v>2022</v>
      </c>
      <c r="AX13" s="425">
        <v>17101</v>
      </c>
      <c r="AY13" s="433">
        <v>-0.9</v>
      </c>
      <c r="AZ13" s="425">
        <v>17081</v>
      </c>
      <c r="BA13" s="433">
        <v>-1.26</v>
      </c>
      <c r="BB13" s="434"/>
      <c r="BC13" s="431"/>
      <c r="BD13" s="435"/>
      <c r="BE13" s="432">
        <v>2023</v>
      </c>
      <c r="BF13" s="425"/>
      <c r="BG13" s="433"/>
      <c r="BH13" s="425"/>
      <c r="BI13" s="433"/>
      <c r="BJ13" s="434"/>
      <c r="BK13" s="431"/>
      <c r="BL13" s="435"/>
      <c r="BM13" s="432">
        <v>2024</v>
      </c>
      <c r="BN13" s="425"/>
      <c r="BO13" s="433"/>
      <c r="BP13" s="425"/>
      <c r="BQ13" s="433"/>
      <c r="BR13" s="434"/>
      <c r="BS13" s="431"/>
      <c r="BT13" s="435"/>
      <c r="BU13" s="1805" t="s">
        <v>676</v>
      </c>
      <c r="BV13" s="1806" t="s">
        <v>728</v>
      </c>
      <c r="BW13" s="1807" t="s">
        <v>678</v>
      </c>
      <c r="BX13" s="1808" t="s">
        <v>4852</v>
      </c>
      <c r="BY13" s="1809">
        <v>2021</v>
      </c>
      <c r="BZ13" s="424"/>
      <c r="CA13" s="424"/>
      <c r="CB13" s="430"/>
      <c r="CC13" s="431"/>
      <c r="CD13" s="432">
        <v>2024</v>
      </c>
      <c r="CE13" s="425"/>
      <c r="CF13" s="433"/>
      <c r="CG13" s="425"/>
      <c r="CH13" s="433"/>
      <c r="CI13" s="434"/>
      <c r="CJ13" s="431"/>
      <c r="CK13" s="435"/>
      <c r="CL13" s="432">
        <v>2022</v>
      </c>
      <c r="CM13" s="425">
        <v>0</v>
      </c>
      <c r="CN13" s="433"/>
      <c r="CO13" s="425">
        <v>0</v>
      </c>
      <c r="CP13" s="433"/>
      <c r="CQ13" s="434"/>
      <c r="CR13" s="431"/>
      <c r="CS13" s="435">
        <v>0</v>
      </c>
      <c r="CT13" s="432">
        <v>2023</v>
      </c>
      <c r="CU13" s="425"/>
      <c r="CV13" s="433"/>
      <c r="CW13" s="425"/>
      <c r="CX13" s="433"/>
      <c r="CY13" s="434"/>
      <c r="CZ13" s="431"/>
      <c r="DA13" s="435"/>
      <c r="DB13" s="432">
        <v>2024</v>
      </c>
      <c r="DC13" s="425"/>
      <c r="DD13" s="433"/>
      <c r="DE13" s="425"/>
      <c r="DF13" s="433"/>
      <c r="DG13" s="434"/>
      <c r="DH13" s="431"/>
      <c r="DI13" s="435"/>
      <c r="DJ13" s="1805"/>
      <c r="DK13" s="1806"/>
      <c r="DL13" s="1807"/>
      <c r="DM13" s="1808"/>
      <c r="DN13" s="1810">
        <v>0</v>
      </c>
      <c r="DO13" s="1799">
        <v>0</v>
      </c>
      <c r="DP13" s="1800">
        <v>0</v>
      </c>
      <c r="DQ13" s="1799">
        <v>0</v>
      </c>
      <c r="DR13" s="1800">
        <v>0</v>
      </c>
      <c r="DS13" s="1799">
        <v>0</v>
      </c>
    </row>
    <row r="14" spans="1:123" ht="94.5">
      <c r="A14" s="1801" t="s">
        <v>766</v>
      </c>
      <c r="B14" s="1788" t="s">
        <v>767</v>
      </c>
      <c r="C14" s="426">
        <v>2022</v>
      </c>
      <c r="D14" s="417" t="s">
        <v>681</v>
      </c>
      <c r="E14" s="1802">
        <v>1035018</v>
      </c>
      <c r="F14" s="1803" t="s">
        <v>767</v>
      </c>
      <c r="G14" s="419">
        <v>45132</v>
      </c>
      <c r="H14" s="1790" t="s">
        <v>768</v>
      </c>
      <c r="I14" s="1791" t="s">
        <v>767</v>
      </c>
      <c r="J14" s="1793" t="s">
        <v>4853</v>
      </c>
      <c r="K14" s="1788" t="s">
        <v>767</v>
      </c>
      <c r="L14" s="1791" t="s">
        <v>4854</v>
      </c>
      <c r="M14" s="1793" t="s">
        <v>769</v>
      </c>
      <c r="N14" s="1790" t="s">
        <v>37</v>
      </c>
      <c r="O14" s="1793" t="s">
        <v>40</v>
      </c>
      <c r="P14" s="420" t="s">
        <v>683</v>
      </c>
      <c r="Q14" s="421"/>
      <c r="R14" s="421"/>
      <c r="S14" s="422"/>
      <c r="T14" s="1794"/>
      <c r="U14" s="423">
        <v>8249.7564000000002</v>
      </c>
      <c r="V14" s="424">
        <v>2</v>
      </c>
      <c r="W14" s="424">
        <v>1</v>
      </c>
      <c r="X14" s="425"/>
      <c r="Y14" s="426">
        <v>2022</v>
      </c>
      <c r="Z14" s="417">
        <v>2024</v>
      </c>
      <c r="AA14" s="1804">
        <v>2022</v>
      </c>
      <c r="AB14" s="427"/>
      <c r="AC14" s="1793"/>
      <c r="AD14" s="428" t="s">
        <v>5863</v>
      </c>
      <c r="AE14" s="1791" t="s">
        <v>770</v>
      </c>
      <c r="AF14" s="1791" t="s">
        <v>769</v>
      </c>
      <c r="AG14" s="1793" t="s">
        <v>771</v>
      </c>
      <c r="AH14" s="428"/>
      <c r="AI14" s="1793"/>
      <c r="AJ14" s="429">
        <v>2021</v>
      </c>
      <c r="AK14" s="424">
        <v>2205</v>
      </c>
      <c r="AL14" s="424">
        <v>2199</v>
      </c>
      <c r="AM14" s="430">
        <v>8.44</v>
      </c>
      <c r="AN14" s="431" t="s">
        <v>772</v>
      </c>
      <c r="AO14" s="432">
        <v>2024</v>
      </c>
      <c r="AP14" s="425">
        <v>1983</v>
      </c>
      <c r="AQ14" s="433">
        <v>10.06</v>
      </c>
      <c r="AR14" s="425">
        <v>1976</v>
      </c>
      <c r="AS14" s="433">
        <v>10.14</v>
      </c>
      <c r="AT14" s="434">
        <v>7.6</v>
      </c>
      <c r="AU14" s="431" t="s">
        <v>772</v>
      </c>
      <c r="AV14" s="435">
        <v>9.9499999999999993</v>
      </c>
      <c r="AW14" s="432">
        <v>2022</v>
      </c>
      <c r="AX14" s="425">
        <v>1887</v>
      </c>
      <c r="AY14" s="433">
        <v>14.42</v>
      </c>
      <c r="AZ14" s="425">
        <v>1886</v>
      </c>
      <c r="BA14" s="433">
        <v>14.23</v>
      </c>
      <c r="BB14" s="434">
        <v>6.8257040024597133</v>
      </c>
      <c r="BC14" s="431" t="s">
        <v>772</v>
      </c>
      <c r="BD14" s="435">
        <v>19.12</v>
      </c>
      <c r="BE14" s="432">
        <v>2023</v>
      </c>
      <c r="BF14" s="425"/>
      <c r="BG14" s="433"/>
      <c r="BH14" s="425"/>
      <c r="BI14" s="433"/>
      <c r="BJ14" s="434"/>
      <c r="BK14" s="431"/>
      <c r="BL14" s="435"/>
      <c r="BM14" s="432">
        <v>2024</v>
      </c>
      <c r="BN14" s="425"/>
      <c r="BO14" s="433"/>
      <c r="BP14" s="425"/>
      <c r="BQ14" s="433"/>
      <c r="BR14" s="434"/>
      <c r="BS14" s="431"/>
      <c r="BT14" s="435"/>
      <c r="BU14" s="1805" t="s">
        <v>687</v>
      </c>
      <c r="BV14" s="1806" t="s">
        <v>728</v>
      </c>
      <c r="BW14" s="1807" t="s">
        <v>688</v>
      </c>
      <c r="BX14" s="1808" t="s">
        <v>4855</v>
      </c>
      <c r="BY14" s="1809">
        <v>2021</v>
      </c>
      <c r="BZ14" s="424"/>
      <c r="CA14" s="424"/>
      <c r="CB14" s="430"/>
      <c r="CC14" s="431"/>
      <c r="CD14" s="432">
        <v>2024</v>
      </c>
      <c r="CE14" s="425"/>
      <c r="CF14" s="433"/>
      <c r="CG14" s="425"/>
      <c r="CH14" s="433"/>
      <c r="CI14" s="434"/>
      <c r="CJ14" s="431"/>
      <c r="CK14" s="435"/>
      <c r="CL14" s="432">
        <v>2022</v>
      </c>
      <c r="CM14" s="425">
        <v>0</v>
      </c>
      <c r="CN14" s="433"/>
      <c r="CO14" s="425">
        <v>0</v>
      </c>
      <c r="CP14" s="433"/>
      <c r="CQ14" s="434"/>
      <c r="CR14" s="431"/>
      <c r="CS14" s="435"/>
      <c r="CT14" s="432">
        <v>2023</v>
      </c>
      <c r="CU14" s="425"/>
      <c r="CV14" s="433"/>
      <c r="CW14" s="425"/>
      <c r="CX14" s="433"/>
      <c r="CY14" s="434"/>
      <c r="CZ14" s="431"/>
      <c r="DA14" s="435"/>
      <c r="DB14" s="432">
        <v>2024</v>
      </c>
      <c r="DC14" s="425"/>
      <c r="DD14" s="433"/>
      <c r="DE14" s="425"/>
      <c r="DF14" s="433"/>
      <c r="DG14" s="434"/>
      <c r="DH14" s="431"/>
      <c r="DI14" s="435"/>
      <c r="DJ14" s="1805"/>
      <c r="DK14" s="1806"/>
      <c r="DL14" s="1807"/>
      <c r="DM14" s="1808"/>
      <c r="DN14" s="1810">
        <v>0</v>
      </c>
      <c r="DO14" s="1799">
        <v>0</v>
      </c>
      <c r="DP14" s="1800">
        <v>0</v>
      </c>
      <c r="DQ14" s="1799">
        <v>0</v>
      </c>
      <c r="DR14" s="1800">
        <v>0</v>
      </c>
      <c r="DS14" s="1799">
        <v>0</v>
      </c>
    </row>
    <row r="15" spans="1:123" ht="54">
      <c r="A15" s="1801" t="s">
        <v>773</v>
      </c>
      <c r="B15" s="1788" t="s">
        <v>774</v>
      </c>
      <c r="C15" s="426">
        <v>2022</v>
      </c>
      <c r="D15" s="417" t="s">
        <v>681</v>
      </c>
      <c r="E15" s="1802">
        <v>1056020</v>
      </c>
      <c r="F15" s="1803" t="s">
        <v>774</v>
      </c>
      <c r="G15" s="419">
        <v>45133</v>
      </c>
      <c r="H15" s="1790" t="s">
        <v>775</v>
      </c>
      <c r="I15" s="1791" t="s">
        <v>774</v>
      </c>
      <c r="J15" s="1793" t="s">
        <v>776</v>
      </c>
      <c r="K15" s="1788" t="s">
        <v>774</v>
      </c>
      <c r="L15" s="1791" t="s">
        <v>776</v>
      </c>
      <c r="M15" s="1793" t="s">
        <v>775</v>
      </c>
      <c r="N15" s="1790" t="s">
        <v>57</v>
      </c>
      <c r="O15" s="1793" t="s">
        <v>64</v>
      </c>
      <c r="P15" s="420" t="s">
        <v>683</v>
      </c>
      <c r="Q15" s="421"/>
      <c r="R15" s="421"/>
      <c r="S15" s="422"/>
      <c r="T15" s="1794"/>
      <c r="U15" s="423">
        <v>2527.11</v>
      </c>
      <c r="V15" s="424">
        <v>9</v>
      </c>
      <c r="W15" s="424">
        <v>2</v>
      </c>
      <c r="X15" s="425"/>
      <c r="Y15" s="426">
        <v>2022</v>
      </c>
      <c r="Z15" s="417">
        <v>2024</v>
      </c>
      <c r="AA15" s="1804">
        <v>2022</v>
      </c>
      <c r="AB15" s="427"/>
      <c r="AC15" s="1793"/>
      <c r="AD15" s="428" t="s">
        <v>5863</v>
      </c>
      <c r="AE15" s="1791" t="s">
        <v>777</v>
      </c>
      <c r="AF15" s="1791" t="s">
        <v>775</v>
      </c>
      <c r="AG15" s="1793" t="s">
        <v>778</v>
      </c>
      <c r="AH15" s="428"/>
      <c r="AI15" s="1793"/>
      <c r="AJ15" s="429">
        <v>2021</v>
      </c>
      <c r="AK15" s="424">
        <v>5170</v>
      </c>
      <c r="AL15" s="424">
        <v>5124</v>
      </c>
      <c r="AM15" s="430"/>
      <c r="AN15" s="431"/>
      <c r="AO15" s="432">
        <v>2024</v>
      </c>
      <c r="AP15" s="425">
        <v>5014</v>
      </c>
      <c r="AQ15" s="433">
        <v>3.01</v>
      </c>
      <c r="AR15" s="425">
        <v>4970</v>
      </c>
      <c r="AS15" s="433">
        <v>3</v>
      </c>
      <c r="AT15" s="434"/>
      <c r="AU15" s="431"/>
      <c r="AV15" s="435"/>
      <c r="AW15" s="432">
        <v>2022</v>
      </c>
      <c r="AX15" s="425">
        <v>4564</v>
      </c>
      <c r="AY15" s="433">
        <v>11.72</v>
      </c>
      <c r="AZ15" s="425">
        <v>4555</v>
      </c>
      <c r="BA15" s="433">
        <v>11.1</v>
      </c>
      <c r="BB15" s="434"/>
      <c r="BC15" s="431"/>
      <c r="BD15" s="435"/>
      <c r="BE15" s="432">
        <v>2023</v>
      </c>
      <c r="BF15" s="425"/>
      <c r="BG15" s="433"/>
      <c r="BH15" s="425"/>
      <c r="BI15" s="433"/>
      <c r="BJ15" s="434"/>
      <c r="BK15" s="431"/>
      <c r="BL15" s="435"/>
      <c r="BM15" s="432">
        <v>2024</v>
      </c>
      <c r="BN15" s="425"/>
      <c r="BO15" s="433"/>
      <c r="BP15" s="425"/>
      <c r="BQ15" s="433"/>
      <c r="BR15" s="434"/>
      <c r="BS15" s="431"/>
      <c r="BT15" s="435"/>
      <c r="BU15" s="1805" t="s">
        <v>687</v>
      </c>
      <c r="BV15" s="1806" t="s">
        <v>728</v>
      </c>
      <c r="BW15" s="1807" t="s">
        <v>688</v>
      </c>
      <c r="BX15" s="1808"/>
      <c r="BY15" s="1809">
        <v>2021</v>
      </c>
      <c r="BZ15" s="424"/>
      <c r="CA15" s="424"/>
      <c r="CB15" s="430"/>
      <c r="CC15" s="431"/>
      <c r="CD15" s="432">
        <v>2024</v>
      </c>
      <c r="CE15" s="425"/>
      <c r="CF15" s="433"/>
      <c r="CG15" s="425"/>
      <c r="CH15" s="433"/>
      <c r="CI15" s="434"/>
      <c r="CJ15" s="431"/>
      <c r="CK15" s="435"/>
      <c r="CL15" s="432">
        <v>2022</v>
      </c>
      <c r="CM15" s="425">
        <v>0</v>
      </c>
      <c r="CN15" s="433"/>
      <c r="CO15" s="425">
        <v>0</v>
      </c>
      <c r="CP15" s="433"/>
      <c r="CQ15" s="434"/>
      <c r="CR15" s="431"/>
      <c r="CS15" s="435"/>
      <c r="CT15" s="432">
        <v>2023</v>
      </c>
      <c r="CU15" s="425"/>
      <c r="CV15" s="433"/>
      <c r="CW15" s="425"/>
      <c r="CX15" s="433"/>
      <c r="CY15" s="434"/>
      <c r="CZ15" s="431"/>
      <c r="DA15" s="435"/>
      <c r="DB15" s="432">
        <v>2024</v>
      </c>
      <c r="DC15" s="425"/>
      <c r="DD15" s="433"/>
      <c r="DE15" s="425"/>
      <c r="DF15" s="433"/>
      <c r="DG15" s="434"/>
      <c r="DH15" s="431"/>
      <c r="DI15" s="435"/>
      <c r="DJ15" s="1805"/>
      <c r="DK15" s="1806"/>
      <c r="DL15" s="1807"/>
      <c r="DM15" s="1808"/>
      <c r="DN15" s="1810">
        <v>0</v>
      </c>
      <c r="DO15" s="1799">
        <v>0</v>
      </c>
      <c r="DP15" s="1800">
        <v>0</v>
      </c>
      <c r="DQ15" s="1799">
        <v>0</v>
      </c>
      <c r="DR15" s="1800">
        <v>0</v>
      </c>
      <c r="DS15" s="1799">
        <v>0</v>
      </c>
    </row>
    <row r="16" spans="1:123" ht="67.5">
      <c r="A16" s="1801" t="s">
        <v>779</v>
      </c>
      <c r="B16" s="1788" t="s">
        <v>780</v>
      </c>
      <c r="C16" s="426">
        <v>2022</v>
      </c>
      <c r="D16" s="417" t="s">
        <v>681</v>
      </c>
      <c r="E16" s="1802">
        <v>1044022</v>
      </c>
      <c r="F16" s="1803" t="s">
        <v>780</v>
      </c>
      <c r="G16" s="419">
        <v>45127</v>
      </c>
      <c r="H16" s="1790" t="s">
        <v>781</v>
      </c>
      <c r="I16" s="1791" t="s">
        <v>780</v>
      </c>
      <c r="J16" s="1793" t="s">
        <v>782</v>
      </c>
      <c r="K16" s="1788" t="s">
        <v>780</v>
      </c>
      <c r="L16" s="1791" t="s">
        <v>782</v>
      </c>
      <c r="M16" s="1793" t="s">
        <v>781</v>
      </c>
      <c r="N16" s="1790" t="s">
        <v>48</v>
      </c>
      <c r="O16" s="1793" t="s">
        <v>51</v>
      </c>
      <c r="P16" s="420" t="s">
        <v>683</v>
      </c>
      <c r="Q16" s="421"/>
      <c r="R16" s="421"/>
      <c r="S16" s="422"/>
      <c r="T16" s="1794"/>
      <c r="U16" s="423">
        <v>1741.4741999999999</v>
      </c>
      <c r="V16" s="424">
        <v>13</v>
      </c>
      <c r="W16" s="424">
        <v>1</v>
      </c>
      <c r="X16" s="425"/>
      <c r="Y16" s="426">
        <v>2022</v>
      </c>
      <c r="Z16" s="417">
        <v>2024</v>
      </c>
      <c r="AA16" s="1804">
        <v>2022</v>
      </c>
      <c r="AB16" s="427"/>
      <c r="AC16" s="1793"/>
      <c r="AD16" s="428" t="s">
        <v>5863</v>
      </c>
      <c r="AE16" s="1791" t="s">
        <v>783</v>
      </c>
      <c r="AF16" s="1791" t="s">
        <v>784</v>
      </c>
      <c r="AG16" s="1793" t="s">
        <v>785</v>
      </c>
      <c r="AH16" s="428"/>
      <c r="AI16" s="1793"/>
      <c r="AJ16" s="429">
        <v>2021</v>
      </c>
      <c r="AK16" s="424">
        <v>3720</v>
      </c>
      <c r="AL16" s="424">
        <v>3791</v>
      </c>
      <c r="AM16" s="430"/>
      <c r="AN16" s="431"/>
      <c r="AO16" s="432">
        <v>2024</v>
      </c>
      <c r="AP16" s="425">
        <v>3608</v>
      </c>
      <c r="AQ16" s="433">
        <v>3.01</v>
      </c>
      <c r="AR16" s="425">
        <v>3677</v>
      </c>
      <c r="AS16" s="433">
        <v>3</v>
      </c>
      <c r="AT16" s="434"/>
      <c r="AU16" s="431"/>
      <c r="AV16" s="435"/>
      <c r="AW16" s="432">
        <v>2022</v>
      </c>
      <c r="AX16" s="425">
        <v>3283</v>
      </c>
      <c r="AY16" s="433">
        <v>11.74</v>
      </c>
      <c r="AZ16" s="425">
        <v>3379</v>
      </c>
      <c r="BA16" s="433">
        <v>10.86</v>
      </c>
      <c r="BB16" s="434"/>
      <c r="BC16" s="431"/>
      <c r="BD16" s="435"/>
      <c r="BE16" s="432">
        <v>2023</v>
      </c>
      <c r="BF16" s="425"/>
      <c r="BG16" s="433"/>
      <c r="BH16" s="425"/>
      <c r="BI16" s="433"/>
      <c r="BJ16" s="434"/>
      <c r="BK16" s="431"/>
      <c r="BL16" s="435"/>
      <c r="BM16" s="432">
        <v>2024</v>
      </c>
      <c r="BN16" s="425"/>
      <c r="BO16" s="433"/>
      <c r="BP16" s="425"/>
      <c r="BQ16" s="433"/>
      <c r="BR16" s="434"/>
      <c r="BS16" s="431"/>
      <c r="BT16" s="435"/>
      <c r="BU16" s="1805" t="s">
        <v>687</v>
      </c>
      <c r="BV16" s="1806" t="s">
        <v>728</v>
      </c>
      <c r="BW16" s="1807" t="s">
        <v>678</v>
      </c>
      <c r="BX16" s="1808"/>
      <c r="BY16" s="1809">
        <v>2021</v>
      </c>
      <c r="BZ16" s="424"/>
      <c r="CA16" s="424"/>
      <c r="CB16" s="430"/>
      <c r="CC16" s="431"/>
      <c r="CD16" s="432">
        <v>2024</v>
      </c>
      <c r="CE16" s="425"/>
      <c r="CF16" s="433"/>
      <c r="CG16" s="425"/>
      <c r="CH16" s="433"/>
      <c r="CI16" s="434"/>
      <c r="CJ16" s="431"/>
      <c r="CK16" s="435"/>
      <c r="CL16" s="432">
        <v>2022</v>
      </c>
      <c r="CM16" s="425">
        <v>0</v>
      </c>
      <c r="CN16" s="433"/>
      <c r="CO16" s="425">
        <v>0</v>
      </c>
      <c r="CP16" s="433"/>
      <c r="CQ16" s="434"/>
      <c r="CR16" s="431"/>
      <c r="CS16" s="435"/>
      <c r="CT16" s="432">
        <v>2023</v>
      </c>
      <c r="CU16" s="425"/>
      <c r="CV16" s="433"/>
      <c r="CW16" s="425"/>
      <c r="CX16" s="433"/>
      <c r="CY16" s="434"/>
      <c r="CZ16" s="431"/>
      <c r="DA16" s="435"/>
      <c r="DB16" s="432">
        <v>2024</v>
      </c>
      <c r="DC16" s="425"/>
      <c r="DD16" s="433"/>
      <c r="DE16" s="425"/>
      <c r="DF16" s="433"/>
      <c r="DG16" s="434"/>
      <c r="DH16" s="431"/>
      <c r="DI16" s="435"/>
      <c r="DJ16" s="1805"/>
      <c r="DK16" s="1806"/>
      <c r="DL16" s="1807"/>
      <c r="DM16" s="1808"/>
      <c r="DN16" s="1810">
        <v>1</v>
      </c>
      <c r="DO16" s="1799">
        <v>1</v>
      </c>
      <c r="DP16" s="1800">
        <v>0</v>
      </c>
      <c r="DQ16" s="1799">
        <v>0</v>
      </c>
      <c r="DR16" s="1800">
        <v>0</v>
      </c>
      <c r="DS16" s="1799">
        <v>0</v>
      </c>
    </row>
    <row r="17" spans="1:123" ht="121.5">
      <c r="A17" s="1801" t="s">
        <v>786</v>
      </c>
      <c r="B17" s="1788" t="s">
        <v>787</v>
      </c>
      <c r="C17" s="426">
        <v>2022</v>
      </c>
      <c r="D17" s="417" t="s">
        <v>681</v>
      </c>
      <c r="E17" s="1802">
        <v>1006024</v>
      </c>
      <c r="F17" s="1803" t="s">
        <v>787</v>
      </c>
      <c r="G17" s="419">
        <v>45119</v>
      </c>
      <c r="H17" s="1790" t="s">
        <v>788</v>
      </c>
      <c r="I17" s="1791" t="s">
        <v>787</v>
      </c>
      <c r="J17" s="1793" t="s">
        <v>789</v>
      </c>
      <c r="K17" s="1788" t="s">
        <v>787</v>
      </c>
      <c r="L17" s="1791" t="s">
        <v>789</v>
      </c>
      <c r="M17" s="1793" t="s">
        <v>788</v>
      </c>
      <c r="N17" s="1790" t="s">
        <v>81</v>
      </c>
      <c r="O17" s="1793" t="s">
        <v>83</v>
      </c>
      <c r="P17" s="420" t="s">
        <v>683</v>
      </c>
      <c r="Q17" s="421"/>
      <c r="R17" s="421"/>
      <c r="S17" s="422"/>
      <c r="T17" s="1794"/>
      <c r="U17" s="423">
        <v>2802.5765999999999</v>
      </c>
      <c r="V17" s="424">
        <v>2</v>
      </c>
      <c r="W17" s="424">
        <v>2</v>
      </c>
      <c r="X17" s="425"/>
      <c r="Y17" s="426">
        <v>2022</v>
      </c>
      <c r="Z17" s="417">
        <v>2024</v>
      </c>
      <c r="AA17" s="1804">
        <v>2022</v>
      </c>
      <c r="AB17" s="427"/>
      <c r="AC17" s="1793"/>
      <c r="AD17" s="428" t="s">
        <v>5863</v>
      </c>
      <c r="AE17" s="1791" t="s">
        <v>790</v>
      </c>
      <c r="AF17" s="1791" t="s">
        <v>788</v>
      </c>
      <c r="AG17" s="1793" t="s">
        <v>791</v>
      </c>
      <c r="AH17" s="428"/>
      <c r="AI17" s="1793"/>
      <c r="AJ17" s="429">
        <v>2021</v>
      </c>
      <c r="AK17" s="424">
        <v>4874</v>
      </c>
      <c r="AL17" s="424">
        <v>4585</v>
      </c>
      <c r="AM17" s="430"/>
      <c r="AN17" s="431"/>
      <c r="AO17" s="432">
        <v>2024</v>
      </c>
      <c r="AP17" s="425">
        <v>4728</v>
      </c>
      <c r="AQ17" s="433">
        <v>2.99</v>
      </c>
      <c r="AR17" s="425">
        <v>4448</v>
      </c>
      <c r="AS17" s="433">
        <v>2.98</v>
      </c>
      <c r="AT17" s="434"/>
      <c r="AU17" s="431"/>
      <c r="AV17" s="435"/>
      <c r="AW17" s="432">
        <v>2022</v>
      </c>
      <c r="AX17" s="425">
        <v>4953</v>
      </c>
      <c r="AY17" s="433">
        <v>-1.63</v>
      </c>
      <c r="AZ17" s="425">
        <v>4768</v>
      </c>
      <c r="BA17" s="433">
        <v>-4</v>
      </c>
      <c r="BB17" s="434"/>
      <c r="BC17" s="431"/>
      <c r="BD17" s="435"/>
      <c r="BE17" s="432">
        <v>2023</v>
      </c>
      <c r="BF17" s="425"/>
      <c r="BG17" s="433"/>
      <c r="BH17" s="425"/>
      <c r="BI17" s="433"/>
      <c r="BJ17" s="434"/>
      <c r="BK17" s="431"/>
      <c r="BL17" s="435"/>
      <c r="BM17" s="432">
        <v>2024</v>
      </c>
      <c r="BN17" s="425"/>
      <c r="BO17" s="433"/>
      <c r="BP17" s="425"/>
      <c r="BQ17" s="433"/>
      <c r="BR17" s="434"/>
      <c r="BS17" s="431"/>
      <c r="BT17" s="435"/>
      <c r="BU17" s="1805" t="s">
        <v>676</v>
      </c>
      <c r="BV17" s="1806" t="s">
        <v>728</v>
      </c>
      <c r="BW17" s="1807" t="s">
        <v>678</v>
      </c>
      <c r="BX17" s="1808"/>
      <c r="BY17" s="1809">
        <v>2021</v>
      </c>
      <c r="BZ17" s="424"/>
      <c r="CA17" s="424"/>
      <c r="CB17" s="430"/>
      <c r="CC17" s="431"/>
      <c r="CD17" s="432">
        <v>2024</v>
      </c>
      <c r="CE17" s="425"/>
      <c r="CF17" s="433"/>
      <c r="CG17" s="425"/>
      <c r="CH17" s="433"/>
      <c r="CI17" s="434"/>
      <c r="CJ17" s="431"/>
      <c r="CK17" s="435"/>
      <c r="CL17" s="432">
        <v>2022</v>
      </c>
      <c r="CM17" s="425">
        <v>0</v>
      </c>
      <c r="CN17" s="433"/>
      <c r="CO17" s="425">
        <v>-3</v>
      </c>
      <c r="CP17" s="433"/>
      <c r="CQ17" s="434"/>
      <c r="CR17" s="431"/>
      <c r="CS17" s="435">
        <v>0</v>
      </c>
      <c r="CT17" s="432">
        <v>2023</v>
      </c>
      <c r="CU17" s="425"/>
      <c r="CV17" s="433"/>
      <c r="CW17" s="425"/>
      <c r="CX17" s="433"/>
      <c r="CY17" s="434"/>
      <c r="CZ17" s="431"/>
      <c r="DA17" s="435"/>
      <c r="DB17" s="432">
        <v>2024</v>
      </c>
      <c r="DC17" s="425"/>
      <c r="DD17" s="433"/>
      <c r="DE17" s="425"/>
      <c r="DF17" s="433"/>
      <c r="DG17" s="434"/>
      <c r="DH17" s="431"/>
      <c r="DI17" s="435"/>
      <c r="DJ17" s="1805"/>
      <c r="DK17" s="1806"/>
      <c r="DL17" s="1807"/>
      <c r="DM17" s="1808"/>
      <c r="DN17" s="1810">
        <v>0</v>
      </c>
      <c r="DO17" s="1799">
        <v>0</v>
      </c>
      <c r="DP17" s="1800">
        <v>0</v>
      </c>
      <c r="DQ17" s="1799">
        <v>0</v>
      </c>
      <c r="DR17" s="1800">
        <v>0</v>
      </c>
      <c r="DS17" s="1799">
        <v>0</v>
      </c>
    </row>
    <row r="18" spans="1:123" ht="67.5">
      <c r="A18" s="1801" t="s">
        <v>793</v>
      </c>
      <c r="B18" s="1788" t="s">
        <v>794</v>
      </c>
      <c r="C18" s="426">
        <v>2022</v>
      </c>
      <c r="D18" s="417" t="s">
        <v>714</v>
      </c>
      <c r="E18" s="1802">
        <v>3043025</v>
      </c>
      <c r="F18" s="1803" t="s">
        <v>794</v>
      </c>
      <c r="G18" s="419">
        <v>45111</v>
      </c>
      <c r="H18" s="1790" t="s">
        <v>795</v>
      </c>
      <c r="I18" s="1791" t="s">
        <v>794</v>
      </c>
      <c r="J18" s="1793" t="s">
        <v>796</v>
      </c>
      <c r="K18" s="1788" t="s">
        <v>794</v>
      </c>
      <c r="L18" s="1791" t="s">
        <v>796</v>
      </c>
      <c r="M18" s="1793" t="s">
        <v>795</v>
      </c>
      <c r="N18" s="1790" t="s">
        <v>48</v>
      </c>
      <c r="O18" s="1793" t="s">
        <v>50</v>
      </c>
      <c r="P18" s="420"/>
      <c r="Q18" s="421"/>
      <c r="R18" s="421" t="s">
        <v>717</v>
      </c>
      <c r="S18" s="422"/>
      <c r="T18" s="1794"/>
      <c r="U18" s="423"/>
      <c r="V18" s="424"/>
      <c r="W18" s="424"/>
      <c r="X18" s="425">
        <v>226</v>
      </c>
      <c r="Y18" s="426">
        <v>2022</v>
      </c>
      <c r="Z18" s="417">
        <v>2024</v>
      </c>
      <c r="AA18" s="1804">
        <v>2022</v>
      </c>
      <c r="AB18" s="427"/>
      <c r="AC18" s="1793"/>
      <c r="AD18" s="428" t="s">
        <v>5863</v>
      </c>
      <c r="AE18" s="1791" t="s">
        <v>797</v>
      </c>
      <c r="AF18" s="1791" t="s">
        <v>798</v>
      </c>
      <c r="AG18" s="1793" t="s">
        <v>799</v>
      </c>
      <c r="AH18" s="428"/>
      <c r="AI18" s="1793"/>
      <c r="AJ18" s="429">
        <v>2021</v>
      </c>
      <c r="AK18" s="424">
        <v>0</v>
      </c>
      <c r="AL18" s="424"/>
      <c r="AM18" s="430"/>
      <c r="AN18" s="431"/>
      <c r="AO18" s="432">
        <v>2024</v>
      </c>
      <c r="AP18" s="425">
        <v>0</v>
      </c>
      <c r="AQ18" s="433"/>
      <c r="AR18" s="425">
        <v>0</v>
      </c>
      <c r="AS18" s="433"/>
      <c r="AT18" s="434"/>
      <c r="AU18" s="431"/>
      <c r="AV18" s="435"/>
      <c r="AW18" s="432">
        <v>2022</v>
      </c>
      <c r="AX18" s="425"/>
      <c r="AY18" s="433"/>
      <c r="AZ18" s="425"/>
      <c r="BA18" s="433"/>
      <c r="BB18" s="434"/>
      <c r="BC18" s="431"/>
      <c r="BD18" s="435"/>
      <c r="BE18" s="432">
        <v>2023</v>
      </c>
      <c r="BF18" s="425"/>
      <c r="BG18" s="433"/>
      <c r="BH18" s="425"/>
      <c r="BI18" s="433"/>
      <c r="BJ18" s="434"/>
      <c r="BK18" s="431"/>
      <c r="BL18" s="435"/>
      <c r="BM18" s="432">
        <v>2024</v>
      </c>
      <c r="BN18" s="425"/>
      <c r="BO18" s="433"/>
      <c r="BP18" s="425"/>
      <c r="BQ18" s="433"/>
      <c r="BR18" s="434"/>
      <c r="BS18" s="431"/>
      <c r="BT18" s="435"/>
      <c r="BU18" s="1805"/>
      <c r="BV18" s="1806"/>
      <c r="BW18" s="1807"/>
      <c r="BX18" s="1808"/>
      <c r="BY18" s="1809">
        <v>2021</v>
      </c>
      <c r="BZ18" s="424">
        <v>8964</v>
      </c>
      <c r="CA18" s="424">
        <v>8964</v>
      </c>
      <c r="CB18" s="430">
        <v>0.77</v>
      </c>
      <c r="CC18" s="431" t="s">
        <v>736</v>
      </c>
      <c r="CD18" s="432">
        <v>2024</v>
      </c>
      <c r="CE18" s="425">
        <v>11661</v>
      </c>
      <c r="CF18" s="433">
        <v>-30.09</v>
      </c>
      <c r="CG18" s="425">
        <v>11661</v>
      </c>
      <c r="CH18" s="433">
        <v>-30.09</v>
      </c>
      <c r="CI18" s="434">
        <v>0.76</v>
      </c>
      <c r="CJ18" s="431" t="s">
        <v>736</v>
      </c>
      <c r="CK18" s="435">
        <v>1.29</v>
      </c>
      <c r="CL18" s="432">
        <v>2022</v>
      </c>
      <c r="CM18" s="425">
        <v>11399.53594</v>
      </c>
      <c r="CN18" s="433">
        <v>-27.18</v>
      </c>
      <c r="CO18" s="425">
        <v>11399.53594</v>
      </c>
      <c r="CP18" s="433">
        <v>-27.18</v>
      </c>
      <c r="CQ18" s="434">
        <v>0.77466986949067529</v>
      </c>
      <c r="CR18" s="431" t="s">
        <v>736</v>
      </c>
      <c r="CS18" s="435">
        <v>-0.61</v>
      </c>
      <c r="CT18" s="432">
        <v>2023</v>
      </c>
      <c r="CU18" s="425"/>
      <c r="CV18" s="433"/>
      <c r="CW18" s="425"/>
      <c r="CX18" s="433"/>
      <c r="CY18" s="434"/>
      <c r="CZ18" s="431"/>
      <c r="DA18" s="435"/>
      <c r="DB18" s="432">
        <v>2024</v>
      </c>
      <c r="DC18" s="425"/>
      <c r="DD18" s="433"/>
      <c r="DE18" s="425"/>
      <c r="DF18" s="433"/>
      <c r="DG18" s="434"/>
      <c r="DH18" s="431"/>
      <c r="DI18" s="435"/>
      <c r="DJ18" s="1805" t="s">
        <v>719</v>
      </c>
      <c r="DK18" s="1806" t="s">
        <v>728</v>
      </c>
      <c r="DL18" s="1807" t="s">
        <v>678</v>
      </c>
      <c r="DM18" s="1808" t="s">
        <v>4856</v>
      </c>
      <c r="DN18" s="1810">
        <v>2</v>
      </c>
      <c r="DO18" s="1799">
        <v>2</v>
      </c>
      <c r="DP18" s="1800">
        <v>0</v>
      </c>
      <c r="DQ18" s="1799">
        <v>0</v>
      </c>
      <c r="DR18" s="1800">
        <v>0</v>
      </c>
      <c r="DS18" s="1799">
        <v>0</v>
      </c>
    </row>
    <row r="19" spans="1:123" ht="54">
      <c r="A19" s="1801" t="s">
        <v>801</v>
      </c>
      <c r="B19" s="1788" t="s">
        <v>802</v>
      </c>
      <c r="C19" s="426">
        <v>2022</v>
      </c>
      <c r="D19" s="417" t="s">
        <v>681</v>
      </c>
      <c r="E19" s="1802">
        <v>1009026</v>
      </c>
      <c r="F19" s="1803" t="s">
        <v>802</v>
      </c>
      <c r="G19" s="419">
        <v>45135</v>
      </c>
      <c r="H19" s="1790" t="s">
        <v>803</v>
      </c>
      <c r="I19" s="1791" t="s">
        <v>802</v>
      </c>
      <c r="J19" s="1793" t="s">
        <v>804</v>
      </c>
      <c r="K19" s="1788" t="s">
        <v>802</v>
      </c>
      <c r="L19" s="1791" t="s">
        <v>804</v>
      </c>
      <c r="M19" s="1793" t="s">
        <v>805</v>
      </c>
      <c r="N19" s="1790" t="s">
        <v>12</v>
      </c>
      <c r="O19" s="1793" t="s">
        <v>13</v>
      </c>
      <c r="P19" s="420" t="s">
        <v>683</v>
      </c>
      <c r="Q19" s="421"/>
      <c r="R19" s="421"/>
      <c r="S19" s="422"/>
      <c r="T19" s="1794"/>
      <c r="U19" s="423">
        <v>18292.716</v>
      </c>
      <c r="V19" s="424">
        <v>1</v>
      </c>
      <c r="W19" s="424">
        <v>1</v>
      </c>
      <c r="X19" s="425"/>
      <c r="Y19" s="426">
        <v>2022</v>
      </c>
      <c r="Z19" s="417">
        <v>2024</v>
      </c>
      <c r="AA19" s="1804">
        <v>2022</v>
      </c>
      <c r="AB19" s="427"/>
      <c r="AC19" s="1793"/>
      <c r="AD19" s="428" t="s">
        <v>5863</v>
      </c>
      <c r="AE19" s="1791" t="s">
        <v>806</v>
      </c>
      <c r="AF19" s="1791" t="s">
        <v>805</v>
      </c>
      <c r="AG19" s="1793" t="s">
        <v>807</v>
      </c>
      <c r="AH19" s="428"/>
      <c r="AI19" s="1793"/>
      <c r="AJ19" s="429">
        <v>2021</v>
      </c>
      <c r="AK19" s="424">
        <v>36057</v>
      </c>
      <c r="AL19" s="424" t="s">
        <v>6066</v>
      </c>
      <c r="AM19" s="430"/>
      <c r="AN19" s="431"/>
      <c r="AO19" s="432">
        <v>2024</v>
      </c>
      <c r="AP19" s="425">
        <v>35840</v>
      </c>
      <c r="AQ19" s="433">
        <v>0.6</v>
      </c>
      <c r="AR19" s="425" t="s">
        <v>6066</v>
      </c>
      <c r="AS19" s="433" t="s">
        <v>6066</v>
      </c>
      <c r="AT19" s="434"/>
      <c r="AU19" s="431"/>
      <c r="AV19" s="435"/>
      <c r="AW19" s="432">
        <v>2022</v>
      </c>
      <c r="AX19" s="425">
        <v>34951</v>
      </c>
      <c r="AY19" s="433">
        <v>3.06</v>
      </c>
      <c r="AZ19" s="425" t="s">
        <v>6066</v>
      </c>
      <c r="BA19" s="433" t="s">
        <v>6066</v>
      </c>
      <c r="BB19" s="434"/>
      <c r="BC19" s="431"/>
      <c r="BD19" s="435"/>
      <c r="BE19" s="432">
        <v>2023</v>
      </c>
      <c r="BF19" s="425"/>
      <c r="BG19" s="433"/>
      <c r="BH19" s="425"/>
      <c r="BI19" s="433"/>
      <c r="BJ19" s="434"/>
      <c r="BK19" s="431"/>
      <c r="BL19" s="435"/>
      <c r="BM19" s="432">
        <v>2024</v>
      </c>
      <c r="BN19" s="425"/>
      <c r="BO19" s="433"/>
      <c r="BP19" s="425"/>
      <c r="BQ19" s="433"/>
      <c r="BR19" s="434"/>
      <c r="BS19" s="431"/>
      <c r="BT19" s="435"/>
      <c r="BU19" s="1805" t="s">
        <v>687</v>
      </c>
      <c r="BV19" s="1806" t="s">
        <v>728</v>
      </c>
      <c r="BW19" s="1807" t="s">
        <v>697</v>
      </c>
      <c r="BX19" s="1808" t="s">
        <v>4857</v>
      </c>
      <c r="BY19" s="1809">
        <v>2021</v>
      </c>
      <c r="BZ19" s="424"/>
      <c r="CA19" s="424"/>
      <c r="CB19" s="430"/>
      <c r="CC19" s="431"/>
      <c r="CD19" s="432">
        <v>2024</v>
      </c>
      <c r="CE19" s="425"/>
      <c r="CF19" s="433"/>
      <c r="CG19" s="425"/>
      <c r="CH19" s="433"/>
      <c r="CI19" s="434"/>
      <c r="CJ19" s="431"/>
      <c r="CK19" s="435"/>
      <c r="CL19" s="432">
        <v>2022</v>
      </c>
      <c r="CM19" s="425">
        <v>0</v>
      </c>
      <c r="CN19" s="433"/>
      <c r="CO19" s="425">
        <v>0</v>
      </c>
      <c r="CP19" s="433"/>
      <c r="CQ19" s="434"/>
      <c r="CR19" s="431"/>
      <c r="CS19" s="435"/>
      <c r="CT19" s="432">
        <v>2023</v>
      </c>
      <c r="CU19" s="425"/>
      <c r="CV19" s="433"/>
      <c r="CW19" s="425"/>
      <c r="CX19" s="433"/>
      <c r="CY19" s="434"/>
      <c r="CZ19" s="431"/>
      <c r="DA19" s="435"/>
      <c r="DB19" s="432">
        <v>2024</v>
      </c>
      <c r="DC19" s="425"/>
      <c r="DD19" s="433"/>
      <c r="DE19" s="425"/>
      <c r="DF19" s="433"/>
      <c r="DG19" s="434"/>
      <c r="DH19" s="431"/>
      <c r="DI19" s="435"/>
      <c r="DJ19" s="1805"/>
      <c r="DK19" s="1806"/>
      <c r="DL19" s="1807"/>
      <c r="DM19" s="1808"/>
      <c r="DN19" s="1810">
        <v>0</v>
      </c>
      <c r="DO19" s="1799">
        <v>0</v>
      </c>
      <c r="DP19" s="1800">
        <v>0</v>
      </c>
      <c r="DQ19" s="1799">
        <v>0</v>
      </c>
      <c r="DR19" s="1800">
        <v>0</v>
      </c>
      <c r="DS19" s="1799">
        <v>0</v>
      </c>
    </row>
    <row r="20" spans="1:123" ht="81">
      <c r="A20" s="1801" t="s">
        <v>808</v>
      </c>
      <c r="B20" s="1788" t="s">
        <v>809</v>
      </c>
      <c r="C20" s="426">
        <v>2022</v>
      </c>
      <c r="D20" s="417" t="s">
        <v>681</v>
      </c>
      <c r="E20" s="1802">
        <v>1016027</v>
      </c>
      <c r="F20" s="1803" t="s">
        <v>809</v>
      </c>
      <c r="G20" s="419">
        <v>45128</v>
      </c>
      <c r="H20" s="1790" t="s">
        <v>810</v>
      </c>
      <c r="I20" s="1791" t="s">
        <v>4858</v>
      </c>
      <c r="J20" s="1793" t="s">
        <v>4859</v>
      </c>
      <c r="K20" s="1788" t="s">
        <v>809</v>
      </c>
      <c r="L20" s="1791" t="s">
        <v>4860</v>
      </c>
      <c r="M20" s="1793" t="s">
        <v>811</v>
      </c>
      <c r="N20" s="1790" t="s">
        <v>12</v>
      </c>
      <c r="O20" s="1793" t="s">
        <v>20</v>
      </c>
      <c r="P20" s="420" t="s">
        <v>683</v>
      </c>
      <c r="Q20" s="421"/>
      <c r="R20" s="421"/>
      <c r="S20" s="422"/>
      <c r="T20" s="1794"/>
      <c r="U20" s="423">
        <v>2566.8162000000002</v>
      </c>
      <c r="V20" s="424">
        <v>2</v>
      </c>
      <c r="W20" s="424">
        <v>1</v>
      </c>
      <c r="X20" s="425"/>
      <c r="Y20" s="426">
        <v>2022</v>
      </c>
      <c r="Z20" s="417">
        <v>2024</v>
      </c>
      <c r="AA20" s="1804">
        <v>2022</v>
      </c>
      <c r="AB20" s="427" t="s">
        <v>5863</v>
      </c>
      <c r="AC20" s="1793" t="s">
        <v>4861</v>
      </c>
      <c r="AD20" s="428"/>
      <c r="AE20" s="1791"/>
      <c r="AF20" s="1791"/>
      <c r="AG20" s="1793"/>
      <c r="AH20" s="428"/>
      <c r="AI20" s="1793"/>
      <c r="AJ20" s="429">
        <v>2021</v>
      </c>
      <c r="AK20" s="424">
        <v>5030</v>
      </c>
      <c r="AL20" s="424">
        <v>5169</v>
      </c>
      <c r="AM20" s="430"/>
      <c r="AN20" s="431"/>
      <c r="AO20" s="432">
        <v>2024</v>
      </c>
      <c r="AP20" s="425">
        <v>4879.0999999999995</v>
      </c>
      <c r="AQ20" s="433">
        <v>3</v>
      </c>
      <c r="AR20" s="425">
        <v>5013.93</v>
      </c>
      <c r="AS20" s="433">
        <v>2.99</v>
      </c>
      <c r="AT20" s="434"/>
      <c r="AU20" s="431"/>
      <c r="AV20" s="435"/>
      <c r="AW20" s="432">
        <v>2022</v>
      </c>
      <c r="AX20" s="425">
        <v>5655</v>
      </c>
      <c r="AY20" s="433">
        <v>-12.43</v>
      </c>
      <c r="AZ20" s="425">
        <v>5521</v>
      </c>
      <c r="BA20" s="433">
        <v>-6.81</v>
      </c>
      <c r="BB20" s="434"/>
      <c r="BC20" s="431"/>
      <c r="BD20" s="435"/>
      <c r="BE20" s="432">
        <v>2023</v>
      </c>
      <c r="BF20" s="425"/>
      <c r="BG20" s="433"/>
      <c r="BH20" s="425"/>
      <c r="BI20" s="433"/>
      <c r="BJ20" s="434"/>
      <c r="BK20" s="431"/>
      <c r="BL20" s="435"/>
      <c r="BM20" s="432">
        <v>2024</v>
      </c>
      <c r="BN20" s="425"/>
      <c r="BO20" s="433"/>
      <c r="BP20" s="425"/>
      <c r="BQ20" s="433"/>
      <c r="BR20" s="434"/>
      <c r="BS20" s="431"/>
      <c r="BT20" s="435"/>
      <c r="BU20" s="1805" t="s">
        <v>676</v>
      </c>
      <c r="BV20" s="1806" t="s">
        <v>728</v>
      </c>
      <c r="BW20" s="1807" t="s">
        <v>688</v>
      </c>
      <c r="BX20" s="1808" t="s">
        <v>4862</v>
      </c>
      <c r="BY20" s="1809">
        <v>2021</v>
      </c>
      <c r="BZ20" s="424"/>
      <c r="CA20" s="424"/>
      <c r="CB20" s="430"/>
      <c r="CC20" s="431"/>
      <c r="CD20" s="432">
        <v>2024</v>
      </c>
      <c r="CE20" s="425"/>
      <c r="CF20" s="433"/>
      <c r="CG20" s="425"/>
      <c r="CH20" s="433"/>
      <c r="CI20" s="434"/>
      <c r="CJ20" s="431"/>
      <c r="CK20" s="435"/>
      <c r="CL20" s="432">
        <v>2022</v>
      </c>
      <c r="CM20" s="425">
        <v>0</v>
      </c>
      <c r="CN20" s="433"/>
      <c r="CO20" s="425">
        <v>0</v>
      </c>
      <c r="CP20" s="433"/>
      <c r="CQ20" s="434"/>
      <c r="CR20" s="431"/>
      <c r="CS20" s="435">
        <v>0</v>
      </c>
      <c r="CT20" s="432">
        <v>2023</v>
      </c>
      <c r="CU20" s="425"/>
      <c r="CV20" s="433"/>
      <c r="CW20" s="425"/>
      <c r="CX20" s="433"/>
      <c r="CY20" s="434"/>
      <c r="CZ20" s="431"/>
      <c r="DA20" s="435"/>
      <c r="DB20" s="432">
        <v>2024</v>
      </c>
      <c r="DC20" s="425"/>
      <c r="DD20" s="433"/>
      <c r="DE20" s="425"/>
      <c r="DF20" s="433"/>
      <c r="DG20" s="434"/>
      <c r="DH20" s="431"/>
      <c r="DI20" s="435"/>
      <c r="DJ20" s="1805"/>
      <c r="DK20" s="1806"/>
      <c r="DL20" s="1807"/>
      <c r="DM20" s="1808"/>
      <c r="DN20" s="1810">
        <v>0</v>
      </c>
      <c r="DO20" s="1799">
        <v>0</v>
      </c>
      <c r="DP20" s="1800">
        <v>0</v>
      </c>
      <c r="DQ20" s="1799">
        <v>0</v>
      </c>
      <c r="DR20" s="1800">
        <v>0</v>
      </c>
      <c r="DS20" s="1799">
        <v>0</v>
      </c>
    </row>
    <row r="21" spans="1:123" ht="67.5">
      <c r="A21" s="1801" t="s">
        <v>812</v>
      </c>
      <c r="B21" s="1788" t="s">
        <v>813</v>
      </c>
      <c r="C21" s="426">
        <v>2022</v>
      </c>
      <c r="D21" s="417" t="s">
        <v>714</v>
      </c>
      <c r="E21" s="1802">
        <v>3070028</v>
      </c>
      <c r="F21" s="1803" t="s">
        <v>813</v>
      </c>
      <c r="G21" s="419">
        <v>45132</v>
      </c>
      <c r="H21" s="1790" t="s">
        <v>814</v>
      </c>
      <c r="I21" s="1791" t="s">
        <v>813</v>
      </c>
      <c r="J21" s="1793" t="s">
        <v>4863</v>
      </c>
      <c r="K21" s="1788" t="s">
        <v>813</v>
      </c>
      <c r="L21" s="1791" t="s">
        <v>4863</v>
      </c>
      <c r="M21" s="1793" t="s">
        <v>814</v>
      </c>
      <c r="N21" s="1790" t="s">
        <v>77</v>
      </c>
      <c r="O21" s="1793" t="s">
        <v>80</v>
      </c>
      <c r="P21" s="420"/>
      <c r="Q21" s="421"/>
      <c r="R21" s="421" t="s">
        <v>717</v>
      </c>
      <c r="S21" s="422"/>
      <c r="T21" s="1794"/>
      <c r="U21" s="423"/>
      <c r="V21" s="424"/>
      <c r="W21" s="424"/>
      <c r="X21" s="425">
        <v>225</v>
      </c>
      <c r="Y21" s="426">
        <v>2022</v>
      </c>
      <c r="Z21" s="417">
        <v>2024</v>
      </c>
      <c r="AA21" s="1804">
        <v>2022</v>
      </c>
      <c r="AB21" s="427" t="s">
        <v>5863</v>
      </c>
      <c r="AC21" s="1793" t="s">
        <v>815</v>
      </c>
      <c r="AD21" s="428"/>
      <c r="AE21" s="1791"/>
      <c r="AF21" s="1791"/>
      <c r="AG21" s="1793"/>
      <c r="AH21" s="428"/>
      <c r="AI21" s="1793"/>
      <c r="AJ21" s="429">
        <v>2021</v>
      </c>
      <c r="AK21" s="424">
        <v>0</v>
      </c>
      <c r="AL21" s="424"/>
      <c r="AM21" s="430"/>
      <c r="AN21" s="431"/>
      <c r="AO21" s="432">
        <v>2024</v>
      </c>
      <c r="AP21" s="425">
        <v>0</v>
      </c>
      <c r="AQ21" s="433"/>
      <c r="AR21" s="425">
        <v>0</v>
      </c>
      <c r="AS21" s="433"/>
      <c r="AT21" s="434"/>
      <c r="AU21" s="431"/>
      <c r="AV21" s="435"/>
      <c r="AW21" s="432">
        <v>2022</v>
      </c>
      <c r="AX21" s="425"/>
      <c r="AY21" s="433"/>
      <c r="AZ21" s="425"/>
      <c r="BA21" s="433"/>
      <c r="BB21" s="434"/>
      <c r="BC21" s="431"/>
      <c r="BD21" s="435"/>
      <c r="BE21" s="432">
        <v>2023</v>
      </c>
      <c r="BF21" s="425"/>
      <c r="BG21" s="433"/>
      <c r="BH21" s="425"/>
      <c r="BI21" s="433"/>
      <c r="BJ21" s="434"/>
      <c r="BK21" s="431"/>
      <c r="BL21" s="435"/>
      <c r="BM21" s="432">
        <v>2024</v>
      </c>
      <c r="BN21" s="425"/>
      <c r="BO21" s="433"/>
      <c r="BP21" s="425"/>
      <c r="BQ21" s="433"/>
      <c r="BR21" s="434"/>
      <c r="BS21" s="431"/>
      <c r="BT21" s="435"/>
      <c r="BU21" s="1805"/>
      <c r="BV21" s="1806"/>
      <c r="BW21" s="1807"/>
      <c r="BX21" s="1808"/>
      <c r="BY21" s="1809">
        <v>2021</v>
      </c>
      <c r="BZ21" s="424">
        <v>391</v>
      </c>
      <c r="CA21" s="424">
        <v>391</v>
      </c>
      <c r="CB21" s="430"/>
      <c r="CC21" s="431"/>
      <c r="CD21" s="432">
        <v>2024</v>
      </c>
      <c r="CE21" s="425">
        <v>380</v>
      </c>
      <c r="CF21" s="433">
        <v>2.81</v>
      </c>
      <c r="CG21" s="425">
        <v>380</v>
      </c>
      <c r="CH21" s="433">
        <v>2.81</v>
      </c>
      <c r="CI21" s="434"/>
      <c r="CJ21" s="431"/>
      <c r="CK21" s="435"/>
      <c r="CL21" s="432">
        <v>2022</v>
      </c>
      <c r="CM21" s="425">
        <v>581.25263999999993</v>
      </c>
      <c r="CN21" s="433">
        <v>-48.66</v>
      </c>
      <c r="CO21" s="425">
        <v>581.25263999999993</v>
      </c>
      <c r="CP21" s="433">
        <v>-48.66</v>
      </c>
      <c r="CQ21" s="434"/>
      <c r="CR21" s="431"/>
      <c r="CS21" s="435"/>
      <c r="CT21" s="432">
        <v>2023</v>
      </c>
      <c r="CU21" s="425"/>
      <c r="CV21" s="433"/>
      <c r="CW21" s="425"/>
      <c r="CX21" s="433"/>
      <c r="CY21" s="434"/>
      <c r="CZ21" s="431"/>
      <c r="DA21" s="435"/>
      <c r="DB21" s="432">
        <v>2024</v>
      </c>
      <c r="DC21" s="425"/>
      <c r="DD21" s="433"/>
      <c r="DE21" s="425"/>
      <c r="DF21" s="433"/>
      <c r="DG21" s="434"/>
      <c r="DH21" s="431"/>
      <c r="DI21" s="435"/>
      <c r="DJ21" s="1805" t="s">
        <v>719</v>
      </c>
      <c r="DK21" s="1806" t="s">
        <v>728</v>
      </c>
      <c r="DL21" s="1807" t="s">
        <v>688</v>
      </c>
      <c r="DM21" s="1808"/>
      <c r="DN21" s="1810">
        <v>0</v>
      </c>
      <c r="DO21" s="1799">
        <v>0</v>
      </c>
      <c r="DP21" s="1800">
        <v>0</v>
      </c>
      <c r="DQ21" s="1799">
        <v>0</v>
      </c>
      <c r="DR21" s="1800">
        <v>0</v>
      </c>
      <c r="DS21" s="1799">
        <v>0</v>
      </c>
    </row>
    <row r="22" spans="1:123" ht="94.5">
      <c r="A22" s="1801" t="s">
        <v>816</v>
      </c>
      <c r="B22" s="1788" t="s">
        <v>817</v>
      </c>
      <c r="C22" s="426">
        <v>2022</v>
      </c>
      <c r="D22" s="417" t="s">
        <v>681</v>
      </c>
      <c r="E22" s="1802">
        <v>1024029</v>
      </c>
      <c r="F22" s="1803" t="s">
        <v>817</v>
      </c>
      <c r="G22" s="419">
        <v>45132</v>
      </c>
      <c r="H22" s="1790" t="s">
        <v>818</v>
      </c>
      <c r="I22" s="1791" t="s">
        <v>817</v>
      </c>
      <c r="J22" s="1793" t="s">
        <v>819</v>
      </c>
      <c r="K22" s="1788" t="s">
        <v>817</v>
      </c>
      <c r="L22" s="1791" t="s">
        <v>819</v>
      </c>
      <c r="M22" s="1793" t="s">
        <v>820</v>
      </c>
      <c r="N22" s="1790" t="s">
        <v>12</v>
      </c>
      <c r="O22" s="1793" t="s">
        <v>28</v>
      </c>
      <c r="P22" s="420" t="s">
        <v>683</v>
      </c>
      <c r="Q22" s="421"/>
      <c r="R22" s="421"/>
      <c r="S22" s="422"/>
      <c r="T22" s="1794"/>
      <c r="U22" s="423">
        <v>4150.2137999999995</v>
      </c>
      <c r="V22" s="424">
        <v>2</v>
      </c>
      <c r="W22" s="424">
        <v>2</v>
      </c>
      <c r="X22" s="425"/>
      <c r="Y22" s="426">
        <v>2022</v>
      </c>
      <c r="Z22" s="417">
        <v>2024</v>
      </c>
      <c r="AA22" s="1804">
        <v>2022</v>
      </c>
      <c r="AB22" s="427"/>
      <c r="AC22" s="1793"/>
      <c r="AD22" s="428" t="s">
        <v>5863</v>
      </c>
      <c r="AE22" s="1791" t="s">
        <v>821</v>
      </c>
      <c r="AF22" s="1791" t="s">
        <v>822</v>
      </c>
      <c r="AG22" s="1793" t="s">
        <v>823</v>
      </c>
      <c r="AH22" s="428"/>
      <c r="AI22" s="1793"/>
      <c r="AJ22" s="429">
        <v>2021</v>
      </c>
      <c r="AK22" s="424">
        <v>8055</v>
      </c>
      <c r="AL22" s="424">
        <v>5763</v>
      </c>
      <c r="AM22" s="430">
        <v>198.66</v>
      </c>
      <c r="AN22" s="431" t="s">
        <v>897</v>
      </c>
      <c r="AO22" s="432">
        <v>2024</v>
      </c>
      <c r="AP22" s="425">
        <v>7693</v>
      </c>
      <c r="AQ22" s="433">
        <v>4.49</v>
      </c>
      <c r="AR22" s="425">
        <v>5504</v>
      </c>
      <c r="AS22" s="433">
        <v>4.49</v>
      </c>
      <c r="AT22" s="434">
        <v>192.7</v>
      </c>
      <c r="AU22" s="431" t="s">
        <v>897</v>
      </c>
      <c r="AV22" s="435">
        <v>3</v>
      </c>
      <c r="AW22" s="432">
        <v>2022</v>
      </c>
      <c r="AX22" s="425">
        <v>7780</v>
      </c>
      <c r="AY22" s="433">
        <v>3.41</v>
      </c>
      <c r="AZ22" s="425">
        <v>7769</v>
      </c>
      <c r="BA22" s="433">
        <v>-34.81</v>
      </c>
      <c r="BB22" s="434">
        <v>198.55549600592093</v>
      </c>
      <c r="BC22" s="431" t="s">
        <v>897</v>
      </c>
      <c r="BD22" s="435">
        <v>0.05</v>
      </c>
      <c r="BE22" s="432">
        <v>2023</v>
      </c>
      <c r="BF22" s="425"/>
      <c r="BG22" s="433"/>
      <c r="BH22" s="425"/>
      <c r="BI22" s="433"/>
      <c r="BJ22" s="434"/>
      <c r="BK22" s="431"/>
      <c r="BL22" s="435"/>
      <c r="BM22" s="432">
        <v>2024</v>
      </c>
      <c r="BN22" s="425"/>
      <c r="BO22" s="433"/>
      <c r="BP22" s="425"/>
      <c r="BQ22" s="433"/>
      <c r="BR22" s="434"/>
      <c r="BS22" s="431"/>
      <c r="BT22" s="435"/>
      <c r="BU22" s="1805" t="s">
        <v>719</v>
      </c>
      <c r="BV22" s="1806" t="s">
        <v>728</v>
      </c>
      <c r="BW22" s="1807" t="s">
        <v>688</v>
      </c>
      <c r="BX22" s="1808" t="s">
        <v>4864</v>
      </c>
      <c r="BY22" s="1809">
        <v>2021</v>
      </c>
      <c r="BZ22" s="424"/>
      <c r="CA22" s="424"/>
      <c r="CB22" s="430"/>
      <c r="CC22" s="431"/>
      <c r="CD22" s="432">
        <v>2024</v>
      </c>
      <c r="CE22" s="425"/>
      <c r="CF22" s="433"/>
      <c r="CG22" s="425"/>
      <c r="CH22" s="433"/>
      <c r="CI22" s="434"/>
      <c r="CJ22" s="431"/>
      <c r="CK22" s="435"/>
      <c r="CL22" s="432">
        <v>2022</v>
      </c>
      <c r="CM22" s="425">
        <v>0</v>
      </c>
      <c r="CN22" s="433"/>
      <c r="CO22" s="425">
        <v>0</v>
      </c>
      <c r="CP22" s="433"/>
      <c r="CQ22" s="434"/>
      <c r="CR22" s="431"/>
      <c r="CS22" s="435">
        <v>0</v>
      </c>
      <c r="CT22" s="432">
        <v>2023</v>
      </c>
      <c r="CU22" s="425"/>
      <c r="CV22" s="433"/>
      <c r="CW22" s="425"/>
      <c r="CX22" s="433"/>
      <c r="CY22" s="434"/>
      <c r="CZ22" s="431"/>
      <c r="DA22" s="435"/>
      <c r="DB22" s="432">
        <v>2024</v>
      </c>
      <c r="DC22" s="425"/>
      <c r="DD22" s="433"/>
      <c r="DE22" s="425"/>
      <c r="DF22" s="433"/>
      <c r="DG22" s="434"/>
      <c r="DH22" s="431"/>
      <c r="DI22" s="435"/>
      <c r="DJ22" s="1805"/>
      <c r="DK22" s="1806"/>
      <c r="DL22" s="1807"/>
      <c r="DM22" s="1808"/>
      <c r="DN22" s="1810">
        <v>0</v>
      </c>
      <c r="DO22" s="1799">
        <v>0</v>
      </c>
      <c r="DP22" s="1800">
        <v>0</v>
      </c>
      <c r="DQ22" s="1799">
        <v>1</v>
      </c>
      <c r="DR22" s="1800">
        <v>0</v>
      </c>
      <c r="DS22" s="1799">
        <v>0</v>
      </c>
    </row>
    <row r="23" spans="1:123" ht="108">
      <c r="A23" s="1801" t="s">
        <v>825</v>
      </c>
      <c r="B23" s="1788" t="s">
        <v>826</v>
      </c>
      <c r="C23" s="426">
        <v>2022</v>
      </c>
      <c r="D23" s="417" t="s">
        <v>681</v>
      </c>
      <c r="E23" s="1802">
        <v>1069030</v>
      </c>
      <c r="F23" s="1803" t="s">
        <v>826</v>
      </c>
      <c r="G23" s="419">
        <v>45128</v>
      </c>
      <c r="H23" s="1790" t="s">
        <v>827</v>
      </c>
      <c r="I23" s="1791" t="s">
        <v>826</v>
      </c>
      <c r="J23" s="1793" t="s">
        <v>4865</v>
      </c>
      <c r="K23" s="1788" t="s">
        <v>826</v>
      </c>
      <c r="L23" s="1791" t="s">
        <v>4866</v>
      </c>
      <c r="M23" s="1793" t="s">
        <v>827</v>
      </c>
      <c r="N23" s="1790" t="s">
        <v>77</v>
      </c>
      <c r="O23" s="1793" t="s">
        <v>79</v>
      </c>
      <c r="P23" s="420" t="s">
        <v>683</v>
      </c>
      <c r="Q23" s="421"/>
      <c r="R23" s="421"/>
      <c r="S23" s="422"/>
      <c r="T23" s="1794"/>
      <c r="U23" s="423">
        <v>20426.5308</v>
      </c>
      <c r="V23" s="424">
        <v>4</v>
      </c>
      <c r="W23" s="424">
        <v>3</v>
      </c>
      <c r="X23" s="425"/>
      <c r="Y23" s="426">
        <v>2022</v>
      </c>
      <c r="Z23" s="417">
        <v>2024</v>
      </c>
      <c r="AA23" s="1804">
        <v>2022</v>
      </c>
      <c r="AB23" s="427"/>
      <c r="AC23" s="1793"/>
      <c r="AD23" s="428" t="s">
        <v>5863</v>
      </c>
      <c r="AE23" s="1791" t="s">
        <v>828</v>
      </c>
      <c r="AF23" s="1791" t="s">
        <v>829</v>
      </c>
      <c r="AG23" s="1793" t="s">
        <v>830</v>
      </c>
      <c r="AH23" s="428"/>
      <c r="AI23" s="1793"/>
      <c r="AJ23" s="429">
        <v>2021</v>
      </c>
      <c r="AK23" s="424">
        <v>20905</v>
      </c>
      <c r="AL23" s="424">
        <v>10760</v>
      </c>
      <c r="AM23" s="430"/>
      <c r="AN23" s="431"/>
      <c r="AO23" s="432">
        <v>2024</v>
      </c>
      <c r="AP23" s="425">
        <v>20277</v>
      </c>
      <c r="AQ23" s="433">
        <v>3</v>
      </c>
      <c r="AR23" s="425">
        <v>10437</v>
      </c>
      <c r="AS23" s="433">
        <v>3</v>
      </c>
      <c r="AT23" s="434"/>
      <c r="AU23" s="431"/>
      <c r="AV23" s="435"/>
      <c r="AW23" s="432">
        <v>2022</v>
      </c>
      <c r="AX23" s="425">
        <v>40410</v>
      </c>
      <c r="AY23" s="433">
        <v>-93.31</v>
      </c>
      <c r="AZ23" s="425">
        <v>12979</v>
      </c>
      <c r="BA23" s="433">
        <v>-20.63</v>
      </c>
      <c r="BB23" s="434"/>
      <c r="BC23" s="431"/>
      <c r="BD23" s="435"/>
      <c r="BE23" s="432">
        <v>2023</v>
      </c>
      <c r="BF23" s="425"/>
      <c r="BG23" s="433"/>
      <c r="BH23" s="425"/>
      <c r="BI23" s="433"/>
      <c r="BJ23" s="434"/>
      <c r="BK23" s="431"/>
      <c r="BL23" s="435"/>
      <c r="BM23" s="432">
        <v>2024</v>
      </c>
      <c r="BN23" s="425"/>
      <c r="BO23" s="433"/>
      <c r="BP23" s="425"/>
      <c r="BQ23" s="433"/>
      <c r="BR23" s="434"/>
      <c r="BS23" s="431"/>
      <c r="BT23" s="435"/>
      <c r="BU23" s="1805" t="s">
        <v>676</v>
      </c>
      <c r="BV23" s="1806" t="s">
        <v>728</v>
      </c>
      <c r="BW23" s="1807" t="s">
        <v>678</v>
      </c>
      <c r="BX23" s="1808" t="s">
        <v>4867</v>
      </c>
      <c r="BY23" s="1809">
        <v>2021</v>
      </c>
      <c r="BZ23" s="424"/>
      <c r="CA23" s="424"/>
      <c r="CB23" s="430"/>
      <c r="CC23" s="431"/>
      <c r="CD23" s="432">
        <v>2024</v>
      </c>
      <c r="CE23" s="425"/>
      <c r="CF23" s="433"/>
      <c r="CG23" s="425"/>
      <c r="CH23" s="433"/>
      <c r="CI23" s="434"/>
      <c r="CJ23" s="431"/>
      <c r="CK23" s="435"/>
      <c r="CL23" s="432">
        <v>2022</v>
      </c>
      <c r="CM23" s="425">
        <v>0</v>
      </c>
      <c r="CN23" s="433"/>
      <c r="CO23" s="425">
        <v>0</v>
      </c>
      <c r="CP23" s="433"/>
      <c r="CQ23" s="434"/>
      <c r="CR23" s="431"/>
      <c r="CS23" s="435"/>
      <c r="CT23" s="432">
        <v>2023</v>
      </c>
      <c r="CU23" s="425"/>
      <c r="CV23" s="433"/>
      <c r="CW23" s="425"/>
      <c r="CX23" s="433"/>
      <c r="CY23" s="434"/>
      <c r="CZ23" s="431"/>
      <c r="DA23" s="435"/>
      <c r="DB23" s="432">
        <v>2024</v>
      </c>
      <c r="DC23" s="425"/>
      <c r="DD23" s="433"/>
      <c r="DE23" s="425"/>
      <c r="DF23" s="433"/>
      <c r="DG23" s="434"/>
      <c r="DH23" s="431"/>
      <c r="DI23" s="435"/>
      <c r="DJ23" s="1805"/>
      <c r="DK23" s="1806"/>
      <c r="DL23" s="1807"/>
      <c r="DM23" s="1808"/>
      <c r="DN23" s="1810">
        <v>0</v>
      </c>
      <c r="DO23" s="1799">
        <v>0</v>
      </c>
      <c r="DP23" s="1800">
        <v>0</v>
      </c>
      <c r="DQ23" s="1799">
        <v>0</v>
      </c>
      <c r="DR23" s="1800">
        <v>0</v>
      </c>
      <c r="DS23" s="1799">
        <v>0</v>
      </c>
    </row>
    <row r="24" spans="1:123" ht="94.5">
      <c r="A24" s="1801" t="s">
        <v>831</v>
      </c>
      <c r="B24" s="1788" t="s">
        <v>832</v>
      </c>
      <c r="C24" s="426">
        <v>2022</v>
      </c>
      <c r="D24" s="417" t="s">
        <v>681</v>
      </c>
      <c r="E24" s="1802">
        <v>1024031</v>
      </c>
      <c r="F24" s="1803" t="s">
        <v>832</v>
      </c>
      <c r="G24" s="419">
        <v>45135</v>
      </c>
      <c r="H24" s="1790" t="s">
        <v>833</v>
      </c>
      <c r="I24" s="1791" t="s">
        <v>832</v>
      </c>
      <c r="J24" s="1793" t="s">
        <v>4868</v>
      </c>
      <c r="K24" s="1788" t="s">
        <v>832</v>
      </c>
      <c r="L24" s="1791" t="s">
        <v>834</v>
      </c>
      <c r="M24" s="1793" t="s">
        <v>833</v>
      </c>
      <c r="N24" s="1790" t="s">
        <v>12</v>
      </c>
      <c r="O24" s="1793" t="s">
        <v>35</v>
      </c>
      <c r="P24" s="420" t="s">
        <v>683</v>
      </c>
      <c r="Q24" s="421"/>
      <c r="R24" s="421"/>
      <c r="S24" s="422"/>
      <c r="T24" s="1794"/>
      <c r="U24" s="423">
        <v>12858.3588</v>
      </c>
      <c r="V24" s="424">
        <v>2</v>
      </c>
      <c r="W24" s="424">
        <v>1</v>
      </c>
      <c r="X24" s="425"/>
      <c r="Y24" s="426">
        <v>2022</v>
      </c>
      <c r="Z24" s="417">
        <v>2024</v>
      </c>
      <c r="AA24" s="1804">
        <v>2022</v>
      </c>
      <c r="AB24" s="427"/>
      <c r="AC24" s="1793"/>
      <c r="AD24" s="428" t="s">
        <v>5863</v>
      </c>
      <c r="AE24" s="1791" t="s">
        <v>835</v>
      </c>
      <c r="AF24" s="1791" t="s">
        <v>836</v>
      </c>
      <c r="AG24" s="1793" t="s">
        <v>837</v>
      </c>
      <c r="AH24" s="428"/>
      <c r="AI24" s="1793"/>
      <c r="AJ24" s="429">
        <v>2021</v>
      </c>
      <c r="AK24" s="424">
        <v>21765</v>
      </c>
      <c r="AL24" s="424">
        <v>21627</v>
      </c>
      <c r="AM24" s="430"/>
      <c r="AN24" s="431"/>
      <c r="AO24" s="432">
        <v>2024</v>
      </c>
      <c r="AP24" s="425">
        <v>18761</v>
      </c>
      <c r="AQ24" s="433">
        <v>13.8</v>
      </c>
      <c r="AR24" s="425">
        <v>18642</v>
      </c>
      <c r="AS24" s="433">
        <v>13.8</v>
      </c>
      <c r="AT24" s="434"/>
      <c r="AU24" s="431"/>
      <c r="AV24" s="435"/>
      <c r="AW24" s="432">
        <v>2022</v>
      </c>
      <c r="AX24" s="425">
        <v>23128</v>
      </c>
      <c r="AY24" s="433">
        <v>-6.27</v>
      </c>
      <c r="AZ24" s="425">
        <v>23405</v>
      </c>
      <c r="BA24" s="433">
        <v>-8.23</v>
      </c>
      <c r="BB24" s="434"/>
      <c r="BC24" s="431"/>
      <c r="BD24" s="435"/>
      <c r="BE24" s="432">
        <v>2023</v>
      </c>
      <c r="BF24" s="425"/>
      <c r="BG24" s="433"/>
      <c r="BH24" s="425"/>
      <c r="BI24" s="433"/>
      <c r="BJ24" s="434"/>
      <c r="BK24" s="431"/>
      <c r="BL24" s="435"/>
      <c r="BM24" s="432">
        <v>2024</v>
      </c>
      <c r="BN24" s="425"/>
      <c r="BO24" s="433"/>
      <c r="BP24" s="425"/>
      <c r="BQ24" s="433"/>
      <c r="BR24" s="434"/>
      <c r="BS24" s="431"/>
      <c r="BT24" s="435"/>
      <c r="BU24" s="1805" t="s">
        <v>676</v>
      </c>
      <c r="BV24" s="1806" t="s">
        <v>728</v>
      </c>
      <c r="BW24" s="1807" t="s">
        <v>678</v>
      </c>
      <c r="BX24" s="1808" t="s">
        <v>4869</v>
      </c>
      <c r="BY24" s="1809">
        <v>2021</v>
      </c>
      <c r="BZ24" s="424"/>
      <c r="CA24" s="424"/>
      <c r="CB24" s="430"/>
      <c r="CC24" s="431"/>
      <c r="CD24" s="432">
        <v>2024</v>
      </c>
      <c r="CE24" s="425"/>
      <c r="CF24" s="433"/>
      <c r="CG24" s="425"/>
      <c r="CH24" s="433"/>
      <c r="CI24" s="434"/>
      <c r="CJ24" s="431"/>
      <c r="CK24" s="435"/>
      <c r="CL24" s="432">
        <v>2022</v>
      </c>
      <c r="CM24" s="425">
        <v>0</v>
      </c>
      <c r="CN24" s="433"/>
      <c r="CO24" s="425">
        <v>0</v>
      </c>
      <c r="CP24" s="433"/>
      <c r="CQ24" s="434"/>
      <c r="CR24" s="431"/>
      <c r="CS24" s="435">
        <v>0</v>
      </c>
      <c r="CT24" s="432">
        <v>2023</v>
      </c>
      <c r="CU24" s="425"/>
      <c r="CV24" s="433"/>
      <c r="CW24" s="425"/>
      <c r="CX24" s="433"/>
      <c r="CY24" s="434"/>
      <c r="CZ24" s="431"/>
      <c r="DA24" s="435"/>
      <c r="DB24" s="432">
        <v>2024</v>
      </c>
      <c r="DC24" s="425"/>
      <c r="DD24" s="433"/>
      <c r="DE24" s="425"/>
      <c r="DF24" s="433"/>
      <c r="DG24" s="434"/>
      <c r="DH24" s="431"/>
      <c r="DI24" s="435"/>
      <c r="DJ24" s="1805"/>
      <c r="DK24" s="1806"/>
      <c r="DL24" s="1807"/>
      <c r="DM24" s="1808"/>
      <c r="DN24" s="1810">
        <v>0</v>
      </c>
      <c r="DO24" s="1799">
        <v>0</v>
      </c>
      <c r="DP24" s="1800">
        <v>0</v>
      </c>
      <c r="DQ24" s="1799">
        <v>1</v>
      </c>
      <c r="DR24" s="1800">
        <v>0</v>
      </c>
      <c r="DS24" s="1799">
        <v>0</v>
      </c>
    </row>
    <row r="25" spans="1:123" ht="67.5">
      <c r="A25" s="1801" t="s">
        <v>5999</v>
      </c>
      <c r="B25" s="1788" t="s">
        <v>6000</v>
      </c>
      <c r="C25" s="426">
        <v>2022</v>
      </c>
      <c r="D25" s="417" t="s">
        <v>714</v>
      </c>
      <c r="E25" s="1802">
        <v>3043034</v>
      </c>
      <c r="F25" s="1803" t="s">
        <v>6000</v>
      </c>
      <c r="G25" s="419">
        <v>45364</v>
      </c>
      <c r="H25" s="1790" t="s">
        <v>6001</v>
      </c>
      <c r="I25" s="1791" t="s">
        <v>6000</v>
      </c>
      <c r="J25" s="1793" t="s">
        <v>6002</v>
      </c>
      <c r="K25" s="1788" t="s">
        <v>6000</v>
      </c>
      <c r="L25" s="1791" t="s">
        <v>6003</v>
      </c>
      <c r="M25" s="1793" t="s">
        <v>6001</v>
      </c>
      <c r="N25" s="1790" t="s">
        <v>48</v>
      </c>
      <c r="O25" s="1793" t="s">
        <v>50</v>
      </c>
      <c r="P25" s="420"/>
      <c r="Q25" s="421"/>
      <c r="R25" s="421" t="s">
        <v>717</v>
      </c>
      <c r="S25" s="422"/>
      <c r="T25" s="1794"/>
      <c r="U25" s="423"/>
      <c r="V25" s="424"/>
      <c r="W25" s="424"/>
      <c r="X25" s="425">
        <v>134</v>
      </c>
      <c r="Y25" s="426">
        <v>2022</v>
      </c>
      <c r="Z25" s="417">
        <v>2024</v>
      </c>
      <c r="AA25" s="1804">
        <v>2022</v>
      </c>
      <c r="AB25" s="427"/>
      <c r="AC25" s="1793"/>
      <c r="AD25" s="428" t="s">
        <v>5863</v>
      </c>
      <c r="AE25" s="1791" t="s">
        <v>6004</v>
      </c>
      <c r="AF25" s="1791" t="s">
        <v>6001</v>
      </c>
      <c r="AG25" s="1793" t="s">
        <v>6005</v>
      </c>
      <c r="AH25" s="428"/>
      <c r="AI25" s="1793"/>
      <c r="AJ25" s="429">
        <v>2021</v>
      </c>
      <c r="AK25" s="424">
        <v>0</v>
      </c>
      <c r="AL25" s="424"/>
      <c r="AM25" s="430"/>
      <c r="AN25" s="431"/>
      <c r="AO25" s="432">
        <v>2024</v>
      </c>
      <c r="AP25" s="425">
        <v>0</v>
      </c>
      <c r="AQ25" s="433"/>
      <c r="AR25" s="425">
        <v>0</v>
      </c>
      <c r="AS25" s="433"/>
      <c r="AT25" s="434"/>
      <c r="AU25" s="431"/>
      <c r="AV25" s="435"/>
      <c r="AW25" s="432">
        <v>2022</v>
      </c>
      <c r="AX25" s="425"/>
      <c r="AY25" s="433"/>
      <c r="AZ25" s="425"/>
      <c r="BA25" s="433"/>
      <c r="BB25" s="434"/>
      <c r="BC25" s="431"/>
      <c r="BD25" s="435"/>
      <c r="BE25" s="432">
        <v>2023</v>
      </c>
      <c r="BF25" s="425"/>
      <c r="BG25" s="433"/>
      <c r="BH25" s="425"/>
      <c r="BI25" s="433"/>
      <c r="BJ25" s="434"/>
      <c r="BK25" s="431"/>
      <c r="BL25" s="435"/>
      <c r="BM25" s="432">
        <v>2024</v>
      </c>
      <c r="BN25" s="425"/>
      <c r="BO25" s="433"/>
      <c r="BP25" s="425"/>
      <c r="BQ25" s="433"/>
      <c r="BR25" s="434"/>
      <c r="BS25" s="431"/>
      <c r="BT25" s="435"/>
      <c r="BU25" s="1805"/>
      <c r="BV25" s="1806"/>
      <c r="BW25" s="1807"/>
      <c r="BX25" s="1808"/>
      <c r="BY25" s="1809">
        <v>2021</v>
      </c>
      <c r="BZ25" s="424">
        <v>2071</v>
      </c>
      <c r="CA25" s="424">
        <v>2071</v>
      </c>
      <c r="CB25" s="430"/>
      <c r="CC25" s="431"/>
      <c r="CD25" s="432">
        <v>2024</v>
      </c>
      <c r="CE25" s="425">
        <v>2071</v>
      </c>
      <c r="CF25" s="433">
        <v>0</v>
      </c>
      <c r="CG25" s="425">
        <v>2071</v>
      </c>
      <c r="CH25" s="433">
        <v>0</v>
      </c>
      <c r="CI25" s="434"/>
      <c r="CJ25" s="431"/>
      <c r="CK25" s="435"/>
      <c r="CL25" s="432">
        <v>2022</v>
      </c>
      <c r="CM25" s="425">
        <v>1390.4455456000001</v>
      </c>
      <c r="CN25" s="433">
        <v>32.86</v>
      </c>
      <c r="CO25" s="425">
        <v>1390.4455456000001</v>
      </c>
      <c r="CP25" s="433">
        <v>32.86</v>
      </c>
      <c r="CQ25" s="434"/>
      <c r="CR25" s="431"/>
      <c r="CS25" s="435"/>
      <c r="CT25" s="432">
        <v>2023</v>
      </c>
      <c r="CU25" s="425"/>
      <c r="CV25" s="433"/>
      <c r="CW25" s="425"/>
      <c r="CX25" s="433"/>
      <c r="CY25" s="434"/>
      <c r="CZ25" s="431"/>
      <c r="DA25" s="435"/>
      <c r="DB25" s="432">
        <v>2024</v>
      </c>
      <c r="DC25" s="425"/>
      <c r="DD25" s="433"/>
      <c r="DE25" s="425"/>
      <c r="DF25" s="433"/>
      <c r="DG25" s="434"/>
      <c r="DH25" s="431"/>
      <c r="DI25" s="435"/>
      <c r="DJ25" s="1805" t="s">
        <v>687</v>
      </c>
      <c r="DK25" s="1806" t="s">
        <v>6006</v>
      </c>
      <c r="DL25" s="1807" t="s">
        <v>6007</v>
      </c>
      <c r="DM25" s="1808"/>
      <c r="DN25" s="1810">
        <v>0</v>
      </c>
      <c r="DO25" s="1799">
        <v>0</v>
      </c>
      <c r="DP25" s="1800">
        <v>0</v>
      </c>
      <c r="DQ25" s="1799">
        <v>0</v>
      </c>
      <c r="DR25" s="1800">
        <v>0</v>
      </c>
      <c r="DS25" s="1799">
        <v>0</v>
      </c>
    </row>
    <row r="26" spans="1:123" ht="94.5">
      <c r="A26" s="1801" t="s">
        <v>838</v>
      </c>
      <c r="B26" s="1788" t="s">
        <v>839</v>
      </c>
      <c r="C26" s="426">
        <v>2022</v>
      </c>
      <c r="D26" s="417" t="s">
        <v>681</v>
      </c>
      <c r="E26" s="1802">
        <v>1009036</v>
      </c>
      <c r="F26" s="1803" t="s">
        <v>839</v>
      </c>
      <c r="G26" s="419">
        <v>45134</v>
      </c>
      <c r="H26" s="1790" t="s">
        <v>840</v>
      </c>
      <c r="I26" s="1791" t="s">
        <v>839</v>
      </c>
      <c r="J26" s="1793" t="s">
        <v>841</v>
      </c>
      <c r="K26" s="1788" t="s">
        <v>839</v>
      </c>
      <c r="L26" s="1791" t="s">
        <v>842</v>
      </c>
      <c r="M26" s="1793" t="s">
        <v>843</v>
      </c>
      <c r="N26" s="1790" t="s">
        <v>12</v>
      </c>
      <c r="O26" s="1793" t="s">
        <v>13</v>
      </c>
      <c r="P26" s="420" t="s">
        <v>683</v>
      </c>
      <c r="Q26" s="421"/>
      <c r="R26" s="421"/>
      <c r="S26" s="422"/>
      <c r="T26" s="1794"/>
      <c r="U26" s="423">
        <v>7431.5609999999997</v>
      </c>
      <c r="V26" s="424">
        <v>1</v>
      </c>
      <c r="W26" s="424">
        <v>1</v>
      </c>
      <c r="X26" s="425"/>
      <c r="Y26" s="426">
        <v>2022</v>
      </c>
      <c r="Z26" s="417">
        <v>2024</v>
      </c>
      <c r="AA26" s="1804">
        <v>2022</v>
      </c>
      <c r="AB26" s="427"/>
      <c r="AC26" s="1793"/>
      <c r="AD26" s="428" t="s">
        <v>5863</v>
      </c>
      <c r="AE26" s="1791" t="s">
        <v>844</v>
      </c>
      <c r="AF26" s="1791" t="s">
        <v>845</v>
      </c>
      <c r="AG26" s="1793" t="s">
        <v>846</v>
      </c>
      <c r="AH26" s="428"/>
      <c r="AI26" s="1793"/>
      <c r="AJ26" s="429">
        <v>2021</v>
      </c>
      <c r="AK26" s="424">
        <v>14591</v>
      </c>
      <c r="AL26" s="424">
        <v>14393</v>
      </c>
      <c r="AM26" s="430">
        <v>53.9</v>
      </c>
      <c r="AN26" s="431" t="s">
        <v>824</v>
      </c>
      <c r="AO26" s="432">
        <v>2024</v>
      </c>
      <c r="AP26" s="425">
        <v>14445</v>
      </c>
      <c r="AQ26" s="433">
        <v>1</v>
      </c>
      <c r="AR26" s="425">
        <v>14249</v>
      </c>
      <c r="AS26" s="433">
        <v>1</v>
      </c>
      <c r="AT26" s="434">
        <v>53.36</v>
      </c>
      <c r="AU26" s="431" t="s">
        <v>824</v>
      </c>
      <c r="AV26" s="435">
        <v>1</v>
      </c>
      <c r="AW26" s="432">
        <v>2022</v>
      </c>
      <c r="AX26" s="425">
        <v>14396</v>
      </c>
      <c r="AY26" s="433">
        <v>1.33</v>
      </c>
      <c r="AZ26" s="425">
        <v>10183</v>
      </c>
      <c r="BA26" s="433">
        <v>29.25</v>
      </c>
      <c r="BB26" s="434">
        <v>53.373869197686481</v>
      </c>
      <c r="BC26" s="431" t="s">
        <v>824</v>
      </c>
      <c r="BD26" s="435">
        <v>0.97</v>
      </c>
      <c r="BE26" s="432">
        <v>2023</v>
      </c>
      <c r="BF26" s="425"/>
      <c r="BG26" s="433"/>
      <c r="BH26" s="425"/>
      <c r="BI26" s="433"/>
      <c r="BJ26" s="434"/>
      <c r="BK26" s="431"/>
      <c r="BL26" s="435"/>
      <c r="BM26" s="432">
        <v>2024</v>
      </c>
      <c r="BN26" s="425"/>
      <c r="BO26" s="433"/>
      <c r="BP26" s="425"/>
      <c r="BQ26" s="433"/>
      <c r="BR26" s="434"/>
      <c r="BS26" s="431"/>
      <c r="BT26" s="435"/>
      <c r="BU26" s="1805" t="s">
        <v>719</v>
      </c>
      <c r="BV26" s="1806" t="s">
        <v>728</v>
      </c>
      <c r="BW26" s="1807" t="s">
        <v>688</v>
      </c>
      <c r="BX26" s="1808" t="s">
        <v>4870</v>
      </c>
      <c r="BY26" s="1809">
        <v>2021</v>
      </c>
      <c r="BZ26" s="424"/>
      <c r="CA26" s="424"/>
      <c r="CB26" s="430"/>
      <c r="CC26" s="431"/>
      <c r="CD26" s="432">
        <v>2024</v>
      </c>
      <c r="CE26" s="425"/>
      <c r="CF26" s="433"/>
      <c r="CG26" s="425"/>
      <c r="CH26" s="433"/>
      <c r="CI26" s="434"/>
      <c r="CJ26" s="431"/>
      <c r="CK26" s="435"/>
      <c r="CL26" s="432">
        <v>2022</v>
      </c>
      <c r="CM26" s="425">
        <v>0</v>
      </c>
      <c r="CN26" s="433"/>
      <c r="CO26" s="425">
        <v>0</v>
      </c>
      <c r="CP26" s="433"/>
      <c r="CQ26" s="434"/>
      <c r="CR26" s="431"/>
      <c r="CS26" s="435">
        <v>0</v>
      </c>
      <c r="CT26" s="432">
        <v>2023</v>
      </c>
      <c r="CU26" s="425"/>
      <c r="CV26" s="433"/>
      <c r="CW26" s="425"/>
      <c r="CX26" s="433"/>
      <c r="CY26" s="434"/>
      <c r="CZ26" s="431"/>
      <c r="DA26" s="435"/>
      <c r="DB26" s="432">
        <v>2024</v>
      </c>
      <c r="DC26" s="425"/>
      <c r="DD26" s="433"/>
      <c r="DE26" s="425"/>
      <c r="DF26" s="433"/>
      <c r="DG26" s="434"/>
      <c r="DH26" s="431"/>
      <c r="DI26" s="435"/>
      <c r="DJ26" s="1805"/>
      <c r="DK26" s="1806"/>
      <c r="DL26" s="1807"/>
      <c r="DM26" s="1808"/>
      <c r="DN26" s="1810">
        <v>0</v>
      </c>
      <c r="DO26" s="1799">
        <v>0</v>
      </c>
      <c r="DP26" s="1800">
        <v>0</v>
      </c>
      <c r="DQ26" s="1799">
        <v>0</v>
      </c>
      <c r="DR26" s="1800">
        <v>0</v>
      </c>
      <c r="DS26" s="1799">
        <v>0</v>
      </c>
    </row>
    <row r="27" spans="1:123" ht="135">
      <c r="A27" s="1801" t="s">
        <v>849</v>
      </c>
      <c r="B27" s="1788" t="s">
        <v>850</v>
      </c>
      <c r="C27" s="426">
        <v>2022</v>
      </c>
      <c r="D27" s="417" t="s">
        <v>681</v>
      </c>
      <c r="E27" s="1802">
        <v>1018038</v>
      </c>
      <c r="F27" s="1803" t="s">
        <v>850</v>
      </c>
      <c r="G27" s="419">
        <v>45138</v>
      </c>
      <c r="H27" s="1790" t="s">
        <v>851</v>
      </c>
      <c r="I27" s="1791" t="s">
        <v>850</v>
      </c>
      <c r="J27" s="1793" t="s">
        <v>852</v>
      </c>
      <c r="K27" s="1788" t="s">
        <v>850</v>
      </c>
      <c r="L27" s="1791" t="s">
        <v>853</v>
      </c>
      <c r="M27" s="1793" t="s">
        <v>854</v>
      </c>
      <c r="N27" s="1790" t="s">
        <v>12</v>
      </c>
      <c r="O27" s="1793" t="s">
        <v>22</v>
      </c>
      <c r="P27" s="420" t="s">
        <v>683</v>
      </c>
      <c r="Q27" s="421"/>
      <c r="R27" s="421"/>
      <c r="S27" s="422"/>
      <c r="T27" s="1794"/>
      <c r="U27" s="423">
        <v>7005.1386000000002</v>
      </c>
      <c r="V27" s="424">
        <v>1</v>
      </c>
      <c r="W27" s="424">
        <v>1</v>
      </c>
      <c r="X27" s="425"/>
      <c r="Y27" s="426">
        <v>2022</v>
      </c>
      <c r="Z27" s="417">
        <v>2024</v>
      </c>
      <c r="AA27" s="1804">
        <v>2022</v>
      </c>
      <c r="AB27" s="427"/>
      <c r="AC27" s="1793"/>
      <c r="AD27" s="428" t="s">
        <v>5863</v>
      </c>
      <c r="AE27" s="1791" t="s">
        <v>855</v>
      </c>
      <c r="AF27" s="1791" t="s">
        <v>856</v>
      </c>
      <c r="AG27" s="1793" t="s">
        <v>857</v>
      </c>
      <c r="AH27" s="428"/>
      <c r="AI27" s="1793"/>
      <c r="AJ27" s="429">
        <v>2021</v>
      </c>
      <c r="AK27" s="424">
        <v>12614</v>
      </c>
      <c r="AL27" s="424">
        <v>12450</v>
      </c>
      <c r="AM27" s="430">
        <v>0.9</v>
      </c>
      <c r="AN27" s="431" t="s">
        <v>675</v>
      </c>
      <c r="AO27" s="432">
        <v>2024</v>
      </c>
      <c r="AP27" s="425">
        <v>12235</v>
      </c>
      <c r="AQ27" s="433">
        <v>3</v>
      </c>
      <c r="AR27" s="425">
        <v>12076</v>
      </c>
      <c r="AS27" s="433">
        <v>3</v>
      </c>
      <c r="AT27" s="434">
        <v>0.873</v>
      </c>
      <c r="AU27" s="431" t="s">
        <v>675</v>
      </c>
      <c r="AV27" s="435">
        <v>3</v>
      </c>
      <c r="AW27" s="432">
        <v>2022</v>
      </c>
      <c r="AX27" s="425">
        <v>13161</v>
      </c>
      <c r="AY27" s="433">
        <v>-4.34</v>
      </c>
      <c r="AZ27" s="425">
        <v>13144</v>
      </c>
      <c r="BA27" s="433">
        <v>-5.58</v>
      </c>
      <c r="BB27" s="434">
        <v>0.90546955624355008</v>
      </c>
      <c r="BC27" s="431" t="s">
        <v>675</v>
      </c>
      <c r="BD27" s="435">
        <v>-0.61</v>
      </c>
      <c r="BE27" s="432">
        <v>2023</v>
      </c>
      <c r="BF27" s="425"/>
      <c r="BG27" s="433"/>
      <c r="BH27" s="425"/>
      <c r="BI27" s="433"/>
      <c r="BJ27" s="434"/>
      <c r="BK27" s="431"/>
      <c r="BL27" s="435"/>
      <c r="BM27" s="432">
        <v>2024</v>
      </c>
      <c r="BN27" s="425"/>
      <c r="BO27" s="433"/>
      <c r="BP27" s="425"/>
      <c r="BQ27" s="433"/>
      <c r="BR27" s="434"/>
      <c r="BS27" s="431"/>
      <c r="BT27" s="435"/>
      <c r="BU27" s="1805" t="s">
        <v>676</v>
      </c>
      <c r="BV27" s="1806" t="s">
        <v>728</v>
      </c>
      <c r="BW27" s="1807" t="s">
        <v>678</v>
      </c>
      <c r="BX27" s="1808" t="s">
        <v>4871</v>
      </c>
      <c r="BY27" s="1809">
        <v>2021</v>
      </c>
      <c r="BZ27" s="424"/>
      <c r="CA27" s="424"/>
      <c r="CB27" s="430"/>
      <c r="CC27" s="431"/>
      <c r="CD27" s="432">
        <v>2024</v>
      </c>
      <c r="CE27" s="425"/>
      <c r="CF27" s="433"/>
      <c r="CG27" s="425"/>
      <c r="CH27" s="433"/>
      <c r="CI27" s="434"/>
      <c r="CJ27" s="431"/>
      <c r="CK27" s="435"/>
      <c r="CL27" s="432">
        <v>2022</v>
      </c>
      <c r="CM27" s="425">
        <v>0</v>
      </c>
      <c r="CN27" s="433"/>
      <c r="CO27" s="425">
        <v>0</v>
      </c>
      <c r="CP27" s="433"/>
      <c r="CQ27" s="434"/>
      <c r="CR27" s="431"/>
      <c r="CS27" s="435">
        <v>0</v>
      </c>
      <c r="CT27" s="432">
        <v>2023</v>
      </c>
      <c r="CU27" s="425"/>
      <c r="CV27" s="433"/>
      <c r="CW27" s="425"/>
      <c r="CX27" s="433"/>
      <c r="CY27" s="434"/>
      <c r="CZ27" s="431"/>
      <c r="DA27" s="435"/>
      <c r="DB27" s="432">
        <v>2024</v>
      </c>
      <c r="DC27" s="425"/>
      <c r="DD27" s="433"/>
      <c r="DE27" s="425"/>
      <c r="DF27" s="433"/>
      <c r="DG27" s="434"/>
      <c r="DH27" s="431"/>
      <c r="DI27" s="435"/>
      <c r="DJ27" s="1805"/>
      <c r="DK27" s="1806"/>
      <c r="DL27" s="1807"/>
      <c r="DM27" s="1808"/>
      <c r="DN27" s="1810">
        <v>0</v>
      </c>
      <c r="DO27" s="1799">
        <v>0</v>
      </c>
      <c r="DP27" s="1800">
        <v>0</v>
      </c>
      <c r="DQ27" s="1799">
        <v>0</v>
      </c>
      <c r="DR27" s="1800">
        <v>0</v>
      </c>
      <c r="DS27" s="1799">
        <v>0</v>
      </c>
    </row>
    <row r="28" spans="1:123" ht="108">
      <c r="A28" s="1801" t="s">
        <v>858</v>
      </c>
      <c r="B28" s="1788" t="s">
        <v>859</v>
      </c>
      <c r="C28" s="426">
        <v>2022</v>
      </c>
      <c r="D28" s="417" t="s">
        <v>681</v>
      </c>
      <c r="E28" s="1802">
        <v>1062039</v>
      </c>
      <c r="F28" s="1803" t="s">
        <v>859</v>
      </c>
      <c r="G28" s="419">
        <v>45121</v>
      </c>
      <c r="H28" s="1790" t="s">
        <v>860</v>
      </c>
      <c r="I28" s="1791" t="s">
        <v>859</v>
      </c>
      <c r="J28" s="1793" t="s">
        <v>861</v>
      </c>
      <c r="K28" s="1788" t="s">
        <v>859</v>
      </c>
      <c r="L28" s="1791" t="s">
        <v>862</v>
      </c>
      <c r="M28" s="1793" t="s">
        <v>860</v>
      </c>
      <c r="N28" s="1790" t="s">
        <v>70</v>
      </c>
      <c r="O28" s="1793" t="s">
        <v>71</v>
      </c>
      <c r="P28" s="420" t="s">
        <v>683</v>
      </c>
      <c r="Q28" s="421"/>
      <c r="R28" s="421"/>
      <c r="S28" s="422"/>
      <c r="T28" s="1794"/>
      <c r="U28" s="423">
        <v>1561.7514000000001</v>
      </c>
      <c r="V28" s="424">
        <v>60</v>
      </c>
      <c r="W28" s="424">
        <v>0</v>
      </c>
      <c r="X28" s="425"/>
      <c r="Y28" s="426">
        <v>2022</v>
      </c>
      <c r="Z28" s="417">
        <v>2024</v>
      </c>
      <c r="AA28" s="1804">
        <v>2022</v>
      </c>
      <c r="AB28" s="427" t="s">
        <v>5863</v>
      </c>
      <c r="AC28" s="1793" t="s">
        <v>863</v>
      </c>
      <c r="AD28" s="428"/>
      <c r="AE28" s="1791"/>
      <c r="AF28" s="1791"/>
      <c r="AG28" s="1793"/>
      <c r="AH28" s="428"/>
      <c r="AI28" s="1793"/>
      <c r="AJ28" s="429">
        <v>2021</v>
      </c>
      <c r="AK28" s="424">
        <v>2833</v>
      </c>
      <c r="AL28" s="424">
        <v>2821</v>
      </c>
      <c r="AM28" s="430">
        <v>68.510000000000005</v>
      </c>
      <c r="AN28" s="431" t="s">
        <v>727</v>
      </c>
      <c r="AO28" s="432">
        <v>2024</v>
      </c>
      <c r="AP28" s="425">
        <v>2748</v>
      </c>
      <c r="AQ28" s="433">
        <v>3</v>
      </c>
      <c r="AR28" s="425">
        <v>2736</v>
      </c>
      <c r="AS28" s="433">
        <v>3.01</v>
      </c>
      <c r="AT28" s="434">
        <v>66.45</v>
      </c>
      <c r="AU28" s="431" t="s">
        <v>727</v>
      </c>
      <c r="AV28" s="435">
        <v>3</v>
      </c>
      <c r="AW28" s="432">
        <v>2022</v>
      </c>
      <c r="AX28" s="425">
        <v>2835</v>
      </c>
      <c r="AY28" s="433">
        <v>-0.08</v>
      </c>
      <c r="AZ28" s="425">
        <v>2654</v>
      </c>
      <c r="BA28" s="433">
        <v>5.91</v>
      </c>
      <c r="BB28" s="434">
        <v>69.848582358141158</v>
      </c>
      <c r="BC28" s="431" t="s">
        <v>727</v>
      </c>
      <c r="BD28" s="435">
        <v>-1.96</v>
      </c>
      <c r="BE28" s="432">
        <v>2023</v>
      </c>
      <c r="BF28" s="425"/>
      <c r="BG28" s="433"/>
      <c r="BH28" s="425"/>
      <c r="BI28" s="433"/>
      <c r="BJ28" s="434"/>
      <c r="BK28" s="431"/>
      <c r="BL28" s="435"/>
      <c r="BM28" s="432">
        <v>2024</v>
      </c>
      <c r="BN28" s="425"/>
      <c r="BO28" s="433"/>
      <c r="BP28" s="425"/>
      <c r="BQ28" s="433"/>
      <c r="BR28" s="434"/>
      <c r="BS28" s="431"/>
      <c r="BT28" s="435"/>
      <c r="BU28" s="1805" t="s">
        <v>719</v>
      </c>
      <c r="BV28" s="1806" t="s">
        <v>728</v>
      </c>
      <c r="BW28" s="1807" t="s">
        <v>688</v>
      </c>
      <c r="BX28" s="1808" t="s">
        <v>4872</v>
      </c>
      <c r="BY28" s="1809">
        <v>2021</v>
      </c>
      <c r="BZ28" s="424"/>
      <c r="CA28" s="424"/>
      <c r="CB28" s="430"/>
      <c r="CC28" s="431"/>
      <c r="CD28" s="432">
        <v>2024</v>
      </c>
      <c r="CE28" s="425"/>
      <c r="CF28" s="433"/>
      <c r="CG28" s="425"/>
      <c r="CH28" s="433"/>
      <c r="CI28" s="434"/>
      <c r="CJ28" s="431"/>
      <c r="CK28" s="435"/>
      <c r="CL28" s="432">
        <v>2022</v>
      </c>
      <c r="CM28" s="425">
        <v>0</v>
      </c>
      <c r="CN28" s="433"/>
      <c r="CO28" s="425">
        <v>0</v>
      </c>
      <c r="CP28" s="433"/>
      <c r="CQ28" s="434"/>
      <c r="CR28" s="431"/>
      <c r="CS28" s="435">
        <v>0</v>
      </c>
      <c r="CT28" s="432">
        <v>2023</v>
      </c>
      <c r="CU28" s="425"/>
      <c r="CV28" s="433"/>
      <c r="CW28" s="425"/>
      <c r="CX28" s="433"/>
      <c r="CY28" s="434"/>
      <c r="CZ28" s="431"/>
      <c r="DA28" s="435"/>
      <c r="DB28" s="432">
        <v>2024</v>
      </c>
      <c r="DC28" s="425"/>
      <c r="DD28" s="433"/>
      <c r="DE28" s="425"/>
      <c r="DF28" s="433"/>
      <c r="DG28" s="434"/>
      <c r="DH28" s="431"/>
      <c r="DI28" s="435"/>
      <c r="DJ28" s="1805"/>
      <c r="DK28" s="1806"/>
      <c r="DL28" s="1807"/>
      <c r="DM28" s="1808"/>
      <c r="DN28" s="1810">
        <v>0</v>
      </c>
      <c r="DO28" s="1799">
        <v>0</v>
      </c>
      <c r="DP28" s="1800">
        <v>0</v>
      </c>
      <c r="DQ28" s="1799">
        <v>0</v>
      </c>
      <c r="DR28" s="1800">
        <v>0</v>
      </c>
      <c r="DS28" s="1799">
        <v>0</v>
      </c>
    </row>
    <row r="29" spans="1:123" ht="67.5">
      <c r="A29" s="1801" t="s">
        <v>865</v>
      </c>
      <c r="B29" s="1788" t="s">
        <v>866</v>
      </c>
      <c r="C29" s="426">
        <v>2022</v>
      </c>
      <c r="D29" s="417" t="s">
        <v>681</v>
      </c>
      <c r="E29" s="1802">
        <v>1085040</v>
      </c>
      <c r="F29" s="1803" t="s">
        <v>866</v>
      </c>
      <c r="G29" s="419">
        <v>45126</v>
      </c>
      <c r="H29" s="1790" t="s">
        <v>867</v>
      </c>
      <c r="I29" s="1791" t="s">
        <v>866</v>
      </c>
      <c r="J29" s="1793" t="s">
        <v>868</v>
      </c>
      <c r="K29" s="1788" t="s">
        <v>866</v>
      </c>
      <c r="L29" s="1791" t="s">
        <v>868</v>
      </c>
      <c r="M29" s="1793" t="s">
        <v>867</v>
      </c>
      <c r="N29" s="1790" t="s">
        <v>523</v>
      </c>
      <c r="O29" s="1793" t="s">
        <v>96</v>
      </c>
      <c r="P29" s="420" t="s">
        <v>683</v>
      </c>
      <c r="Q29" s="421"/>
      <c r="R29" s="421"/>
      <c r="S29" s="422"/>
      <c r="T29" s="1794"/>
      <c r="U29" s="423">
        <v>2360.8032000000003</v>
      </c>
      <c r="V29" s="424">
        <v>4</v>
      </c>
      <c r="W29" s="424">
        <v>1</v>
      </c>
      <c r="X29" s="425"/>
      <c r="Y29" s="426">
        <v>2022</v>
      </c>
      <c r="Z29" s="417">
        <v>2024</v>
      </c>
      <c r="AA29" s="1804">
        <v>2022</v>
      </c>
      <c r="AB29" s="427"/>
      <c r="AC29" s="1793"/>
      <c r="AD29" s="428" t="s">
        <v>5863</v>
      </c>
      <c r="AE29" s="1791" t="s">
        <v>869</v>
      </c>
      <c r="AF29" s="1791" t="s">
        <v>867</v>
      </c>
      <c r="AG29" s="1793" t="s">
        <v>870</v>
      </c>
      <c r="AH29" s="428"/>
      <c r="AI29" s="1793"/>
      <c r="AJ29" s="429">
        <v>2021</v>
      </c>
      <c r="AK29" s="424">
        <v>4331</v>
      </c>
      <c r="AL29" s="424">
        <v>4297</v>
      </c>
      <c r="AM29" s="430"/>
      <c r="AN29" s="431"/>
      <c r="AO29" s="432">
        <v>2024</v>
      </c>
      <c r="AP29" s="425">
        <v>4201</v>
      </c>
      <c r="AQ29" s="433">
        <v>3</v>
      </c>
      <c r="AR29" s="425">
        <v>4168</v>
      </c>
      <c r="AS29" s="433">
        <v>3</v>
      </c>
      <c r="AT29" s="434"/>
      <c r="AU29" s="431"/>
      <c r="AV29" s="435"/>
      <c r="AW29" s="432">
        <v>2022</v>
      </c>
      <c r="AX29" s="425">
        <v>4324</v>
      </c>
      <c r="AY29" s="433">
        <v>0.16</v>
      </c>
      <c r="AZ29" s="425">
        <v>4315</v>
      </c>
      <c r="BA29" s="433">
        <v>-0.42</v>
      </c>
      <c r="BB29" s="434"/>
      <c r="BC29" s="431"/>
      <c r="BD29" s="435"/>
      <c r="BE29" s="432">
        <v>2023</v>
      </c>
      <c r="BF29" s="425"/>
      <c r="BG29" s="433"/>
      <c r="BH29" s="425"/>
      <c r="BI29" s="433"/>
      <c r="BJ29" s="434"/>
      <c r="BK29" s="431"/>
      <c r="BL29" s="435"/>
      <c r="BM29" s="432">
        <v>2024</v>
      </c>
      <c r="BN29" s="425"/>
      <c r="BO29" s="433"/>
      <c r="BP29" s="425"/>
      <c r="BQ29" s="433"/>
      <c r="BR29" s="434"/>
      <c r="BS29" s="431"/>
      <c r="BT29" s="435"/>
      <c r="BU29" s="1805" t="s">
        <v>676</v>
      </c>
      <c r="BV29" s="1806" t="s">
        <v>728</v>
      </c>
      <c r="BW29" s="1807" t="s">
        <v>688</v>
      </c>
      <c r="BX29" s="1808" t="s">
        <v>4873</v>
      </c>
      <c r="BY29" s="1809">
        <v>2021</v>
      </c>
      <c r="BZ29" s="424"/>
      <c r="CA29" s="424"/>
      <c r="CB29" s="430"/>
      <c r="CC29" s="431"/>
      <c r="CD29" s="432">
        <v>2024</v>
      </c>
      <c r="CE29" s="425"/>
      <c r="CF29" s="433"/>
      <c r="CG29" s="425"/>
      <c r="CH29" s="433"/>
      <c r="CI29" s="434"/>
      <c r="CJ29" s="431"/>
      <c r="CK29" s="435"/>
      <c r="CL29" s="432">
        <v>2022</v>
      </c>
      <c r="CM29" s="425">
        <v>0</v>
      </c>
      <c r="CN29" s="433"/>
      <c r="CO29" s="425">
        <v>0</v>
      </c>
      <c r="CP29" s="433"/>
      <c r="CQ29" s="434"/>
      <c r="CR29" s="431"/>
      <c r="CS29" s="435"/>
      <c r="CT29" s="432">
        <v>2023</v>
      </c>
      <c r="CU29" s="425"/>
      <c r="CV29" s="433"/>
      <c r="CW29" s="425"/>
      <c r="CX29" s="433"/>
      <c r="CY29" s="434"/>
      <c r="CZ29" s="431"/>
      <c r="DA29" s="435"/>
      <c r="DB29" s="432">
        <v>2024</v>
      </c>
      <c r="DC29" s="425"/>
      <c r="DD29" s="433"/>
      <c r="DE29" s="425"/>
      <c r="DF29" s="433"/>
      <c r="DG29" s="434"/>
      <c r="DH29" s="431"/>
      <c r="DI29" s="435"/>
      <c r="DJ29" s="1805"/>
      <c r="DK29" s="1806"/>
      <c r="DL29" s="1807"/>
      <c r="DM29" s="1808"/>
      <c r="DN29" s="1810">
        <v>0</v>
      </c>
      <c r="DO29" s="1799">
        <v>0</v>
      </c>
      <c r="DP29" s="1800">
        <v>0</v>
      </c>
      <c r="DQ29" s="1799">
        <v>0</v>
      </c>
      <c r="DR29" s="1800">
        <v>0</v>
      </c>
      <c r="DS29" s="1799">
        <v>0</v>
      </c>
    </row>
    <row r="30" spans="1:123" ht="108">
      <c r="A30" s="1801" t="s">
        <v>871</v>
      </c>
      <c r="B30" s="1788" t="s">
        <v>4874</v>
      </c>
      <c r="C30" s="426">
        <v>2022</v>
      </c>
      <c r="D30" s="417" t="s">
        <v>681</v>
      </c>
      <c r="E30" s="1802">
        <v>1016041</v>
      </c>
      <c r="F30" s="1803" t="s">
        <v>4874</v>
      </c>
      <c r="G30" s="419">
        <v>45135</v>
      </c>
      <c r="H30" s="1790" t="s">
        <v>4875</v>
      </c>
      <c r="I30" s="1791" t="s">
        <v>4874</v>
      </c>
      <c r="J30" s="1793" t="s">
        <v>872</v>
      </c>
      <c r="K30" s="1788" t="s">
        <v>4874</v>
      </c>
      <c r="L30" s="1791" t="s">
        <v>872</v>
      </c>
      <c r="M30" s="1793" t="s">
        <v>4875</v>
      </c>
      <c r="N30" s="1790" t="s">
        <v>12</v>
      </c>
      <c r="O30" s="1793" t="s">
        <v>20</v>
      </c>
      <c r="P30" s="420" t="s">
        <v>683</v>
      </c>
      <c r="Q30" s="421"/>
      <c r="R30" s="421"/>
      <c r="S30" s="422"/>
      <c r="T30" s="1794"/>
      <c r="U30" s="423">
        <v>4009.5264000000002</v>
      </c>
      <c r="V30" s="424">
        <v>1</v>
      </c>
      <c r="W30" s="424">
        <v>1</v>
      </c>
      <c r="X30" s="425"/>
      <c r="Y30" s="426">
        <v>2022</v>
      </c>
      <c r="Z30" s="417">
        <v>2024</v>
      </c>
      <c r="AA30" s="1804">
        <v>2022</v>
      </c>
      <c r="AB30" s="427"/>
      <c r="AC30" s="1793"/>
      <c r="AD30" s="428" t="s">
        <v>5863</v>
      </c>
      <c r="AE30" s="1791" t="s">
        <v>4876</v>
      </c>
      <c r="AF30" s="1791" t="s">
        <v>873</v>
      </c>
      <c r="AG30" s="1793" t="s">
        <v>874</v>
      </c>
      <c r="AH30" s="428"/>
      <c r="AI30" s="1793"/>
      <c r="AJ30" s="429">
        <v>2021</v>
      </c>
      <c r="AK30" s="424">
        <v>6601</v>
      </c>
      <c r="AL30" s="424">
        <v>6569</v>
      </c>
      <c r="AM30" s="430"/>
      <c r="AN30" s="431"/>
      <c r="AO30" s="432">
        <v>2024</v>
      </c>
      <c r="AP30" s="425">
        <v>6402.97</v>
      </c>
      <c r="AQ30" s="433">
        <v>3</v>
      </c>
      <c r="AR30" s="425">
        <v>6372</v>
      </c>
      <c r="AS30" s="433">
        <v>2.99</v>
      </c>
      <c r="AT30" s="434"/>
      <c r="AU30" s="431"/>
      <c r="AV30" s="435"/>
      <c r="AW30" s="432">
        <v>2022</v>
      </c>
      <c r="AX30" s="425">
        <v>8449</v>
      </c>
      <c r="AY30" s="433">
        <v>-28</v>
      </c>
      <c r="AZ30" s="425">
        <v>8441</v>
      </c>
      <c r="BA30" s="433">
        <v>-28.5</v>
      </c>
      <c r="BB30" s="434"/>
      <c r="BC30" s="431"/>
      <c r="BD30" s="435"/>
      <c r="BE30" s="432">
        <v>2023</v>
      </c>
      <c r="BF30" s="425"/>
      <c r="BG30" s="433"/>
      <c r="BH30" s="425"/>
      <c r="BI30" s="433"/>
      <c r="BJ30" s="434"/>
      <c r="BK30" s="431"/>
      <c r="BL30" s="435"/>
      <c r="BM30" s="432">
        <v>2024</v>
      </c>
      <c r="BN30" s="425"/>
      <c r="BO30" s="433"/>
      <c r="BP30" s="425"/>
      <c r="BQ30" s="433"/>
      <c r="BR30" s="434"/>
      <c r="BS30" s="431"/>
      <c r="BT30" s="435"/>
      <c r="BU30" s="1805" t="s">
        <v>676</v>
      </c>
      <c r="BV30" s="1806" t="s">
        <v>728</v>
      </c>
      <c r="BW30" s="1807" t="s">
        <v>678</v>
      </c>
      <c r="BX30" s="1808" t="s">
        <v>4877</v>
      </c>
      <c r="BY30" s="1809">
        <v>2021</v>
      </c>
      <c r="BZ30" s="424"/>
      <c r="CA30" s="424"/>
      <c r="CB30" s="430"/>
      <c r="CC30" s="431"/>
      <c r="CD30" s="432">
        <v>2024</v>
      </c>
      <c r="CE30" s="425"/>
      <c r="CF30" s="433"/>
      <c r="CG30" s="425"/>
      <c r="CH30" s="433"/>
      <c r="CI30" s="434"/>
      <c r="CJ30" s="431"/>
      <c r="CK30" s="435"/>
      <c r="CL30" s="432">
        <v>2022</v>
      </c>
      <c r="CM30" s="425">
        <v>0</v>
      </c>
      <c r="CN30" s="433"/>
      <c r="CO30" s="425">
        <v>0</v>
      </c>
      <c r="CP30" s="433"/>
      <c r="CQ30" s="434"/>
      <c r="CR30" s="431"/>
      <c r="CS30" s="435">
        <v>0</v>
      </c>
      <c r="CT30" s="432">
        <v>2023</v>
      </c>
      <c r="CU30" s="425"/>
      <c r="CV30" s="433"/>
      <c r="CW30" s="425"/>
      <c r="CX30" s="433"/>
      <c r="CY30" s="434"/>
      <c r="CZ30" s="431"/>
      <c r="DA30" s="435"/>
      <c r="DB30" s="432">
        <v>2024</v>
      </c>
      <c r="DC30" s="425"/>
      <c r="DD30" s="433"/>
      <c r="DE30" s="425"/>
      <c r="DF30" s="433"/>
      <c r="DG30" s="434"/>
      <c r="DH30" s="431"/>
      <c r="DI30" s="435"/>
      <c r="DJ30" s="1805"/>
      <c r="DK30" s="1806"/>
      <c r="DL30" s="1807"/>
      <c r="DM30" s="1808"/>
      <c r="DN30" s="1810">
        <v>0</v>
      </c>
      <c r="DO30" s="1799">
        <v>1</v>
      </c>
      <c r="DP30" s="1800">
        <v>0</v>
      </c>
      <c r="DQ30" s="1799">
        <v>1</v>
      </c>
      <c r="DR30" s="1800">
        <v>0</v>
      </c>
      <c r="DS30" s="1799">
        <v>0</v>
      </c>
    </row>
    <row r="31" spans="1:123" ht="67.5">
      <c r="A31" s="1801" t="s">
        <v>875</v>
      </c>
      <c r="B31" s="1788" t="s">
        <v>876</v>
      </c>
      <c r="C31" s="426">
        <v>2022</v>
      </c>
      <c r="D31" s="417" t="s">
        <v>681</v>
      </c>
      <c r="E31" s="1802">
        <v>1069042</v>
      </c>
      <c r="F31" s="1803" t="s">
        <v>876</v>
      </c>
      <c r="G31" s="419">
        <v>45106</v>
      </c>
      <c r="H31" s="1790" t="s">
        <v>877</v>
      </c>
      <c r="I31" s="1791" t="s">
        <v>876</v>
      </c>
      <c r="J31" s="1793" t="s">
        <v>4878</v>
      </c>
      <c r="K31" s="1788" t="s">
        <v>876</v>
      </c>
      <c r="L31" s="1791" t="s">
        <v>4878</v>
      </c>
      <c r="M31" s="1793" t="s">
        <v>877</v>
      </c>
      <c r="N31" s="1790" t="s">
        <v>70</v>
      </c>
      <c r="O31" s="1793" t="s">
        <v>74</v>
      </c>
      <c r="P31" s="420" t="s">
        <v>683</v>
      </c>
      <c r="Q31" s="421"/>
      <c r="R31" s="421"/>
      <c r="S31" s="422"/>
      <c r="T31" s="1794"/>
      <c r="U31" s="423">
        <v>2462.9969999999998</v>
      </c>
      <c r="V31" s="424">
        <v>2</v>
      </c>
      <c r="W31" s="424">
        <v>1</v>
      </c>
      <c r="X31" s="425"/>
      <c r="Y31" s="426">
        <v>2022</v>
      </c>
      <c r="Z31" s="417">
        <v>2024</v>
      </c>
      <c r="AA31" s="1804">
        <v>2022</v>
      </c>
      <c r="AB31" s="427"/>
      <c r="AC31" s="1793"/>
      <c r="AD31" s="428" t="s">
        <v>5863</v>
      </c>
      <c r="AE31" s="1791" t="s">
        <v>878</v>
      </c>
      <c r="AF31" s="1791" t="s">
        <v>879</v>
      </c>
      <c r="AG31" s="1793" t="s">
        <v>751</v>
      </c>
      <c r="AH31" s="428"/>
      <c r="AI31" s="1793"/>
      <c r="AJ31" s="429">
        <v>2021</v>
      </c>
      <c r="AK31" s="424">
        <v>4217</v>
      </c>
      <c r="AL31" s="424">
        <v>4180</v>
      </c>
      <c r="AM31" s="430">
        <v>26.24</v>
      </c>
      <c r="AN31" s="431" t="s">
        <v>880</v>
      </c>
      <c r="AO31" s="432">
        <v>2024</v>
      </c>
      <c r="AP31" s="425">
        <v>4100</v>
      </c>
      <c r="AQ31" s="433">
        <v>2.77</v>
      </c>
      <c r="AR31" s="425">
        <v>4065</v>
      </c>
      <c r="AS31" s="433">
        <v>2.75</v>
      </c>
      <c r="AT31" s="434">
        <v>25.5</v>
      </c>
      <c r="AU31" s="431" t="s">
        <v>880</v>
      </c>
      <c r="AV31" s="435">
        <v>2.82</v>
      </c>
      <c r="AW31" s="432">
        <v>2022</v>
      </c>
      <c r="AX31" s="425">
        <v>4458</v>
      </c>
      <c r="AY31" s="433">
        <v>-5.72</v>
      </c>
      <c r="AZ31" s="425">
        <v>4450</v>
      </c>
      <c r="BA31" s="433">
        <v>-6.46</v>
      </c>
      <c r="BB31" s="434">
        <v>27.862465171918533</v>
      </c>
      <c r="BC31" s="431" t="s">
        <v>880</v>
      </c>
      <c r="BD31" s="435">
        <v>-6.19</v>
      </c>
      <c r="BE31" s="432">
        <v>2023</v>
      </c>
      <c r="BF31" s="425"/>
      <c r="BG31" s="433"/>
      <c r="BH31" s="425"/>
      <c r="BI31" s="433"/>
      <c r="BJ31" s="434"/>
      <c r="BK31" s="431"/>
      <c r="BL31" s="435"/>
      <c r="BM31" s="432">
        <v>2024</v>
      </c>
      <c r="BN31" s="425"/>
      <c r="BO31" s="433"/>
      <c r="BP31" s="425"/>
      <c r="BQ31" s="433"/>
      <c r="BR31" s="434"/>
      <c r="BS31" s="431"/>
      <c r="BT31" s="435"/>
      <c r="BU31" s="1805" t="s">
        <v>676</v>
      </c>
      <c r="BV31" s="1806" t="s">
        <v>728</v>
      </c>
      <c r="BW31" s="1807" t="s">
        <v>688</v>
      </c>
      <c r="BX31" s="1808"/>
      <c r="BY31" s="1809">
        <v>2021</v>
      </c>
      <c r="BZ31" s="424"/>
      <c r="CA31" s="424"/>
      <c r="CB31" s="430"/>
      <c r="CC31" s="431"/>
      <c r="CD31" s="432">
        <v>2024</v>
      </c>
      <c r="CE31" s="425"/>
      <c r="CF31" s="433"/>
      <c r="CG31" s="425"/>
      <c r="CH31" s="433"/>
      <c r="CI31" s="434"/>
      <c r="CJ31" s="431"/>
      <c r="CK31" s="435"/>
      <c r="CL31" s="432">
        <v>2022</v>
      </c>
      <c r="CM31" s="425">
        <v>0</v>
      </c>
      <c r="CN31" s="433"/>
      <c r="CO31" s="425">
        <v>0</v>
      </c>
      <c r="CP31" s="433"/>
      <c r="CQ31" s="434"/>
      <c r="CR31" s="431"/>
      <c r="CS31" s="435"/>
      <c r="CT31" s="432">
        <v>2023</v>
      </c>
      <c r="CU31" s="425"/>
      <c r="CV31" s="433"/>
      <c r="CW31" s="425"/>
      <c r="CX31" s="433"/>
      <c r="CY31" s="434"/>
      <c r="CZ31" s="431"/>
      <c r="DA31" s="435"/>
      <c r="DB31" s="432">
        <v>2024</v>
      </c>
      <c r="DC31" s="425"/>
      <c r="DD31" s="433"/>
      <c r="DE31" s="425"/>
      <c r="DF31" s="433"/>
      <c r="DG31" s="434"/>
      <c r="DH31" s="431"/>
      <c r="DI31" s="435"/>
      <c r="DJ31" s="1805"/>
      <c r="DK31" s="1806"/>
      <c r="DL31" s="1807"/>
      <c r="DM31" s="1808"/>
      <c r="DN31" s="1810">
        <v>0</v>
      </c>
      <c r="DO31" s="1799">
        <v>0</v>
      </c>
      <c r="DP31" s="1800">
        <v>0</v>
      </c>
      <c r="DQ31" s="1799">
        <v>0</v>
      </c>
      <c r="DR31" s="1800">
        <v>0</v>
      </c>
      <c r="DS31" s="1799">
        <v>0</v>
      </c>
    </row>
    <row r="32" spans="1:123" ht="67.5">
      <c r="A32" s="1801" t="s">
        <v>881</v>
      </c>
      <c r="B32" s="1788" t="s">
        <v>882</v>
      </c>
      <c r="C32" s="426">
        <v>2022</v>
      </c>
      <c r="D32" s="417" t="s">
        <v>681</v>
      </c>
      <c r="E32" s="1802">
        <v>1081043</v>
      </c>
      <c r="F32" s="1803" t="s">
        <v>882</v>
      </c>
      <c r="G32" s="419">
        <v>45138</v>
      </c>
      <c r="H32" s="1790" t="s">
        <v>883</v>
      </c>
      <c r="I32" s="1791" t="s">
        <v>882</v>
      </c>
      <c r="J32" s="1793" t="s">
        <v>884</v>
      </c>
      <c r="K32" s="1788" t="s">
        <v>882</v>
      </c>
      <c r="L32" s="1791" t="s">
        <v>884</v>
      </c>
      <c r="M32" s="1793" t="s">
        <v>885</v>
      </c>
      <c r="N32" s="1790" t="s">
        <v>93</v>
      </c>
      <c r="O32" s="1793" t="s">
        <v>94</v>
      </c>
      <c r="P32" s="420" t="s">
        <v>683</v>
      </c>
      <c r="Q32" s="421"/>
      <c r="R32" s="421"/>
      <c r="S32" s="422"/>
      <c r="T32" s="1794"/>
      <c r="U32" s="423">
        <v>21637.092599999996</v>
      </c>
      <c r="V32" s="424">
        <v>5</v>
      </c>
      <c r="W32" s="424">
        <v>5</v>
      </c>
      <c r="X32" s="425"/>
      <c r="Y32" s="426">
        <v>2022</v>
      </c>
      <c r="Z32" s="417">
        <v>2024</v>
      </c>
      <c r="AA32" s="1804">
        <v>2022</v>
      </c>
      <c r="AB32" s="427"/>
      <c r="AC32" s="1793"/>
      <c r="AD32" s="428" t="s">
        <v>5863</v>
      </c>
      <c r="AE32" s="1791" t="s">
        <v>886</v>
      </c>
      <c r="AF32" s="1791" t="s">
        <v>885</v>
      </c>
      <c r="AG32" s="1793" t="s">
        <v>887</v>
      </c>
      <c r="AH32" s="428"/>
      <c r="AI32" s="1793"/>
      <c r="AJ32" s="429">
        <v>2021</v>
      </c>
      <c r="AK32" s="424">
        <v>39566</v>
      </c>
      <c r="AL32" s="424">
        <v>39382</v>
      </c>
      <c r="AM32" s="430">
        <v>136.21</v>
      </c>
      <c r="AN32" s="431" t="s">
        <v>888</v>
      </c>
      <c r="AO32" s="432">
        <v>2024</v>
      </c>
      <c r="AP32" s="425">
        <v>39526</v>
      </c>
      <c r="AQ32" s="433">
        <v>0.1</v>
      </c>
      <c r="AR32" s="425">
        <v>39342.18601829854</v>
      </c>
      <c r="AS32" s="433">
        <v>0.1</v>
      </c>
      <c r="AT32" s="434">
        <v>136.07</v>
      </c>
      <c r="AU32" s="431" t="s">
        <v>888</v>
      </c>
      <c r="AV32" s="435">
        <v>0.1</v>
      </c>
      <c r="AW32" s="432">
        <v>2022</v>
      </c>
      <c r="AX32" s="425">
        <v>39464</v>
      </c>
      <c r="AY32" s="433">
        <v>0.25</v>
      </c>
      <c r="AZ32" s="425">
        <v>39966</v>
      </c>
      <c r="BA32" s="433">
        <v>-1.49</v>
      </c>
      <c r="BB32" s="434">
        <v>135.86116437672348</v>
      </c>
      <c r="BC32" s="431" t="s">
        <v>888</v>
      </c>
      <c r="BD32" s="435">
        <v>0.25</v>
      </c>
      <c r="BE32" s="432">
        <v>2023</v>
      </c>
      <c r="BF32" s="425"/>
      <c r="BG32" s="433"/>
      <c r="BH32" s="425"/>
      <c r="BI32" s="433"/>
      <c r="BJ32" s="434"/>
      <c r="BK32" s="431"/>
      <c r="BL32" s="435"/>
      <c r="BM32" s="432">
        <v>2024</v>
      </c>
      <c r="BN32" s="425"/>
      <c r="BO32" s="433"/>
      <c r="BP32" s="425"/>
      <c r="BQ32" s="433"/>
      <c r="BR32" s="434"/>
      <c r="BS32" s="431"/>
      <c r="BT32" s="435"/>
      <c r="BU32" s="1805" t="s">
        <v>676</v>
      </c>
      <c r="BV32" s="1806" t="s">
        <v>728</v>
      </c>
      <c r="BW32" s="1807" t="s">
        <v>678</v>
      </c>
      <c r="BX32" s="1808"/>
      <c r="BY32" s="1809">
        <v>2021</v>
      </c>
      <c r="BZ32" s="424"/>
      <c r="CA32" s="424"/>
      <c r="CB32" s="430"/>
      <c r="CC32" s="431"/>
      <c r="CD32" s="432">
        <v>2024</v>
      </c>
      <c r="CE32" s="425"/>
      <c r="CF32" s="433"/>
      <c r="CG32" s="425"/>
      <c r="CH32" s="433"/>
      <c r="CI32" s="434"/>
      <c r="CJ32" s="431"/>
      <c r="CK32" s="435"/>
      <c r="CL32" s="432">
        <v>2022</v>
      </c>
      <c r="CM32" s="425">
        <v>0</v>
      </c>
      <c r="CN32" s="433"/>
      <c r="CO32" s="425">
        <v>0</v>
      </c>
      <c r="CP32" s="433"/>
      <c r="CQ32" s="434"/>
      <c r="CR32" s="431"/>
      <c r="CS32" s="435">
        <v>0</v>
      </c>
      <c r="CT32" s="432">
        <v>2023</v>
      </c>
      <c r="CU32" s="425"/>
      <c r="CV32" s="433"/>
      <c r="CW32" s="425"/>
      <c r="CX32" s="433"/>
      <c r="CY32" s="434"/>
      <c r="CZ32" s="431"/>
      <c r="DA32" s="435"/>
      <c r="DB32" s="432">
        <v>2024</v>
      </c>
      <c r="DC32" s="425"/>
      <c r="DD32" s="433"/>
      <c r="DE32" s="425"/>
      <c r="DF32" s="433"/>
      <c r="DG32" s="434"/>
      <c r="DH32" s="431"/>
      <c r="DI32" s="435"/>
      <c r="DJ32" s="1805"/>
      <c r="DK32" s="1806"/>
      <c r="DL32" s="1807"/>
      <c r="DM32" s="1808"/>
      <c r="DN32" s="1810">
        <v>0</v>
      </c>
      <c r="DO32" s="1799">
        <v>0</v>
      </c>
      <c r="DP32" s="1800">
        <v>0</v>
      </c>
      <c r="DQ32" s="1799">
        <v>0</v>
      </c>
      <c r="DR32" s="1800">
        <v>0</v>
      </c>
      <c r="DS32" s="1799">
        <v>0</v>
      </c>
    </row>
    <row r="33" spans="1:123" ht="94.5">
      <c r="A33" s="1801" t="s">
        <v>889</v>
      </c>
      <c r="B33" s="1788" t="s">
        <v>890</v>
      </c>
      <c r="C33" s="426">
        <v>2022</v>
      </c>
      <c r="D33" s="417" t="s">
        <v>891</v>
      </c>
      <c r="E33" s="1802">
        <v>1388044</v>
      </c>
      <c r="F33" s="1803" t="s">
        <v>890</v>
      </c>
      <c r="G33" s="419">
        <v>45132</v>
      </c>
      <c r="H33" s="1790" t="s">
        <v>892</v>
      </c>
      <c r="I33" s="1791" t="s">
        <v>890</v>
      </c>
      <c r="J33" s="1793" t="s">
        <v>893</v>
      </c>
      <c r="K33" s="1788" t="s">
        <v>890</v>
      </c>
      <c r="L33" s="1791" t="s">
        <v>893</v>
      </c>
      <c r="M33" s="1793" t="s">
        <v>892</v>
      </c>
      <c r="N33" s="1790" t="s">
        <v>102</v>
      </c>
      <c r="O33" s="1793" t="s">
        <v>103</v>
      </c>
      <c r="P33" s="420" t="s">
        <v>683</v>
      </c>
      <c r="Q33" s="421"/>
      <c r="R33" s="421" t="s">
        <v>717</v>
      </c>
      <c r="S33" s="422"/>
      <c r="T33" s="1794"/>
      <c r="U33" s="423">
        <v>1457.1066000000001</v>
      </c>
      <c r="V33" s="424">
        <v>6</v>
      </c>
      <c r="W33" s="424">
        <v>1</v>
      </c>
      <c r="X33" s="425">
        <v>102</v>
      </c>
      <c r="Y33" s="426">
        <v>2022</v>
      </c>
      <c r="Z33" s="417">
        <v>2024</v>
      </c>
      <c r="AA33" s="1804">
        <v>2022</v>
      </c>
      <c r="AB33" s="427"/>
      <c r="AC33" s="1793"/>
      <c r="AD33" s="428" t="s">
        <v>5863</v>
      </c>
      <c r="AE33" s="1791" t="s">
        <v>894</v>
      </c>
      <c r="AF33" s="1791" t="s">
        <v>895</v>
      </c>
      <c r="AG33" s="1793" t="s">
        <v>896</v>
      </c>
      <c r="AH33" s="428"/>
      <c r="AI33" s="1793"/>
      <c r="AJ33" s="429">
        <v>2021</v>
      </c>
      <c r="AK33" s="424">
        <v>2025</v>
      </c>
      <c r="AL33" s="424">
        <v>2427</v>
      </c>
      <c r="AM33" s="430">
        <v>11.89</v>
      </c>
      <c r="AN33" s="431" t="s">
        <v>897</v>
      </c>
      <c r="AO33" s="432">
        <v>2024</v>
      </c>
      <c r="AP33" s="425">
        <v>2025</v>
      </c>
      <c r="AQ33" s="433">
        <v>0</v>
      </c>
      <c r="AR33" s="425">
        <v>2427</v>
      </c>
      <c r="AS33" s="433">
        <v>0</v>
      </c>
      <c r="AT33" s="434">
        <v>11.533300000000001</v>
      </c>
      <c r="AU33" s="431" t="s">
        <v>897</v>
      </c>
      <c r="AV33" s="435">
        <v>3</v>
      </c>
      <c r="AW33" s="432">
        <v>2022</v>
      </c>
      <c r="AX33" s="425">
        <v>1838</v>
      </c>
      <c r="AY33" s="433">
        <v>9.23</v>
      </c>
      <c r="AZ33" s="425">
        <v>2053</v>
      </c>
      <c r="BA33" s="433">
        <v>15.4</v>
      </c>
      <c r="BB33" s="434">
        <v>10.698486612339929</v>
      </c>
      <c r="BC33" s="431" t="s">
        <v>897</v>
      </c>
      <c r="BD33" s="435">
        <v>10.02</v>
      </c>
      <c r="BE33" s="432">
        <v>2023</v>
      </c>
      <c r="BF33" s="425"/>
      <c r="BG33" s="433"/>
      <c r="BH33" s="425"/>
      <c r="BI33" s="433"/>
      <c r="BJ33" s="434"/>
      <c r="BK33" s="431"/>
      <c r="BL33" s="435"/>
      <c r="BM33" s="432">
        <v>2024</v>
      </c>
      <c r="BN33" s="425"/>
      <c r="BO33" s="433"/>
      <c r="BP33" s="425"/>
      <c r="BQ33" s="433"/>
      <c r="BR33" s="434"/>
      <c r="BS33" s="431"/>
      <c r="BT33" s="435"/>
      <c r="BU33" s="1805" t="s">
        <v>687</v>
      </c>
      <c r="BV33" s="1806" t="s">
        <v>728</v>
      </c>
      <c r="BW33" s="1807" t="s">
        <v>688</v>
      </c>
      <c r="BX33" s="1808"/>
      <c r="BY33" s="1809">
        <v>2021</v>
      </c>
      <c r="BZ33" s="424">
        <v>1576</v>
      </c>
      <c r="CA33" s="424">
        <v>1576</v>
      </c>
      <c r="CB33" s="430">
        <v>15.53</v>
      </c>
      <c r="CC33" s="431" t="s">
        <v>1003</v>
      </c>
      <c r="CD33" s="432">
        <v>2024</v>
      </c>
      <c r="CE33" s="425">
        <v>1576</v>
      </c>
      <c r="CF33" s="433">
        <v>0</v>
      </c>
      <c r="CG33" s="425">
        <v>1576</v>
      </c>
      <c r="CH33" s="433">
        <v>0</v>
      </c>
      <c r="CI33" s="434">
        <v>15.0641</v>
      </c>
      <c r="CJ33" s="431" t="s">
        <v>1003</v>
      </c>
      <c r="CK33" s="435">
        <v>3</v>
      </c>
      <c r="CL33" s="432">
        <v>2022</v>
      </c>
      <c r="CM33" s="425">
        <v>1063.84656</v>
      </c>
      <c r="CN33" s="433">
        <v>32.49</v>
      </c>
      <c r="CO33" s="425">
        <v>1063.84656</v>
      </c>
      <c r="CP33" s="433">
        <v>32.49</v>
      </c>
      <c r="CQ33" s="434">
        <v>16.442759814528593</v>
      </c>
      <c r="CR33" s="431" t="s">
        <v>1003</v>
      </c>
      <c r="CS33" s="435">
        <v>-5.88</v>
      </c>
      <c r="CT33" s="432">
        <v>2023</v>
      </c>
      <c r="CU33" s="425"/>
      <c r="CV33" s="433"/>
      <c r="CW33" s="425"/>
      <c r="CX33" s="433"/>
      <c r="CY33" s="434"/>
      <c r="CZ33" s="431"/>
      <c r="DA33" s="435"/>
      <c r="DB33" s="432">
        <v>2024</v>
      </c>
      <c r="DC33" s="425"/>
      <c r="DD33" s="433"/>
      <c r="DE33" s="425"/>
      <c r="DF33" s="433"/>
      <c r="DG33" s="434"/>
      <c r="DH33" s="431"/>
      <c r="DI33" s="435"/>
      <c r="DJ33" s="1805" t="s">
        <v>719</v>
      </c>
      <c r="DK33" s="1806" t="s">
        <v>6006</v>
      </c>
      <c r="DL33" s="1807" t="s">
        <v>6007</v>
      </c>
      <c r="DM33" s="1808"/>
      <c r="DN33" s="1810">
        <v>0</v>
      </c>
      <c r="DO33" s="1799">
        <v>1</v>
      </c>
      <c r="DP33" s="1800">
        <v>0</v>
      </c>
      <c r="DQ33" s="1799">
        <v>0</v>
      </c>
      <c r="DR33" s="1800">
        <v>0</v>
      </c>
      <c r="DS33" s="1799">
        <v>0</v>
      </c>
    </row>
    <row r="34" spans="1:123" ht="54">
      <c r="A34" s="1801" t="s">
        <v>898</v>
      </c>
      <c r="B34" s="1788" t="s">
        <v>899</v>
      </c>
      <c r="C34" s="426">
        <v>2022</v>
      </c>
      <c r="D34" s="417" t="s">
        <v>681</v>
      </c>
      <c r="E34" s="1802">
        <v>1028045</v>
      </c>
      <c r="F34" s="1803" t="s">
        <v>899</v>
      </c>
      <c r="G34" s="419">
        <v>45138</v>
      </c>
      <c r="H34" s="1790" t="s">
        <v>900</v>
      </c>
      <c r="I34" s="1791" t="s">
        <v>899</v>
      </c>
      <c r="J34" s="1793" t="s">
        <v>901</v>
      </c>
      <c r="K34" s="1788" t="s">
        <v>899</v>
      </c>
      <c r="L34" s="1791" t="s">
        <v>901</v>
      </c>
      <c r="M34" s="1793" t="s">
        <v>902</v>
      </c>
      <c r="N34" s="1790" t="s">
        <v>12</v>
      </c>
      <c r="O34" s="1793" t="s">
        <v>33</v>
      </c>
      <c r="P34" s="420" t="s">
        <v>683</v>
      </c>
      <c r="Q34" s="421"/>
      <c r="R34" s="421"/>
      <c r="S34" s="422"/>
      <c r="T34" s="1794"/>
      <c r="U34" s="423">
        <v>8214.8490000000002</v>
      </c>
      <c r="V34" s="424">
        <v>3</v>
      </c>
      <c r="W34" s="424">
        <v>2</v>
      </c>
      <c r="X34" s="425"/>
      <c r="Y34" s="426">
        <v>2022</v>
      </c>
      <c r="Z34" s="417">
        <v>2024</v>
      </c>
      <c r="AA34" s="1804">
        <v>2022</v>
      </c>
      <c r="AB34" s="427"/>
      <c r="AC34" s="1793"/>
      <c r="AD34" s="428" t="s">
        <v>5863</v>
      </c>
      <c r="AE34" s="1791" t="s">
        <v>903</v>
      </c>
      <c r="AF34" s="1791" t="s">
        <v>904</v>
      </c>
      <c r="AG34" s="1793" t="s">
        <v>905</v>
      </c>
      <c r="AH34" s="428"/>
      <c r="AI34" s="1793"/>
      <c r="AJ34" s="429">
        <v>2021</v>
      </c>
      <c r="AK34" s="424">
        <v>11638</v>
      </c>
      <c r="AL34" s="424">
        <v>11562</v>
      </c>
      <c r="AM34" s="430"/>
      <c r="AN34" s="431"/>
      <c r="AO34" s="432">
        <v>2024</v>
      </c>
      <c r="AP34" s="425">
        <v>11293</v>
      </c>
      <c r="AQ34" s="433">
        <v>2.96</v>
      </c>
      <c r="AR34" s="425">
        <v>11219</v>
      </c>
      <c r="AS34" s="433">
        <v>2.96</v>
      </c>
      <c r="AT34" s="434"/>
      <c r="AU34" s="431"/>
      <c r="AV34" s="435"/>
      <c r="AW34" s="432">
        <v>2022</v>
      </c>
      <c r="AX34" s="425">
        <v>15370</v>
      </c>
      <c r="AY34" s="433">
        <v>-32.07</v>
      </c>
      <c r="AZ34" s="425">
        <v>15352</v>
      </c>
      <c r="BA34" s="433">
        <v>-32.78</v>
      </c>
      <c r="BB34" s="434"/>
      <c r="BC34" s="431"/>
      <c r="BD34" s="435"/>
      <c r="BE34" s="432">
        <v>2023</v>
      </c>
      <c r="BF34" s="425"/>
      <c r="BG34" s="433"/>
      <c r="BH34" s="425"/>
      <c r="BI34" s="433"/>
      <c r="BJ34" s="434"/>
      <c r="BK34" s="431"/>
      <c r="BL34" s="435"/>
      <c r="BM34" s="432">
        <v>2024</v>
      </c>
      <c r="BN34" s="425"/>
      <c r="BO34" s="433"/>
      <c r="BP34" s="425"/>
      <c r="BQ34" s="433"/>
      <c r="BR34" s="434"/>
      <c r="BS34" s="431"/>
      <c r="BT34" s="435"/>
      <c r="BU34" s="1805" t="s">
        <v>676</v>
      </c>
      <c r="BV34" s="1806" t="s">
        <v>728</v>
      </c>
      <c r="BW34" s="1807" t="s">
        <v>678</v>
      </c>
      <c r="BX34" s="1808" t="s">
        <v>4879</v>
      </c>
      <c r="BY34" s="1809">
        <v>2021</v>
      </c>
      <c r="BZ34" s="424"/>
      <c r="CA34" s="424"/>
      <c r="CB34" s="430"/>
      <c r="CC34" s="431"/>
      <c r="CD34" s="432">
        <v>2024</v>
      </c>
      <c r="CE34" s="425"/>
      <c r="CF34" s="433"/>
      <c r="CG34" s="425"/>
      <c r="CH34" s="433"/>
      <c r="CI34" s="434"/>
      <c r="CJ34" s="431"/>
      <c r="CK34" s="435"/>
      <c r="CL34" s="432">
        <v>2022</v>
      </c>
      <c r="CM34" s="425">
        <v>0</v>
      </c>
      <c r="CN34" s="433"/>
      <c r="CO34" s="425">
        <v>0</v>
      </c>
      <c r="CP34" s="433"/>
      <c r="CQ34" s="434"/>
      <c r="CR34" s="431"/>
      <c r="CS34" s="435">
        <v>0</v>
      </c>
      <c r="CT34" s="432">
        <v>2023</v>
      </c>
      <c r="CU34" s="425"/>
      <c r="CV34" s="433"/>
      <c r="CW34" s="425"/>
      <c r="CX34" s="433"/>
      <c r="CY34" s="434"/>
      <c r="CZ34" s="431"/>
      <c r="DA34" s="435"/>
      <c r="DB34" s="432">
        <v>2024</v>
      </c>
      <c r="DC34" s="425"/>
      <c r="DD34" s="433"/>
      <c r="DE34" s="425"/>
      <c r="DF34" s="433"/>
      <c r="DG34" s="434"/>
      <c r="DH34" s="431"/>
      <c r="DI34" s="435"/>
      <c r="DJ34" s="1805"/>
      <c r="DK34" s="1806"/>
      <c r="DL34" s="1807"/>
      <c r="DM34" s="1808"/>
      <c r="DN34" s="1810">
        <v>0</v>
      </c>
      <c r="DO34" s="1799">
        <v>0</v>
      </c>
      <c r="DP34" s="1800">
        <v>0</v>
      </c>
      <c r="DQ34" s="1799">
        <v>0</v>
      </c>
      <c r="DR34" s="1800">
        <v>0</v>
      </c>
      <c r="DS34" s="1799">
        <v>0</v>
      </c>
    </row>
    <row r="35" spans="1:123" ht="67.5">
      <c r="A35" s="1801" t="s">
        <v>906</v>
      </c>
      <c r="B35" s="1788" t="s">
        <v>907</v>
      </c>
      <c r="C35" s="426">
        <v>2022</v>
      </c>
      <c r="D35" s="417" t="s">
        <v>681</v>
      </c>
      <c r="E35" s="1802">
        <v>1029046</v>
      </c>
      <c r="F35" s="1803" t="s">
        <v>907</v>
      </c>
      <c r="G35" s="419">
        <v>45133</v>
      </c>
      <c r="H35" s="1790" t="s">
        <v>908</v>
      </c>
      <c r="I35" s="1791" t="s">
        <v>907</v>
      </c>
      <c r="J35" s="1793" t="s">
        <v>909</v>
      </c>
      <c r="K35" s="1788" t="s">
        <v>907</v>
      </c>
      <c r="L35" s="1791" t="s">
        <v>909</v>
      </c>
      <c r="M35" s="1793" t="s">
        <v>908</v>
      </c>
      <c r="N35" s="1790" t="s">
        <v>12</v>
      </c>
      <c r="O35" s="1793" t="s">
        <v>33</v>
      </c>
      <c r="P35" s="420" t="s">
        <v>683</v>
      </c>
      <c r="Q35" s="421"/>
      <c r="R35" s="421"/>
      <c r="S35" s="422"/>
      <c r="T35" s="1794"/>
      <c r="U35" s="423">
        <v>1751.2008000000001</v>
      </c>
      <c r="V35" s="424">
        <v>1</v>
      </c>
      <c r="W35" s="424">
        <v>1</v>
      </c>
      <c r="X35" s="425"/>
      <c r="Y35" s="426">
        <v>2022</v>
      </c>
      <c r="Z35" s="417">
        <v>2024</v>
      </c>
      <c r="AA35" s="1804">
        <v>2022</v>
      </c>
      <c r="AB35" s="427"/>
      <c r="AC35" s="1793"/>
      <c r="AD35" s="428" t="s">
        <v>5863</v>
      </c>
      <c r="AE35" s="1791" t="s">
        <v>910</v>
      </c>
      <c r="AF35" s="1791" t="s">
        <v>911</v>
      </c>
      <c r="AG35" s="1793" t="s">
        <v>765</v>
      </c>
      <c r="AH35" s="428"/>
      <c r="AI35" s="1793"/>
      <c r="AJ35" s="429">
        <v>2021</v>
      </c>
      <c r="AK35" s="424">
        <v>2816</v>
      </c>
      <c r="AL35" s="424">
        <v>2791</v>
      </c>
      <c r="AM35" s="430">
        <v>80.510000000000005</v>
      </c>
      <c r="AN35" s="431" t="s">
        <v>912</v>
      </c>
      <c r="AO35" s="432">
        <v>2024</v>
      </c>
      <c r="AP35" s="425">
        <v>2731.52</v>
      </c>
      <c r="AQ35" s="433">
        <v>3</v>
      </c>
      <c r="AR35" s="425">
        <v>2707.27</v>
      </c>
      <c r="AS35" s="433">
        <v>3</v>
      </c>
      <c r="AT35" s="434">
        <v>78.09</v>
      </c>
      <c r="AU35" s="431" t="s">
        <v>912</v>
      </c>
      <c r="AV35" s="435">
        <v>3</v>
      </c>
      <c r="AW35" s="432">
        <v>2022</v>
      </c>
      <c r="AX35" s="425">
        <v>3114</v>
      </c>
      <c r="AY35" s="433">
        <v>-10.59</v>
      </c>
      <c r="AZ35" s="425">
        <v>3107</v>
      </c>
      <c r="BA35" s="433">
        <v>-11.33</v>
      </c>
      <c r="BB35" s="434">
        <v>78.456073165201175</v>
      </c>
      <c r="BC35" s="431" t="s">
        <v>912</v>
      </c>
      <c r="BD35" s="435">
        <v>2.5499999999999998</v>
      </c>
      <c r="BE35" s="432">
        <v>2023</v>
      </c>
      <c r="BF35" s="425"/>
      <c r="BG35" s="433"/>
      <c r="BH35" s="425"/>
      <c r="BI35" s="433"/>
      <c r="BJ35" s="434"/>
      <c r="BK35" s="431"/>
      <c r="BL35" s="435"/>
      <c r="BM35" s="432">
        <v>2024</v>
      </c>
      <c r="BN35" s="425"/>
      <c r="BO35" s="433"/>
      <c r="BP35" s="425"/>
      <c r="BQ35" s="433"/>
      <c r="BR35" s="434"/>
      <c r="BS35" s="431"/>
      <c r="BT35" s="435"/>
      <c r="BU35" s="1805" t="s">
        <v>676</v>
      </c>
      <c r="BV35" s="1806" t="s">
        <v>728</v>
      </c>
      <c r="BW35" s="1807" t="s">
        <v>678</v>
      </c>
      <c r="BX35" s="1808" t="s">
        <v>4880</v>
      </c>
      <c r="BY35" s="1809">
        <v>2021</v>
      </c>
      <c r="BZ35" s="424"/>
      <c r="CA35" s="424"/>
      <c r="CB35" s="430"/>
      <c r="CC35" s="431"/>
      <c r="CD35" s="432">
        <v>2024</v>
      </c>
      <c r="CE35" s="425"/>
      <c r="CF35" s="433"/>
      <c r="CG35" s="425"/>
      <c r="CH35" s="433"/>
      <c r="CI35" s="434"/>
      <c r="CJ35" s="431"/>
      <c r="CK35" s="435"/>
      <c r="CL35" s="432">
        <v>2022</v>
      </c>
      <c r="CM35" s="425">
        <v>0</v>
      </c>
      <c r="CN35" s="433"/>
      <c r="CO35" s="425">
        <v>0</v>
      </c>
      <c r="CP35" s="433"/>
      <c r="CQ35" s="434"/>
      <c r="CR35" s="431"/>
      <c r="CS35" s="435"/>
      <c r="CT35" s="432">
        <v>2023</v>
      </c>
      <c r="CU35" s="425"/>
      <c r="CV35" s="433"/>
      <c r="CW35" s="425"/>
      <c r="CX35" s="433"/>
      <c r="CY35" s="434"/>
      <c r="CZ35" s="431"/>
      <c r="DA35" s="435"/>
      <c r="DB35" s="432">
        <v>2024</v>
      </c>
      <c r="DC35" s="425"/>
      <c r="DD35" s="433"/>
      <c r="DE35" s="425"/>
      <c r="DF35" s="433"/>
      <c r="DG35" s="434"/>
      <c r="DH35" s="431"/>
      <c r="DI35" s="435"/>
      <c r="DJ35" s="1805"/>
      <c r="DK35" s="1806"/>
      <c r="DL35" s="1807"/>
      <c r="DM35" s="1808"/>
      <c r="DN35" s="1810">
        <v>0</v>
      </c>
      <c r="DO35" s="1799">
        <v>0</v>
      </c>
      <c r="DP35" s="1800">
        <v>0</v>
      </c>
      <c r="DQ35" s="1799">
        <v>0</v>
      </c>
      <c r="DR35" s="1800">
        <v>0</v>
      </c>
      <c r="DS35" s="1799">
        <v>0</v>
      </c>
    </row>
    <row r="36" spans="1:123" ht="54">
      <c r="A36" s="1801" t="s">
        <v>913</v>
      </c>
      <c r="B36" s="1788" t="s">
        <v>914</v>
      </c>
      <c r="C36" s="426">
        <v>2022</v>
      </c>
      <c r="D36" s="417" t="s">
        <v>681</v>
      </c>
      <c r="E36" s="1802">
        <v>1009047</v>
      </c>
      <c r="F36" s="1803" t="s">
        <v>914</v>
      </c>
      <c r="G36" s="419">
        <v>45138</v>
      </c>
      <c r="H36" s="1790" t="s">
        <v>915</v>
      </c>
      <c r="I36" s="1791" t="s">
        <v>914</v>
      </c>
      <c r="J36" s="1793" t="s">
        <v>916</v>
      </c>
      <c r="K36" s="1788" t="s">
        <v>914</v>
      </c>
      <c r="L36" s="1791" t="s">
        <v>916</v>
      </c>
      <c r="M36" s="1793" t="s">
        <v>915</v>
      </c>
      <c r="N36" s="1790" t="s">
        <v>12</v>
      </c>
      <c r="O36" s="1793" t="s">
        <v>13</v>
      </c>
      <c r="P36" s="420" t="s">
        <v>683</v>
      </c>
      <c r="Q36" s="421"/>
      <c r="R36" s="421"/>
      <c r="S36" s="422"/>
      <c r="T36" s="1794"/>
      <c r="U36" s="423">
        <v>983.90880000000004</v>
      </c>
      <c r="V36" s="424">
        <v>1</v>
      </c>
      <c r="W36" s="424">
        <v>1</v>
      </c>
      <c r="X36" s="425"/>
      <c r="Y36" s="426">
        <v>2022</v>
      </c>
      <c r="Z36" s="417">
        <v>2024</v>
      </c>
      <c r="AA36" s="1804">
        <v>2022</v>
      </c>
      <c r="AB36" s="427"/>
      <c r="AC36" s="1793"/>
      <c r="AD36" s="428" t="s">
        <v>5863</v>
      </c>
      <c r="AE36" s="1791" t="s">
        <v>917</v>
      </c>
      <c r="AF36" s="1791" t="s">
        <v>918</v>
      </c>
      <c r="AG36" s="1793" t="s">
        <v>919</v>
      </c>
      <c r="AH36" s="428"/>
      <c r="AI36" s="1793"/>
      <c r="AJ36" s="429">
        <v>2021</v>
      </c>
      <c r="AK36" s="424">
        <v>2770</v>
      </c>
      <c r="AL36" s="424">
        <v>1432</v>
      </c>
      <c r="AM36" s="430">
        <v>64.739999999999995</v>
      </c>
      <c r="AN36" s="431" t="s">
        <v>920</v>
      </c>
      <c r="AO36" s="432">
        <v>2024</v>
      </c>
      <c r="AP36" s="425">
        <v>2631</v>
      </c>
      <c r="AQ36" s="433">
        <v>5.01</v>
      </c>
      <c r="AR36" s="425">
        <v>1360</v>
      </c>
      <c r="AS36" s="433">
        <v>5.0199999999999996</v>
      </c>
      <c r="AT36" s="434">
        <v>61.5</v>
      </c>
      <c r="AU36" s="431" t="s">
        <v>920</v>
      </c>
      <c r="AV36" s="435">
        <v>5</v>
      </c>
      <c r="AW36" s="432">
        <v>2022</v>
      </c>
      <c r="AX36" s="425">
        <v>1850</v>
      </c>
      <c r="AY36" s="433">
        <v>33.21</v>
      </c>
      <c r="AZ36" s="425">
        <v>1847</v>
      </c>
      <c r="BA36" s="433">
        <v>-28.99</v>
      </c>
      <c r="BB36" s="434">
        <v>83.483754512635372</v>
      </c>
      <c r="BC36" s="431" t="s">
        <v>920</v>
      </c>
      <c r="BD36" s="435">
        <v>-28.96</v>
      </c>
      <c r="BE36" s="432">
        <v>2023</v>
      </c>
      <c r="BF36" s="425"/>
      <c r="BG36" s="433"/>
      <c r="BH36" s="425"/>
      <c r="BI36" s="433"/>
      <c r="BJ36" s="434"/>
      <c r="BK36" s="431"/>
      <c r="BL36" s="435"/>
      <c r="BM36" s="432">
        <v>2024</v>
      </c>
      <c r="BN36" s="425"/>
      <c r="BO36" s="433"/>
      <c r="BP36" s="425"/>
      <c r="BQ36" s="433"/>
      <c r="BR36" s="434"/>
      <c r="BS36" s="431"/>
      <c r="BT36" s="435"/>
      <c r="BU36" s="1805" t="s">
        <v>676</v>
      </c>
      <c r="BV36" s="1806" t="s">
        <v>677</v>
      </c>
      <c r="BW36" s="1807" t="s">
        <v>697</v>
      </c>
      <c r="BX36" s="1808" t="s">
        <v>4881</v>
      </c>
      <c r="BY36" s="1809">
        <v>2021</v>
      </c>
      <c r="BZ36" s="424"/>
      <c r="CA36" s="424"/>
      <c r="CB36" s="430"/>
      <c r="CC36" s="431"/>
      <c r="CD36" s="432">
        <v>2024</v>
      </c>
      <c r="CE36" s="425"/>
      <c r="CF36" s="433"/>
      <c r="CG36" s="425"/>
      <c r="CH36" s="433"/>
      <c r="CI36" s="434"/>
      <c r="CJ36" s="431"/>
      <c r="CK36" s="435"/>
      <c r="CL36" s="432">
        <v>2022</v>
      </c>
      <c r="CM36" s="425">
        <v>0</v>
      </c>
      <c r="CN36" s="433"/>
      <c r="CO36" s="425">
        <v>0</v>
      </c>
      <c r="CP36" s="433"/>
      <c r="CQ36" s="434">
        <v>0</v>
      </c>
      <c r="CR36" s="431"/>
      <c r="CS36" s="435"/>
      <c r="CT36" s="432">
        <v>2023</v>
      </c>
      <c r="CU36" s="425"/>
      <c r="CV36" s="433"/>
      <c r="CW36" s="425"/>
      <c r="CX36" s="433"/>
      <c r="CY36" s="434"/>
      <c r="CZ36" s="431"/>
      <c r="DA36" s="435"/>
      <c r="DB36" s="432">
        <v>2024</v>
      </c>
      <c r="DC36" s="425"/>
      <c r="DD36" s="433"/>
      <c r="DE36" s="425"/>
      <c r="DF36" s="433"/>
      <c r="DG36" s="434"/>
      <c r="DH36" s="431"/>
      <c r="DI36" s="435"/>
      <c r="DJ36" s="1805"/>
      <c r="DK36" s="1806"/>
      <c r="DL36" s="1807"/>
      <c r="DM36" s="1808"/>
      <c r="DN36" s="1810">
        <v>0</v>
      </c>
      <c r="DO36" s="1799">
        <v>0</v>
      </c>
      <c r="DP36" s="1800">
        <v>0</v>
      </c>
      <c r="DQ36" s="1799">
        <v>0</v>
      </c>
      <c r="DR36" s="1800">
        <v>0</v>
      </c>
      <c r="DS36" s="1799">
        <v>0</v>
      </c>
    </row>
    <row r="37" spans="1:123" ht="54">
      <c r="A37" s="1801" t="s">
        <v>921</v>
      </c>
      <c r="B37" s="1788" t="s">
        <v>922</v>
      </c>
      <c r="C37" s="426">
        <v>2022</v>
      </c>
      <c r="D37" s="417" t="s">
        <v>681</v>
      </c>
      <c r="E37" s="1802">
        <v>1069050</v>
      </c>
      <c r="F37" s="1803" t="s">
        <v>922</v>
      </c>
      <c r="G37" s="419">
        <v>45138</v>
      </c>
      <c r="H37" s="1790" t="s">
        <v>923</v>
      </c>
      <c r="I37" s="1791" t="s">
        <v>922</v>
      </c>
      <c r="J37" s="1793" t="s">
        <v>924</v>
      </c>
      <c r="K37" s="1788" t="s">
        <v>922</v>
      </c>
      <c r="L37" s="1791" t="s">
        <v>925</v>
      </c>
      <c r="M37" s="1793" t="s">
        <v>923</v>
      </c>
      <c r="N37" s="1790" t="s">
        <v>77</v>
      </c>
      <c r="O37" s="1793" t="s">
        <v>79</v>
      </c>
      <c r="P37" s="420" t="s">
        <v>683</v>
      </c>
      <c r="Q37" s="421"/>
      <c r="R37" s="421"/>
      <c r="S37" s="422"/>
      <c r="T37" s="1794"/>
      <c r="U37" s="423">
        <v>2852.0868</v>
      </c>
      <c r="V37" s="424">
        <v>3</v>
      </c>
      <c r="W37" s="424">
        <v>1</v>
      </c>
      <c r="X37" s="425"/>
      <c r="Y37" s="426">
        <v>2022</v>
      </c>
      <c r="Z37" s="417">
        <v>2024</v>
      </c>
      <c r="AA37" s="1804">
        <v>2022</v>
      </c>
      <c r="AB37" s="427"/>
      <c r="AC37" s="1793"/>
      <c r="AD37" s="428" t="s">
        <v>5863</v>
      </c>
      <c r="AE37" s="1791" t="s">
        <v>926</v>
      </c>
      <c r="AF37" s="1791" t="s">
        <v>927</v>
      </c>
      <c r="AG37" s="1793" t="s">
        <v>928</v>
      </c>
      <c r="AH37" s="428"/>
      <c r="AI37" s="1793"/>
      <c r="AJ37" s="429">
        <v>2021</v>
      </c>
      <c r="AK37" s="424">
        <v>4802</v>
      </c>
      <c r="AL37" s="424">
        <v>4569</v>
      </c>
      <c r="AM37" s="430"/>
      <c r="AN37" s="431"/>
      <c r="AO37" s="432">
        <v>2024</v>
      </c>
      <c r="AP37" s="425">
        <v>4630</v>
      </c>
      <c r="AQ37" s="433">
        <v>3.58</v>
      </c>
      <c r="AR37" s="425">
        <v>4405</v>
      </c>
      <c r="AS37" s="433">
        <v>3.58</v>
      </c>
      <c r="AT37" s="434"/>
      <c r="AU37" s="431"/>
      <c r="AV37" s="435"/>
      <c r="AW37" s="432">
        <v>2022</v>
      </c>
      <c r="AX37" s="425">
        <v>5092</v>
      </c>
      <c r="AY37" s="433">
        <v>-6.04</v>
      </c>
      <c r="AZ37" s="425">
        <v>4585</v>
      </c>
      <c r="BA37" s="433">
        <v>-0.36</v>
      </c>
      <c r="BB37" s="434"/>
      <c r="BC37" s="431"/>
      <c r="BD37" s="435"/>
      <c r="BE37" s="432">
        <v>2023</v>
      </c>
      <c r="BF37" s="425"/>
      <c r="BG37" s="433"/>
      <c r="BH37" s="425"/>
      <c r="BI37" s="433"/>
      <c r="BJ37" s="434"/>
      <c r="BK37" s="431"/>
      <c r="BL37" s="435"/>
      <c r="BM37" s="432">
        <v>2024</v>
      </c>
      <c r="BN37" s="425"/>
      <c r="BO37" s="433"/>
      <c r="BP37" s="425"/>
      <c r="BQ37" s="433"/>
      <c r="BR37" s="434"/>
      <c r="BS37" s="431"/>
      <c r="BT37" s="435"/>
      <c r="BU37" s="1805" t="s">
        <v>676</v>
      </c>
      <c r="BV37" s="1806" t="s">
        <v>677</v>
      </c>
      <c r="BW37" s="1807" t="s">
        <v>688</v>
      </c>
      <c r="BX37" s="1808" t="s">
        <v>4882</v>
      </c>
      <c r="BY37" s="1809">
        <v>2021</v>
      </c>
      <c r="BZ37" s="424"/>
      <c r="CA37" s="424"/>
      <c r="CB37" s="430"/>
      <c r="CC37" s="431"/>
      <c r="CD37" s="432">
        <v>2024</v>
      </c>
      <c r="CE37" s="425"/>
      <c r="CF37" s="433"/>
      <c r="CG37" s="425"/>
      <c r="CH37" s="433"/>
      <c r="CI37" s="434"/>
      <c r="CJ37" s="431"/>
      <c r="CK37" s="435"/>
      <c r="CL37" s="432">
        <v>2022</v>
      </c>
      <c r="CM37" s="425">
        <v>0</v>
      </c>
      <c r="CN37" s="433"/>
      <c r="CO37" s="425">
        <v>0</v>
      </c>
      <c r="CP37" s="433"/>
      <c r="CQ37" s="434"/>
      <c r="CR37" s="431"/>
      <c r="CS37" s="435"/>
      <c r="CT37" s="432">
        <v>2023</v>
      </c>
      <c r="CU37" s="425"/>
      <c r="CV37" s="433"/>
      <c r="CW37" s="425"/>
      <c r="CX37" s="433"/>
      <c r="CY37" s="434"/>
      <c r="CZ37" s="431"/>
      <c r="DA37" s="435"/>
      <c r="DB37" s="432">
        <v>2024</v>
      </c>
      <c r="DC37" s="425"/>
      <c r="DD37" s="433"/>
      <c r="DE37" s="425"/>
      <c r="DF37" s="433"/>
      <c r="DG37" s="434"/>
      <c r="DH37" s="431"/>
      <c r="DI37" s="435"/>
      <c r="DJ37" s="1805"/>
      <c r="DK37" s="1806"/>
      <c r="DL37" s="1807"/>
      <c r="DM37" s="1808"/>
      <c r="DN37" s="1810">
        <v>0</v>
      </c>
      <c r="DO37" s="1799">
        <v>0</v>
      </c>
      <c r="DP37" s="1800">
        <v>0</v>
      </c>
      <c r="DQ37" s="1799">
        <v>0</v>
      </c>
      <c r="DR37" s="1800">
        <v>0</v>
      </c>
      <c r="DS37" s="1799">
        <v>0</v>
      </c>
    </row>
    <row r="38" spans="1:123" ht="81">
      <c r="A38" s="1801" t="s">
        <v>929</v>
      </c>
      <c r="B38" s="1788" t="s">
        <v>930</v>
      </c>
      <c r="C38" s="426">
        <v>2022</v>
      </c>
      <c r="D38" s="417" t="s">
        <v>5702</v>
      </c>
      <c r="E38" s="1802">
        <v>1064051</v>
      </c>
      <c r="F38" s="1803" t="s">
        <v>930</v>
      </c>
      <c r="G38" s="419">
        <v>45121</v>
      </c>
      <c r="H38" s="1790" t="s">
        <v>931</v>
      </c>
      <c r="I38" s="1791" t="s">
        <v>930</v>
      </c>
      <c r="J38" s="1793" t="s">
        <v>4883</v>
      </c>
      <c r="K38" s="1788" t="s">
        <v>930</v>
      </c>
      <c r="L38" s="1791" t="s">
        <v>4883</v>
      </c>
      <c r="M38" s="1793" t="s">
        <v>932</v>
      </c>
      <c r="N38" s="1790" t="s">
        <v>70</v>
      </c>
      <c r="O38" s="1793" t="s">
        <v>73</v>
      </c>
      <c r="P38" s="420"/>
      <c r="Q38" s="421"/>
      <c r="R38" s="421"/>
      <c r="S38" s="422" t="s">
        <v>5865</v>
      </c>
      <c r="T38" s="1794"/>
      <c r="U38" s="423">
        <v>1428.8556000000001</v>
      </c>
      <c r="V38" s="424">
        <v>1</v>
      </c>
      <c r="W38" s="424">
        <v>1</v>
      </c>
      <c r="X38" s="425"/>
      <c r="Y38" s="426">
        <v>2022</v>
      </c>
      <c r="Z38" s="417">
        <v>2024</v>
      </c>
      <c r="AA38" s="1804">
        <v>2022</v>
      </c>
      <c r="AB38" s="427"/>
      <c r="AC38" s="1793"/>
      <c r="AD38" s="428" t="s">
        <v>5863</v>
      </c>
      <c r="AE38" s="1791" t="s">
        <v>933</v>
      </c>
      <c r="AF38" s="1791" t="s">
        <v>934</v>
      </c>
      <c r="AG38" s="1793" t="s">
        <v>935</v>
      </c>
      <c r="AH38" s="428"/>
      <c r="AI38" s="1793"/>
      <c r="AJ38" s="429">
        <v>2021</v>
      </c>
      <c r="AK38" s="424">
        <v>2596</v>
      </c>
      <c r="AL38" s="424">
        <v>2575</v>
      </c>
      <c r="AM38" s="430">
        <v>132.53</v>
      </c>
      <c r="AN38" s="431" t="s">
        <v>727</v>
      </c>
      <c r="AO38" s="432">
        <v>2024</v>
      </c>
      <c r="AP38" s="425">
        <v>2518</v>
      </c>
      <c r="AQ38" s="433">
        <v>3</v>
      </c>
      <c r="AR38" s="425">
        <v>2497</v>
      </c>
      <c r="AS38" s="433">
        <v>3.02</v>
      </c>
      <c r="AT38" s="434">
        <v>128.55000000000001</v>
      </c>
      <c r="AU38" s="431" t="s">
        <v>727</v>
      </c>
      <c r="AV38" s="435">
        <v>3</v>
      </c>
      <c r="AW38" s="432">
        <v>2022</v>
      </c>
      <c r="AX38" s="425">
        <v>2618</v>
      </c>
      <c r="AY38" s="433">
        <v>-0.85</v>
      </c>
      <c r="AZ38" s="425">
        <v>2618</v>
      </c>
      <c r="BA38" s="433">
        <v>-1.67</v>
      </c>
      <c r="BB38" s="434">
        <v>133.70786516853934</v>
      </c>
      <c r="BC38" s="431" t="s">
        <v>727</v>
      </c>
      <c r="BD38" s="435">
        <v>-0.89</v>
      </c>
      <c r="BE38" s="432">
        <v>2023</v>
      </c>
      <c r="BF38" s="425"/>
      <c r="BG38" s="433"/>
      <c r="BH38" s="425"/>
      <c r="BI38" s="433"/>
      <c r="BJ38" s="434"/>
      <c r="BK38" s="431"/>
      <c r="BL38" s="435"/>
      <c r="BM38" s="432">
        <v>2024</v>
      </c>
      <c r="BN38" s="425"/>
      <c r="BO38" s="433"/>
      <c r="BP38" s="425"/>
      <c r="BQ38" s="433"/>
      <c r="BR38" s="434"/>
      <c r="BS38" s="431"/>
      <c r="BT38" s="435"/>
      <c r="BU38" s="1805" t="s">
        <v>676</v>
      </c>
      <c r="BV38" s="1806" t="s">
        <v>677</v>
      </c>
      <c r="BW38" s="1807" t="s">
        <v>688</v>
      </c>
      <c r="BX38" s="1808" t="s">
        <v>4884</v>
      </c>
      <c r="BY38" s="1809">
        <v>2021</v>
      </c>
      <c r="BZ38" s="424"/>
      <c r="CA38" s="424"/>
      <c r="CB38" s="430"/>
      <c r="CC38" s="431"/>
      <c r="CD38" s="432">
        <v>2024</v>
      </c>
      <c r="CE38" s="425"/>
      <c r="CF38" s="433"/>
      <c r="CG38" s="425"/>
      <c r="CH38" s="433"/>
      <c r="CI38" s="434"/>
      <c r="CJ38" s="431"/>
      <c r="CK38" s="435"/>
      <c r="CL38" s="432">
        <v>2022</v>
      </c>
      <c r="CM38" s="425">
        <v>0</v>
      </c>
      <c r="CN38" s="433"/>
      <c r="CO38" s="425">
        <v>0</v>
      </c>
      <c r="CP38" s="433"/>
      <c r="CQ38" s="434"/>
      <c r="CR38" s="431"/>
      <c r="CS38" s="435"/>
      <c r="CT38" s="432">
        <v>2023</v>
      </c>
      <c r="CU38" s="425"/>
      <c r="CV38" s="433"/>
      <c r="CW38" s="425"/>
      <c r="CX38" s="433"/>
      <c r="CY38" s="434"/>
      <c r="CZ38" s="431"/>
      <c r="DA38" s="435"/>
      <c r="DB38" s="432">
        <v>2024</v>
      </c>
      <c r="DC38" s="425"/>
      <c r="DD38" s="433"/>
      <c r="DE38" s="425"/>
      <c r="DF38" s="433"/>
      <c r="DG38" s="434"/>
      <c r="DH38" s="431"/>
      <c r="DI38" s="435"/>
      <c r="DJ38" s="1805" t="s">
        <v>687</v>
      </c>
      <c r="DK38" s="1806"/>
      <c r="DL38" s="1807"/>
      <c r="DM38" s="1808"/>
      <c r="DN38" s="1810">
        <v>0</v>
      </c>
      <c r="DO38" s="1799">
        <v>0</v>
      </c>
      <c r="DP38" s="1800">
        <v>0</v>
      </c>
      <c r="DQ38" s="1799">
        <v>0</v>
      </c>
      <c r="DR38" s="1800">
        <v>0</v>
      </c>
      <c r="DS38" s="1799">
        <v>0</v>
      </c>
    </row>
    <row r="39" spans="1:123" ht="108">
      <c r="A39" s="1801" t="s">
        <v>936</v>
      </c>
      <c r="B39" s="1788" t="s">
        <v>937</v>
      </c>
      <c r="C39" s="426">
        <v>2022</v>
      </c>
      <c r="D39" s="417" t="s">
        <v>681</v>
      </c>
      <c r="E39" s="1802">
        <v>1056053</v>
      </c>
      <c r="F39" s="1803" t="s">
        <v>937</v>
      </c>
      <c r="G39" s="419">
        <v>45132</v>
      </c>
      <c r="H39" s="1790" t="s">
        <v>938</v>
      </c>
      <c r="I39" s="1791" t="s">
        <v>937</v>
      </c>
      <c r="J39" s="1793" t="s">
        <v>4885</v>
      </c>
      <c r="K39" s="1788" t="s">
        <v>937</v>
      </c>
      <c r="L39" s="1791" t="s">
        <v>4885</v>
      </c>
      <c r="M39" s="1793" t="s">
        <v>939</v>
      </c>
      <c r="N39" s="1790" t="s">
        <v>57</v>
      </c>
      <c r="O39" s="1793" t="s">
        <v>64</v>
      </c>
      <c r="P39" s="420" t="s">
        <v>683</v>
      </c>
      <c r="Q39" s="421"/>
      <c r="R39" s="421"/>
      <c r="S39" s="422"/>
      <c r="T39" s="1794"/>
      <c r="U39" s="423">
        <v>5067.7650000000003</v>
      </c>
      <c r="V39" s="424">
        <v>4</v>
      </c>
      <c r="W39" s="424">
        <v>1</v>
      </c>
      <c r="X39" s="425"/>
      <c r="Y39" s="426">
        <v>2022</v>
      </c>
      <c r="Z39" s="417">
        <v>2024</v>
      </c>
      <c r="AA39" s="1804">
        <v>2022</v>
      </c>
      <c r="AB39" s="427"/>
      <c r="AC39" s="1793"/>
      <c r="AD39" s="428" t="s">
        <v>5863</v>
      </c>
      <c r="AE39" s="1791" t="s">
        <v>940</v>
      </c>
      <c r="AF39" s="1791" t="s">
        <v>938</v>
      </c>
      <c r="AG39" s="1793" t="s">
        <v>941</v>
      </c>
      <c r="AH39" s="428"/>
      <c r="AI39" s="1793"/>
      <c r="AJ39" s="429">
        <v>2021</v>
      </c>
      <c r="AK39" s="424">
        <v>8838</v>
      </c>
      <c r="AL39" s="424">
        <v>8770</v>
      </c>
      <c r="AM39" s="430"/>
      <c r="AN39" s="431"/>
      <c r="AO39" s="432">
        <v>2024</v>
      </c>
      <c r="AP39" s="425">
        <v>8811</v>
      </c>
      <c r="AQ39" s="433">
        <v>0.3</v>
      </c>
      <c r="AR39" s="425">
        <v>8743</v>
      </c>
      <c r="AS39" s="433">
        <v>0.3</v>
      </c>
      <c r="AT39" s="434"/>
      <c r="AU39" s="431"/>
      <c r="AV39" s="435"/>
      <c r="AW39" s="432">
        <v>2022</v>
      </c>
      <c r="AX39" s="425">
        <v>9111</v>
      </c>
      <c r="AY39" s="433">
        <v>-3.09</v>
      </c>
      <c r="AZ39" s="425">
        <v>9095</v>
      </c>
      <c r="BA39" s="433">
        <v>-3.71</v>
      </c>
      <c r="BB39" s="434"/>
      <c r="BC39" s="431"/>
      <c r="BD39" s="435"/>
      <c r="BE39" s="432">
        <v>2023</v>
      </c>
      <c r="BF39" s="425"/>
      <c r="BG39" s="433"/>
      <c r="BH39" s="425"/>
      <c r="BI39" s="433"/>
      <c r="BJ39" s="434"/>
      <c r="BK39" s="431"/>
      <c r="BL39" s="435"/>
      <c r="BM39" s="432">
        <v>2024</v>
      </c>
      <c r="BN39" s="425"/>
      <c r="BO39" s="433"/>
      <c r="BP39" s="425"/>
      <c r="BQ39" s="433"/>
      <c r="BR39" s="434"/>
      <c r="BS39" s="431"/>
      <c r="BT39" s="435"/>
      <c r="BU39" s="1805" t="s">
        <v>687</v>
      </c>
      <c r="BV39" s="1806" t="s">
        <v>728</v>
      </c>
      <c r="BW39" s="1807" t="s">
        <v>678</v>
      </c>
      <c r="BX39" s="1808" t="s">
        <v>4886</v>
      </c>
      <c r="BY39" s="1809">
        <v>2021</v>
      </c>
      <c r="BZ39" s="424"/>
      <c r="CA39" s="424"/>
      <c r="CB39" s="430"/>
      <c r="CC39" s="431"/>
      <c r="CD39" s="432">
        <v>2024</v>
      </c>
      <c r="CE39" s="425"/>
      <c r="CF39" s="433"/>
      <c r="CG39" s="425"/>
      <c r="CH39" s="433"/>
      <c r="CI39" s="434"/>
      <c r="CJ39" s="431"/>
      <c r="CK39" s="435"/>
      <c r="CL39" s="432">
        <v>2022</v>
      </c>
      <c r="CM39" s="425">
        <v>0</v>
      </c>
      <c r="CN39" s="433"/>
      <c r="CO39" s="425">
        <v>0</v>
      </c>
      <c r="CP39" s="433"/>
      <c r="CQ39" s="434"/>
      <c r="CR39" s="431"/>
      <c r="CS39" s="435">
        <v>0</v>
      </c>
      <c r="CT39" s="432">
        <v>2023</v>
      </c>
      <c r="CU39" s="425"/>
      <c r="CV39" s="433"/>
      <c r="CW39" s="425"/>
      <c r="CX39" s="433"/>
      <c r="CY39" s="434"/>
      <c r="CZ39" s="431"/>
      <c r="DA39" s="435"/>
      <c r="DB39" s="432">
        <v>2024</v>
      </c>
      <c r="DC39" s="425"/>
      <c r="DD39" s="433"/>
      <c r="DE39" s="425"/>
      <c r="DF39" s="433"/>
      <c r="DG39" s="434"/>
      <c r="DH39" s="431"/>
      <c r="DI39" s="435"/>
      <c r="DJ39" s="1805"/>
      <c r="DK39" s="1806"/>
      <c r="DL39" s="1807"/>
      <c r="DM39" s="1808"/>
      <c r="DN39" s="1810">
        <v>0</v>
      </c>
      <c r="DO39" s="1799">
        <v>2</v>
      </c>
      <c r="DP39" s="1800">
        <v>0</v>
      </c>
      <c r="DQ39" s="1799">
        <v>0</v>
      </c>
      <c r="DR39" s="1800">
        <v>0</v>
      </c>
      <c r="DS39" s="1799">
        <v>0</v>
      </c>
    </row>
    <row r="40" spans="1:123" ht="108">
      <c r="A40" s="1801" t="s">
        <v>942</v>
      </c>
      <c r="B40" s="1788" t="s">
        <v>943</v>
      </c>
      <c r="C40" s="426">
        <v>2022</v>
      </c>
      <c r="D40" s="417" t="s">
        <v>681</v>
      </c>
      <c r="E40" s="1802">
        <v>1025054</v>
      </c>
      <c r="F40" s="1803" t="s">
        <v>943</v>
      </c>
      <c r="G40" s="419">
        <v>45138</v>
      </c>
      <c r="H40" s="1790" t="s">
        <v>946</v>
      </c>
      <c r="I40" s="1791" t="s">
        <v>943</v>
      </c>
      <c r="J40" s="1793" t="s">
        <v>4887</v>
      </c>
      <c r="K40" s="1788" t="s">
        <v>943</v>
      </c>
      <c r="L40" s="1791" t="s">
        <v>945</v>
      </c>
      <c r="M40" s="1793" t="s">
        <v>946</v>
      </c>
      <c r="N40" s="1790" t="s">
        <v>12</v>
      </c>
      <c r="O40" s="1793" t="s">
        <v>35</v>
      </c>
      <c r="P40" s="420" t="s">
        <v>683</v>
      </c>
      <c r="Q40" s="421"/>
      <c r="R40" s="421"/>
      <c r="S40" s="422"/>
      <c r="T40" s="1794"/>
      <c r="U40" s="423">
        <v>5373.6756000000005</v>
      </c>
      <c r="V40" s="424">
        <v>4</v>
      </c>
      <c r="W40" s="424">
        <v>2</v>
      </c>
      <c r="X40" s="425"/>
      <c r="Y40" s="426">
        <v>2022</v>
      </c>
      <c r="Z40" s="417">
        <v>2024</v>
      </c>
      <c r="AA40" s="1804">
        <v>2022</v>
      </c>
      <c r="AB40" s="427"/>
      <c r="AC40" s="1793"/>
      <c r="AD40" s="428" t="s">
        <v>5863</v>
      </c>
      <c r="AE40" s="1791" t="s">
        <v>947</v>
      </c>
      <c r="AF40" s="1791" t="s">
        <v>944</v>
      </c>
      <c r="AG40" s="1793" t="s">
        <v>948</v>
      </c>
      <c r="AH40" s="428"/>
      <c r="AI40" s="1793"/>
      <c r="AJ40" s="429">
        <v>2021</v>
      </c>
      <c r="AK40" s="424">
        <v>8518</v>
      </c>
      <c r="AL40" s="424">
        <v>8465</v>
      </c>
      <c r="AM40" s="430"/>
      <c r="AN40" s="431"/>
      <c r="AO40" s="432">
        <v>2024</v>
      </c>
      <c r="AP40" s="425">
        <v>8262</v>
      </c>
      <c r="AQ40" s="433">
        <v>3</v>
      </c>
      <c r="AR40" s="425">
        <v>8211</v>
      </c>
      <c r="AS40" s="433">
        <v>3</v>
      </c>
      <c r="AT40" s="434"/>
      <c r="AU40" s="431"/>
      <c r="AV40" s="435"/>
      <c r="AW40" s="432">
        <v>2022</v>
      </c>
      <c r="AX40" s="425">
        <v>9734</v>
      </c>
      <c r="AY40" s="433">
        <v>-14.28</v>
      </c>
      <c r="AZ40" s="425">
        <v>9716</v>
      </c>
      <c r="BA40" s="433">
        <v>-14.78</v>
      </c>
      <c r="BB40" s="434"/>
      <c r="BC40" s="431"/>
      <c r="BD40" s="435"/>
      <c r="BE40" s="432">
        <v>2023</v>
      </c>
      <c r="BF40" s="425"/>
      <c r="BG40" s="433"/>
      <c r="BH40" s="425"/>
      <c r="BI40" s="433"/>
      <c r="BJ40" s="434"/>
      <c r="BK40" s="431"/>
      <c r="BL40" s="435"/>
      <c r="BM40" s="432">
        <v>2024</v>
      </c>
      <c r="BN40" s="425"/>
      <c r="BO40" s="433"/>
      <c r="BP40" s="425"/>
      <c r="BQ40" s="433"/>
      <c r="BR40" s="434"/>
      <c r="BS40" s="431"/>
      <c r="BT40" s="435"/>
      <c r="BU40" s="1805" t="s">
        <v>676</v>
      </c>
      <c r="BV40" s="1806" t="s">
        <v>728</v>
      </c>
      <c r="BW40" s="1807" t="s">
        <v>697</v>
      </c>
      <c r="BX40" s="1808" t="s">
        <v>4888</v>
      </c>
      <c r="BY40" s="1809">
        <v>2021</v>
      </c>
      <c r="BZ40" s="424"/>
      <c r="CA40" s="424"/>
      <c r="CB40" s="430"/>
      <c r="CC40" s="431"/>
      <c r="CD40" s="432">
        <v>2024</v>
      </c>
      <c r="CE40" s="425"/>
      <c r="CF40" s="433"/>
      <c r="CG40" s="425"/>
      <c r="CH40" s="433"/>
      <c r="CI40" s="434"/>
      <c r="CJ40" s="431"/>
      <c r="CK40" s="435"/>
      <c r="CL40" s="432">
        <v>2022</v>
      </c>
      <c r="CM40" s="425">
        <v>0</v>
      </c>
      <c r="CN40" s="433"/>
      <c r="CO40" s="425">
        <v>0</v>
      </c>
      <c r="CP40" s="433"/>
      <c r="CQ40" s="434"/>
      <c r="CR40" s="431"/>
      <c r="CS40" s="435"/>
      <c r="CT40" s="432">
        <v>2023</v>
      </c>
      <c r="CU40" s="425"/>
      <c r="CV40" s="433"/>
      <c r="CW40" s="425"/>
      <c r="CX40" s="433"/>
      <c r="CY40" s="434"/>
      <c r="CZ40" s="431"/>
      <c r="DA40" s="435"/>
      <c r="DB40" s="432">
        <v>2024</v>
      </c>
      <c r="DC40" s="425"/>
      <c r="DD40" s="433"/>
      <c r="DE40" s="425"/>
      <c r="DF40" s="433"/>
      <c r="DG40" s="434"/>
      <c r="DH40" s="431"/>
      <c r="DI40" s="435"/>
      <c r="DJ40" s="1805"/>
      <c r="DK40" s="1806"/>
      <c r="DL40" s="1807"/>
      <c r="DM40" s="1808"/>
      <c r="DN40" s="1810">
        <v>0</v>
      </c>
      <c r="DO40" s="1799">
        <v>2</v>
      </c>
      <c r="DP40" s="1800">
        <v>0</v>
      </c>
      <c r="DQ40" s="1799">
        <v>0</v>
      </c>
      <c r="DR40" s="1800">
        <v>0</v>
      </c>
      <c r="DS40" s="1799">
        <v>0</v>
      </c>
    </row>
    <row r="41" spans="1:123" ht="67.5">
      <c r="A41" s="1801" t="s">
        <v>949</v>
      </c>
      <c r="B41" s="1788" t="s">
        <v>950</v>
      </c>
      <c r="C41" s="426">
        <v>2022</v>
      </c>
      <c r="D41" s="417" t="s">
        <v>681</v>
      </c>
      <c r="E41" s="1802">
        <v>1035055</v>
      </c>
      <c r="F41" s="1803" t="s">
        <v>950</v>
      </c>
      <c r="G41" s="419">
        <v>45131</v>
      </c>
      <c r="H41" s="1790" t="s">
        <v>951</v>
      </c>
      <c r="I41" s="1791" t="s">
        <v>950</v>
      </c>
      <c r="J41" s="1793" t="s">
        <v>4889</v>
      </c>
      <c r="K41" s="1788" t="s">
        <v>950</v>
      </c>
      <c r="L41" s="1791" t="s">
        <v>4889</v>
      </c>
      <c r="M41" s="1793" t="s">
        <v>951</v>
      </c>
      <c r="N41" s="1790" t="s">
        <v>37</v>
      </c>
      <c r="O41" s="1793" t="s">
        <v>40</v>
      </c>
      <c r="P41" s="420" t="s">
        <v>683</v>
      </c>
      <c r="Q41" s="421"/>
      <c r="R41" s="421"/>
      <c r="S41" s="422"/>
      <c r="T41" s="1794"/>
      <c r="U41" s="423">
        <v>45996.885000000002</v>
      </c>
      <c r="V41" s="424">
        <v>1</v>
      </c>
      <c r="W41" s="424">
        <v>1</v>
      </c>
      <c r="X41" s="425"/>
      <c r="Y41" s="426">
        <v>2022</v>
      </c>
      <c r="Z41" s="417">
        <v>2024</v>
      </c>
      <c r="AA41" s="1804">
        <v>2022</v>
      </c>
      <c r="AB41" s="427" t="s">
        <v>5863</v>
      </c>
      <c r="AC41" s="1793" t="s">
        <v>952</v>
      </c>
      <c r="AD41" s="428"/>
      <c r="AE41" s="1791"/>
      <c r="AF41" s="1791"/>
      <c r="AG41" s="1793"/>
      <c r="AH41" s="428"/>
      <c r="AI41" s="1793"/>
      <c r="AJ41" s="429">
        <v>2021</v>
      </c>
      <c r="AK41" s="424">
        <v>8190</v>
      </c>
      <c r="AL41" s="424">
        <v>8164</v>
      </c>
      <c r="AM41" s="430">
        <v>5.05</v>
      </c>
      <c r="AN41" s="431" t="s">
        <v>772</v>
      </c>
      <c r="AO41" s="432">
        <v>2024</v>
      </c>
      <c r="AP41" s="425">
        <v>9002</v>
      </c>
      <c r="AQ41" s="433">
        <v>-9.92</v>
      </c>
      <c r="AR41" s="425">
        <v>8972</v>
      </c>
      <c r="AS41" s="433">
        <v>-9.9</v>
      </c>
      <c r="AT41" s="434">
        <v>4.45</v>
      </c>
      <c r="AU41" s="431" t="s">
        <v>772</v>
      </c>
      <c r="AV41" s="435">
        <v>11.88</v>
      </c>
      <c r="AW41" s="432">
        <v>2022</v>
      </c>
      <c r="AX41" s="425">
        <v>7711</v>
      </c>
      <c r="AY41" s="433">
        <v>5.84</v>
      </c>
      <c r="AZ41" s="425">
        <v>7706</v>
      </c>
      <c r="BA41" s="433">
        <v>5.6</v>
      </c>
      <c r="BB41" s="434">
        <v>4.5278919553728718</v>
      </c>
      <c r="BC41" s="431" t="s">
        <v>772</v>
      </c>
      <c r="BD41" s="435">
        <v>10.33</v>
      </c>
      <c r="BE41" s="432">
        <v>2023</v>
      </c>
      <c r="BF41" s="425"/>
      <c r="BG41" s="433"/>
      <c r="BH41" s="425"/>
      <c r="BI41" s="433"/>
      <c r="BJ41" s="434"/>
      <c r="BK41" s="431"/>
      <c r="BL41" s="435"/>
      <c r="BM41" s="432">
        <v>2024</v>
      </c>
      <c r="BN41" s="425"/>
      <c r="BO41" s="433"/>
      <c r="BP41" s="425"/>
      <c r="BQ41" s="433"/>
      <c r="BR41" s="434"/>
      <c r="BS41" s="431"/>
      <c r="BT41" s="435"/>
      <c r="BU41" s="1805" t="s">
        <v>687</v>
      </c>
      <c r="BV41" s="1806" t="s">
        <v>728</v>
      </c>
      <c r="BW41" s="1807" t="s">
        <v>678</v>
      </c>
      <c r="BX41" s="1808" t="s">
        <v>4890</v>
      </c>
      <c r="BY41" s="1809">
        <v>2021</v>
      </c>
      <c r="BZ41" s="424"/>
      <c r="CA41" s="424"/>
      <c r="CB41" s="430"/>
      <c r="CC41" s="431"/>
      <c r="CD41" s="432">
        <v>2024</v>
      </c>
      <c r="CE41" s="425"/>
      <c r="CF41" s="433"/>
      <c r="CG41" s="425"/>
      <c r="CH41" s="433"/>
      <c r="CI41" s="434"/>
      <c r="CJ41" s="431"/>
      <c r="CK41" s="435"/>
      <c r="CL41" s="432">
        <v>2022</v>
      </c>
      <c r="CM41" s="425">
        <v>0</v>
      </c>
      <c r="CN41" s="433"/>
      <c r="CO41" s="425">
        <v>0</v>
      </c>
      <c r="CP41" s="433"/>
      <c r="CQ41" s="434"/>
      <c r="CR41" s="431"/>
      <c r="CS41" s="435">
        <v>0</v>
      </c>
      <c r="CT41" s="432">
        <v>2023</v>
      </c>
      <c r="CU41" s="425"/>
      <c r="CV41" s="433"/>
      <c r="CW41" s="425"/>
      <c r="CX41" s="433"/>
      <c r="CY41" s="434"/>
      <c r="CZ41" s="431"/>
      <c r="DA41" s="435"/>
      <c r="DB41" s="432">
        <v>2024</v>
      </c>
      <c r="DC41" s="425"/>
      <c r="DD41" s="433"/>
      <c r="DE41" s="425"/>
      <c r="DF41" s="433"/>
      <c r="DG41" s="434"/>
      <c r="DH41" s="431"/>
      <c r="DI41" s="435"/>
      <c r="DJ41" s="1805"/>
      <c r="DK41" s="1806"/>
      <c r="DL41" s="1807"/>
      <c r="DM41" s="1808"/>
      <c r="DN41" s="1810">
        <v>0</v>
      </c>
      <c r="DO41" s="1799">
        <v>0</v>
      </c>
      <c r="DP41" s="1800">
        <v>0</v>
      </c>
      <c r="DQ41" s="1799">
        <v>0</v>
      </c>
      <c r="DR41" s="1800">
        <v>0</v>
      </c>
      <c r="DS41" s="1799">
        <v>0</v>
      </c>
    </row>
    <row r="42" spans="1:123" ht="94.5">
      <c r="A42" s="1801" t="s">
        <v>953</v>
      </c>
      <c r="B42" s="1788" t="s">
        <v>954</v>
      </c>
      <c r="C42" s="426">
        <v>2022</v>
      </c>
      <c r="D42" s="417" t="s">
        <v>681</v>
      </c>
      <c r="E42" s="1802">
        <v>1083061</v>
      </c>
      <c r="F42" s="1803" t="s">
        <v>954</v>
      </c>
      <c r="G42" s="419">
        <v>45134</v>
      </c>
      <c r="H42" s="1790" t="s">
        <v>955</v>
      </c>
      <c r="I42" s="1791" t="s">
        <v>954</v>
      </c>
      <c r="J42" s="1793" t="s">
        <v>4891</v>
      </c>
      <c r="K42" s="1788" t="s">
        <v>954</v>
      </c>
      <c r="L42" s="1791" t="s">
        <v>4891</v>
      </c>
      <c r="M42" s="1793" t="s">
        <v>955</v>
      </c>
      <c r="N42" s="1790" t="s">
        <v>523</v>
      </c>
      <c r="O42" s="1793" t="s">
        <v>96</v>
      </c>
      <c r="P42" s="420" t="s">
        <v>683</v>
      </c>
      <c r="Q42" s="421"/>
      <c r="R42" s="421"/>
      <c r="S42" s="422"/>
      <c r="T42" s="1794"/>
      <c r="U42" s="423">
        <v>3429.7487999999998</v>
      </c>
      <c r="V42" s="424">
        <v>1</v>
      </c>
      <c r="W42" s="424">
        <v>1</v>
      </c>
      <c r="X42" s="425"/>
      <c r="Y42" s="426">
        <v>2022</v>
      </c>
      <c r="Z42" s="417">
        <v>2024</v>
      </c>
      <c r="AA42" s="1804">
        <v>2022</v>
      </c>
      <c r="AB42" s="427"/>
      <c r="AC42" s="1793"/>
      <c r="AD42" s="428" t="s">
        <v>5863</v>
      </c>
      <c r="AE42" s="1791" t="s">
        <v>4892</v>
      </c>
      <c r="AF42" s="1791" t="s">
        <v>956</v>
      </c>
      <c r="AG42" s="1793" t="s">
        <v>2291</v>
      </c>
      <c r="AH42" s="428"/>
      <c r="AI42" s="1793"/>
      <c r="AJ42" s="429">
        <v>2021</v>
      </c>
      <c r="AK42" s="424">
        <v>6592</v>
      </c>
      <c r="AL42" s="424">
        <v>6564</v>
      </c>
      <c r="AM42" s="430"/>
      <c r="AN42" s="431"/>
      <c r="AO42" s="432">
        <v>2024</v>
      </c>
      <c r="AP42" s="425">
        <v>6592</v>
      </c>
      <c r="AQ42" s="433">
        <v>0</v>
      </c>
      <c r="AR42" s="425">
        <v>6564</v>
      </c>
      <c r="AS42" s="433">
        <v>0</v>
      </c>
      <c r="AT42" s="434"/>
      <c r="AU42" s="431"/>
      <c r="AV42" s="435"/>
      <c r="AW42" s="432">
        <v>2022</v>
      </c>
      <c r="AX42" s="425">
        <v>5903</v>
      </c>
      <c r="AY42" s="433">
        <v>10.45</v>
      </c>
      <c r="AZ42" s="425">
        <v>5896</v>
      </c>
      <c r="BA42" s="433">
        <v>10.17</v>
      </c>
      <c r="BB42" s="434"/>
      <c r="BC42" s="431"/>
      <c r="BD42" s="435"/>
      <c r="BE42" s="432">
        <v>2023</v>
      </c>
      <c r="BF42" s="425"/>
      <c r="BG42" s="433"/>
      <c r="BH42" s="425"/>
      <c r="BI42" s="433"/>
      <c r="BJ42" s="434"/>
      <c r="BK42" s="431"/>
      <c r="BL42" s="435"/>
      <c r="BM42" s="432">
        <v>2024</v>
      </c>
      <c r="BN42" s="425"/>
      <c r="BO42" s="433"/>
      <c r="BP42" s="425"/>
      <c r="BQ42" s="433"/>
      <c r="BR42" s="434"/>
      <c r="BS42" s="431"/>
      <c r="BT42" s="435"/>
      <c r="BU42" s="1805" t="s">
        <v>687</v>
      </c>
      <c r="BV42" s="1806" t="s">
        <v>728</v>
      </c>
      <c r="BW42" s="1807" t="s">
        <v>697</v>
      </c>
      <c r="BX42" s="1808" t="s">
        <v>958</v>
      </c>
      <c r="BY42" s="1809">
        <v>2021</v>
      </c>
      <c r="BZ42" s="424"/>
      <c r="CA42" s="424"/>
      <c r="CB42" s="430"/>
      <c r="CC42" s="431"/>
      <c r="CD42" s="432">
        <v>2024</v>
      </c>
      <c r="CE42" s="425"/>
      <c r="CF42" s="433"/>
      <c r="CG42" s="425"/>
      <c r="CH42" s="433"/>
      <c r="CI42" s="434"/>
      <c r="CJ42" s="431"/>
      <c r="CK42" s="435"/>
      <c r="CL42" s="432">
        <v>2022</v>
      </c>
      <c r="CM42" s="425">
        <v>0</v>
      </c>
      <c r="CN42" s="433"/>
      <c r="CO42" s="425">
        <v>0</v>
      </c>
      <c r="CP42" s="433"/>
      <c r="CQ42" s="434"/>
      <c r="CR42" s="431"/>
      <c r="CS42" s="435">
        <v>0</v>
      </c>
      <c r="CT42" s="432">
        <v>2023</v>
      </c>
      <c r="CU42" s="425"/>
      <c r="CV42" s="433"/>
      <c r="CW42" s="425"/>
      <c r="CX42" s="433"/>
      <c r="CY42" s="434"/>
      <c r="CZ42" s="431"/>
      <c r="DA42" s="435"/>
      <c r="DB42" s="432">
        <v>2024</v>
      </c>
      <c r="DC42" s="425"/>
      <c r="DD42" s="433"/>
      <c r="DE42" s="425"/>
      <c r="DF42" s="433"/>
      <c r="DG42" s="434"/>
      <c r="DH42" s="431"/>
      <c r="DI42" s="435"/>
      <c r="DJ42" s="1805"/>
      <c r="DK42" s="1806"/>
      <c r="DL42" s="1807"/>
      <c r="DM42" s="1808"/>
      <c r="DN42" s="1810">
        <v>0</v>
      </c>
      <c r="DO42" s="1799">
        <v>0</v>
      </c>
      <c r="DP42" s="1800">
        <v>0</v>
      </c>
      <c r="DQ42" s="1799">
        <v>0</v>
      </c>
      <c r="DR42" s="1800">
        <v>0</v>
      </c>
      <c r="DS42" s="1799">
        <v>0</v>
      </c>
    </row>
    <row r="43" spans="1:123" ht="54">
      <c r="A43" s="1801" t="s">
        <v>959</v>
      </c>
      <c r="B43" s="1788" t="s">
        <v>960</v>
      </c>
      <c r="C43" s="426">
        <v>2022</v>
      </c>
      <c r="D43" s="417" t="s">
        <v>714</v>
      </c>
      <c r="E43" s="1802">
        <v>3043062</v>
      </c>
      <c r="F43" s="1803" t="s">
        <v>960</v>
      </c>
      <c r="G43" s="419">
        <v>45138</v>
      </c>
      <c r="H43" s="1790" t="s">
        <v>961</v>
      </c>
      <c r="I43" s="1791" t="s">
        <v>960</v>
      </c>
      <c r="J43" s="1793" t="s">
        <v>962</v>
      </c>
      <c r="K43" s="1788" t="s">
        <v>960</v>
      </c>
      <c r="L43" s="1791" t="s">
        <v>962</v>
      </c>
      <c r="M43" s="1793" t="s">
        <v>961</v>
      </c>
      <c r="N43" s="1790" t="s">
        <v>48</v>
      </c>
      <c r="O43" s="1793" t="s">
        <v>50</v>
      </c>
      <c r="P43" s="420"/>
      <c r="Q43" s="421"/>
      <c r="R43" s="421" t="s">
        <v>717</v>
      </c>
      <c r="S43" s="422"/>
      <c r="T43" s="1794"/>
      <c r="U43" s="423"/>
      <c r="V43" s="424"/>
      <c r="W43" s="424"/>
      <c r="X43" s="425">
        <v>110</v>
      </c>
      <c r="Y43" s="426">
        <v>2022</v>
      </c>
      <c r="Z43" s="417">
        <v>2024</v>
      </c>
      <c r="AA43" s="1804">
        <v>2022</v>
      </c>
      <c r="AB43" s="427"/>
      <c r="AC43" s="1793"/>
      <c r="AD43" s="428" t="s">
        <v>5863</v>
      </c>
      <c r="AE43" s="1791" t="s">
        <v>963</v>
      </c>
      <c r="AF43" s="1791" t="s">
        <v>961</v>
      </c>
      <c r="AG43" s="1793" t="s">
        <v>964</v>
      </c>
      <c r="AH43" s="428"/>
      <c r="AI43" s="1793"/>
      <c r="AJ43" s="429">
        <v>2021</v>
      </c>
      <c r="AK43" s="424">
        <v>0</v>
      </c>
      <c r="AL43" s="424"/>
      <c r="AM43" s="430"/>
      <c r="AN43" s="431"/>
      <c r="AO43" s="432">
        <v>2024</v>
      </c>
      <c r="AP43" s="425">
        <v>0</v>
      </c>
      <c r="AQ43" s="433"/>
      <c r="AR43" s="425">
        <v>0</v>
      </c>
      <c r="AS43" s="433"/>
      <c r="AT43" s="434"/>
      <c r="AU43" s="431"/>
      <c r="AV43" s="435"/>
      <c r="AW43" s="432">
        <v>2022</v>
      </c>
      <c r="AX43" s="425"/>
      <c r="AY43" s="433"/>
      <c r="AZ43" s="425"/>
      <c r="BA43" s="433"/>
      <c r="BB43" s="434"/>
      <c r="BC43" s="431"/>
      <c r="BD43" s="435"/>
      <c r="BE43" s="432">
        <v>2023</v>
      </c>
      <c r="BF43" s="425"/>
      <c r="BG43" s="433"/>
      <c r="BH43" s="425"/>
      <c r="BI43" s="433"/>
      <c r="BJ43" s="434"/>
      <c r="BK43" s="431"/>
      <c r="BL43" s="435"/>
      <c r="BM43" s="432">
        <v>2024</v>
      </c>
      <c r="BN43" s="425"/>
      <c r="BO43" s="433"/>
      <c r="BP43" s="425"/>
      <c r="BQ43" s="433"/>
      <c r="BR43" s="434"/>
      <c r="BS43" s="431"/>
      <c r="BT43" s="435"/>
      <c r="BU43" s="1805"/>
      <c r="BV43" s="1806"/>
      <c r="BW43" s="1807"/>
      <c r="BX43" s="1808"/>
      <c r="BY43" s="1809">
        <v>2021</v>
      </c>
      <c r="BZ43" s="424">
        <v>1223</v>
      </c>
      <c r="CA43" s="424">
        <v>1223</v>
      </c>
      <c r="CB43" s="430"/>
      <c r="CC43" s="431"/>
      <c r="CD43" s="432">
        <v>2024</v>
      </c>
      <c r="CE43" s="425">
        <v>1200</v>
      </c>
      <c r="CF43" s="433">
        <v>1.88</v>
      </c>
      <c r="CG43" s="425">
        <v>1200</v>
      </c>
      <c r="CH43" s="433">
        <v>1.88</v>
      </c>
      <c r="CI43" s="434"/>
      <c r="CJ43" s="431"/>
      <c r="CK43" s="435"/>
      <c r="CL43" s="432">
        <v>2022</v>
      </c>
      <c r="CM43" s="425">
        <v>1330.5505920000003</v>
      </c>
      <c r="CN43" s="433">
        <v>-8.8000000000000007</v>
      </c>
      <c r="CO43" s="425">
        <v>1330.5505920000003</v>
      </c>
      <c r="CP43" s="433">
        <v>-8.8000000000000007</v>
      </c>
      <c r="CQ43" s="434"/>
      <c r="CR43" s="431"/>
      <c r="CS43" s="435"/>
      <c r="CT43" s="432">
        <v>2023</v>
      </c>
      <c r="CU43" s="425"/>
      <c r="CV43" s="433"/>
      <c r="CW43" s="425"/>
      <c r="CX43" s="433"/>
      <c r="CY43" s="434"/>
      <c r="CZ43" s="431"/>
      <c r="DA43" s="435"/>
      <c r="DB43" s="432">
        <v>2024</v>
      </c>
      <c r="DC43" s="425"/>
      <c r="DD43" s="433"/>
      <c r="DE43" s="425"/>
      <c r="DF43" s="433"/>
      <c r="DG43" s="434"/>
      <c r="DH43" s="431"/>
      <c r="DI43" s="435"/>
      <c r="DJ43" s="1805" t="s">
        <v>676</v>
      </c>
      <c r="DK43" s="1806" t="s">
        <v>728</v>
      </c>
      <c r="DL43" s="1807" t="s">
        <v>678</v>
      </c>
      <c r="DM43" s="1808"/>
      <c r="DN43" s="1810">
        <v>0</v>
      </c>
      <c r="DO43" s="1799">
        <v>0</v>
      </c>
      <c r="DP43" s="1800">
        <v>0</v>
      </c>
      <c r="DQ43" s="1799">
        <v>0</v>
      </c>
      <c r="DR43" s="1800">
        <v>0</v>
      </c>
      <c r="DS43" s="1799">
        <v>0</v>
      </c>
    </row>
    <row r="44" spans="1:123" ht="94.5">
      <c r="A44" s="1801" t="s">
        <v>966</v>
      </c>
      <c r="B44" s="1788" t="s">
        <v>967</v>
      </c>
      <c r="C44" s="426">
        <v>2022</v>
      </c>
      <c r="D44" s="417" t="s">
        <v>681</v>
      </c>
      <c r="E44" s="1802">
        <v>1016063</v>
      </c>
      <c r="F44" s="1803" t="s">
        <v>967</v>
      </c>
      <c r="G44" s="419">
        <v>45114</v>
      </c>
      <c r="H44" s="1790" t="s">
        <v>968</v>
      </c>
      <c r="I44" s="1791" t="s">
        <v>967</v>
      </c>
      <c r="J44" s="1793" t="s">
        <v>969</v>
      </c>
      <c r="K44" s="1788" t="s">
        <v>967</v>
      </c>
      <c r="L44" s="1791" t="s">
        <v>970</v>
      </c>
      <c r="M44" s="1793" t="s">
        <v>971</v>
      </c>
      <c r="N44" s="1790" t="s">
        <v>12</v>
      </c>
      <c r="O44" s="1793" t="s">
        <v>20</v>
      </c>
      <c r="P44" s="420" t="s">
        <v>683</v>
      </c>
      <c r="Q44" s="421"/>
      <c r="R44" s="421"/>
      <c r="S44" s="422"/>
      <c r="T44" s="1794"/>
      <c r="U44" s="423">
        <v>2683.2774000000004</v>
      </c>
      <c r="V44" s="424">
        <v>3</v>
      </c>
      <c r="W44" s="424">
        <v>1</v>
      </c>
      <c r="X44" s="425"/>
      <c r="Y44" s="426">
        <v>2022</v>
      </c>
      <c r="Z44" s="417">
        <v>2024</v>
      </c>
      <c r="AA44" s="1804">
        <v>2022</v>
      </c>
      <c r="AB44" s="427"/>
      <c r="AC44" s="1793"/>
      <c r="AD44" s="428" t="s">
        <v>5863</v>
      </c>
      <c r="AE44" s="1791" t="s">
        <v>972</v>
      </c>
      <c r="AF44" s="1791" t="s">
        <v>973</v>
      </c>
      <c r="AG44" s="1793" t="s">
        <v>974</v>
      </c>
      <c r="AH44" s="428"/>
      <c r="AI44" s="1793"/>
      <c r="AJ44" s="429">
        <v>2021</v>
      </c>
      <c r="AK44" s="424">
        <v>5300</v>
      </c>
      <c r="AL44" s="424">
        <v>5245</v>
      </c>
      <c r="AM44" s="430"/>
      <c r="AN44" s="431"/>
      <c r="AO44" s="432">
        <v>2024</v>
      </c>
      <c r="AP44" s="425">
        <v>5779</v>
      </c>
      <c r="AQ44" s="433">
        <v>-9.0399999999999991</v>
      </c>
      <c r="AR44" s="425">
        <v>5723</v>
      </c>
      <c r="AS44" s="433">
        <v>-9.1199999999999992</v>
      </c>
      <c r="AT44" s="434"/>
      <c r="AU44" s="431"/>
      <c r="AV44" s="435">
        <v>10</v>
      </c>
      <c r="AW44" s="432">
        <v>2022</v>
      </c>
      <c r="AX44" s="425">
        <v>4953</v>
      </c>
      <c r="AY44" s="433">
        <v>6.54</v>
      </c>
      <c r="AZ44" s="425">
        <v>4929</v>
      </c>
      <c r="BA44" s="433">
        <v>6.02</v>
      </c>
      <c r="BB44" s="434"/>
      <c r="BC44" s="431"/>
      <c r="BD44" s="435">
        <v>3.567625352761624</v>
      </c>
      <c r="BE44" s="432">
        <v>2023</v>
      </c>
      <c r="BF44" s="425"/>
      <c r="BG44" s="433"/>
      <c r="BH44" s="425"/>
      <c r="BI44" s="433"/>
      <c r="BJ44" s="434"/>
      <c r="BK44" s="431"/>
      <c r="BL44" s="435"/>
      <c r="BM44" s="432">
        <v>2024</v>
      </c>
      <c r="BN44" s="425"/>
      <c r="BO44" s="433"/>
      <c r="BP44" s="425"/>
      <c r="BQ44" s="433"/>
      <c r="BR44" s="434"/>
      <c r="BS44" s="431"/>
      <c r="BT44" s="435"/>
      <c r="BU44" s="1805" t="s">
        <v>676</v>
      </c>
      <c r="BV44" s="1806" t="s">
        <v>728</v>
      </c>
      <c r="BW44" s="1807" t="s">
        <v>688</v>
      </c>
      <c r="BX44" s="1808" t="s">
        <v>4893</v>
      </c>
      <c r="BY44" s="1809">
        <v>2021</v>
      </c>
      <c r="BZ44" s="424"/>
      <c r="CA44" s="424"/>
      <c r="CB44" s="430"/>
      <c r="CC44" s="431"/>
      <c r="CD44" s="432">
        <v>2024</v>
      </c>
      <c r="CE44" s="425"/>
      <c r="CF44" s="433"/>
      <c r="CG44" s="425"/>
      <c r="CH44" s="433"/>
      <c r="CI44" s="434"/>
      <c r="CJ44" s="431"/>
      <c r="CK44" s="435"/>
      <c r="CL44" s="432">
        <v>2022</v>
      </c>
      <c r="CM44" s="425">
        <v>0</v>
      </c>
      <c r="CN44" s="433"/>
      <c r="CO44" s="425">
        <v>0</v>
      </c>
      <c r="CP44" s="433"/>
      <c r="CQ44" s="434"/>
      <c r="CR44" s="431"/>
      <c r="CS44" s="435">
        <v>0</v>
      </c>
      <c r="CT44" s="432">
        <v>2023</v>
      </c>
      <c r="CU44" s="425"/>
      <c r="CV44" s="433"/>
      <c r="CW44" s="425"/>
      <c r="CX44" s="433"/>
      <c r="CY44" s="434"/>
      <c r="CZ44" s="431"/>
      <c r="DA44" s="435"/>
      <c r="DB44" s="432">
        <v>2024</v>
      </c>
      <c r="DC44" s="425"/>
      <c r="DD44" s="433"/>
      <c r="DE44" s="425"/>
      <c r="DF44" s="433"/>
      <c r="DG44" s="434"/>
      <c r="DH44" s="431"/>
      <c r="DI44" s="435"/>
      <c r="DJ44" s="1805"/>
      <c r="DK44" s="1806"/>
      <c r="DL44" s="1807"/>
      <c r="DM44" s="1808"/>
      <c r="DN44" s="1810">
        <v>0</v>
      </c>
      <c r="DO44" s="1799">
        <v>0</v>
      </c>
      <c r="DP44" s="1800">
        <v>0</v>
      </c>
      <c r="DQ44" s="1799">
        <v>0</v>
      </c>
      <c r="DR44" s="1800">
        <v>0</v>
      </c>
      <c r="DS44" s="1799">
        <v>0</v>
      </c>
    </row>
    <row r="45" spans="1:123" ht="94.5">
      <c r="A45" s="1801" t="s">
        <v>975</v>
      </c>
      <c r="B45" s="1788" t="s">
        <v>976</v>
      </c>
      <c r="C45" s="426">
        <v>2022</v>
      </c>
      <c r="D45" s="417" t="s">
        <v>681</v>
      </c>
      <c r="E45" s="1802">
        <v>1081064</v>
      </c>
      <c r="F45" s="1803" t="s">
        <v>976</v>
      </c>
      <c r="G45" s="419">
        <v>45132</v>
      </c>
      <c r="H45" s="1790" t="s">
        <v>977</v>
      </c>
      <c r="I45" s="1791" t="s">
        <v>976</v>
      </c>
      <c r="J45" s="1793" t="s">
        <v>978</v>
      </c>
      <c r="K45" s="1788" t="s">
        <v>976</v>
      </c>
      <c r="L45" s="1791" t="s">
        <v>978</v>
      </c>
      <c r="M45" s="1793" t="s">
        <v>977</v>
      </c>
      <c r="N45" s="1790" t="s">
        <v>93</v>
      </c>
      <c r="O45" s="1793" t="s">
        <v>94</v>
      </c>
      <c r="P45" s="420" t="s">
        <v>683</v>
      </c>
      <c r="Q45" s="421"/>
      <c r="R45" s="421"/>
      <c r="S45" s="422"/>
      <c r="T45" s="1794"/>
      <c r="U45" s="423">
        <v>3637.8774000000003</v>
      </c>
      <c r="V45" s="424">
        <v>10</v>
      </c>
      <c r="W45" s="424">
        <v>1</v>
      </c>
      <c r="X45" s="425"/>
      <c r="Y45" s="426">
        <v>2022</v>
      </c>
      <c r="Z45" s="417">
        <v>2024</v>
      </c>
      <c r="AA45" s="1804">
        <v>2022</v>
      </c>
      <c r="AB45" s="427"/>
      <c r="AC45" s="1793"/>
      <c r="AD45" s="428" t="s">
        <v>5863</v>
      </c>
      <c r="AE45" s="1791" t="s">
        <v>979</v>
      </c>
      <c r="AF45" s="1791" t="s">
        <v>980</v>
      </c>
      <c r="AG45" s="1793" t="s">
        <v>981</v>
      </c>
      <c r="AH45" s="428"/>
      <c r="AI45" s="1793"/>
      <c r="AJ45" s="429">
        <v>2021</v>
      </c>
      <c r="AK45" s="424">
        <v>6405</v>
      </c>
      <c r="AL45" s="424">
        <v>6481</v>
      </c>
      <c r="AM45" s="430">
        <v>31.4</v>
      </c>
      <c r="AN45" s="431" t="s">
        <v>727</v>
      </c>
      <c r="AO45" s="432">
        <v>2024</v>
      </c>
      <c r="AP45" s="425">
        <v>6340</v>
      </c>
      <c r="AQ45" s="433">
        <v>1.01</v>
      </c>
      <c r="AR45" s="425">
        <v>6416</v>
      </c>
      <c r="AS45" s="433">
        <v>1</v>
      </c>
      <c r="AT45" s="434">
        <v>31.08</v>
      </c>
      <c r="AU45" s="431" t="s">
        <v>727</v>
      </c>
      <c r="AV45" s="435">
        <v>1.01</v>
      </c>
      <c r="AW45" s="432">
        <v>2022</v>
      </c>
      <c r="AX45" s="425">
        <v>6425</v>
      </c>
      <c r="AY45" s="433">
        <v>-0.32</v>
      </c>
      <c r="AZ45" s="425">
        <v>6595</v>
      </c>
      <c r="BA45" s="433">
        <v>-1.76</v>
      </c>
      <c r="BB45" s="434">
        <v>31.499730352502819</v>
      </c>
      <c r="BC45" s="431" t="s">
        <v>727</v>
      </c>
      <c r="BD45" s="435">
        <v>-0.32</v>
      </c>
      <c r="BE45" s="432">
        <v>2023</v>
      </c>
      <c r="BF45" s="425"/>
      <c r="BG45" s="433"/>
      <c r="BH45" s="425"/>
      <c r="BI45" s="433"/>
      <c r="BJ45" s="434"/>
      <c r="BK45" s="431"/>
      <c r="BL45" s="435"/>
      <c r="BM45" s="432">
        <v>2024</v>
      </c>
      <c r="BN45" s="425"/>
      <c r="BO45" s="433"/>
      <c r="BP45" s="425"/>
      <c r="BQ45" s="433"/>
      <c r="BR45" s="434"/>
      <c r="BS45" s="431"/>
      <c r="BT45" s="435"/>
      <c r="BU45" s="1805" t="s">
        <v>676</v>
      </c>
      <c r="BV45" s="1806" t="s">
        <v>677</v>
      </c>
      <c r="BW45" s="1807" t="s">
        <v>678</v>
      </c>
      <c r="BX45" s="1808" t="s">
        <v>4894</v>
      </c>
      <c r="BY45" s="1809">
        <v>2021</v>
      </c>
      <c r="BZ45" s="424"/>
      <c r="CA45" s="424"/>
      <c r="CB45" s="430"/>
      <c r="CC45" s="431"/>
      <c r="CD45" s="432">
        <v>2024</v>
      </c>
      <c r="CE45" s="425"/>
      <c r="CF45" s="433"/>
      <c r="CG45" s="425"/>
      <c r="CH45" s="433"/>
      <c r="CI45" s="434"/>
      <c r="CJ45" s="431"/>
      <c r="CK45" s="435"/>
      <c r="CL45" s="432">
        <v>2022</v>
      </c>
      <c r="CM45" s="425">
        <v>0</v>
      </c>
      <c r="CN45" s="433"/>
      <c r="CO45" s="425">
        <v>0</v>
      </c>
      <c r="CP45" s="433"/>
      <c r="CQ45" s="434"/>
      <c r="CR45" s="431"/>
      <c r="CS45" s="435">
        <v>0</v>
      </c>
      <c r="CT45" s="432">
        <v>2023</v>
      </c>
      <c r="CU45" s="425"/>
      <c r="CV45" s="433"/>
      <c r="CW45" s="425"/>
      <c r="CX45" s="433"/>
      <c r="CY45" s="434"/>
      <c r="CZ45" s="431"/>
      <c r="DA45" s="435"/>
      <c r="DB45" s="432">
        <v>2024</v>
      </c>
      <c r="DC45" s="425"/>
      <c r="DD45" s="433"/>
      <c r="DE45" s="425"/>
      <c r="DF45" s="433"/>
      <c r="DG45" s="434"/>
      <c r="DH45" s="431"/>
      <c r="DI45" s="435"/>
      <c r="DJ45" s="1805"/>
      <c r="DK45" s="1806"/>
      <c r="DL45" s="1807"/>
      <c r="DM45" s="1808"/>
      <c r="DN45" s="1810">
        <v>0</v>
      </c>
      <c r="DO45" s="1799">
        <v>0</v>
      </c>
      <c r="DP45" s="1800">
        <v>0</v>
      </c>
      <c r="DQ45" s="1799">
        <v>0</v>
      </c>
      <c r="DR45" s="1800">
        <v>0</v>
      </c>
      <c r="DS45" s="1799">
        <v>0</v>
      </c>
    </row>
    <row r="46" spans="1:123" ht="54">
      <c r="A46" s="1801" t="s">
        <v>982</v>
      </c>
      <c r="B46" s="1788" t="s">
        <v>983</v>
      </c>
      <c r="C46" s="426">
        <v>2022</v>
      </c>
      <c r="D46" s="417" t="s">
        <v>681</v>
      </c>
      <c r="E46" s="1802">
        <v>1009065</v>
      </c>
      <c r="F46" s="1803" t="s">
        <v>983</v>
      </c>
      <c r="G46" s="419">
        <v>45135</v>
      </c>
      <c r="H46" s="1790" t="s">
        <v>984</v>
      </c>
      <c r="I46" s="1791" t="s">
        <v>983</v>
      </c>
      <c r="J46" s="1793" t="s">
        <v>985</v>
      </c>
      <c r="K46" s="1788" t="s">
        <v>983</v>
      </c>
      <c r="L46" s="1791" t="s">
        <v>985</v>
      </c>
      <c r="M46" s="1793" t="s">
        <v>984</v>
      </c>
      <c r="N46" s="1790" t="s">
        <v>12</v>
      </c>
      <c r="O46" s="1793" t="s">
        <v>13</v>
      </c>
      <c r="P46" s="420" t="s">
        <v>683</v>
      </c>
      <c r="Q46" s="421"/>
      <c r="R46" s="421"/>
      <c r="S46" s="422"/>
      <c r="T46" s="1794"/>
      <c r="U46" s="423">
        <v>6108.253200000001</v>
      </c>
      <c r="V46" s="424">
        <v>4</v>
      </c>
      <c r="W46" s="424">
        <v>2</v>
      </c>
      <c r="X46" s="425"/>
      <c r="Y46" s="426">
        <v>2022</v>
      </c>
      <c r="Z46" s="417">
        <v>2024</v>
      </c>
      <c r="AA46" s="1804">
        <v>2022</v>
      </c>
      <c r="AB46" s="427"/>
      <c r="AC46" s="1793"/>
      <c r="AD46" s="428" t="s">
        <v>5863</v>
      </c>
      <c r="AE46" s="1791" t="s">
        <v>986</v>
      </c>
      <c r="AF46" s="1791" t="s">
        <v>987</v>
      </c>
      <c r="AG46" s="1793" t="s">
        <v>988</v>
      </c>
      <c r="AH46" s="428"/>
      <c r="AI46" s="1793"/>
      <c r="AJ46" s="429">
        <v>2021</v>
      </c>
      <c r="AK46" s="424">
        <v>12533</v>
      </c>
      <c r="AL46" s="424">
        <v>12453</v>
      </c>
      <c r="AM46" s="430"/>
      <c r="AN46" s="431"/>
      <c r="AO46" s="432">
        <v>2024</v>
      </c>
      <c r="AP46" s="425">
        <v>12157</v>
      </c>
      <c r="AQ46" s="433">
        <v>3</v>
      </c>
      <c r="AR46" s="425">
        <v>12079</v>
      </c>
      <c r="AS46" s="433">
        <v>3</v>
      </c>
      <c r="AT46" s="434"/>
      <c r="AU46" s="431"/>
      <c r="AV46" s="435"/>
      <c r="AW46" s="432">
        <v>2022</v>
      </c>
      <c r="AX46" s="425">
        <v>11377</v>
      </c>
      <c r="AY46" s="433">
        <v>9.2200000000000006</v>
      </c>
      <c r="AZ46" s="425">
        <v>11357</v>
      </c>
      <c r="BA46" s="433">
        <v>8.8000000000000007</v>
      </c>
      <c r="BB46" s="434"/>
      <c r="BC46" s="431"/>
      <c r="BD46" s="435"/>
      <c r="BE46" s="432">
        <v>2023</v>
      </c>
      <c r="BF46" s="425"/>
      <c r="BG46" s="433"/>
      <c r="BH46" s="425"/>
      <c r="BI46" s="433"/>
      <c r="BJ46" s="434"/>
      <c r="BK46" s="431"/>
      <c r="BL46" s="435"/>
      <c r="BM46" s="432">
        <v>2024</v>
      </c>
      <c r="BN46" s="425"/>
      <c r="BO46" s="433"/>
      <c r="BP46" s="425"/>
      <c r="BQ46" s="433"/>
      <c r="BR46" s="434"/>
      <c r="BS46" s="431"/>
      <c r="BT46" s="435"/>
      <c r="BU46" s="1805" t="s">
        <v>687</v>
      </c>
      <c r="BV46" s="1806" t="s">
        <v>728</v>
      </c>
      <c r="BW46" s="1807" t="s">
        <v>678</v>
      </c>
      <c r="BX46" s="1808" t="s">
        <v>4895</v>
      </c>
      <c r="BY46" s="1809">
        <v>2021</v>
      </c>
      <c r="BZ46" s="424"/>
      <c r="CA46" s="424"/>
      <c r="CB46" s="430"/>
      <c r="CC46" s="431"/>
      <c r="CD46" s="432">
        <v>2024</v>
      </c>
      <c r="CE46" s="425"/>
      <c r="CF46" s="433"/>
      <c r="CG46" s="425"/>
      <c r="CH46" s="433"/>
      <c r="CI46" s="434"/>
      <c r="CJ46" s="431"/>
      <c r="CK46" s="435"/>
      <c r="CL46" s="432">
        <v>2022</v>
      </c>
      <c r="CM46" s="425">
        <v>0</v>
      </c>
      <c r="CN46" s="433"/>
      <c r="CO46" s="425">
        <v>0</v>
      </c>
      <c r="CP46" s="433"/>
      <c r="CQ46" s="434"/>
      <c r="CR46" s="431"/>
      <c r="CS46" s="435">
        <v>0</v>
      </c>
      <c r="CT46" s="432">
        <v>2023</v>
      </c>
      <c r="CU46" s="425"/>
      <c r="CV46" s="433"/>
      <c r="CW46" s="425"/>
      <c r="CX46" s="433"/>
      <c r="CY46" s="434"/>
      <c r="CZ46" s="431"/>
      <c r="DA46" s="435"/>
      <c r="DB46" s="432">
        <v>2024</v>
      </c>
      <c r="DC46" s="425"/>
      <c r="DD46" s="433"/>
      <c r="DE46" s="425"/>
      <c r="DF46" s="433"/>
      <c r="DG46" s="434"/>
      <c r="DH46" s="431"/>
      <c r="DI46" s="435"/>
      <c r="DJ46" s="1805"/>
      <c r="DK46" s="1806"/>
      <c r="DL46" s="1807"/>
      <c r="DM46" s="1808"/>
      <c r="DN46" s="1810">
        <v>0</v>
      </c>
      <c r="DO46" s="1799">
        <v>0</v>
      </c>
      <c r="DP46" s="1800">
        <v>0</v>
      </c>
      <c r="DQ46" s="1799">
        <v>0</v>
      </c>
      <c r="DR46" s="1800">
        <v>0</v>
      </c>
      <c r="DS46" s="1799">
        <v>0</v>
      </c>
    </row>
    <row r="47" spans="1:123" ht="67.5">
      <c r="A47" s="1801" t="s">
        <v>989</v>
      </c>
      <c r="B47" s="1788" t="s">
        <v>990</v>
      </c>
      <c r="C47" s="426">
        <v>2022</v>
      </c>
      <c r="D47" s="417" t="s">
        <v>681</v>
      </c>
      <c r="E47" s="1802">
        <v>1062066</v>
      </c>
      <c r="F47" s="1803" t="s">
        <v>990</v>
      </c>
      <c r="G47" s="419">
        <v>45120</v>
      </c>
      <c r="H47" s="1790" t="s">
        <v>991</v>
      </c>
      <c r="I47" s="1791" t="s">
        <v>990</v>
      </c>
      <c r="J47" s="1793" t="s">
        <v>992</v>
      </c>
      <c r="K47" s="1788" t="s">
        <v>990</v>
      </c>
      <c r="L47" s="1791" t="s">
        <v>993</v>
      </c>
      <c r="M47" s="1793" t="s">
        <v>991</v>
      </c>
      <c r="N47" s="1790" t="s">
        <v>70</v>
      </c>
      <c r="O47" s="1793" t="s">
        <v>71</v>
      </c>
      <c r="P47" s="420" t="s">
        <v>683</v>
      </c>
      <c r="Q47" s="421"/>
      <c r="R47" s="421"/>
      <c r="S47" s="422"/>
      <c r="T47" s="1794"/>
      <c r="U47" s="423">
        <v>1649.4972</v>
      </c>
      <c r="V47" s="424">
        <v>74</v>
      </c>
      <c r="W47" s="424">
        <v>1</v>
      </c>
      <c r="X47" s="425"/>
      <c r="Y47" s="426">
        <v>2022</v>
      </c>
      <c r="Z47" s="417">
        <v>2024</v>
      </c>
      <c r="AA47" s="1804">
        <v>2022</v>
      </c>
      <c r="AB47" s="427"/>
      <c r="AC47" s="1793"/>
      <c r="AD47" s="428" t="s">
        <v>5863</v>
      </c>
      <c r="AE47" s="1791" t="s">
        <v>994</v>
      </c>
      <c r="AF47" s="1791" t="s">
        <v>991</v>
      </c>
      <c r="AG47" s="1793" t="s">
        <v>995</v>
      </c>
      <c r="AH47" s="428"/>
      <c r="AI47" s="1793"/>
      <c r="AJ47" s="429">
        <v>2021</v>
      </c>
      <c r="AK47" s="424">
        <v>2948</v>
      </c>
      <c r="AL47" s="424">
        <v>1729</v>
      </c>
      <c r="AM47" s="430"/>
      <c r="AN47" s="431"/>
      <c r="AO47" s="432">
        <v>2024</v>
      </c>
      <c r="AP47" s="425">
        <v>2860</v>
      </c>
      <c r="AQ47" s="433">
        <v>2.98</v>
      </c>
      <c r="AR47" s="425">
        <v>1677</v>
      </c>
      <c r="AS47" s="433">
        <v>3</v>
      </c>
      <c r="AT47" s="434"/>
      <c r="AU47" s="431"/>
      <c r="AV47" s="435"/>
      <c r="AW47" s="432">
        <v>2022</v>
      </c>
      <c r="AX47" s="425">
        <v>2829</v>
      </c>
      <c r="AY47" s="433">
        <v>4.03</v>
      </c>
      <c r="AZ47" s="425">
        <v>1314</v>
      </c>
      <c r="BA47" s="433">
        <v>24</v>
      </c>
      <c r="BB47" s="434"/>
      <c r="BC47" s="431"/>
      <c r="BD47" s="435"/>
      <c r="BE47" s="432">
        <v>2023</v>
      </c>
      <c r="BF47" s="425"/>
      <c r="BG47" s="433"/>
      <c r="BH47" s="425"/>
      <c r="BI47" s="433"/>
      <c r="BJ47" s="434"/>
      <c r="BK47" s="431"/>
      <c r="BL47" s="435"/>
      <c r="BM47" s="432">
        <v>2024</v>
      </c>
      <c r="BN47" s="425"/>
      <c r="BO47" s="433"/>
      <c r="BP47" s="425"/>
      <c r="BQ47" s="433"/>
      <c r="BR47" s="434"/>
      <c r="BS47" s="431"/>
      <c r="BT47" s="435"/>
      <c r="BU47" s="1805" t="s">
        <v>687</v>
      </c>
      <c r="BV47" s="1806" t="s">
        <v>728</v>
      </c>
      <c r="BW47" s="1807" t="s">
        <v>697</v>
      </c>
      <c r="BX47" s="1808" t="s">
        <v>4896</v>
      </c>
      <c r="BY47" s="1809">
        <v>2021</v>
      </c>
      <c r="BZ47" s="424"/>
      <c r="CA47" s="424"/>
      <c r="CB47" s="430"/>
      <c r="CC47" s="431"/>
      <c r="CD47" s="432">
        <v>2024</v>
      </c>
      <c r="CE47" s="425"/>
      <c r="CF47" s="433"/>
      <c r="CG47" s="425"/>
      <c r="CH47" s="433"/>
      <c r="CI47" s="434"/>
      <c r="CJ47" s="431"/>
      <c r="CK47" s="435"/>
      <c r="CL47" s="432">
        <v>2022</v>
      </c>
      <c r="CM47" s="425">
        <v>0</v>
      </c>
      <c r="CN47" s="433"/>
      <c r="CO47" s="425">
        <v>0</v>
      </c>
      <c r="CP47" s="433"/>
      <c r="CQ47" s="434"/>
      <c r="CR47" s="431"/>
      <c r="CS47" s="435">
        <v>0</v>
      </c>
      <c r="CT47" s="432">
        <v>2023</v>
      </c>
      <c r="CU47" s="425"/>
      <c r="CV47" s="433"/>
      <c r="CW47" s="425"/>
      <c r="CX47" s="433"/>
      <c r="CY47" s="434"/>
      <c r="CZ47" s="431"/>
      <c r="DA47" s="435"/>
      <c r="DB47" s="432">
        <v>2024</v>
      </c>
      <c r="DC47" s="425"/>
      <c r="DD47" s="433"/>
      <c r="DE47" s="425"/>
      <c r="DF47" s="433"/>
      <c r="DG47" s="434"/>
      <c r="DH47" s="431"/>
      <c r="DI47" s="435"/>
      <c r="DJ47" s="1805"/>
      <c r="DK47" s="1806"/>
      <c r="DL47" s="1807"/>
      <c r="DM47" s="1808"/>
      <c r="DN47" s="1810">
        <v>1</v>
      </c>
      <c r="DO47" s="1799">
        <v>7</v>
      </c>
      <c r="DP47" s="1800">
        <v>0</v>
      </c>
      <c r="DQ47" s="1799">
        <v>0</v>
      </c>
      <c r="DR47" s="1800">
        <v>0</v>
      </c>
      <c r="DS47" s="1799">
        <v>0</v>
      </c>
    </row>
    <row r="48" spans="1:123" ht="94.5">
      <c r="A48" s="1801" t="s">
        <v>996</v>
      </c>
      <c r="B48" s="1788" t="s">
        <v>997</v>
      </c>
      <c r="C48" s="426">
        <v>2022</v>
      </c>
      <c r="D48" s="417" t="s">
        <v>681</v>
      </c>
      <c r="E48" s="1802">
        <v>1024067</v>
      </c>
      <c r="F48" s="1803" t="s">
        <v>997</v>
      </c>
      <c r="G48" s="419">
        <v>45135</v>
      </c>
      <c r="H48" s="1790" t="s">
        <v>998</v>
      </c>
      <c r="I48" s="1791" t="s">
        <v>997</v>
      </c>
      <c r="J48" s="1793" t="s">
        <v>999</v>
      </c>
      <c r="K48" s="1788" t="s">
        <v>997</v>
      </c>
      <c r="L48" s="1791" t="s">
        <v>999</v>
      </c>
      <c r="M48" s="1793" t="s">
        <v>998</v>
      </c>
      <c r="N48" s="1790" t="s">
        <v>12</v>
      </c>
      <c r="O48" s="1793" t="s">
        <v>28</v>
      </c>
      <c r="P48" s="420" t="s">
        <v>683</v>
      </c>
      <c r="Q48" s="421"/>
      <c r="R48" s="421"/>
      <c r="S48" s="422"/>
      <c r="T48" s="1794"/>
      <c r="U48" s="423">
        <v>3508.9290000000001</v>
      </c>
      <c r="V48" s="424">
        <v>2</v>
      </c>
      <c r="W48" s="424">
        <v>2</v>
      </c>
      <c r="X48" s="425"/>
      <c r="Y48" s="426">
        <v>2022</v>
      </c>
      <c r="Z48" s="417">
        <v>2024</v>
      </c>
      <c r="AA48" s="1804">
        <v>2022</v>
      </c>
      <c r="AB48" s="427"/>
      <c r="AC48" s="1793"/>
      <c r="AD48" s="428" t="s">
        <v>5863</v>
      </c>
      <c r="AE48" s="1791" t="s">
        <v>1000</v>
      </c>
      <c r="AF48" s="1791" t="s">
        <v>1001</v>
      </c>
      <c r="AG48" s="1793" t="s">
        <v>1002</v>
      </c>
      <c r="AH48" s="428"/>
      <c r="AI48" s="1793"/>
      <c r="AJ48" s="429">
        <v>2021</v>
      </c>
      <c r="AK48" s="424">
        <v>6651</v>
      </c>
      <c r="AL48" s="424">
        <v>6679</v>
      </c>
      <c r="AM48" s="430">
        <v>173.66</v>
      </c>
      <c r="AN48" s="431" t="s">
        <v>1003</v>
      </c>
      <c r="AO48" s="432">
        <v>2024</v>
      </c>
      <c r="AP48" s="425">
        <v>6451</v>
      </c>
      <c r="AQ48" s="433">
        <v>3</v>
      </c>
      <c r="AR48" s="425">
        <v>6478.6</v>
      </c>
      <c r="AS48" s="433">
        <v>3</v>
      </c>
      <c r="AT48" s="434">
        <v>168.45</v>
      </c>
      <c r="AU48" s="431" t="s">
        <v>1003</v>
      </c>
      <c r="AV48" s="435">
        <v>3</v>
      </c>
      <c r="AW48" s="432">
        <v>2022</v>
      </c>
      <c r="AX48" s="425">
        <v>6634</v>
      </c>
      <c r="AY48" s="433">
        <v>0.25</v>
      </c>
      <c r="AZ48" s="425">
        <v>6641</v>
      </c>
      <c r="BA48" s="433">
        <v>0.56000000000000005</v>
      </c>
      <c r="BB48" s="434">
        <v>174.76290832455214</v>
      </c>
      <c r="BC48" s="431" t="s">
        <v>1003</v>
      </c>
      <c r="BD48" s="435">
        <v>-0.64</v>
      </c>
      <c r="BE48" s="432">
        <v>2023</v>
      </c>
      <c r="BF48" s="425"/>
      <c r="BG48" s="433"/>
      <c r="BH48" s="425"/>
      <c r="BI48" s="433"/>
      <c r="BJ48" s="434"/>
      <c r="BK48" s="431"/>
      <c r="BL48" s="435"/>
      <c r="BM48" s="432">
        <v>2024</v>
      </c>
      <c r="BN48" s="425"/>
      <c r="BO48" s="433"/>
      <c r="BP48" s="425"/>
      <c r="BQ48" s="433"/>
      <c r="BR48" s="434"/>
      <c r="BS48" s="431"/>
      <c r="BT48" s="435"/>
      <c r="BU48" s="1805" t="s">
        <v>676</v>
      </c>
      <c r="BV48" s="1806" t="s">
        <v>728</v>
      </c>
      <c r="BW48" s="1807" t="s">
        <v>697</v>
      </c>
      <c r="BX48" s="1808" t="s">
        <v>4897</v>
      </c>
      <c r="BY48" s="1809">
        <v>2021</v>
      </c>
      <c r="BZ48" s="424"/>
      <c r="CA48" s="424"/>
      <c r="CB48" s="430"/>
      <c r="CC48" s="431"/>
      <c r="CD48" s="432">
        <v>2024</v>
      </c>
      <c r="CE48" s="425"/>
      <c r="CF48" s="433"/>
      <c r="CG48" s="425"/>
      <c r="CH48" s="433"/>
      <c r="CI48" s="434"/>
      <c r="CJ48" s="431"/>
      <c r="CK48" s="435"/>
      <c r="CL48" s="432">
        <v>2022</v>
      </c>
      <c r="CM48" s="425">
        <v>0</v>
      </c>
      <c r="CN48" s="433"/>
      <c r="CO48" s="425">
        <v>0</v>
      </c>
      <c r="CP48" s="433"/>
      <c r="CQ48" s="434"/>
      <c r="CR48" s="431"/>
      <c r="CS48" s="435">
        <v>0</v>
      </c>
      <c r="CT48" s="432">
        <v>2023</v>
      </c>
      <c r="CU48" s="425"/>
      <c r="CV48" s="433"/>
      <c r="CW48" s="425"/>
      <c r="CX48" s="433"/>
      <c r="CY48" s="434"/>
      <c r="CZ48" s="431"/>
      <c r="DA48" s="435"/>
      <c r="DB48" s="432">
        <v>2024</v>
      </c>
      <c r="DC48" s="425"/>
      <c r="DD48" s="433"/>
      <c r="DE48" s="425"/>
      <c r="DF48" s="433"/>
      <c r="DG48" s="434"/>
      <c r="DH48" s="431"/>
      <c r="DI48" s="435"/>
      <c r="DJ48" s="1805"/>
      <c r="DK48" s="1806"/>
      <c r="DL48" s="1807"/>
      <c r="DM48" s="1808"/>
      <c r="DN48" s="1810">
        <v>0</v>
      </c>
      <c r="DO48" s="1799">
        <v>0</v>
      </c>
      <c r="DP48" s="1800">
        <v>0</v>
      </c>
      <c r="DQ48" s="1799">
        <v>0</v>
      </c>
      <c r="DR48" s="1800">
        <v>0</v>
      </c>
      <c r="DS48" s="1799">
        <v>0</v>
      </c>
    </row>
    <row r="49" spans="1:123" ht="81">
      <c r="A49" s="1801" t="s">
        <v>1004</v>
      </c>
      <c r="B49" s="1788" t="s">
        <v>6008</v>
      </c>
      <c r="C49" s="426">
        <v>2022</v>
      </c>
      <c r="D49" s="417" t="s">
        <v>714</v>
      </c>
      <c r="E49" s="1802">
        <v>3043068</v>
      </c>
      <c r="F49" s="1803" t="s">
        <v>1008</v>
      </c>
      <c r="G49" s="419">
        <v>45133</v>
      </c>
      <c r="H49" s="1790" t="s">
        <v>1006</v>
      </c>
      <c r="I49" s="1791" t="s">
        <v>1005</v>
      </c>
      <c r="J49" s="1793" t="s">
        <v>1007</v>
      </c>
      <c r="K49" s="1788" t="s">
        <v>1008</v>
      </c>
      <c r="L49" s="1791" t="s">
        <v>1009</v>
      </c>
      <c r="M49" s="1793" t="s">
        <v>1010</v>
      </c>
      <c r="N49" s="1790" t="s">
        <v>48</v>
      </c>
      <c r="O49" s="1793" t="s">
        <v>50</v>
      </c>
      <c r="P49" s="420"/>
      <c r="Q49" s="421"/>
      <c r="R49" s="421" t="s">
        <v>717</v>
      </c>
      <c r="S49" s="422"/>
      <c r="T49" s="1794"/>
      <c r="U49" s="423"/>
      <c r="V49" s="424"/>
      <c r="W49" s="424"/>
      <c r="X49" s="425">
        <v>109</v>
      </c>
      <c r="Y49" s="426">
        <v>2022</v>
      </c>
      <c r="Z49" s="417">
        <v>2024</v>
      </c>
      <c r="AA49" s="1804">
        <v>2022</v>
      </c>
      <c r="AB49" s="427"/>
      <c r="AC49" s="1793"/>
      <c r="AD49" s="428" t="s">
        <v>5863</v>
      </c>
      <c r="AE49" s="1791" t="s">
        <v>1011</v>
      </c>
      <c r="AF49" s="1791" t="s">
        <v>1012</v>
      </c>
      <c r="AG49" s="1793" t="s">
        <v>1013</v>
      </c>
      <c r="AH49" s="428"/>
      <c r="AI49" s="1793"/>
      <c r="AJ49" s="429">
        <v>2021</v>
      </c>
      <c r="AK49" s="424">
        <v>0</v>
      </c>
      <c r="AL49" s="424"/>
      <c r="AM49" s="430"/>
      <c r="AN49" s="431"/>
      <c r="AO49" s="432">
        <v>2024</v>
      </c>
      <c r="AP49" s="425">
        <v>0</v>
      </c>
      <c r="AQ49" s="433"/>
      <c r="AR49" s="425">
        <v>0</v>
      </c>
      <c r="AS49" s="433"/>
      <c r="AT49" s="434"/>
      <c r="AU49" s="431"/>
      <c r="AV49" s="435"/>
      <c r="AW49" s="432">
        <v>2022</v>
      </c>
      <c r="AX49" s="425"/>
      <c r="AY49" s="433"/>
      <c r="AZ49" s="425"/>
      <c r="BA49" s="433"/>
      <c r="BB49" s="434"/>
      <c r="BC49" s="431"/>
      <c r="BD49" s="435"/>
      <c r="BE49" s="432">
        <v>2023</v>
      </c>
      <c r="BF49" s="425"/>
      <c r="BG49" s="433"/>
      <c r="BH49" s="425"/>
      <c r="BI49" s="433"/>
      <c r="BJ49" s="434"/>
      <c r="BK49" s="431"/>
      <c r="BL49" s="435"/>
      <c r="BM49" s="432">
        <v>2024</v>
      </c>
      <c r="BN49" s="425"/>
      <c r="BO49" s="433"/>
      <c r="BP49" s="425"/>
      <c r="BQ49" s="433"/>
      <c r="BR49" s="434"/>
      <c r="BS49" s="431"/>
      <c r="BT49" s="435"/>
      <c r="BU49" s="1805"/>
      <c r="BV49" s="1806"/>
      <c r="BW49" s="1807"/>
      <c r="BX49" s="1808"/>
      <c r="BY49" s="1809">
        <v>2021</v>
      </c>
      <c r="BZ49" s="424">
        <v>1118</v>
      </c>
      <c r="CA49" s="424">
        <v>1118</v>
      </c>
      <c r="CB49" s="430"/>
      <c r="CC49" s="431"/>
      <c r="CD49" s="432">
        <v>2024</v>
      </c>
      <c r="CE49" s="425">
        <v>1062</v>
      </c>
      <c r="CF49" s="433">
        <v>5</v>
      </c>
      <c r="CG49" s="425">
        <v>1062</v>
      </c>
      <c r="CH49" s="433">
        <v>5</v>
      </c>
      <c r="CI49" s="434"/>
      <c r="CJ49" s="431"/>
      <c r="CK49" s="435"/>
      <c r="CL49" s="432">
        <v>2022</v>
      </c>
      <c r="CM49" s="425">
        <v>1017.6921672000001</v>
      </c>
      <c r="CN49" s="433">
        <v>8.9700000000000006</v>
      </c>
      <c r="CO49" s="425">
        <v>1017.6921672000001</v>
      </c>
      <c r="CP49" s="433">
        <v>8.9700000000000006</v>
      </c>
      <c r="CQ49" s="434"/>
      <c r="CR49" s="431"/>
      <c r="CS49" s="435"/>
      <c r="CT49" s="432">
        <v>2023</v>
      </c>
      <c r="CU49" s="425"/>
      <c r="CV49" s="433"/>
      <c r="CW49" s="425"/>
      <c r="CX49" s="433"/>
      <c r="CY49" s="434"/>
      <c r="CZ49" s="431"/>
      <c r="DA49" s="435"/>
      <c r="DB49" s="432">
        <v>2024</v>
      </c>
      <c r="DC49" s="425"/>
      <c r="DD49" s="433"/>
      <c r="DE49" s="425"/>
      <c r="DF49" s="433"/>
      <c r="DG49" s="434"/>
      <c r="DH49" s="431"/>
      <c r="DI49" s="435"/>
      <c r="DJ49" s="1805" t="s">
        <v>687</v>
      </c>
      <c r="DK49" s="1806" t="s">
        <v>728</v>
      </c>
      <c r="DL49" s="1807" t="s">
        <v>688</v>
      </c>
      <c r="DM49" s="1808"/>
      <c r="DN49" s="1810">
        <v>0</v>
      </c>
      <c r="DO49" s="1799">
        <v>0</v>
      </c>
      <c r="DP49" s="1800">
        <v>0</v>
      </c>
      <c r="DQ49" s="1799">
        <v>0</v>
      </c>
      <c r="DR49" s="1800">
        <v>0</v>
      </c>
      <c r="DS49" s="1799">
        <v>0</v>
      </c>
    </row>
    <row r="50" spans="1:123" ht="94.5">
      <c r="A50" s="1801" t="s">
        <v>1014</v>
      </c>
      <c r="B50" s="1788" t="s">
        <v>1015</v>
      </c>
      <c r="C50" s="426">
        <v>2022</v>
      </c>
      <c r="D50" s="417" t="s">
        <v>681</v>
      </c>
      <c r="E50" s="1802">
        <v>1048069</v>
      </c>
      <c r="F50" s="1803" t="s">
        <v>1015</v>
      </c>
      <c r="G50" s="419">
        <v>45134</v>
      </c>
      <c r="H50" s="1790" t="s">
        <v>1016</v>
      </c>
      <c r="I50" s="1791" t="s">
        <v>1015</v>
      </c>
      <c r="J50" s="1793" t="s">
        <v>1017</v>
      </c>
      <c r="K50" s="1788" t="s">
        <v>1015</v>
      </c>
      <c r="L50" s="1791" t="s">
        <v>1017</v>
      </c>
      <c r="M50" s="1793" t="s">
        <v>1018</v>
      </c>
      <c r="N50" s="1790" t="s">
        <v>48</v>
      </c>
      <c r="O50" s="1793" t="s">
        <v>55</v>
      </c>
      <c r="P50" s="420" t="s">
        <v>683</v>
      </c>
      <c r="Q50" s="421"/>
      <c r="R50" s="421"/>
      <c r="S50" s="422"/>
      <c r="T50" s="1794"/>
      <c r="U50" s="423">
        <v>1997.3843999999999</v>
      </c>
      <c r="V50" s="424">
        <v>20</v>
      </c>
      <c r="W50" s="424">
        <v>1</v>
      </c>
      <c r="X50" s="425"/>
      <c r="Y50" s="426">
        <v>2022</v>
      </c>
      <c r="Z50" s="417">
        <v>2024</v>
      </c>
      <c r="AA50" s="1804">
        <v>2022</v>
      </c>
      <c r="AB50" s="427" t="s">
        <v>5863</v>
      </c>
      <c r="AC50" s="1793" t="s">
        <v>4898</v>
      </c>
      <c r="AD50" s="428"/>
      <c r="AE50" s="1791"/>
      <c r="AF50" s="1791"/>
      <c r="AG50" s="1793"/>
      <c r="AH50" s="428"/>
      <c r="AI50" s="1793"/>
      <c r="AJ50" s="429">
        <v>2021</v>
      </c>
      <c r="AK50" s="424">
        <v>3707</v>
      </c>
      <c r="AL50" s="424">
        <v>3839</v>
      </c>
      <c r="AM50" s="430">
        <v>6.24</v>
      </c>
      <c r="AN50" s="431" t="s">
        <v>1019</v>
      </c>
      <c r="AO50" s="432">
        <v>2024</v>
      </c>
      <c r="AP50" s="425">
        <v>3669</v>
      </c>
      <c r="AQ50" s="433">
        <v>1.02</v>
      </c>
      <c r="AR50" s="425">
        <v>3800</v>
      </c>
      <c r="AS50" s="433">
        <v>1.01</v>
      </c>
      <c r="AT50" s="434">
        <v>6.17</v>
      </c>
      <c r="AU50" s="431" t="s">
        <v>1019</v>
      </c>
      <c r="AV50" s="435">
        <v>1.1200000000000001</v>
      </c>
      <c r="AW50" s="432">
        <v>2022</v>
      </c>
      <c r="AX50" s="425">
        <v>3403</v>
      </c>
      <c r="AY50" s="433">
        <v>8.1999999999999993</v>
      </c>
      <c r="AZ50" s="425">
        <v>3704</v>
      </c>
      <c r="BA50" s="433">
        <v>3.51</v>
      </c>
      <c r="BB50" s="434">
        <v>5.5064724919093848</v>
      </c>
      <c r="BC50" s="431" t="s">
        <v>1019</v>
      </c>
      <c r="BD50" s="435">
        <v>11.75</v>
      </c>
      <c r="BE50" s="432">
        <v>2023</v>
      </c>
      <c r="BF50" s="425"/>
      <c r="BG50" s="433"/>
      <c r="BH50" s="425"/>
      <c r="BI50" s="433"/>
      <c r="BJ50" s="434"/>
      <c r="BK50" s="431"/>
      <c r="BL50" s="435"/>
      <c r="BM50" s="432">
        <v>2024</v>
      </c>
      <c r="BN50" s="425"/>
      <c r="BO50" s="433"/>
      <c r="BP50" s="425"/>
      <c r="BQ50" s="433"/>
      <c r="BR50" s="434"/>
      <c r="BS50" s="431"/>
      <c r="BT50" s="435"/>
      <c r="BU50" s="1805" t="s">
        <v>687</v>
      </c>
      <c r="BV50" s="1806" t="s">
        <v>728</v>
      </c>
      <c r="BW50" s="1807" t="s">
        <v>688</v>
      </c>
      <c r="BX50" s="1808" t="s">
        <v>4899</v>
      </c>
      <c r="BY50" s="1809">
        <v>2021</v>
      </c>
      <c r="BZ50" s="424"/>
      <c r="CA50" s="424"/>
      <c r="CB50" s="430"/>
      <c r="CC50" s="431"/>
      <c r="CD50" s="432">
        <v>2024</v>
      </c>
      <c r="CE50" s="425"/>
      <c r="CF50" s="433"/>
      <c r="CG50" s="425"/>
      <c r="CH50" s="433"/>
      <c r="CI50" s="434"/>
      <c r="CJ50" s="431"/>
      <c r="CK50" s="435"/>
      <c r="CL50" s="432">
        <v>2022</v>
      </c>
      <c r="CM50" s="425">
        <v>0</v>
      </c>
      <c r="CN50" s="433"/>
      <c r="CO50" s="425">
        <v>0</v>
      </c>
      <c r="CP50" s="433"/>
      <c r="CQ50" s="434"/>
      <c r="CR50" s="431"/>
      <c r="CS50" s="435">
        <v>0</v>
      </c>
      <c r="CT50" s="432">
        <v>2023</v>
      </c>
      <c r="CU50" s="425"/>
      <c r="CV50" s="433"/>
      <c r="CW50" s="425"/>
      <c r="CX50" s="433"/>
      <c r="CY50" s="434"/>
      <c r="CZ50" s="431"/>
      <c r="DA50" s="435"/>
      <c r="DB50" s="432">
        <v>2024</v>
      </c>
      <c r="DC50" s="425"/>
      <c r="DD50" s="433"/>
      <c r="DE50" s="425"/>
      <c r="DF50" s="433"/>
      <c r="DG50" s="434"/>
      <c r="DH50" s="431"/>
      <c r="DI50" s="435"/>
      <c r="DJ50" s="1805"/>
      <c r="DK50" s="1806"/>
      <c r="DL50" s="1807"/>
      <c r="DM50" s="1808"/>
      <c r="DN50" s="1810">
        <v>0</v>
      </c>
      <c r="DO50" s="1799">
        <v>0</v>
      </c>
      <c r="DP50" s="1800">
        <v>0</v>
      </c>
      <c r="DQ50" s="1799">
        <v>0</v>
      </c>
      <c r="DR50" s="1800">
        <v>0</v>
      </c>
      <c r="DS50" s="1799">
        <v>0</v>
      </c>
    </row>
    <row r="51" spans="1:123" ht="81">
      <c r="A51" s="1801" t="s">
        <v>1020</v>
      </c>
      <c r="B51" s="1788" t="s">
        <v>1021</v>
      </c>
      <c r="C51" s="426">
        <v>2022</v>
      </c>
      <c r="D51" s="417" t="s">
        <v>681</v>
      </c>
      <c r="E51" s="1802">
        <v>1021070</v>
      </c>
      <c r="F51" s="1803" t="s">
        <v>1021</v>
      </c>
      <c r="G51" s="419">
        <v>45138</v>
      </c>
      <c r="H51" s="1790" t="s">
        <v>1022</v>
      </c>
      <c r="I51" s="1791" t="s">
        <v>1021</v>
      </c>
      <c r="J51" s="1793" t="s">
        <v>1023</v>
      </c>
      <c r="K51" s="1788" t="s">
        <v>1021</v>
      </c>
      <c r="L51" s="1791" t="s">
        <v>1024</v>
      </c>
      <c r="M51" s="1793" t="s">
        <v>1025</v>
      </c>
      <c r="N51" s="1790" t="s">
        <v>12</v>
      </c>
      <c r="O51" s="1793" t="s">
        <v>25</v>
      </c>
      <c r="P51" s="420" t="s">
        <v>683</v>
      </c>
      <c r="Q51" s="421"/>
      <c r="R51" s="421"/>
      <c r="S51" s="422"/>
      <c r="T51" s="1794"/>
      <c r="U51" s="423">
        <v>38775.361799999999</v>
      </c>
      <c r="V51" s="424">
        <v>1</v>
      </c>
      <c r="W51" s="424">
        <v>1</v>
      </c>
      <c r="X51" s="425"/>
      <c r="Y51" s="426">
        <v>2022</v>
      </c>
      <c r="Z51" s="417">
        <v>2024</v>
      </c>
      <c r="AA51" s="1804">
        <v>2022</v>
      </c>
      <c r="AB51" s="427"/>
      <c r="AC51" s="1793"/>
      <c r="AD51" s="428" t="s">
        <v>5863</v>
      </c>
      <c r="AE51" s="1791" t="s">
        <v>1026</v>
      </c>
      <c r="AF51" s="1791" t="s">
        <v>1027</v>
      </c>
      <c r="AG51" s="1793" t="s">
        <v>1028</v>
      </c>
      <c r="AH51" s="428"/>
      <c r="AI51" s="1793"/>
      <c r="AJ51" s="429">
        <v>2021</v>
      </c>
      <c r="AK51" s="424">
        <v>87378</v>
      </c>
      <c r="AL51" s="424">
        <v>83933</v>
      </c>
      <c r="AM51" s="430"/>
      <c r="AN51" s="431"/>
      <c r="AO51" s="432">
        <v>2024</v>
      </c>
      <c r="AP51" s="425">
        <v>84756.66</v>
      </c>
      <c r="AQ51" s="433">
        <v>3</v>
      </c>
      <c r="AR51" s="425">
        <v>81415.009999999995</v>
      </c>
      <c r="AS51" s="433">
        <v>3</v>
      </c>
      <c r="AT51" s="434"/>
      <c r="AU51" s="431"/>
      <c r="AV51" s="435">
        <v>5</v>
      </c>
      <c r="AW51" s="432">
        <v>2022</v>
      </c>
      <c r="AX51" s="425">
        <v>84785</v>
      </c>
      <c r="AY51" s="433">
        <v>2.96</v>
      </c>
      <c r="AZ51" s="425">
        <v>72117</v>
      </c>
      <c r="BA51" s="433">
        <v>14.07</v>
      </c>
      <c r="BB51" s="434"/>
      <c r="BC51" s="431"/>
      <c r="BD51" s="435"/>
      <c r="BE51" s="432">
        <v>2023</v>
      </c>
      <c r="BF51" s="425"/>
      <c r="BG51" s="433"/>
      <c r="BH51" s="425"/>
      <c r="BI51" s="433"/>
      <c r="BJ51" s="434"/>
      <c r="BK51" s="431"/>
      <c r="BL51" s="435"/>
      <c r="BM51" s="432">
        <v>2024</v>
      </c>
      <c r="BN51" s="425"/>
      <c r="BO51" s="433"/>
      <c r="BP51" s="425"/>
      <c r="BQ51" s="433"/>
      <c r="BR51" s="434"/>
      <c r="BS51" s="431"/>
      <c r="BT51" s="435"/>
      <c r="BU51" s="1805" t="s">
        <v>719</v>
      </c>
      <c r="BV51" s="1806" t="s">
        <v>728</v>
      </c>
      <c r="BW51" s="1807" t="s">
        <v>678</v>
      </c>
      <c r="BX51" s="1808"/>
      <c r="BY51" s="1809">
        <v>2021</v>
      </c>
      <c r="BZ51" s="424"/>
      <c r="CA51" s="424"/>
      <c r="CB51" s="430"/>
      <c r="CC51" s="431"/>
      <c r="CD51" s="432">
        <v>2024</v>
      </c>
      <c r="CE51" s="425"/>
      <c r="CF51" s="433"/>
      <c r="CG51" s="425"/>
      <c r="CH51" s="433"/>
      <c r="CI51" s="434"/>
      <c r="CJ51" s="431"/>
      <c r="CK51" s="435"/>
      <c r="CL51" s="432">
        <v>2022</v>
      </c>
      <c r="CM51" s="425">
        <v>0</v>
      </c>
      <c r="CN51" s="433"/>
      <c r="CO51" s="425">
        <v>0</v>
      </c>
      <c r="CP51" s="433"/>
      <c r="CQ51" s="434"/>
      <c r="CR51" s="431"/>
      <c r="CS51" s="435"/>
      <c r="CT51" s="432">
        <v>2023</v>
      </c>
      <c r="CU51" s="425"/>
      <c r="CV51" s="433"/>
      <c r="CW51" s="425"/>
      <c r="CX51" s="433"/>
      <c r="CY51" s="434"/>
      <c r="CZ51" s="431"/>
      <c r="DA51" s="435"/>
      <c r="DB51" s="432">
        <v>2024</v>
      </c>
      <c r="DC51" s="425"/>
      <c r="DD51" s="433"/>
      <c r="DE51" s="425"/>
      <c r="DF51" s="433"/>
      <c r="DG51" s="434"/>
      <c r="DH51" s="431"/>
      <c r="DI51" s="435"/>
      <c r="DJ51" s="1805"/>
      <c r="DK51" s="1806"/>
      <c r="DL51" s="1807"/>
      <c r="DM51" s="1808"/>
      <c r="DN51" s="1810">
        <v>0</v>
      </c>
      <c r="DO51" s="1799">
        <v>0</v>
      </c>
      <c r="DP51" s="1800">
        <v>0</v>
      </c>
      <c r="DQ51" s="1799">
        <v>0</v>
      </c>
      <c r="DR51" s="1800">
        <v>0</v>
      </c>
      <c r="DS51" s="1799">
        <v>0</v>
      </c>
    </row>
    <row r="52" spans="1:123" ht="67.5">
      <c r="A52" s="1801" t="s">
        <v>1029</v>
      </c>
      <c r="B52" s="1788" t="s">
        <v>1030</v>
      </c>
      <c r="C52" s="426">
        <v>2022</v>
      </c>
      <c r="D52" s="417" t="s">
        <v>681</v>
      </c>
      <c r="E52" s="1802">
        <v>1056071</v>
      </c>
      <c r="F52" s="1803" t="s">
        <v>1030</v>
      </c>
      <c r="G52" s="419">
        <v>45131</v>
      </c>
      <c r="H52" s="1790" t="s">
        <v>1031</v>
      </c>
      <c r="I52" s="1791" t="s">
        <v>1030</v>
      </c>
      <c r="J52" s="1793" t="s">
        <v>1032</v>
      </c>
      <c r="K52" s="1788" t="s">
        <v>1030</v>
      </c>
      <c r="L52" s="1791" t="s">
        <v>1032</v>
      </c>
      <c r="M52" s="1793" t="s">
        <v>1031</v>
      </c>
      <c r="N52" s="1790" t="s">
        <v>57</v>
      </c>
      <c r="O52" s="1793" t="s">
        <v>64</v>
      </c>
      <c r="P52" s="420" t="s">
        <v>683</v>
      </c>
      <c r="Q52" s="421"/>
      <c r="R52" s="421"/>
      <c r="S52" s="422"/>
      <c r="T52" s="1794"/>
      <c r="U52" s="423">
        <v>2608.5347999999999</v>
      </c>
      <c r="V52" s="424">
        <v>1</v>
      </c>
      <c r="W52" s="424">
        <v>1</v>
      </c>
      <c r="X52" s="425"/>
      <c r="Y52" s="426">
        <v>2022</v>
      </c>
      <c r="Z52" s="417">
        <v>2024</v>
      </c>
      <c r="AA52" s="1804">
        <v>2022</v>
      </c>
      <c r="AB52" s="427"/>
      <c r="AC52" s="1793"/>
      <c r="AD52" s="428" t="s">
        <v>5863</v>
      </c>
      <c r="AE52" s="1791" t="s">
        <v>1033</v>
      </c>
      <c r="AF52" s="1791" t="s">
        <v>1031</v>
      </c>
      <c r="AG52" s="1793" t="s">
        <v>1034</v>
      </c>
      <c r="AH52" s="428"/>
      <c r="AI52" s="1793"/>
      <c r="AJ52" s="429">
        <v>2021</v>
      </c>
      <c r="AK52" s="424">
        <v>4539</v>
      </c>
      <c r="AL52" s="424">
        <v>4512</v>
      </c>
      <c r="AM52" s="430"/>
      <c r="AN52" s="431"/>
      <c r="AO52" s="432">
        <v>2024</v>
      </c>
      <c r="AP52" s="425">
        <v>4086</v>
      </c>
      <c r="AQ52" s="433">
        <v>9.98</v>
      </c>
      <c r="AR52" s="425">
        <v>4061</v>
      </c>
      <c r="AS52" s="433">
        <v>9.99</v>
      </c>
      <c r="AT52" s="434"/>
      <c r="AU52" s="431"/>
      <c r="AV52" s="435"/>
      <c r="AW52" s="432">
        <v>2022</v>
      </c>
      <c r="AX52" s="425">
        <v>5111</v>
      </c>
      <c r="AY52" s="433">
        <v>-12.61</v>
      </c>
      <c r="AZ52" s="425">
        <v>4856</v>
      </c>
      <c r="BA52" s="433">
        <v>-7.63</v>
      </c>
      <c r="BB52" s="434"/>
      <c r="BC52" s="431"/>
      <c r="BD52" s="435"/>
      <c r="BE52" s="432">
        <v>2023</v>
      </c>
      <c r="BF52" s="425"/>
      <c r="BG52" s="433"/>
      <c r="BH52" s="425"/>
      <c r="BI52" s="433"/>
      <c r="BJ52" s="434"/>
      <c r="BK52" s="431"/>
      <c r="BL52" s="435"/>
      <c r="BM52" s="432">
        <v>2024</v>
      </c>
      <c r="BN52" s="425"/>
      <c r="BO52" s="433"/>
      <c r="BP52" s="425"/>
      <c r="BQ52" s="433"/>
      <c r="BR52" s="434"/>
      <c r="BS52" s="431"/>
      <c r="BT52" s="435"/>
      <c r="BU52" s="1805" t="s">
        <v>676</v>
      </c>
      <c r="BV52" s="1806" t="s">
        <v>728</v>
      </c>
      <c r="BW52" s="1807" t="s">
        <v>678</v>
      </c>
      <c r="BX52" s="1808" t="s">
        <v>4900</v>
      </c>
      <c r="BY52" s="1809">
        <v>2021</v>
      </c>
      <c r="BZ52" s="424"/>
      <c r="CA52" s="424"/>
      <c r="CB52" s="430"/>
      <c r="CC52" s="431"/>
      <c r="CD52" s="432">
        <v>2024</v>
      </c>
      <c r="CE52" s="425"/>
      <c r="CF52" s="433"/>
      <c r="CG52" s="425"/>
      <c r="CH52" s="433"/>
      <c r="CI52" s="434"/>
      <c r="CJ52" s="431"/>
      <c r="CK52" s="435"/>
      <c r="CL52" s="432">
        <v>2022</v>
      </c>
      <c r="CM52" s="425">
        <v>0</v>
      </c>
      <c r="CN52" s="433"/>
      <c r="CO52" s="425">
        <v>0</v>
      </c>
      <c r="CP52" s="433"/>
      <c r="CQ52" s="434"/>
      <c r="CR52" s="431"/>
      <c r="CS52" s="435"/>
      <c r="CT52" s="432">
        <v>2023</v>
      </c>
      <c r="CU52" s="425"/>
      <c r="CV52" s="433"/>
      <c r="CW52" s="425"/>
      <c r="CX52" s="433"/>
      <c r="CY52" s="434"/>
      <c r="CZ52" s="431"/>
      <c r="DA52" s="435"/>
      <c r="DB52" s="432">
        <v>2024</v>
      </c>
      <c r="DC52" s="425"/>
      <c r="DD52" s="433"/>
      <c r="DE52" s="425"/>
      <c r="DF52" s="433"/>
      <c r="DG52" s="434"/>
      <c r="DH52" s="431"/>
      <c r="DI52" s="435"/>
      <c r="DJ52" s="1805"/>
      <c r="DK52" s="1806"/>
      <c r="DL52" s="1807"/>
      <c r="DM52" s="1808"/>
      <c r="DN52" s="1810">
        <v>0</v>
      </c>
      <c r="DO52" s="1799">
        <v>0</v>
      </c>
      <c r="DP52" s="1800">
        <v>0</v>
      </c>
      <c r="DQ52" s="1799">
        <v>0</v>
      </c>
      <c r="DR52" s="1800">
        <v>0</v>
      </c>
      <c r="DS52" s="1799">
        <v>0</v>
      </c>
    </row>
    <row r="53" spans="1:123" ht="94.5">
      <c r="A53" s="1801" t="s">
        <v>1035</v>
      </c>
      <c r="B53" s="1788" t="s">
        <v>1036</v>
      </c>
      <c r="C53" s="426">
        <v>2022</v>
      </c>
      <c r="D53" s="417" t="s">
        <v>681</v>
      </c>
      <c r="E53" s="1802">
        <v>1081072</v>
      </c>
      <c r="F53" s="1803" t="s">
        <v>1036</v>
      </c>
      <c r="G53" s="419">
        <v>45138</v>
      </c>
      <c r="H53" s="1790" t="s">
        <v>1037</v>
      </c>
      <c r="I53" s="1791" t="s">
        <v>1036</v>
      </c>
      <c r="J53" s="1793" t="s">
        <v>1038</v>
      </c>
      <c r="K53" s="1788" t="s">
        <v>1036</v>
      </c>
      <c r="L53" s="1791" t="s">
        <v>1038</v>
      </c>
      <c r="M53" s="1793" t="s">
        <v>1039</v>
      </c>
      <c r="N53" s="1790" t="s">
        <v>93</v>
      </c>
      <c r="O53" s="1793" t="s">
        <v>94</v>
      </c>
      <c r="P53" s="420" t="s">
        <v>683</v>
      </c>
      <c r="Q53" s="421"/>
      <c r="R53" s="421"/>
      <c r="S53" s="422"/>
      <c r="T53" s="1794"/>
      <c r="U53" s="423">
        <v>5512.9439999999995</v>
      </c>
      <c r="V53" s="424">
        <v>3</v>
      </c>
      <c r="W53" s="424">
        <v>2</v>
      </c>
      <c r="X53" s="425"/>
      <c r="Y53" s="426">
        <v>2022</v>
      </c>
      <c r="Z53" s="417">
        <v>2024</v>
      </c>
      <c r="AA53" s="1804">
        <v>2022</v>
      </c>
      <c r="AB53" s="427"/>
      <c r="AC53" s="1793"/>
      <c r="AD53" s="428" t="s">
        <v>5863</v>
      </c>
      <c r="AE53" s="1791" t="s">
        <v>4901</v>
      </c>
      <c r="AF53" s="1791" t="s">
        <v>1039</v>
      </c>
      <c r="AG53" s="1793" t="s">
        <v>4902</v>
      </c>
      <c r="AH53" s="428"/>
      <c r="AI53" s="1793"/>
      <c r="AJ53" s="429">
        <v>2021</v>
      </c>
      <c r="AK53" s="424">
        <v>8786</v>
      </c>
      <c r="AL53" s="424">
        <v>9414</v>
      </c>
      <c r="AM53" s="430">
        <v>42.24</v>
      </c>
      <c r="AN53" s="431" t="s">
        <v>1040</v>
      </c>
      <c r="AO53" s="432">
        <v>2024</v>
      </c>
      <c r="AP53" s="425">
        <v>8778</v>
      </c>
      <c r="AQ53" s="433">
        <v>0.09</v>
      </c>
      <c r="AR53" s="425">
        <v>9406</v>
      </c>
      <c r="AS53" s="433">
        <v>0.08</v>
      </c>
      <c r="AT53" s="434">
        <v>42.19</v>
      </c>
      <c r="AU53" s="431" t="s">
        <v>1040</v>
      </c>
      <c r="AV53" s="435">
        <v>0.11</v>
      </c>
      <c r="AW53" s="432">
        <v>2022</v>
      </c>
      <c r="AX53" s="425">
        <v>9983</v>
      </c>
      <c r="AY53" s="433">
        <v>-13.63</v>
      </c>
      <c r="AZ53" s="425">
        <v>6733</v>
      </c>
      <c r="BA53" s="433">
        <v>28.47</v>
      </c>
      <c r="BB53" s="434">
        <v>47.995884556027249</v>
      </c>
      <c r="BC53" s="431" t="s">
        <v>1040</v>
      </c>
      <c r="BD53" s="435">
        <v>-13.63</v>
      </c>
      <c r="BE53" s="432">
        <v>2023</v>
      </c>
      <c r="BF53" s="425"/>
      <c r="BG53" s="433"/>
      <c r="BH53" s="425"/>
      <c r="BI53" s="433"/>
      <c r="BJ53" s="434"/>
      <c r="BK53" s="431"/>
      <c r="BL53" s="435"/>
      <c r="BM53" s="432">
        <v>2024</v>
      </c>
      <c r="BN53" s="425"/>
      <c r="BO53" s="433"/>
      <c r="BP53" s="425"/>
      <c r="BQ53" s="433"/>
      <c r="BR53" s="434"/>
      <c r="BS53" s="431"/>
      <c r="BT53" s="435"/>
      <c r="BU53" s="1805" t="s">
        <v>719</v>
      </c>
      <c r="BV53" s="1806" t="s">
        <v>728</v>
      </c>
      <c r="BW53" s="1807" t="s">
        <v>678</v>
      </c>
      <c r="BX53" s="1808" t="s">
        <v>4903</v>
      </c>
      <c r="BY53" s="1809">
        <v>2021</v>
      </c>
      <c r="BZ53" s="424"/>
      <c r="CA53" s="424"/>
      <c r="CB53" s="430"/>
      <c r="CC53" s="431"/>
      <c r="CD53" s="432">
        <v>2024</v>
      </c>
      <c r="CE53" s="425"/>
      <c r="CF53" s="433"/>
      <c r="CG53" s="425"/>
      <c r="CH53" s="433"/>
      <c r="CI53" s="434"/>
      <c r="CJ53" s="431"/>
      <c r="CK53" s="435"/>
      <c r="CL53" s="432">
        <v>2022</v>
      </c>
      <c r="CM53" s="425">
        <v>0</v>
      </c>
      <c r="CN53" s="433"/>
      <c r="CO53" s="425">
        <v>0</v>
      </c>
      <c r="CP53" s="433"/>
      <c r="CQ53" s="434">
        <v>0</v>
      </c>
      <c r="CR53" s="431"/>
      <c r="CS53" s="435"/>
      <c r="CT53" s="432">
        <v>2023</v>
      </c>
      <c r="CU53" s="425"/>
      <c r="CV53" s="433"/>
      <c r="CW53" s="425"/>
      <c r="CX53" s="433"/>
      <c r="CY53" s="434"/>
      <c r="CZ53" s="431"/>
      <c r="DA53" s="435"/>
      <c r="DB53" s="432">
        <v>2024</v>
      </c>
      <c r="DC53" s="425"/>
      <c r="DD53" s="433"/>
      <c r="DE53" s="425"/>
      <c r="DF53" s="433"/>
      <c r="DG53" s="434"/>
      <c r="DH53" s="431"/>
      <c r="DI53" s="435"/>
      <c r="DJ53" s="1805"/>
      <c r="DK53" s="1806"/>
      <c r="DL53" s="1807"/>
      <c r="DM53" s="1808"/>
      <c r="DN53" s="1810">
        <v>0</v>
      </c>
      <c r="DO53" s="1799">
        <v>2</v>
      </c>
      <c r="DP53" s="1800">
        <v>0</v>
      </c>
      <c r="DQ53" s="1799">
        <v>1</v>
      </c>
      <c r="DR53" s="1800">
        <v>0</v>
      </c>
      <c r="DS53" s="1799">
        <v>0</v>
      </c>
    </row>
    <row r="54" spans="1:123" ht="67.5">
      <c r="A54" s="1801" t="s">
        <v>1041</v>
      </c>
      <c r="B54" s="1788" t="s">
        <v>1042</v>
      </c>
      <c r="C54" s="426">
        <v>2022</v>
      </c>
      <c r="D54" s="417" t="s">
        <v>681</v>
      </c>
      <c r="E54" s="1802">
        <v>1010073</v>
      </c>
      <c r="F54" s="1803" t="s">
        <v>1042</v>
      </c>
      <c r="G54" s="419">
        <v>45132</v>
      </c>
      <c r="H54" s="1790" t="s">
        <v>1043</v>
      </c>
      <c r="I54" s="1791" t="s">
        <v>1042</v>
      </c>
      <c r="J54" s="1793" t="s">
        <v>1044</v>
      </c>
      <c r="K54" s="1788" t="s">
        <v>1042</v>
      </c>
      <c r="L54" s="1791" t="s">
        <v>1045</v>
      </c>
      <c r="M54" s="1793" t="s">
        <v>1046</v>
      </c>
      <c r="N54" s="1790" t="s">
        <v>12</v>
      </c>
      <c r="O54" s="1793" t="s">
        <v>14</v>
      </c>
      <c r="P54" s="420" t="s">
        <v>683</v>
      </c>
      <c r="Q54" s="421"/>
      <c r="R54" s="421"/>
      <c r="S54" s="422"/>
      <c r="T54" s="1794"/>
      <c r="U54" s="423">
        <v>5442.9485999999997</v>
      </c>
      <c r="V54" s="424">
        <v>3</v>
      </c>
      <c r="W54" s="424">
        <v>2</v>
      </c>
      <c r="X54" s="425"/>
      <c r="Y54" s="426">
        <v>2022</v>
      </c>
      <c r="Z54" s="417">
        <v>2024</v>
      </c>
      <c r="AA54" s="1804">
        <v>2022</v>
      </c>
      <c r="AB54" s="427"/>
      <c r="AC54" s="1793"/>
      <c r="AD54" s="428" t="s">
        <v>5863</v>
      </c>
      <c r="AE54" s="1791" t="s">
        <v>1047</v>
      </c>
      <c r="AF54" s="1791" t="s">
        <v>1048</v>
      </c>
      <c r="AG54" s="1793" t="s">
        <v>1049</v>
      </c>
      <c r="AH54" s="428"/>
      <c r="AI54" s="1793"/>
      <c r="AJ54" s="429">
        <v>2021</v>
      </c>
      <c r="AK54" s="424">
        <v>10992</v>
      </c>
      <c r="AL54" s="424">
        <v>10934</v>
      </c>
      <c r="AM54" s="430">
        <v>19.420000000000002</v>
      </c>
      <c r="AN54" s="431" t="s">
        <v>1019</v>
      </c>
      <c r="AO54" s="432">
        <v>2024</v>
      </c>
      <c r="AP54" s="425">
        <v>10830</v>
      </c>
      <c r="AQ54" s="433">
        <v>1.47</v>
      </c>
      <c r="AR54" s="425">
        <v>10772.85480349345</v>
      </c>
      <c r="AS54" s="433">
        <v>1.47</v>
      </c>
      <c r="AT54" s="434">
        <v>21.26</v>
      </c>
      <c r="AU54" s="431" t="s">
        <v>1019</v>
      </c>
      <c r="AV54" s="435">
        <v>-9.48</v>
      </c>
      <c r="AW54" s="432">
        <v>2022</v>
      </c>
      <c r="AX54" s="425">
        <v>10181</v>
      </c>
      <c r="AY54" s="433">
        <v>7.37</v>
      </c>
      <c r="AZ54" s="425">
        <v>10167</v>
      </c>
      <c r="BA54" s="433">
        <v>7.01</v>
      </c>
      <c r="BB54" s="434">
        <v>20.777551020408165</v>
      </c>
      <c r="BC54" s="431" t="s">
        <v>1019</v>
      </c>
      <c r="BD54" s="435">
        <v>-7</v>
      </c>
      <c r="BE54" s="432">
        <v>2023</v>
      </c>
      <c r="BF54" s="425"/>
      <c r="BG54" s="433"/>
      <c r="BH54" s="425"/>
      <c r="BI54" s="433"/>
      <c r="BJ54" s="434"/>
      <c r="BK54" s="431"/>
      <c r="BL54" s="435"/>
      <c r="BM54" s="432">
        <v>2024</v>
      </c>
      <c r="BN54" s="425"/>
      <c r="BO54" s="433"/>
      <c r="BP54" s="425"/>
      <c r="BQ54" s="433"/>
      <c r="BR54" s="434"/>
      <c r="BS54" s="431"/>
      <c r="BT54" s="435"/>
      <c r="BU54" s="1805" t="s">
        <v>687</v>
      </c>
      <c r="BV54" s="1806" t="s">
        <v>728</v>
      </c>
      <c r="BW54" s="1807" t="s">
        <v>688</v>
      </c>
      <c r="BX54" s="1808" t="s">
        <v>4904</v>
      </c>
      <c r="BY54" s="1809">
        <v>2021</v>
      </c>
      <c r="BZ54" s="424"/>
      <c r="CA54" s="424"/>
      <c r="CB54" s="430"/>
      <c r="CC54" s="431"/>
      <c r="CD54" s="432">
        <v>2024</v>
      </c>
      <c r="CE54" s="425"/>
      <c r="CF54" s="433"/>
      <c r="CG54" s="425"/>
      <c r="CH54" s="433"/>
      <c r="CI54" s="434"/>
      <c r="CJ54" s="431"/>
      <c r="CK54" s="435"/>
      <c r="CL54" s="432">
        <v>2022</v>
      </c>
      <c r="CM54" s="425">
        <v>0</v>
      </c>
      <c r="CN54" s="433"/>
      <c r="CO54" s="425">
        <v>0</v>
      </c>
      <c r="CP54" s="433"/>
      <c r="CQ54" s="434"/>
      <c r="CR54" s="431"/>
      <c r="CS54" s="435">
        <v>0</v>
      </c>
      <c r="CT54" s="432">
        <v>2023</v>
      </c>
      <c r="CU54" s="425"/>
      <c r="CV54" s="433"/>
      <c r="CW54" s="425"/>
      <c r="CX54" s="433"/>
      <c r="CY54" s="434"/>
      <c r="CZ54" s="431"/>
      <c r="DA54" s="435"/>
      <c r="DB54" s="432">
        <v>2024</v>
      </c>
      <c r="DC54" s="425"/>
      <c r="DD54" s="433"/>
      <c r="DE54" s="425"/>
      <c r="DF54" s="433"/>
      <c r="DG54" s="434"/>
      <c r="DH54" s="431"/>
      <c r="DI54" s="435"/>
      <c r="DJ54" s="1805"/>
      <c r="DK54" s="1806"/>
      <c r="DL54" s="1807"/>
      <c r="DM54" s="1808"/>
      <c r="DN54" s="1810">
        <v>0</v>
      </c>
      <c r="DO54" s="1799">
        <v>0</v>
      </c>
      <c r="DP54" s="1800">
        <v>0</v>
      </c>
      <c r="DQ54" s="1799">
        <v>0</v>
      </c>
      <c r="DR54" s="1800">
        <v>0</v>
      </c>
      <c r="DS54" s="1799">
        <v>0</v>
      </c>
    </row>
    <row r="55" spans="1:123" ht="67.5">
      <c r="A55" s="1801" t="s">
        <v>1050</v>
      </c>
      <c r="B55" s="1788" t="s">
        <v>1051</v>
      </c>
      <c r="C55" s="426">
        <v>2022</v>
      </c>
      <c r="D55" s="417" t="s">
        <v>714</v>
      </c>
      <c r="E55" s="1802">
        <v>3043074</v>
      </c>
      <c r="F55" s="1803" t="s">
        <v>1051</v>
      </c>
      <c r="G55" s="419">
        <v>45222</v>
      </c>
      <c r="H55" s="1790" t="s">
        <v>1052</v>
      </c>
      <c r="I55" s="1791" t="s">
        <v>1051</v>
      </c>
      <c r="J55" s="1793" t="s">
        <v>1053</v>
      </c>
      <c r="K55" s="1788" t="s">
        <v>1051</v>
      </c>
      <c r="L55" s="1791" t="s">
        <v>1053</v>
      </c>
      <c r="M55" s="1793" t="s">
        <v>1052</v>
      </c>
      <c r="N55" s="1790" t="s">
        <v>48</v>
      </c>
      <c r="O55" s="1793" t="s">
        <v>50</v>
      </c>
      <c r="P55" s="420"/>
      <c r="Q55" s="421"/>
      <c r="R55" s="421" t="s">
        <v>717</v>
      </c>
      <c r="S55" s="422"/>
      <c r="T55" s="1794"/>
      <c r="U55" s="423"/>
      <c r="V55" s="424"/>
      <c r="W55" s="424"/>
      <c r="X55" s="425">
        <v>105</v>
      </c>
      <c r="Y55" s="426">
        <v>2022</v>
      </c>
      <c r="Z55" s="417">
        <v>2024</v>
      </c>
      <c r="AA55" s="1804">
        <v>2022</v>
      </c>
      <c r="AB55" s="427"/>
      <c r="AC55" s="1793"/>
      <c r="AD55" s="428" t="s">
        <v>5863</v>
      </c>
      <c r="AE55" s="1791" t="s">
        <v>1054</v>
      </c>
      <c r="AF55" s="1791" t="s">
        <v>1055</v>
      </c>
      <c r="AG55" s="1793" t="s">
        <v>1056</v>
      </c>
      <c r="AH55" s="428"/>
      <c r="AI55" s="1793"/>
      <c r="AJ55" s="429">
        <v>2021</v>
      </c>
      <c r="AK55" s="424">
        <v>0</v>
      </c>
      <c r="AL55" s="424"/>
      <c r="AM55" s="430"/>
      <c r="AN55" s="431"/>
      <c r="AO55" s="432">
        <v>2024</v>
      </c>
      <c r="AP55" s="425">
        <v>0</v>
      </c>
      <c r="AQ55" s="433"/>
      <c r="AR55" s="425">
        <v>0</v>
      </c>
      <c r="AS55" s="433"/>
      <c r="AT55" s="434"/>
      <c r="AU55" s="431"/>
      <c r="AV55" s="435"/>
      <c r="AW55" s="432">
        <v>2022</v>
      </c>
      <c r="AX55" s="425"/>
      <c r="AY55" s="433"/>
      <c r="AZ55" s="425"/>
      <c r="BA55" s="433"/>
      <c r="BB55" s="434"/>
      <c r="BC55" s="431"/>
      <c r="BD55" s="435"/>
      <c r="BE55" s="432">
        <v>2023</v>
      </c>
      <c r="BF55" s="425"/>
      <c r="BG55" s="433"/>
      <c r="BH55" s="425"/>
      <c r="BI55" s="433"/>
      <c r="BJ55" s="434"/>
      <c r="BK55" s="431"/>
      <c r="BL55" s="435"/>
      <c r="BM55" s="432">
        <v>2024</v>
      </c>
      <c r="BN55" s="425"/>
      <c r="BO55" s="433"/>
      <c r="BP55" s="425"/>
      <c r="BQ55" s="433"/>
      <c r="BR55" s="434"/>
      <c r="BS55" s="431"/>
      <c r="BT55" s="435"/>
      <c r="BU55" s="1805"/>
      <c r="BV55" s="1806"/>
      <c r="BW55" s="1807"/>
      <c r="BX55" s="1808"/>
      <c r="BY55" s="1809">
        <v>2021</v>
      </c>
      <c r="BZ55" s="424">
        <v>1251</v>
      </c>
      <c r="CA55" s="424">
        <v>1251</v>
      </c>
      <c r="CB55" s="430"/>
      <c r="CC55" s="431"/>
      <c r="CD55" s="432">
        <v>2024</v>
      </c>
      <c r="CE55" s="425">
        <v>1230</v>
      </c>
      <c r="CF55" s="433">
        <v>1.67</v>
      </c>
      <c r="CG55" s="425">
        <v>1230</v>
      </c>
      <c r="CH55" s="433">
        <v>1.67</v>
      </c>
      <c r="CI55" s="434"/>
      <c r="CJ55" s="431"/>
      <c r="CK55" s="435"/>
      <c r="CL55" s="432">
        <v>2022</v>
      </c>
      <c r="CM55" s="425">
        <v>1169.6961600000002</v>
      </c>
      <c r="CN55" s="433">
        <v>6.49</v>
      </c>
      <c r="CO55" s="425">
        <v>1169.6961600000002</v>
      </c>
      <c r="CP55" s="433">
        <v>6.49</v>
      </c>
      <c r="CQ55" s="434"/>
      <c r="CR55" s="431"/>
      <c r="CS55" s="435"/>
      <c r="CT55" s="432">
        <v>2023</v>
      </c>
      <c r="CU55" s="425"/>
      <c r="CV55" s="433"/>
      <c r="CW55" s="425"/>
      <c r="CX55" s="433"/>
      <c r="CY55" s="434"/>
      <c r="CZ55" s="431"/>
      <c r="DA55" s="435"/>
      <c r="DB55" s="432">
        <v>2024</v>
      </c>
      <c r="DC55" s="425"/>
      <c r="DD55" s="433"/>
      <c r="DE55" s="425"/>
      <c r="DF55" s="433"/>
      <c r="DG55" s="434"/>
      <c r="DH55" s="431"/>
      <c r="DI55" s="435"/>
      <c r="DJ55" s="1805" t="s">
        <v>676</v>
      </c>
      <c r="DK55" s="1806" t="s">
        <v>728</v>
      </c>
      <c r="DL55" s="1807" t="s">
        <v>688</v>
      </c>
      <c r="DM55" s="1808"/>
      <c r="DN55" s="1810">
        <v>0</v>
      </c>
      <c r="DO55" s="1799">
        <v>0</v>
      </c>
      <c r="DP55" s="1800">
        <v>0</v>
      </c>
      <c r="DQ55" s="1799">
        <v>0</v>
      </c>
      <c r="DR55" s="1800">
        <v>0</v>
      </c>
      <c r="DS55" s="1799">
        <v>0</v>
      </c>
    </row>
    <row r="56" spans="1:123" ht="94.5">
      <c r="A56" s="1801" t="s">
        <v>1057</v>
      </c>
      <c r="B56" s="1788" t="s">
        <v>1058</v>
      </c>
      <c r="C56" s="426">
        <v>2022</v>
      </c>
      <c r="D56" s="417" t="s">
        <v>681</v>
      </c>
      <c r="E56" s="1802">
        <v>1023075</v>
      </c>
      <c r="F56" s="1803" t="s">
        <v>1058</v>
      </c>
      <c r="G56" s="419">
        <v>45135</v>
      </c>
      <c r="H56" s="1790" t="s">
        <v>1059</v>
      </c>
      <c r="I56" s="1791" t="s">
        <v>1058</v>
      </c>
      <c r="J56" s="1793" t="s">
        <v>4905</v>
      </c>
      <c r="K56" s="1788" t="s">
        <v>1058</v>
      </c>
      <c r="L56" s="1791" t="s">
        <v>1060</v>
      </c>
      <c r="M56" s="1793" t="s">
        <v>1061</v>
      </c>
      <c r="N56" s="1790" t="s">
        <v>12</v>
      </c>
      <c r="O56" s="1793" t="s">
        <v>27</v>
      </c>
      <c r="P56" s="420" t="s">
        <v>683</v>
      </c>
      <c r="Q56" s="421"/>
      <c r="R56" s="421"/>
      <c r="S56" s="422"/>
      <c r="T56" s="1794"/>
      <c r="U56" s="423">
        <v>10857.93</v>
      </c>
      <c r="V56" s="424">
        <v>1</v>
      </c>
      <c r="W56" s="424">
        <v>1</v>
      </c>
      <c r="X56" s="425"/>
      <c r="Y56" s="426">
        <v>2022</v>
      </c>
      <c r="Z56" s="417">
        <v>2024</v>
      </c>
      <c r="AA56" s="1804">
        <v>2022</v>
      </c>
      <c r="AB56" s="427"/>
      <c r="AC56" s="1793"/>
      <c r="AD56" s="428" t="s">
        <v>5863</v>
      </c>
      <c r="AE56" s="1791" t="s">
        <v>1062</v>
      </c>
      <c r="AF56" s="1791" t="s">
        <v>1059</v>
      </c>
      <c r="AG56" s="1793" t="s">
        <v>1063</v>
      </c>
      <c r="AH56" s="428"/>
      <c r="AI56" s="1793"/>
      <c r="AJ56" s="429">
        <v>2021</v>
      </c>
      <c r="AK56" s="424">
        <v>21132</v>
      </c>
      <c r="AL56" s="424">
        <v>20961</v>
      </c>
      <c r="AM56" s="430">
        <v>6.76</v>
      </c>
      <c r="AN56" s="431" t="s">
        <v>1064</v>
      </c>
      <c r="AO56" s="432">
        <v>2024</v>
      </c>
      <c r="AP56" s="425">
        <v>20920</v>
      </c>
      <c r="AQ56" s="433">
        <v>1</v>
      </c>
      <c r="AR56" s="425">
        <v>20540</v>
      </c>
      <c r="AS56" s="433">
        <v>2</v>
      </c>
      <c r="AT56" s="434">
        <v>6.6247999999999996</v>
      </c>
      <c r="AU56" s="431" t="s">
        <v>1064</v>
      </c>
      <c r="AV56" s="435">
        <v>2</v>
      </c>
      <c r="AW56" s="432">
        <v>2022</v>
      </c>
      <c r="AX56" s="425">
        <v>20074</v>
      </c>
      <c r="AY56" s="433">
        <v>5</v>
      </c>
      <c r="AZ56" s="425">
        <v>20034</v>
      </c>
      <c r="BA56" s="433">
        <v>4.42</v>
      </c>
      <c r="BB56" s="434">
        <v>6.6196426039327418</v>
      </c>
      <c r="BC56" s="431" t="s">
        <v>1064</v>
      </c>
      <c r="BD56" s="435">
        <v>2.0699999999999998</v>
      </c>
      <c r="BE56" s="432">
        <v>2023</v>
      </c>
      <c r="BF56" s="425"/>
      <c r="BG56" s="433"/>
      <c r="BH56" s="425"/>
      <c r="BI56" s="433"/>
      <c r="BJ56" s="434"/>
      <c r="BK56" s="431"/>
      <c r="BL56" s="435"/>
      <c r="BM56" s="432">
        <v>2024</v>
      </c>
      <c r="BN56" s="425"/>
      <c r="BO56" s="433"/>
      <c r="BP56" s="425"/>
      <c r="BQ56" s="433"/>
      <c r="BR56" s="434"/>
      <c r="BS56" s="431"/>
      <c r="BT56" s="435"/>
      <c r="BU56" s="1805" t="s">
        <v>719</v>
      </c>
      <c r="BV56" s="1806" t="s">
        <v>728</v>
      </c>
      <c r="BW56" s="1807" t="s">
        <v>697</v>
      </c>
      <c r="BX56" s="1808" t="s">
        <v>4906</v>
      </c>
      <c r="BY56" s="1809">
        <v>2021</v>
      </c>
      <c r="BZ56" s="424"/>
      <c r="CA56" s="424"/>
      <c r="CB56" s="430"/>
      <c r="CC56" s="431"/>
      <c r="CD56" s="432">
        <v>2024</v>
      </c>
      <c r="CE56" s="425"/>
      <c r="CF56" s="433"/>
      <c r="CG56" s="425"/>
      <c r="CH56" s="433"/>
      <c r="CI56" s="434"/>
      <c r="CJ56" s="431"/>
      <c r="CK56" s="435"/>
      <c r="CL56" s="432">
        <v>2022</v>
      </c>
      <c r="CM56" s="425">
        <v>0</v>
      </c>
      <c r="CN56" s="433"/>
      <c r="CO56" s="425">
        <v>0</v>
      </c>
      <c r="CP56" s="433"/>
      <c r="CQ56" s="434"/>
      <c r="CR56" s="431"/>
      <c r="CS56" s="435">
        <v>0</v>
      </c>
      <c r="CT56" s="432">
        <v>2023</v>
      </c>
      <c r="CU56" s="425"/>
      <c r="CV56" s="433"/>
      <c r="CW56" s="425"/>
      <c r="CX56" s="433"/>
      <c r="CY56" s="434"/>
      <c r="CZ56" s="431"/>
      <c r="DA56" s="435"/>
      <c r="DB56" s="432">
        <v>2024</v>
      </c>
      <c r="DC56" s="425"/>
      <c r="DD56" s="433"/>
      <c r="DE56" s="425"/>
      <c r="DF56" s="433"/>
      <c r="DG56" s="434"/>
      <c r="DH56" s="431"/>
      <c r="DI56" s="435"/>
      <c r="DJ56" s="1805"/>
      <c r="DK56" s="1806"/>
      <c r="DL56" s="1807"/>
      <c r="DM56" s="1808"/>
      <c r="DN56" s="1810">
        <v>0</v>
      </c>
      <c r="DO56" s="1799">
        <v>0</v>
      </c>
      <c r="DP56" s="1800">
        <v>0</v>
      </c>
      <c r="DQ56" s="1799">
        <v>0</v>
      </c>
      <c r="DR56" s="1800">
        <v>0</v>
      </c>
      <c r="DS56" s="1799">
        <v>0</v>
      </c>
    </row>
    <row r="57" spans="1:123" ht="54">
      <c r="A57" s="1801" t="s">
        <v>1065</v>
      </c>
      <c r="B57" s="1788" t="s">
        <v>1066</v>
      </c>
      <c r="C57" s="426">
        <v>2022</v>
      </c>
      <c r="D57" s="417" t="s">
        <v>681</v>
      </c>
      <c r="E57" s="1802">
        <v>1069076</v>
      </c>
      <c r="F57" s="1803" t="s">
        <v>1066</v>
      </c>
      <c r="G57" s="419">
        <v>45105</v>
      </c>
      <c r="H57" s="1790" t="s">
        <v>1067</v>
      </c>
      <c r="I57" s="1791" t="s">
        <v>1066</v>
      </c>
      <c r="J57" s="1793" t="s">
        <v>1068</v>
      </c>
      <c r="K57" s="1788" t="s">
        <v>1066</v>
      </c>
      <c r="L57" s="1791" t="s">
        <v>1069</v>
      </c>
      <c r="M57" s="1793" t="s">
        <v>1067</v>
      </c>
      <c r="N57" s="1790" t="s">
        <v>77</v>
      </c>
      <c r="O57" s="1793" t="s">
        <v>79</v>
      </c>
      <c r="P57" s="420" t="s">
        <v>683</v>
      </c>
      <c r="Q57" s="421"/>
      <c r="R57" s="421"/>
      <c r="S57" s="422"/>
      <c r="T57" s="1794"/>
      <c r="U57" s="423">
        <v>1701.5873999999999</v>
      </c>
      <c r="V57" s="424">
        <v>1</v>
      </c>
      <c r="W57" s="424">
        <v>1</v>
      </c>
      <c r="X57" s="425"/>
      <c r="Y57" s="426">
        <v>2022</v>
      </c>
      <c r="Z57" s="417">
        <v>2024</v>
      </c>
      <c r="AA57" s="1804">
        <v>2022</v>
      </c>
      <c r="AB57" s="427"/>
      <c r="AC57" s="1793"/>
      <c r="AD57" s="428" t="s">
        <v>5863</v>
      </c>
      <c r="AE57" s="1791" t="s">
        <v>1070</v>
      </c>
      <c r="AF57" s="1791" t="s">
        <v>1067</v>
      </c>
      <c r="AG57" s="1793" t="s">
        <v>1071</v>
      </c>
      <c r="AH57" s="428"/>
      <c r="AI57" s="1793"/>
      <c r="AJ57" s="429">
        <v>2021</v>
      </c>
      <c r="AK57" s="424">
        <v>2934</v>
      </c>
      <c r="AL57" s="424">
        <v>2920</v>
      </c>
      <c r="AM57" s="430"/>
      <c r="AN57" s="431"/>
      <c r="AO57" s="432">
        <v>2024</v>
      </c>
      <c r="AP57" s="425">
        <v>2904</v>
      </c>
      <c r="AQ57" s="433">
        <v>1.02</v>
      </c>
      <c r="AR57" s="425">
        <v>2838</v>
      </c>
      <c r="AS57" s="433">
        <v>2.8</v>
      </c>
      <c r="AT57" s="434"/>
      <c r="AU57" s="431"/>
      <c r="AV57" s="435"/>
      <c r="AW57" s="432">
        <v>2022</v>
      </c>
      <c r="AX57" s="425">
        <v>3192</v>
      </c>
      <c r="AY57" s="433">
        <v>-8.8000000000000007</v>
      </c>
      <c r="AZ57" s="425">
        <v>3189</v>
      </c>
      <c r="BA57" s="433">
        <v>-9.2200000000000006</v>
      </c>
      <c r="BB57" s="434"/>
      <c r="BC57" s="431"/>
      <c r="BD57" s="435"/>
      <c r="BE57" s="432">
        <v>2023</v>
      </c>
      <c r="BF57" s="425"/>
      <c r="BG57" s="433"/>
      <c r="BH57" s="425"/>
      <c r="BI57" s="433"/>
      <c r="BJ57" s="434"/>
      <c r="BK57" s="431"/>
      <c r="BL57" s="435"/>
      <c r="BM57" s="432">
        <v>2024</v>
      </c>
      <c r="BN57" s="425"/>
      <c r="BO57" s="433"/>
      <c r="BP57" s="425"/>
      <c r="BQ57" s="433"/>
      <c r="BR57" s="434"/>
      <c r="BS57" s="431"/>
      <c r="BT57" s="435"/>
      <c r="BU57" s="1805" t="s">
        <v>676</v>
      </c>
      <c r="BV57" s="1806" t="s">
        <v>728</v>
      </c>
      <c r="BW57" s="1807" t="s">
        <v>678</v>
      </c>
      <c r="BX57" s="1808" t="s">
        <v>4907</v>
      </c>
      <c r="BY57" s="1809">
        <v>2021</v>
      </c>
      <c r="BZ57" s="424"/>
      <c r="CA57" s="424"/>
      <c r="CB57" s="430"/>
      <c r="CC57" s="431"/>
      <c r="CD57" s="432">
        <v>2024</v>
      </c>
      <c r="CE57" s="425"/>
      <c r="CF57" s="433"/>
      <c r="CG57" s="425"/>
      <c r="CH57" s="433"/>
      <c r="CI57" s="434"/>
      <c r="CJ57" s="431"/>
      <c r="CK57" s="435"/>
      <c r="CL57" s="432">
        <v>2022</v>
      </c>
      <c r="CM57" s="425">
        <v>0</v>
      </c>
      <c r="CN57" s="433"/>
      <c r="CO57" s="425">
        <v>0</v>
      </c>
      <c r="CP57" s="433"/>
      <c r="CQ57" s="434"/>
      <c r="CR57" s="431"/>
      <c r="CS57" s="435"/>
      <c r="CT57" s="432">
        <v>2023</v>
      </c>
      <c r="CU57" s="425"/>
      <c r="CV57" s="433"/>
      <c r="CW57" s="425"/>
      <c r="CX57" s="433"/>
      <c r="CY57" s="434"/>
      <c r="CZ57" s="431"/>
      <c r="DA57" s="435"/>
      <c r="DB57" s="432">
        <v>2024</v>
      </c>
      <c r="DC57" s="425"/>
      <c r="DD57" s="433"/>
      <c r="DE57" s="425"/>
      <c r="DF57" s="433"/>
      <c r="DG57" s="434"/>
      <c r="DH57" s="431"/>
      <c r="DI57" s="435"/>
      <c r="DJ57" s="1805"/>
      <c r="DK57" s="1806"/>
      <c r="DL57" s="1807"/>
      <c r="DM57" s="1808"/>
      <c r="DN57" s="1810">
        <v>0</v>
      </c>
      <c r="DO57" s="1799">
        <v>0</v>
      </c>
      <c r="DP57" s="1800">
        <v>0</v>
      </c>
      <c r="DQ57" s="1799">
        <v>0</v>
      </c>
      <c r="DR57" s="1800">
        <v>0</v>
      </c>
      <c r="DS57" s="1799">
        <v>0</v>
      </c>
    </row>
    <row r="58" spans="1:123" ht="81">
      <c r="A58" s="1801" t="s">
        <v>1072</v>
      </c>
      <c r="B58" s="1788" t="s">
        <v>1073</v>
      </c>
      <c r="C58" s="426">
        <v>2022</v>
      </c>
      <c r="D58" s="417" t="s">
        <v>681</v>
      </c>
      <c r="E58" s="1802">
        <v>1026077</v>
      </c>
      <c r="F58" s="1803" t="s">
        <v>1073</v>
      </c>
      <c r="G58" s="419">
        <v>45090</v>
      </c>
      <c r="H58" s="1790" t="s">
        <v>1074</v>
      </c>
      <c r="I58" s="1791" t="s">
        <v>1073</v>
      </c>
      <c r="J58" s="1793" t="s">
        <v>1075</v>
      </c>
      <c r="K58" s="1788" t="s">
        <v>1073</v>
      </c>
      <c r="L58" s="1791" t="s">
        <v>1076</v>
      </c>
      <c r="M58" s="1793" t="s">
        <v>1074</v>
      </c>
      <c r="N58" s="1790" t="s">
        <v>12</v>
      </c>
      <c r="O58" s="1793" t="s">
        <v>30</v>
      </c>
      <c r="P58" s="420" t="s">
        <v>683</v>
      </c>
      <c r="Q58" s="421"/>
      <c r="R58" s="421"/>
      <c r="S58" s="422"/>
      <c r="T58" s="1794"/>
      <c r="U58" s="423">
        <v>1846.0932</v>
      </c>
      <c r="V58" s="424">
        <v>1</v>
      </c>
      <c r="W58" s="424">
        <v>1</v>
      </c>
      <c r="X58" s="425"/>
      <c r="Y58" s="426">
        <v>2022</v>
      </c>
      <c r="Z58" s="417">
        <v>2024</v>
      </c>
      <c r="AA58" s="1804">
        <v>2022</v>
      </c>
      <c r="AB58" s="427" t="s">
        <v>5863</v>
      </c>
      <c r="AC58" s="1793" t="s">
        <v>1077</v>
      </c>
      <c r="AD58" s="428"/>
      <c r="AE58" s="1791"/>
      <c r="AF58" s="1791"/>
      <c r="AG58" s="1793"/>
      <c r="AH58" s="428"/>
      <c r="AI58" s="1793"/>
      <c r="AJ58" s="429">
        <v>2021</v>
      </c>
      <c r="AK58" s="424">
        <v>3370</v>
      </c>
      <c r="AL58" s="424">
        <v>2965</v>
      </c>
      <c r="AM58" s="430"/>
      <c r="AN58" s="431"/>
      <c r="AO58" s="432">
        <v>2024</v>
      </c>
      <c r="AP58" s="425">
        <v>3268.9</v>
      </c>
      <c r="AQ58" s="433">
        <v>3</v>
      </c>
      <c r="AR58" s="425">
        <v>2876.05</v>
      </c>
      <c r="AS58" s="433">
        <v>2.99</v>
      </c>
      <c r="AT58" s="434"/>
      <c r="AU58" s="431"/>
      <c r="AV58" s="435"/>
      <c r="AW58" s="432">
        <v>2022</v>
      </c>
      <c r="AX58" s="425">
        <v>3378</v>
      </c>
      <c r="AY58" s="433">
        <v>-0.24</v>
      </c>
      <c r="AZ58" s="425">
        <v>1903</v>
      </c>
      <c r="BA58" s="433">
        <v>35.81</v>
      </c>
      <c r="BB58" s="434"/>
      <c r="BC58" s="431"/>
      <c r="BD58" s="435"/>
      <c r="BE58" s="432">
        <v>2023</v>
      </c>
      <c r="BF58" s="425"/>
      <c r="BG58" s="433"/>
      <c r="BH58" s="425"/>
      <c r="BI58" s="433"/>
      <c r="BJ58" s="434"/>
      <c r="BK58" s="431"/>
      <c r="BL58" s="435"/>
      <c r="BM58" s="432">
        <v>2024</v>
      </c>
      <c r="BN58" s="425"/>
      <c r="BO58" s="433"/>
      <c r="BP58" s="425"/>
      <c r="BQ58" s="433"/>
      <c r="BR58" s="434"/>
      <c r="BS58" s="431"/>
      <c r="BT58" s="435"/>
      <c r="BU58" s="1805" t="s">
        <v>687</v>
      </c>
      <c r="BV58" s="1806" t="s">
        <v>728</v>
      </c>
      <c r="BW58" s="1807" t="s">
        <v>688</v>
      </c>
      <c r="BX58" s="1808"/>
      <c r="BY58" s="1809">
        <v>2021</v>
      </c>
      <c r="BZ58" s="424"/>
      <c r="CA58" s="424"/>
      <c r="CB58" s="430"/>
      <c r="CC58" s="431"/>
      <c r="CD58" s="432">
        <v>2024</v>
      </c>
      <c r="CE58" s="425"/>
      <c r="CF58" s="433"/>
      <c r="CG58" s="425"/>
      <c r="CH58" s="433"/>
      <c r="CI58" s="434"/>
      <c r="CJ58" s="431"/>
      <c r="CK58" s="435"/>
      <c r="CL58" s="432">
        <v>2022</v>
      </c>
      <c r="CM58" s="425">
        <v>0</v>
      </c>
      <c r="CN58" s="433"/>
      <c r="CO58" s="425">
        <v>0</v>
      </c>
      <c r="CP58" s="433"/>
      <c r="CQ58" s="434"/>
      <c r="CR58" s="431"/>
      <c r="CS58" s="435">
        <v>0</v>
      </c>
      <c r="CT58" s="432">
        <v>2023</v>
      </c>
      <c r="CU58" s="425"/>
      <c r="CV58" s="433"/>
      <c r="CW58" s="425"/>
      <c r="CX58" s="433"/>
      <c r="CY58" s="434"/>
      <c r="CZ58" s="431"/>
      <c r="DA58" s="435"/>
      <c r="DB58" s="432">
        <v>2024</v>
      </c>
      <c r="DC58" s="425"/>
      <c r="DD58" s="433"/>
      <c r="DE58" s="425"/>
      <c r="DF58" s="433"/>
      <c r="DG58" s="434"/>
      <c r="DH58" s="431"/>
      <c r="DI58" s="435"/>
      <c r="DJ58" s="1805"/>
      <c r="DK58" s="1806"/>
      <c r="DL58" s="1807"/>
      <c r="DM58" s="1808"/>
      <c r="DN58" s="1810">
        <v>0</v>
      </c>
      <c r="DO58" s="1799">
        <v>0</v>
      </c>
      <c r="DP58" s="1800">
        <v>0</v>
      </c>
      <c r="DQ58" s="1799">
        <v>1</v>
      </c>
      <c r="DR58" s="1800">
        <v>0</v>
      </c>
      <c r="DS58" s="1799">
        <v>0</v>
      </c>
    </row>
    <row r="59" spans="1:123" ht="81">
      <c r="A59" s="1801" t="s">
        <v>1078</v>
      </c>
      <c r="B59" s="1788" t="s">
        <v>1079</v>
      </c>
      <c r="C59" s="426">
        <v>2022</v>
      </c>
      <c r="D59" s="417" t="s">
        <v>681</v>
      </c>
      <c r="E59" s="1802">
        <v>1016078</v>
      </c>
      <c r="F59" s="1803" t="s">
        <v>1079</v>
      </c>
      <c r="G59" s="419">
        <v>45157</v>
      </c>
      <c r="H59" s="1790" t="s">
        <v>1080</v>
      </c>
      <c r="I59" s="1791" t="s">
        <v>1079</v>
      </c>
      <c r="J59" s="1793" t="s">
        <v>4908</v>
      </c>
      <c r="K59" s="1788" t="s">
        <v>1079</v>
      </c>
      <c r="L59" s="1791" t="s">
        <v>1081</v>
      </c>
      <c r="M59" s="1793" t="s">
        <v>1082</v>
      </c>
      <c r="N59" s="1790" t="s">
        <v>12</v>
      </c>
      <c r="O59" s="1793" t="s">
        <v>20</v>
      </c>
      <c r="P59" s="420" t="s">
        <v>683</v>
      </c>
      <c r="Q59" s="421"/>
      <c r="R59" s="421"/>
      <c r="S59" s="422"/>
      <c r="T59" s="1794"/>
      <c r="U59" s="423">
        <v>38859.340799999998</v>
      </c>
      <c r="V59" s="424">
        <v>1</v>
      </c>
      <c r="W59" s="424">
        <v>1</v>
      </c>
      <c r="X59" s="425"/>
      <c r="Y59" s="426">
        <v>2022</v>
      </c>
      <c r="Z59" s="417">
        <v>2024</v>
      </c>
      <c r="AA59" s="1804">
        <v>2022</v>
      </c>
      <c r="AB59" s="427"/>
      <c r="AC59" s="1793"/>
      <c r="AD59" s="428" t="s">
        <v>5863</v>
      </c>
      <c r="AE59" s="1791" t="s">
        <v>1083</v>
      </c>
      <c r="AF59" s="1791" t="s">
        <v>1084</v>
      </c>
      <c r="AG59" s="1793" t="s">
        <v>1085</v>
      </c>
      <c r="AH59" s="428"/>
      <c r="AI59" s="1793"/>
      <c r="AJ59" s="429">
        <v>2021</v>
      </c>
      <c r="AK59" s="424">
        <v>79959</v>
      </c>
      <c r="AL59" s="424">
        <v>79341</v>
      </c>
      <c r="AM59" s="430">
        <v>1.1000000000000001</v>
      </c>
      <c r="AN59" s="431" t="s">
        <v>1577</v>
      </c>
      <c r="AO59" s="432">
        <v>2024</v>
      </c>
      <c r="AP59" s="425">
        <v>78356</v>
      </c>
      <c r="AQ59" s="433">
        <v>2</v>
      </c>
      <c r="AR59" s="425">
        <v>77754</v>
      </c>
      <c r="AS59" s="433">
        <v>2</v>
      </c>
      <c r="AT59" s="434">
        <v>1.08</v>
      </c>
      <c r="AU59" s="431" t="s">
        <v>1577</v>
      </c>
      <c r="AV59" s="435">
        <v>1.81</v>
      </c>
      <c r="AW59" s="432">
        <v>2022</v>
      </c>
      <c r="AX59" s="425">
        <v>68325</v>
      </c>
      <c r="AY59" s="433">
        <v>14.54</v>
      </c>
      <c r="AZ59" s="425">
        <v>68325</v>
      </c>
      <c r="BA59" s="433">
        <v>13.88</v>
      </c>
      <c r="BB59" s="434">
        <v>0.92686711646415842</v>
      </c>
      <c r="BC59" s="431" t="s">
        <v>1577</v>
      </c>
      <c r="BD59" s="435">
        <v>15.73</v>
      </c>
      <c r="BE59" s="432">
        <v>2023</v>
      </c>
      <c r="BF59" s="425"/>
      <c r="BG59" s="433"/>
      <c r="BH59" s="425"/>
      <c r="BI59" s="433"/>
      <c r="BJ59" s="434"/>
      <c r="BK59" s="431"/>
      <c r="BL59" s="435"/>
      <c r="BM59" s="432">
        <v>2024</v>
      </c>
      <c r="BN59" s="425"/>
      <c r="BO59" s="433"/>
      <c r="BP59" s="425"/>
      <c r="BQ59" s="433"/>
      <c r="BR59" s="434"/>
      <c r="BS59" s="431"/>
      <c r="BT59" s="435"/>
      <c r="BU59" s="1805" t="s">
        <v>687</v>
      </c>
      <c r="BV59" s="1806" t="s">
        <v>728</v>
      </c>
      <c r="BW59" s="1807" t="s">
        <v>697</v>
      </c>
      <c r="BX59" s="1808" t="s">
        <v>4909</v>
      </c>
      <c r="BY59" s="1809">
        <v>2021</v>
      </c>
      <c r="BZ59" s="424"/>
      <c r="CA59" s="424"/>
      <c r="CB59" s="430"/>
      <c r="CC59" s="431"/>
      <c r="CD59" s="432">
        <v>2024</v>
      </c>
      <c r="CE59" s="425"/>
      <c r="CF59" s="433"/>
      <c r="CG59" s="425"/>
      <c r="CH59" s="433"/>
      <c r="CI59" s="434"/>
      <c r="CJ59" s="431"/>
      <c r="CK59" s="435"/>
      <c r="CL59" s="432">
        <v>2022</v>
      </c>
      <c r="CM59" s="425">
        <v>0</v>
      </c>
      <c r="CN59" s="433"/>
      <c r="CO59" s="425">
        <v>0</v>
      </c>
      <c r="CP59" s="433"/>
      <c r="CQ59" s="434"/>
      <c r="CR59" s="431"/>
      <c r="CS59" s="435">
        <v>0</v>
      </c>
      <c r="CT59" s="432">
        <v>2023</v>
      </c>
      <c r="CU59" s="425"/>
      <c r="CV59" s="433"/>
      <c r="CW59" s="425"/>
      <c r="CX59" s="433"/>
      <c r="CY59" s="434"/>
      <c r="CZ59" s="431"/>
      <c r="DA59" s="435"/>
      <c r="DB59" s="432">
        <v>2024</v>
      </c>
      <c r="DC59" s="425"/>
      <c r="DD59" s="433"/>
      <c r="DE59" s="425"/>
      <c r="DF59" s="433"/>
      <c r="DG59" s="434"/>
      <c r="DH59" s="431"/>
      <c r="DI59" s="435"/>
      <c r="DJ59" s="1805"/>
      <c r="DK59" s="1806"/>
      <c r="DL59" s="1807"/>
      <c r="DM59" s="1808"/>
      <c r="DN59" s="1810">
        <v>0</v>
      </c>
      <c r="DO59" s="1799">
        <v>0</v>
      </c>
      <c r="DP59" s="1800">
        <v>0</v>
      </c>
      <c r="DQ59" s="1799">
        <v>0</v>
      </c>
      <c r="DR59" s="1800">
        <v>0</v>
      </c>
      <c r="DS59" s="1799">
        <v>0</v>
      </c>
    </row>
    <row r="60" spans="1:123" ht="121.5">
      <c r="A60" s="1801" t="s">
        <v>1087</v>
      </c>
      <c r="B60" s="1788" t="s">
        <v>1088</v>
      </c>
      <c r="C60" s="426">
        <v>2022</v>
      </c>
      <c r="D60" s="417" t="s">
        <v>681</v>
      </c>
      <c r="E60" s="1802">
        <v>1031082</v>
      </c>
      <c r="F60" s="1803" t="s">
        <v>1088</v>
      </c>
      <c r="G60" s="419">
        <v>45133</v>
      </c>
      <c r="H60" s="1790" t="s">
        <v>1089</v>
      </c>
      <c r="I60" s="1791" t="s">
        <v>1088</v>
      </c>
      <c r="J60" s="1793" t="s">
        <v>4910</v>
      </c>
      <c r="K60" s="1788" t="s">
        <v>1088</v>
      </c>
      <c r="L60" s="1791" t="s">
        <v>4910</v>
      </c>
      <c r="M60" s="1793" t="s">
        <v>1090</v>
      </c>
      <c r="N60" s="1790" t="s">
        <v>12</v>
      </c>
      <c r="O60" s="1793" t="s">
        <v>35</v>
      </c>
      <c r="P60" s="420" t="s">
        <v>683</v>
      </c>
      <c r="Q60" s="421"/>
      <c r="R60" s="421"/>
      <c r="S60" s="422"/>
      <c r="T60" s="1794"/>
      <c r="U60" s="423">
        <v>6481.4759999999997</v>
      </c>
      <c r="V60" s="424">
        <v>4</v>
      </c>
      <c r="W60" s="424">
        <v>2</v>
      </c>
      <c r="X60" s="425"/>
      <c r="Y60" s="426">
        <v>2022</v>
      </c>
      <c r="Z60" s="417">
        <v>2024</v>
      </c>
      <c r="AA60" s="1804">
        <v>2022</v>
      </c>
      <c r="AB60" s="427"/>
      <c r="AC60" s="1793"/>
      <c r="AD60" s="428" t="s">
        <v>5863</v>
      </c>
      <c r="AE60" s="1791" t="s">
        <v>1091</v>
      </c>
      <c r="AF60" s="1791" t="s">
        <v>1092</v>
      </c>
      <c r="AG60" s="1793" t="s">
        <v>1093</v>
      </c>
      <c r="AH60" s="428"/>
      <c r="AI60" s="1793"/>
      <c r="AJ60" s="429">
        <v>2021</v>
      </c>
      <c r="AK60" s="424">
        <v>9646</v>
      </c>
      <c r="AL60" s="424">
        <v>11272</v>
      </c>
      <c r="AM60" s="430">
        <v>2.48</v>
      </c>
      <c r="AN60" s="431" t="s">
        <v>2596</v>
      </c>
      <c r="AO60" s="432">
        <v>2024</v>
      </c>
      <c r="AP60" s="425">
        <v>9356</v>
      </c>
      <c r="AQ60" s="433">
        <v>3</v>
      </c>
      <c r="AR60" s="425">
        <v>10900</v>
      </c>
      <c r="AS60" s="433">
        <v>3.3</v>
      </c>
      <c r="AT60" s="434">
        <v>2.4</v>
      </c>
      <c r="AU60" s="431" t="s">
        <v>2596</v>
      </c>
      <c r="AV60" s="435">
        <v>3.22</v>
      </c>
      <c r="AW60" s="432">
        <v>2022</v>
      </c>
      <c r="AX60" s="425">
        <v>10807</v>
      </c>
      <c r="AY60" s="433">
        <v>-12.04</v>
      </c>
      <c r="AZ60" s="425">
        <v>13027</v>
      </c>
      <c r="BA60" s="433">
        <v>-15.57</v>
      </c>
      <c r="BB60" s="434">
        <v>2.7078426459533951</v>
      </c>
      <c r="BC60" s="431" t="s">
        <v>2596</v>
      </c>
      <c r="BD60" s="435">
        <v>-9.19</v>
      </c>
      <c r="BE60" s="432">
        <v>2023</v>
      </c>
      <c r="BF60" s="425"/>
      <c r="BG60" s="433"/>
      <c r="BH60" s="425"/>
      <c r="BI60" s="433"/>
      <c r="BJ60" s="434"/>
      <c r="BK60" s="431"/>
      <c r="BL60" s="435"/>
      <c r="BM60" s="432">
        <v>2024</v>
      </c>
      <c r="BN60" s="425"/>
      <c r="BO60" s="433"/>
      <c r="BP60" s="425"/>
      <c r="BQ60" s="433"/>
      <c r="BR60" s="434"/>
      <c r="BS60" s="431"/>
      <c r="BT60" s="435"/>
      <c r="BU60" s="1805" t="s">
        <v>676</v>
      </c>
      <c r="BV60" s="1806" t="s">
        <v>728</v>
      </c>
      <c r="BW60" s="1807" t="s">
        <v>678</v>
      </c>
      <c r="BX60" s="1808" t="s">
        <v>4911</v>
      </c>
      <c r="BY60" s="1809">
        <v>2021</v>
      </c>
      <c r="BZ60" s="424"/>
      <c r="CA60" s="424"/>
      <c r="CB60" s="430"/>
      <c r="CC60" s="431"/>
      <c r="CD60" s="432">
        <v>2024</v>
      </c>
      <c r="CE60" s="425"/>
      <c r="CF60" s="433"/>
      <c r="CG60" s="425"/>
      <c r="CH60" s="433"/>
      <c r="CI60" s="434"/>
      <c r="CJ60" s="431"/>
      <c r="CK60" s="435"/>
      <c r="CL60" s="432">
        <v>2022</v>
      </c>
      <c r="CM60" s="425">
        <v>0</v>
      </c>
      <c r="CN60" s="433"/>
      <c r="CO60" s="425">
        <v>0</v>
      </c>
      <c r="CP60" s="433"/>
      <c r="CQ60" s="434"/>
      <c r="CR60" s="431"/>
      <c r="CS60" s="435">
        <v>0</v>
      </c>
      <c r="CT60" s="432">
        <v>2023</v>
      </c>
      <c r="CU60" s="425"/>
      <c r="CV60" s="433"/>
      <c r="CW60" s="425"/>
      <c r="CX60" s="433"/>
      <c r="CY60" s="434"/>
      <c r="CZ60" s="431"/>
      <c r="DA60" s="435"/>
      <c r="DB60" s="432">
        <v>2024</v>
      </c>
      <c r="DC60" s="425"/>
      <c r="DD60" s="433"/>
      <c r="DE60" s="425"/>
      <c r="DF60" s="433"/>
      <c r="DG60" s="434"/>
      <c r="DH60" s="431"/>
      <c r="DI60" s="435"/>
      <c r="DJ60" s="1805"/>
      <c r="DK60" s="1806"/>
      <c r="DL60" s="1807"/>
      <c r="DM60" s="1808"/>
      <c r="DN60" s="1810">
        <v>0</v>
      </c>
      <c r="DO60" s="1799">
        <v>0</v>
      </c>
      <c r="DP60" s="1800">
        <v>0</v>
      </c>
      <c r="DQ60" s="1799">
        <v>0</v>
      </c>
      <c r="DR60" s="1800">
        <v>0</v>
      </c>
      <c r="DS60" s="1799">
        <v>0</v>
      </c>
    </row>
    <row r="61" spans="1:123" ht="81">
      <c r="A61" s="1801" t="s">
        <v>1094</v>
      </c>
      <c r="B61" s="1788" t="s">
        <v>1095</v>
      </c>
      <c r="C61" s="426">
        <v>2022</v>
      </c>
      <c r="D61" s="417" t="s">
        <v>681</v>
      </c>
      <c r="E61" s="1802">
        <v>1019083</v>
      </c>
      <c r="F61" s="1803" t="s">
        <v>1095</v>
      </c>
      <c r="G61" s="419">
        <v>45127</v>
      </c>
      <c r="H61" s="1790" t="s">
        <v>1096</v>
      </c>
      <c r="I61" s="1791" t="s">
        <v>1095</v>
      </c>
      <c r="J61" s="1793" t="s">
        <v>1097</v>
      </c>
      <c r="K61" s="1788" t="s">
        <v>1095</v>
      </c>
      <c r="L61" s="1791" t="s">
        <v>1098</v>
      </c>
      <c r="M61" s="1793" t="s">
        <v>1099</v>
      </c>
      <c r="N61" s="1790" t="s">
        <v>12</v>
      </c>
      <c r="O61" s="1793" t="s">
        <v>23</v>
      </c>
      <c r="P61" s="420" t="s">
        <v>683</v>
      </c>
      <c r="Q61" s="421"/>
      <c r="R61" s="421"/>
      <c r="S61" s="422"/>
      <c r="T61" s="1794"/>
      <c r="U61" s="423">
        <v>11514.3078</v>
      </c>
      <c r="V61" s="424">
        <v>1</v>
      </c>
      <c r="W61" s="424">
        <v>1</v>
      </c>
      <c r="X61" s="425"/>
      <c r="Y61" s="426">
        <v>2022</v>
      </c>
      <c r="Z61" s="417">
        <v>2024</v>
      </c>
      <c r="AA61" s="1804">
        <v>2022</v>
      </c>
      <c r="AB61" s="427"/>
      <c r="AC61" s="1793"/>
      <c r="AD61" s="428" t="s">
        <v>5863</v>
      </c>
      <c r="AE61" s="1791" t="s">
        <v>4912</v>
      </c>
      <c r="AF61" s="1791" t="s">
        <v>1100</v>
      </c>
      <c r="AG61" s="1793" t="s">
        <v>1101</v>
      </c>
      <c r="AH61" s="428"/>
      <c r="AI61" s="1793"/>
      <c r="AJ61" s="429">
        <v>2021</v>
      </c>
      <c r="AK61" s="424">
        <v>24821</v>
      </c>
      <c r="AL61" s="424">
        <v>24668</v>
      </c>
      <c r="AM61" s="430">
        <v>29.92</v>
      </c>
      <c r="AN61" s="431" t="s">
        <v>1102</v>
      </c>
      <c r="AO61" s="432">
        <v>2024</v>
      </c>
      <c r="AP61" s="425">
        <v>24076</v>
      </c>
      <c r="AQ61" s="433">
        <v>3</v>
      </c>
      <c r="AR61" s="425">
        <v>23928</v>
      </c>
      <c r="AS61" s="433">
        <v>2.99</v>
      </c>
      <c r="AT61" s="434">
        <v>29.03</v>
      </c>
      <c r="AU61" s="431" t="s">
        <v>1102</v>
      </c>
      <c r="AV61" s="435">
        <v>2.97</v>
      </c>
      <c r="AW61" s="432">
        <v>2022</v>
      </c>
      <c r="AX61" s="425">
        <v>21416</v>
      </c>
      <c r="AY61" s="433">
        <v>13.71</v>
      </c>
      <c r="AZ61" s="425">
        <v>21384</v>
      </c>
      <c r="BA61" s="433">
        <v>13.31</v>
      </c>
      <c r="BB61" s="434">
        <v>29.153280696977948</v>
      </c>
      <c r="BC61" s="431" t="s">
        <v>1102</v>
      </c>
      <c r="BD61" s="435">
        <v>2.56</v>
      </c>
      <c r="BE61" s="432">
        <v>2023</v>
      </c>
      <c r="BF61" s="425"/>
      <c r="BG61" s="433"/>
      <c r="BH61" s="425"/>
      <c r="BI61" s="433"/>
      <c r="BJ61" s="434"/>
      <c r="BK61" s="431"/>
      <c r="BL61" s="435"/>
      <c r="BM61" s="432">
        <v>2024</v>
      </c>
      <c r="BN61" s="425"/>
      <c r="BO61" s="433"/>
      <c r="BP61" s="425"/>
      <c r="BQ61" s="433"/>
      <c r="BR61" s="434"/>
      <c r="BS61" s="431"/>
      <c r="BT61" s="435"/>
      <c r="BU61" s="1805" t="s">
        <v>687</v>
      </c>
      <c r="BV61" s="1806" t="s">
        <v>728</v>
      </c>
      <c r="BW61" s="1807" t="s">
        <v>697</v>
      </c>
      <c r="BX61" s="1808" t="s">
        <v>4913</v>
      </c>
      <c r="BY61" s="1809">
        <v>2021</v>
      </c>
      <c r="BZ61" s="424"/>
      <c r="CA61" s="424"/>
      <c r="CB61" s="430"/>
      <c r="CC61" s="431"/>
      <c r="CD61" s="432">
        <v>2024</v>
      </c>
      <c r="CE61" s="425"/>
      <c r="CF61" s="433"/>
      <c r="CG61" s="425"/>
      <c r="CH61" s="433"/>
      <c r="CI61" s="434"/>
      <c r="CJ61" s="431"/>
      <c r="CK61" s="435"/>
      <c r="CL61" s="432">
        <v>2022</v>
      </c>
      <c r="CM61" s="425">
        <v>0</v>
      </c>
      <c r="CN61" s="433"/>
      <c r="CO61" s="425">
        <v>0</v>
      </c>
      <c r="CP61" s="433"/>
      <c r="CQ61" s="434"/>
      <c r="CR61" s="431"/>
      <c r="CS61" s="435"/>
      <c r="CT61" s="432">
        <v>2023</v>
      </c>
      <c r="CU61" s="425"/>
      <c r="CV61" s="433"/>
      <c r="CW61" s="425"/>
      <c r="CX61" s="433"/>
      <c r="CY61" s="434"/>
      <c r="CZ61" s="431"/>
      <c r="DA61" s="435"/>
      <c r="DB61" s="432">
        <v>2024</v>
      </c>
      <c r="DC61" s="425"/>
      <c r="DD61" s="433"/>
      <c r="DE61" s="425"/>
      <c r="DF61" s="433"/>
      <c r="DG61" s="434"/>
      <c r="DH61" s="431"/>
      <c r="DI61" s="435"/>
      <c r="DJ61" s="1805"/>
      <c r="DK61" s="1806"/>
      <c r="DL61" s="1807"/>
      <c r="DM61" s="1808"/>
      <c r="DN61" s="1810">
        <v>0</v>
      </c>
      <c r="DO61" s="1799">
        <v>0</v>
      </c>
      <c r="DP61" s="1800">
        <v>0</v>
      </c>
      <c r="DQ61" s="1799">
        <v>0</v>
      </c>
      <c r="DR61" s="1800">
        <v>0</v>
      </c>
      <c r="DS61" s="1799">
        <v>0</v>
      </c>
    </row>
    <row r="62" spans="1:123" ht="121.5">
      <c r="A62" s="1801" t="s">
        <v>1103</v>
      </c>
      <c r="B62" s="1788" t="s">
        <v>1104</v>
      </c>
      <c r="C62" s="426">
        <v>2022</v>
      </c>
      <c r="D62" s="417" t="s">
        <v>681</v>
      </c>
      <c r="E62" s="1802">
        <v>1056084</v>
      </c>
      <c r="F62" s="1803" t="s">
        <v>1104</v>
      </c>
      <c r="G62" s="419">
        <v>45134</v>
      </c>
      <c r="H62" s="1790" t="s">
        <v>1105</v>
      </c>
      <c r="I62" s="1791" t="s">
        <v>1104</v>
      </c>
      <c r="J62" s="1793" t="s">
        <v>1106</v>
      </c>
      <c r="K62" s="1788" t="s">
        <v>1104</v>
      </c>
      <c r="L62" s="1791" t="s">
        <v>1107</v>
      </c>
      <c r="M62" s="1793" t="s">
        <v>1108</v>
      </c>
      <c r="N62" s="1790" t="s">
        <v>57</v>
      </c>
      <c r="O62" s="1793" t="s">
        <v>64</v>
      </c>
      <c r="P62" s="420" t="s">
        <v>683</v>
      </c>
      <c r="Q62" s="421"/>
      <c r="R62" s="421"/>
      <c r="S62" s="422"/>
      <c r="T62" s="1794"/>
      <c r="U62" s="423">
        <v>7201.4249999999993</v>
      </c>
      <c r="V62" s="424">
        <v>8</v>
      </c>
      <c r="W62" s="424">
        <v>7</v>
      </c>
      <c r="X62" s="425"/>
      <c r="Y62" s="426">
        <v>2022</v>
      </c>
      <c r="Z62" s="417">
        <v>2024</v>
      </c>
      <c r="AA62" s="1804">
        <v>2022</v>
      </c>
      <c r="AB62" s="427"/>
      <c r="AC62" s="1793"/>
      <c r="AD62" s="428" t="s">
        <v>5863</v>
      </c>
      <c r="AE62" s="1791" t="s">
        <v>1109</v>
      </c>
      <c r="AF62" s="1791" t="s">
        <v>1110</v>
      </c>
      <c r="AG62" s="1793" t="s">
        <v>1111</v>
      </c>
      <c r="AH62" s="428"/>
      <c r="AI62" s="1793"/>
      <c r="AJ62" s="429">
        <v>2021</v>
      </c>
      <c r="AK62" s="424">
        <v>12428</v>
      </c>
      <c r="AL62" s="424">
        <v>12325</v>
      </c>
      <c r="AM62" s="430">
        <v>95.7</v>
      </c>
      <c r="AN62" s="431" t="s">
        <v>727</v>
      </c>
      <c r="AO62" s="432">
        <v>2024</v>
      </c>
      <c r="AP62" s="425">
        <v>12055.16</v>
      </c>
      <c r="AQ62" s="433">
        <v>3</v>
      </c>
      <c r="AR62" s="425">
        <v>11955</v>
      </c>
      <c r="AS62" s="433">
        <v>3</v>
      </c>
      <c r="AT62" s="434">
        <v>92.83</v>
      </c>
      <c r="AU62" s="431" t="s">
        <v>727</v>
      </c>
      <c r="AV62" s="435">
        <v>2.99</v>
      </c>
      <c r="AW62" s="432">
        <v>2022</v>
      </c>
      <c r="AX62" s="425">
        <v>12868</v>
      </c>
      <c r="AY62" s="433">
        <v>-3.55</v>
      </c>
      <c r="AZ62" s="425">
        <v>12841</v>
      </c>
      <c r="BA62" s="433">
        <v>-4.1900000000000004</v>
      </c>
      <c r="BB62" s="434">
        <v>85.698682685775935</v>
      </c>
      <c r="BC62" s="431" t="s">
        <v>727</v>
      </c>
      <c r="BD62" s="435">
        <v>10.45</v>
      </c>
      <c r="BE62" s="432">
        <v>2023</v>
      </c>
      <c r="BF62" s="425"/>
      <c r="BG62" s="433"/>
      <c r="BH62" s="425"/>
      <c r="BI62" s="433"/>
      <c r="BJ62" s="434"/>
      <c r="BK62" s="431"/>
      <c r="BL62" s="435"/>
      <c r="BM62" s="432">
        <v>2024</v>
      </c>
      <c r="BN62" s="425"/>
      <c r="BO62" s="433"/>
      <c r="BP62" s="425"/>
      <c r="BQ62" s="433"/>
      <c r="BR62" s="434"/>
      <c r="BS62" s="431"/>
      <c r="BT62" s="435"/>
      <c r="BU62" s="1805" t="s">
        <v>676</v>
      </c>
      <c r="BV62" s="1806" t="s">
        <v>728</v>
      </c>
      <c r="BW62" s="1807" t="s">
        <v>688</v>
      </c>
      <c r="BX62" s="1808" t="s">
        <v>4914</v>
      </c>
      <c r="BY62" s="1809">
        <v>2021</v>
      </c>
      <c r="BZ62" s="424"/>
      <c r="CA62" s="424"/>
      <c r="CB62" s="430"/>
      <c r="CC62" s="431"/>
      <c r="CD62" s="432">
        <v>2024</v>
      </c>
      <c r="CE62" s="425"/>
      <c r="CF62" s="433"/>
      <c r="CG62" s="425"/>
      <c r="CH62" s="433"/>
      <c r="CI62" s="434"/>
      <c r="CJ62" s="431"/>
      <c r="CK62" s="435"/>
      <c r="CL62" s="432">
        <v>2022</v>
      </c>
      <c r="CM62" s="425">
        <v>0</v>
      </c>
      <c r="CN62" s="433"/>
      <c r="CO62" s="425">
        <v>0</v>
      </c>
      <c r="CP62" s="433"/>
      <c r="CQ62" s="434"/>
      <c r="CR62" s="431"/>
      <c r="CS62" s="435">
        <v>0</v>
      </c>
      <c r="CT62" s="432">
        <v>2023</v>
      </c>
      <c r="CU62" s="425"/>
      <c r="CV62" s="433"/>
      <c r="CW62" s="425"/>
      <c r="CX62" s="433"/>
      <c r="CY62" s="434"/>
      <c r="CZ62" s="431"/>
      <c r="DA62" s="435"/>
      <c r="DB62" s="432">
        <v>2024</v>
      </c>
      <c r="DC62" s="425"/>
      <c r="DD62" s="433"/>
      <c r="DE62" s="425"/>
      <c r="DF62" s="433"/>
      <c r="DG62" s="434"/>
      <c r="DH62" s="431"/>
      <c r="DI62" s="435"/>
      <c r="DJ62" s="1805"/>
      <c r="DK62" s="1806"/>
      <c r="DL62" s="1807"/>
      <c r="DM62" s="1808"/>
      <c r="DN62" s="1810">
        <v>0</v>
      </c>
      <c r="DO62" s="1799">
        <v>0</v>
      </c>
      <c r="DP62" s="1800">
        <v>0</v>
      </c>
      <c r="DQ62" s="1799">
        <v>0</v>
      </c>
      <c r="DR62" s="1800">
        <v>0</v>
      </c>
      <c r="DS62" s="1799">
        <v>0</v>
      </c>
    </row>
    <row r="63" spans="1:123" ht="108">
      <c r="A63" s="1801" t="s">
        <v>1112</v>
      </c>
      <c r="B63" s="1788" t="s">
        <v>1113</v>
      </c>
      <c r="C63" s="426">
        <v>2022</v>
      </c>
      <c r="D63" s="417" t="s">
        <v>714</v>
      </c>
      <c r="E63" s="1802">
        <v>3070085</v>
      </c>
      <c r="F63" s="1803" t="s">
        <v>1113</v>
      </c>
      <c r="G63" s="419">
        <v>45106</v>
      </c>
      <c r="H63" s="1790" t="s">
        <v>1114</v>
      </c>
      <c r="I63" s="1791" t="s">
        <v>1113</v>
      </c>
      <c r="J63" s="1793" t="s">
        <v>1115</v>
      </c>
      <c r="K63" s="1788" t="s">
        <v>1113</v>
      </c>
      <c r="L63" s="1791" t="s">
        <v>1116</v>
      </c>
      <c r="M63" s="1793" t="s">
        <v>1117</v>
      </c>
      <c r="N63" s="1790" t="s">
        <v>77</v>
      </c>
      <c r="O63" s="1793" t="s">
        <v>80</v>
      </c>
      <c r="P63" s="420"/>
      <c r="Q63" s="421"/>
      <c r="R63" s="421" t="s">
        <v>717</v>
      </c>
      <c r="S63" s="422"/>
      <c r="T63" s="1794"/>
      <c r="U63" s="423"/>
      <c r="V63" s="424"/>
      <c r="W63" s="424"/>
      <c r="X63" s="425">
        <v>764</v>
      </c>
      <c r="Y63" s="426">
        <v>2022</v>
      </c>
      <c r="Z63" s="417">
        <v>2024</v>
      </c>
      <c r="AA63" s="1804">
        <v>2022</v>
      </c>
      <c r="AB63" s="427" t="s">
        <v>5863</v>
      </c>
      <c r="AC63" s="1793" t="s">
        <v>1118</v>
      </c>
      <c r="AD63" s="428"/>
      <c r="AE63" s="1791"/>
      <c r="AF63" s="1791"/>
      <c r="AG63" s="1793"/>
      <c r="AH63" s="428"/>
      <c r="AI63" s="1793"/>
      <c r="AJ63" s="429">
        <v>2021</v>
      </c>
      <c r="AK63" s="424">
        <v>0</v>
      </c>
      <c r="AL63" s="424"/>
      <c r="AM63" s="430"/>
      <c r="AN63" s="431"/>
      <c r="AO63" s="432">
        <v>2024</v>
      </c>
      <c r="AP63" s="425">
        <v>0</v>
      </c>
      <c r="AQ63" s="433"/>
      <c r="AR63" s="425">
        <v>0</v>
      </c>
      <c r="AS63" s="433"/>
      <c r="AT63" s="434"/>
      <c r="AU63" s="431"/>
      <c r="AV63" s="435"/>
      <c r="AW63" s="432">
        <v>2022</v>
      </c>
      <c r="AX63" s="425"/>
      <c r="AY63" s="433"/>
      <c r="AZ63" s="425"/>
      <c r="BA63" s="433"/>
      <c r="BB63" s="434"/>
      <c r="BC63" s="431"/>
      <c r="BD63" s="435"/>
      <c r="BE63" s="432">
        <v>2023</v>
      </c>
      <c r="BF63" s="425"/>
      <c r="BG63" s="433"/>
      <c r="BH63" s="425"/>
      <c r="BI63" s="433"/>
      <c r="BJ63" s="434"/>
      <c r="BK63" s="431"/>
      <c r="BL63" s="435"/>
      <c r="BM63" s="432">
        <v>2024</v>
      </c>
      <c r="BN63" s="425"/>
      <c r="BO63" s="433"/>
      <c r="BP63" s="425"/>
      <c r="BQ63" s="433"/>
      <c r="BR63" s="434"/>
      <c r="BS63" s="431"/>
      <c r="BT63" s="435"/>
      <c r="BU63" s="1805"/>
      <c r="BV63" s="1806"/>
      <c r="BW63" s="1807"/>
      <c r="BX63" s="1808"/>
      <c r="BY63" s="1809">
        <v>2021</v>
      </c>
      <c r="BZ63" s="424">
        <v>2718</v>
      </c>
      <c r="CA63" s="424">
        <v>2718</v>
      </c>
      <c r="CB63" s="430">
        <v>2.87</v>
      </c>
      <c r="CC63" s="431" t="s">
        <v>2511</v>
      </c>
      <c r="CD63" s="432">
        <v>2024</v>
      </c>
      <c r="CE63" s="425">
        <v>2691</v>
      </c>
      <c r="CF63" s="433">
        <v>0.99</v>
      </c>
      <c r="CG63" s="425">
        <v>2691</v>
      </c>
      <c r="CH63" s="433">
        <v>0.99</v>
      </c>
      <c r="CI63" s="434">
        <v>2.84</v>
      </c>
      <c r="CJ63" s="431" t="s">
        <v>2511</v>
      </c>
      <c r="CK63" s="435">
        <v>1.04</v>
      </c>
      <c r="CL63" s="432">
        <v>2022</v>
      </c>
      <c r="CM63" s="425">
        <v>2683.0071540000004</v>
      </c>
      <c r="CN63" s="433">
        <v>1.28</v>
      </c>
      <c r="CO63" s="425">
        <v>2682.0071540000004</v>
      </c>
      <c r="CP63" s="433">
        <v>1.32</v>
      </c>
      <c r="CQ63" s="434">
        <v>2.6459636627218939</v>
      </c>
      <c r="CR63" s="431" t="s">
        <v>2511</v>
      </c>
      <c r="CS63" s="435">
        <v>7.8</v>
      </c>
      <c r="CT63" s="432">
        <v>2023</v>
      </c>
      <c r="CU63" s="425"/>
      <c r="CV63" s="433"/>
      <c r="CW63" s="425"/>
      <c r="CX63" s="433"/>
      <c r="CY63" s="434"/>
      <c r="CZ63" s="431"/>
      <c r="DA63" s="435"/>
      <c r="DB63" s="432">
        <v>2024</v>
      </c>
      <c r="DC63" s="425"/>
      <c r="DD63" s="433"/>
      <c r="DE63" s="425"/>
      <c r="DF63" s="433"/>
      <c r="DG63" s="434"/>
      <c r="DH63" s="431"/>
      <c r="DI63" s="435"/>
      <c r="DJ63" s="1805" t="s">
        <v>687</v>
      </c>
      <c r="DK63" s="1806" t="s">
        <v>677</v>
      </c>
      <c r="DL63" s="1807" t="s">
        <v>688</v>
      </c>
      <c r="DM63" s="1808"/>
      <c r="DN63" s="1810">
        <v>3</v>
      </c>
      <c r="DO63" s="1799">
        <v>3</v>
      </c>
      <c r="DP63" s="1800">
        <v>0</v>
      </c>
      <c r="DQ63" s="1799">
        <v>0</v>
      </c>
      <c r="DR63" s="1800">
        <v>0</v>
      </c>
      <c r="DS63" s="1799">
        <v>0</v>
      </c>
    </row>
    <row r="64" spans="1:123" ht="54">
      <c r="A64" s="1801" t="s">
        <v>1119</v>
      </c>
      <c r="B64" s="1788" t="s">
        <v>1121</v>
      </c>
      <c r="C64" s="426">
        <v>2022</v>
      </c>
      <c r="D64" s="417" t="s">
        <v>681</v>
      </c>
      <c r="E64" s="1802">
        <v>1009088</v>
      </c>
      <c r="F64" s="1803" t="s">
        <v>1121</v>
      </c>
      <c r="G64" s="419">
        <v>45133</v>
      </c>
      <c r="H64" s="1790" t="s">
        <v>1120</v>
      </c>
      <c r="I64" s="1791" t="s">
        <v>1121</v>
      </c>
      <c r="J64" s="1793" t="s">
        <v>4915</v>
      </c>
      <c r="K64" s="1788" t="s">
        <v>1121</v>
      </c>
      <c r="L64" s="1791" t="s">
        <v>4915</v>
      </c>
      <c r="M64" s="1793" t="s">
        <v>1122</v>
      </c>
      <c r="N64" s="1790" t="s">
        <v>12</v>
      </c>
      <c r="O64" s="1793" t="s">
        <v>13</v>
      </c>
      <c r="P64" s="420" t="s">
        <v>683</v>
      </c>
      <c r="Q64" s="421"/>
      <c r="R64" s="421"/>
      <c r="S64" s="422"/>
      <c r="T64" s="1794"/>
      <c r="U64" s="423">
        <v>2348.3933999999999</v>
      </c>
      <c r="V64" s="424">
        <v>1</v>
      </c>
      <c r="W64" s="424">
        <v>1</v>
      </c>
      <c r="X64" s="425"/>
      <c r="Y64" s="426">
        <v>2022</v>
      </c>
      <c r="Z64" s="417">
        <v>2024</v>
      </c>
      <c r="AA64" s="1804">
        <v>2022</v>
      </c>
      <c r="AB64" s="427"/>
      <c r="AC64" s="1793"/>
      <c r="AD64" s="428" t="s">
        <v>5863</v>
      </c>
      <c r="AE64" s="1791" t="s">
        <v>1123</v>
      </c>
      <c r="AF64" s="1791" t="s">
        <v>1124</v>
      </c>
      <c r="AG64" s="1793" t="s">
        <v>1125</v>
      </c>
      <c r="AH64" s="428"/>
      <c r="AI64" s="1793"/>
      <c r="AJ64" s="429">
        <v>2021</v>
      </c>
      <c r="AK64" s="424">
        <v>4240</v>
      </c>
      <c r="AL64" s="424">
        <v>4220</v>
      </c>
      <c r="AM64" s="430"/>
      <c r="AN64" s="431"/>
      <c r="AO64" s="432">
        <v>2024</v>
      </c>
      <c r="AP64" s="425">
        <v>4112</v>
      </c>
      <c r="AQ64" s="433">
        <v>3.01</v>
      </c>
      <c r="AR64" s="425">
        <v>4093</v>
      </c>
      <c r="AS64" s="433">
        <v>3</v>
      </c>
      <c r="AT64" s="434"/>
      <c r="AU64" s="431"/>
      <c r="AV64" s="435"/>
      <c r="AW64" s="432">
        <v>2022</v>
      </c>
      <c r="AX64" s="425">
        <v>4305</v>
      </c>
      <c r="AY64" s="433">
        <v>-1.54</v>
      </c>
      <c r="AZ64" s="425">
        <v>4305</v>
      </c>
      <c r="BA64" s="433">
        <v>-2.02</v>
      </c>
      <c r="BB64" s="434"/>
      <c r="BC64" s="431"/>
      <c r="BD64" s="435"/>
      <c r="BE64" s="432">
        <v>2023</v>
      </c>
      <c r="BF64" s="425"/>
      <c r="BG64" s="433"/>
      <c r="BH64" s="425"/>
      <c r="BI64" s="433"/>
      <c r="BJ64" s="434"/>
      <c r="BK64" s="431"/>
      <c r="BL64" s="435"/>
      <c r="BM64" s="432">
        <v>2024</v>
      </c>
      <c r="BN64" s="425"/>
      <c r="BO64" s="433"/>
      <c r="BP64" s="425"/>
      <c r="BQ64" s="433"/>
      <c r="BR64" s="434"/>
      <c r="BS64" s="431"/>
      <c r="BT64" s="435"/>
      <c r="BU64" s="1805" t="s">
        <v>676</v>
      </c>
      <c r="BV64" s="1806" t="s">
        <v>728</v>
      </c>
      <c r="BW64" s="1807" t="s">
        <v>688</v>
      </c>
      <c r="BX64" s="1808"/>
      <c r="BY64" s="1809">
        <v>2021</v>
      </c>
      <c r="BZ64" s="424"/>
      <c r="CA64" s="424"/>
      <c r="CB64" s="430"/>
      <c r="CC64" s="431"/>
      <c r="CD64" s="432">
        <v>2024</v>
      </c>
      <c r="CE64" s="425"/>
      <c r="CF64" s="433"/>
      <c r="CG64" s="425"/>
      <c r="CH64" s="433"/>
      <c r="CI64" s="434"/>
      <c r="CJ64" s="431"/>
      <c r="CK64" s="435"/>
      <c r="CL64" s="432">
        <v>2022</v>
      </c>
      <c r="CM64" s="425">
        <v>0</v>
      </c>
      <c r="CN64" s="433"/>
      <c r="CO64" s="425">
        <v>0</v>
      </c>
      <c r="CP64" s="433"/>
      <c r="CQ64" s="434"/>
      <c r="CR64" s="431"/>
      <c r="CS64" s="435">
        <v>0</v>
      </c>
      <c r="CT64" s="432">
        <v>2023</v>
      </c>
      <c r="CU64" s="425"/>
      <c r="CV64" s="433"/>
      <c r="CW64" s="425"/>
      <c r="CX64" s="433"/>
      <c r="CY64" s="434"/>
      <c r="CZ64" s="431"/>
      <c r="DA64" s="435"/>
      <c r="DB64" s="432">
        <v>2024</v>
      </c>
      <c r="DC64" s="425"/>
      <c r="DD64" s="433"/>
      <c r="DE64" s="425"/>
      <c r="DF64" s="433"/>
      <c r="DG64" s="434"/>
      <c r="DH64" s="431"/>
      <c r="DI64" s="435"/>
      <c r="DJ64" s="1805"/>
      <c r="DK64" s="1806"/>
      <c r="DL64" s="1807"/>
      <c r="DM64" s="1808"/>
      <c r="DN64" s="1810">
        <v>0</v>
      </c>
      <c r="DO64" s="1799">
        <v>0</v>
      </c>
      <c r="DP64" s="1800">
        <v>0</v>
      </c>
      <c r="DQ64" s="1799">
        <v>0</v>
      </c>
      <c r="DR64" s="1800">
        <v>0</v>
      </c>
      <c r="DS64" s="1799">
        <v>0</v>
      </c>
    </row>
    <row r="65" spans="1:123" ht="67.5">
      <c r="A65" s="1801" t="s">
        <v>1129</v>
      </c>
      <c r="B65" s="1788" t="s">
        <v>1130</v>
      </c>
      <c r="C65" s="426">
        <v>2022</v>
      </c>
      <c r="D65" s="417" t="s">
        <v>681</v>
      </c>
      <c r="E65" s="1802">
        <v>1069090</v>
      </c>
      <c r="F65" s="1803" t="s">
        <v>1130</v>
      </c>
      <c r="G65" s="419">
        <v>45131</v>
      </c>
      <c r="H65" s="1790" t="s">
        <v>1131</v>
      </c>
      <c r="I65" s="1791" t="s">
        <v>1130</v>
      </c>
      <c r="J65" s="1793" t="s">
        <v>4916</v>
      </c>
      <c r="K65" s="1788" t="s">
        <v>1130</v>
      </c>
      <c r="L65" s="1791" t="s">
        <v>4917</v>
      </c>
      <c r="M65" s="1793" t="s">
        <v>1131</v>
      </c>
      <c r="N65" s="1790" t="s">
        <v>77</v>
      </c>
      <c r="O65" s="1793" t="s">
        <v>79</v>
      </c>
      <c r="P65" s="420" t="s">
        <v>683</v>
      </c>
      <c r="Q65" s="421"/>
      <c r="R65" s="421"/>
      <c r="S65" s="422"/>
      <c r="T65" s="1794"/>
      <c r="U65" s="423">
        <v>16932.2562</v>
      </c>
      <c r="V65" s="424">
        <v>43</v>
      </c>
      <c r="W65" s="424">
        <v>6</v>
      </c>
      <c r="X65" s="425"/>
      <c r="Y65" s="426">
        <v>2022</v>
      </c>
      <c r="Z65" s="417">
        <v>2024</v>
      </c>
      <c r="AA65" s="1804">
        <v>2022</v>
      </c>
      <c r="AB65" s="427"/>
      <c r="AC65" s="1793"/>
      <c r="AD65" s="428" t="s">
        <v>5863</v>
      </c>
      <c r="AE65" s="1791" t="s">
        <v>1132</v>
      </c>
      <c r="AF65" s="1791" t="s">
        <v>1133</v>
      </c>
      <c r="AG65" s="1793" t="s">
        <v>1134</v>
      </c>
      <c r="AH65" s="428"/>
      <c r="AI65" s="1793"/>
      <c r="AJ65" s="429">
        <v>2021</v>
      </c>
      <c r="AK65" s="424">
        <v>28737</v>
      </c>
      <c r="AL65" s="424">
        <v>27719</v>
      </c>
      <c r="AM65" s="430">
        <v>54.65</v>
      </c>
      <c r="AN65" s="431" t="s">
        <v>727</v>
      </c>
      <c r="AO65" s="432">
        <v>2024</v>
      </c>
      <c r="AP65" s="425">
        <v>27875</v>
      </c>
      <c r="AQ65" s="433">
        <v>2.99</v>
      </c>
      <c r="AR65" s="425">
        <v>26887</v>
      </c>
      <c r="AS65" s="433">
        <v>3</v>
      </c>
      <c r="AT65" s="434">
        <v>53.01</v>
      </c>
      <c r="AU65" s="431" t="s">
        <v>727</v>
      </c>
      <c r="AV65" s="435">
        <v>3.01</v>
      </c>
      <c r="AW65" s="432">
        <v>2022</v>
      </c>
      <c r="AX65" s="425">
        <v>29931</v>
      </c>
      <c r="AY65" s="433">
        <v>-4.16</v>
      </c>
      <c r="AZ65" s="425">
        <v>28797</v>
      </c>
      <c r="BA65" s="433">
        <v>-3.89</v>
      </c>
      <c r="BB65" s="434">
        <v>56.921217007759168</v>
      </c>
      <c r="BC65" s="431" t="s">
        <v>727</v>
      </c>
      <c r="BD65" s="435">
        <v>-4.16</v>
      </c>
      <c r="BE65" s="432">
        <v>2023</v>
      </c>
      <c r="BF65" s="425"/>
      <c r="BG65" s="433"/>
      <c r="BH65" s="425"/>
      <c r="BI65" s="433"/>
      <c r="BJ65" s="434"/>
      <c r="BK65" s="431"/>
      <c r="BL65" s="435"/>
      <c r="BM65" s="432">
        <v>2024</v>
      </c>
      <c r="BN65" s="425"/>
      <c r="BO65" s="433"/>
      <c r="BP65" s="425"/>
      <c r="BQ65" s="433"/>
      <c r="BR65" s="434"/>
      <c r="BS65" s="431"/>
      <c r="BT65" s="435"/>
      <c r="BU65" s="1805" t="s">
        <v>676</v>
      </c>
      <c r="BV65" s="1806" t="s">
        <v>728</v>
      </c>
      <c r="BW65" s="1807" t="s">
        <v>688</v>
      </c>
      <c r="BX65" s="1808" t="s">
        <v>4918</v>
      </c>
      <c r="BY65" s="1809">
        <v>2021</v>
      </c>
      <c r="BZ65" s="424"/>
      <c r="CA65" s="424"/>
      <c r="CB65" s="430"/>
      <c r="CC65" s="431"/>
      <c r="CD65" s="432">
        <v>2024</v>
      </c>
      <c r="CE65" s="425"/>
      <c r="CF65" s="433"/>
      <c r="CG65" s="425"/>
      <c r="CH65" s="433"/>
      <c r="CI65" s="434"/>
      <c r="CJ65" s="431"/>
      <c r="CK65" s="435"/>
      <c r="CL65" s="432">
        <v>2022</v>
      </c>
      <c r="CM65" s="425">
        <v>0</v>
      </c>
      <c r="CN65" s="433"/>
      <c r="CO65" s="425">
        <v>0</v>
      </c>
      <c r="CP65" s="433"/>
      <c r="CQ65" s="434"/>
      <c r="CR65" s="431"/>
      <c r="CS65" s="435">
        <v>0</v>
      </c>
      <c r="CT65" s="432">
        <v>2023</v>
      </c>
      <c r="CU65" s="425"/>
      <c r="CV65" s="433"/>
      <c r="CW65" s="425"/>
      <c r="CX65" s="433"/>
      <c r="CY65" s="434"/>
      <c r="CZ65" s="431"/>
      <c r="DA65" s="435"/>
      <c r="DB65" s="432">
        <v>2024</v>
      </c>
      <c r="DC65" s="425"/>
      <c r="DD65" s="433"/>
      <c r="DE65" s="425"/>
      <c r="DF65" s="433"/>
      <c r="DG65" s="434"/>
      <c r="DH65" s="431"/>
      <c r="DI65" s="435"/>
      <c r="DJ65" s="1805"/>
      <c r="DK65" s="1806"/>
      <c r="DL65" s="1807"/>
      <c r="DM65" s="1808"/>
      <c r="DN65" s="1810">
        <v>0</v>
      </c>
      <c r="DO65" s="1799">
        <v>0</v>
      </c>
      <c r="DP65" s="1800">
        <v>0</v>
      </c>
      <c r="DQ65" s="1799">
        <v>0</v>
      </c>
      <c r="DR65" s="1800">
        <v>0</v>
      </c>
      <c r="DS65" s="1799">
        <v>0</v>
      </c>
    </row>
    <row r="66" spans="1:123" ht="94.5">
      <c r="A66" s="1801" t="s">
        <v>1135</v>
      </c>
      <c r="B66" s="1788" t="s">
        <v>1136</v>
      </c>
      <c r="C66" s="426">
        <v>2022</v>
      </c>
      <c r="D66" s="417" t="s">
        <v>681</v>
      </c>
      <c r="E66" s="1802">
        <v>1075091</v>
      </c>
      <c r="F66" s="1803" t="s">
        <v>1136</v>
      </c>
      <c r="G66" s="419">
        <v>45130</v>
      </c>
      <c r="H66" s="1790" t="s">
        <v>1137</v>
      </c>
      <c r="I66" s="1791" t="s">
        <v>1136</v>
      </c>
      <c r="J66" s="1793" t="s">
        <v>1138</v>
      </c>
      <c r="K66" s="1788" t="s">
        <v>1136</v>
      </c>
      <c r="L66" s="1791" t="s">
        <v>1139</v>
      </c>
      <c r="M66" s="1793" t="s">
        <v>1137</v>
      </c>
      <c r="N66" s="1790" t="s">
        <v>86</v>
      </c>
      <c r="O66" s="1793" t="s">
        <v>87</v>
      </c>
      <c r="P66" s="420" t="s">
        <v>683</v>
      </c>
      <c r="Q66" s="421"/>
      <c r="R66" s="421"/>
      <c r="S66" s="422"/>
      <c r="T66" s="1794"/>
      <c r="U66" s="423">
        <v>4680.7907999999998</v>
      </c>
      <c r="V66" s="424">
        <v>1</v>
      </c>
      <c r="W66" s="424">
        <v>1</v>
      </c>
      <c r="X66" s="425"/>
      <c r="Y66" s="426">
        <v>2022</v>
      </c>
      <c r="Z66" s="417">
        <v>2024</v>
      </c>
      <c r="AA66" s="1804">
        <v>2022</v>
      </c>
      <c r="AB66" s="427"/>
      <c r="AC66" s="1793"/>
      <c r="AD66" s="428" t="s">
        <v>5863</v>
      </c>
      <c r="AE66" s="1791" t="s">
        <v>1140</v>
      </c>
      <c r="AF66" s="1791" t="s">
        <v>1141</v>
      </c>
      <c r="AG66" s="1793" t="s">
        <v>1142</v>
      </c>
      <c r="AH66" s="428"/>
      <c r="AI66" s="1793"/>
      <c r="AJ66" s="429">
        <v>2021</v>
      </c>
      <c r="AK66" s="424">
        <v>7250</v>
      </c>
      <c r="AL66" s="424">
        <v>3174</v>
      </c>
      <c r="AM66" s="430"/>
      <c r="AN66" s="431"/>
      <c r="AO66" s="432">
        <v>2024</v>
      </c>
      <c r="AP66" s="425">
        <v>7031</v>
      </c>
      <c r="AQ66" s="433">
        <v>3.02</v>
      </c>
      <c r="AR66" s="425">
        <v>3079</v>
      </c>
      <c r="AS66" s="433">
        <v>2.99</v>
      </c>
      <c r="AT66" s="434"/>
      <c r="AU66" s="431"/>
      <c r="AV66" s="435"/>
      <c r="AW66" s="432">
        <v>2022</v>
      </c>
      <c r="AX66" s="425">
        <v>8022</v>
      </c>
      <c r="AY66" s="433">
        <v>-10.65</v>
      </c>
      <c r="AZ66" s="425">
        <v>3579</v>
      </c>
      <c r="BA66" s="433">
        <v>-12.76</v>
      </c>
      <c r="BB66" s="434"/>
      <c r="BC66" s="431"/>
      <c r="BD66" s="435"/>
      <c r="BE66" s="432">
        <v>2023</v>
      </c>
      <c r="BF66" s="425"/>
      <c r="BG66" s="433"/>
      <c r="BH66" s="425"/>
      <c r="BI66" s="433"/>
      <c r="BJ66" s="434"/>
      <c r="BK66" s="431"/>
      <c r="BL66" s="435"/>
      <c r="BM66" s="432">
        <v>2024</v>
      </c>
      <c r="BN66" s="425"/>
      <c r="BO66" s="433"/>
      <c r="BP66" s="425"/>
      <c r="BQ66" s="433"/>
      <c r="BR66" s="434"/>
      <c r="BS66" s="431"/>
      <c r="BT66" s="435"/>
      <c r="BU66" s="1805" t="s">
        <v>676</v>
      </c>
      <c r="BV66" s="1806" t="s">
        <v>728</v>
      </c>
      <c r="BW66" s="1807" t="s">
        <v>678</v>
      </c>
      <c r="BX66" s="1808" t="s">
        <v>4919</v>
      </c>
      <c r="BY66" s="1809">
        <v>2021</v>
      </c>
      <c r="BZ66" s="424"/>
      <c r="CA66" s="424"/>
      <c r="CB66" s="430"/>
      <c r="CC66" s="431"/>
      <c r="CD66" s="432">
        <v>2024</v>
      </c>
      <c r="CE66" s="425"/>
      <c r="CF66" s="433"/>
      <c r="CG66" s="425"/>
      <c r="CH66" s="433"/>
      <c r="CI66" s="434"/>
      <c r="CJ66" s="431"/>
      <c r="CK66" s="435"/>
      <c r="CL66" s="432">
        <v>2022</v>
      </c>
      <c r="CM66" s="425">
        <v>0</v>
      </c>
      <c r="CN66" s="433"/>
      <c r="CO66" s="425">
        <v>0</v>
      </c>
      <c r="CP66" s="433"/>
      <c r="CQ66" s="434"/>
      <c r="CR66" s="431"/>
      <c r="CS66" s="435"/>
      <c r="CT66" s="432">
        <v>2023</v>
      </c>
      <c r="CU66" s="425"/>
      <c r="CV66" s="433"/>
      <c r="CW66" s="425"/>
      <c r="CX66" s="433"/>
      <c r="CY66" s="434"/>
      <c r="CZ66" s="431"/>
      <c r="DA66" s="435"/>
      <c r="DB66" s="432">
        <v>2024</v>
      </c>
      <c r="DC66" s="425"/>
      <c r="DD66" s="433"/>
      <c r="DE66" s="425"/>
      <c r="DF66" s="433"/>
      <c r="DG66" s="434"/>
      <c r="DH66" s="431"/>
      <c r="DI66" s="435"/>
      <c r="DJ66" s="1805"/>
      <c r="DK66" s="1806"/>
      <c r="DL66" s="1807"/>
      <c r="DM66" s="1808"/>
      <c r="DN66" s="1810">
        <v>0</v>
      </c>
      <c r="DO66" s="1799">
        <v>0</v>
      </c>
      <c r="DP66" s="1800">
        <v>0</v>
      </c>
      <c r="DQ66" s="1799">
        <v>0</v>
      </c>
      <c r="DR66" s="1800">
        <v>0</v>
      </c>
      <c r="DS66" s="1799">
        <v>0</v>
      </c>
    </row>
    <row r="67" spans="1:123" ht="108">
      <c r="A67" s="1801" t="s">
        <v>1143</v>
      </c>
      <c r="B67" s="1788" t="s">
        <v>1144</v>
      </c>
      <c r="C67" s="426">
        <v>2022</v>
      </c>
      <c r="D67" s="417" t="s">
        <v>681</v>
      </c>
      <c r="E67" s="1802">
        <v>1071092</v>
      </c>
      <c r="F67" s="1803" t="s">
        <v>1144</v>
      </c>
      <c r="G67" s="419">
        <v>45132</v>
      </c>
      <c r="H67" s="1790" t="s">
        <v>1145</v>
      </c>
      <c r="I67" s="1791" t="s">
        <v>1144</v>
      </c>
      <c r="J67" s="1793" t="s">
        <v>1146</v>
      </c>
      <c r="K67" s="1788" t="s">
        <v>1144</v>
      </c>
      <c r="L67" s="1791" t="s">
        <v>1146</v>
      </c>
      <c r="M67" s="1793" t="s">
        <v>1145</v>
      </c>
      <c r="N67" s="1790" t="s">
        <v>81</v>
      </c>
      <c r="O67" s="1793" t="s">
        <v>82</v>
      </c>
      <c r="P67" s="420" t="s">
        <v>683</v>
      </c>
      <c r="Q67" s="421"/>
      <c r="R67" s="421"/>
      <c r="S67" s="422"/>
      <c r="T67" s="1794"/>
      <c r="U67" s="423">
        <v>1676.6646000000001</v>
      </c>
      <c r="V67" s="424">
        <v>2</v>
      </c>
      <c r="W67" s="424">
        <v>1</v>
      </c>
      <c r="X67" s="425"/>
      <c r="Y67" s="426">
        <v>2022</v>
      </c>
      <c r="Z67" s="417">
        <v>2024</v>
      </c>
      <c r="AA67" s="1804">
        <v>2022</v>
      </c>
      <c r="AB67" s="427" t="s">
        <v>5863</v>
      </c>
      <c r="AC67" s="1793" t="s">
        <v>1147</v>
      </c>
      <c r="AD67" s="428"/>
      <c r="AE67" s="1791"/>
      <c r="AF67" s="1791"/>
      <c r="AG67" s="1793"/>
      <c r="AH67" s="428"/>
      <c r="AI67" s="1793"/>
      <c r="AJ67" s="429">
        <v>2021</v>
      </c>
      <c r="AK67" s="424">
        <v>3425</v>
      </c>
      <c r="AL67" s="424">
        <v>3376</v>
      </c>
      <c r="AM67" s="430">
        <v>32.58</v>
      </c>
      <c r="AN67" s="431" t="s">
        <v>1148</v>
      </c>
      <c r="AO67" s="432">
        <v>2024</v>
      </c>
      <c r="AP67" s="425">
        <v>3322</v>
      </c>
      <c r="AQ67" s="433">
        <v>3</v>
      </c>
      <c r="AR67" s="425">
        <v>3275</v>
      </c>
      <c r="AS67" s="433">
        <v>2.99</v>
      </c>
      <c r="AT67" s="434">
        <v>31.6</v>
      </c>
      <c r="AU67" s="431" t="s">
        <v>1148</v>
      </c>
      <c r="AV67" s="435">
        <v>3</v>
      </c>
      <c r="AW67" s="432">
        <v>2022</v>
      </c>
      <c r="AX67" s="425">
        <v>3101</v>
      </c>
      <c r="AY67" s="433">
        <v>9.4499999999999993</v>
      </c>
      <c r="AZ67" s="425">
        <v>3095</v>
      </c>
      <c r="BA67" s="433">
        <v>8.32</v>
      </c>
      <c r="BB67" s="434">
        <v>29.000280557373983</v>
      </c>
      <c r="BC67" s="431" t="s">
        <v>1148</v>
      </c>
      <c r="BD67" s="435">
        <v>10.98</v>
      </c>
      <c r="BE67" s="432">
        <v>2023</v>
      </c>
      <c r="BF67" s="425"/>
      <c r="BG67" s="433"/>
      <c r="BH67" s="425"/>
      <c r="BI67" s="433"/>
      <c r="BJ67" s="434"/>
      <c r="BK67" s="431"/>
      <c r="BL67" s="435"/>
      <c r="BM67" s="432">
        <v>2024</v>
      </c>
      <c r="BN67" s="425"/>
      <c r="BO67" s="433"/>
      <c r="BP67" s="425"/>
      <c r="BQ67" s="433"/>
      <c r="BR67" s="434"/>
      <c r="BS67" s="431"/>
      <c r="BT67" s="435"/>
      <c r="BU67" s="1805" t="s">
        <v>687</v>
      </c>
      <c r="BV67" s="1806" t="s">
        <v>728</v>
      </c>
      <c r="BW67" s="1807" t="s">
        <v>678</v>
      </c>
      <c r="BX67" s="1808" t="s">
        <v>4920</v>
      </c>
      <c r="BY67" s="1809">
        <v>2021</v>
      </c>
      <c r="BZ67" s="424"/>
      <c r="CA67" s="424"/>
      <c r="CB67" s="430"/>
      <c r="CC67" s="431"/>
      <c r="CD67" s="432">
        <v>2024</v>
      </c>
      <c r="CE67" s="425"/>
      <c r="CF67" s="433"/>
      <c r="CG67" s="425"/>
      <c r="CH67" s="433"/>
      <c r="CI67" s="434"/>
      <c r="CJ67" s="431"/>
      <c r="CK67" s="435"/>
      <c r="CL67" s="432">
        <v>2022</v>
      </c>
      <c r="CM67" s="425">
        <v>0</v>
      </c>
      <c r="CN67" s="433"/>
      <c r="CO67" s="425">
        <v>0</v>
      </c>
      <c r="CP67" s="433"/>
      <c r="CQ67" s="434"/>
      <c r="CR67" s="431"/>
      <c r="CS67" s="435">
        <v>0</v>
      </c>
      <c r="CT67" s="432">
        <v>2023</v>
      </c>
      <c r="CU67" s="425"/>
      <c r="CV67" s="433"/>
      <c r="CW67" s="425"/>
      <c r="CX67" s="433"/>
      <c r="CY67" s="434"/>
      <c r="CZ67" s="431"/>
      <c r="DA67" s="435"/>
      <c r="DB67" s="432">
        <v>2024</v>
      </c>
      <c r="DC67" s="425"/>
      <c r="DD67" s="433"/>
      <c r="DE67" s="425"/>
      <c r="DF67" s="433"/>
      <c r="DG67" s="434"/>
      <c r="DH67" s="431"/>
      <c r="DI67" s="435"/>
      <c r="DJ67" s="1805"/>
      <c r="DK67" s="1806"/>
      <c r="DL67" s="1807"/>
      <c r="DM67" s="1808"/>
      <c r="DN67" s="1810">
        <v>0</v>
      </c>
      <c r="DO67" s="1799">
        <v>0</v>
      </c>
      <c r="DP67" s="1800">
        <v>0</v>
      </c>
      <c r="DQ67" s="1799">
        <v>0</v>
      </c>
      <c r="DR67" s="1800">
        <v>0</v>
      </c>
      <c r="DS67" s="1799">
        <v>0</v>
      </c>
    </row>
    <row r="68" spans="1:123" ht="94.5">
      <c r="A68" s="1801" t="s">
        <v>1149</v>
      </c>
      <c r="B68" s="1788" t="s">
        <v>1150</v>
      </c>
      <c r="C68" s="426">
        <v>2022</v>
      </c>
      <c r="D68" s="417" t="s">
        <v>681</v>
      </c>
      <c r="E68" s="1802">
        <v>1031093</v>
      </c>
      <c r="F68" s="1803" t="s">
        <v>1150</v>
      </c>
      <c r="G68" s="419">
        <v>45133</v>
      </c>
      <c r="H68" s="1790" t="s">
        <v>1151</v>
      </c>
      <c r="I68" s="1791" t="s">
        <v>1150</v>
      </c>
      <c r="J68" s="1793" t="s">
        <v>1152</v>
      </c>
      <c r="K68" s="1788" t="s">
        <v>1150</v>
      </c>
      <c r="L68" s="1791" t="s">
        <v>1152</v>
      </c>
      <c r="M68" s="1793" t="s">
        <v>1151</v>
      </c>
      <c r="N68" s="1790" t="s">
        <v>12</v>
      </c>
      <c r="O68" s="1793" t="s">
        <v>35</v>
      </c>
      <c r="P68" s="420" t="s">
        <v>683</v>
      </c>
      <c r="Q68" s="421"/>
      <c r="R68" s="421"/>
      <c r="S68" s="422"/>
      <c r="T68" s="1794"/>
      <c r="U68" s="423">
        <v>1845.4739999999999</v>
      </c>
      <c r="V68" s="424">
        <v>3</v>
      </c>
      <c r="W68" s="424">
        <v>1</v>
      </c>
      <c r="X68" s="425"/>
      <c r="Y68" s="426">
        <v>2022</v>
      </c>
      <c r="Z68" s="417">
        <v>2024</v>
      </c>
      <c r="AA68" s="1804">
        <v>2022</v>
      </c>
      <c r="AB68" s="427"/>
      <c r="AC68" s="1793"/>
      <c r="AD68" s="428" t="s">
        <v>5863</v>
      </c>
      <c r="AE68" s="1791" t="s">
        <v>1153</v>
      </c>
      <c r="AF68" s="1791" t="s">
        <v>1154</v>
      </c>
      <c r="AG68" s="1793" t="s">
        <v>1155</v>
      </c>
      <c r="AH68" s="428"/>
      <c r="AI68" s="1793"/>
      <c r="AJ68" s="429">
        <v>2021</v>
      </c>
      <c r="AK68" s="424">
        <v>3505</v>
      </c>
      <c r="AL68" s="424">
        <v>3477</v>
      </c>
      <c r="AM68" s="430">
        <v>9.35</v>
      </c>
      <c r="AN68" s="431" t="s">
        <v>912</v>
      </c>
      <c r="AO68" s="432">
        <v>2024</v>
      </c>
      <c r="AP68" s="425">
        <v>4907</v>
      </c>
      <c r="AQ68" s="433">
        <v>-40</v>
      </c>
      <c r="AR68" s="425">
        <v>5041</v>
      </c>
      <c r="AS68" s="433">
        <v>-44.99</v>
      </c>
      <c r="AT68" s="434">
        <v>9.07</v>
      </c>
      <c r="AU68" s="431" t="s">
        <v>912</v>
      </c>
      <c r="AV68" s="435">
        <v>2.99</v>
      </c>
      <c r="AW68" s="432">
        <v>2022</v>
      </c>
      <c r="AX68" s="425">
        <v>3394</v>
      </c>
      <c r="AY68" s="433">
        <v>3.16</v>
      </c>
      <c r="AZ68" s="425">
        <v>3389</v>
      </c>
      <c r="BA68" s="433">
        <v>2.5299999999999998</v>
      </c>
      <c r="BB68" s="434">
        <v>8.3600177348637867</v>
      </c>
      <c r="BC68" s="431" t="s">
        <v>912</v>
      </c>
      <c r="BD68" s="435">
        <v>10.58</v>
      </c>
      <c r="BE68" s="432">
        <v>2023</v>
      </c>
      <c r="BF68" s="425"/>
      <c r="BG68" s="433"/>
      <c r="BH68" s="425"/>
      <c r="BI68" s="433"/>
      <c r="BJ68" s="434"/>
      <c r="BK68" s="431"/>
      <c r="BL68" s="435"/>
      <c r="BM68" s="432">
        <v>2024</v>
      </c>
      <c r="BN68" s="425"/>
      <c r="BO68" s="433"/>
      <c r="BP68" s="425"/>
      <c r="BQ68" s="433"/>
      <c r="BR68" s="434"/>
      <c r="BS68" s="431"/>
      <c r="BT68" s="435"/>
      <c r="BU68" s="1805" t="s">
        <v>687</v>
      </c>
      <c r="BV68" s="1806" t="s">
        <v>728</v>
      </c>
      <c r="BW68" s="1807" t="s">
        <v>678</v>
      </c>
      <c r="BX68" s="1808" t="s">
        <v>4921</v>
      </c>
      <c r="BY68" s="1809">
        <v>2021</v>
      </c>
      <c r="BZ68" s="424"/>
      <c r="CA68" s="424"/>
      <c r="CB68" s="430"/>
      <c r="CC68" s="431"/>
      <c r="CD68" s="432">
        <v>2024</v>
      </c>
      <c r="CE68" s="425"/>
      <c r="CF68" s="433"/>
      <c r="CG68" s="425"/>
      <c r="CH68" s="433"/>
      <c r="CI68" s="434"/>
      <c r="CJ68" s="431"/>
      <c r="CK68" s="435"/>
      <c r="CL68" s="432">
        <v>2022</v>
      </c>
      <c r="CM68" s="425">
        <v>0</v>
      </c>
      <c r="CN68" s="433"/>
      <c r="CO68" s="425">
        <v>0</v>
      </c>
      <c r="CP68" s="433"/>
      <c r="CQ68" s="434"/>
      <c r="CR68" s="431"/>
      <c r="CS68" s="435">
        <v>0</v>
      </c>
      <c r="CT68" s="432">
        <v>2023</v>
      </c>
      <c r="CU68" s="425"/>
      <c r="CV68" s="433"/>
      <c r="CW68" s="425"/>
      <c r="CX68" s="433"/>
      <c r="CY68" s="434"/>
      <c r="CZ68" s="431"/>
      <c r="DA68" s="435"/>
      <c r="DB68" s="432">
        <v>2024</v>
      </c>
      <c r="DC68" s="425"/>
      <c r="DD68" s="433"/>
      <c r="DE68" s="425"/>
      <c r="DF68" s="433"/>
      <c r="DG68" s="434"/>
      <c r="DH68" s="431"/>
      <c r="DI68" s="435"/>
      <c r="DJ68" s="1805"/>
      <c r="DK68" s="1806"/>
      <c r="DL68" s="1807"/>
      <c r="DM68" s="1808"/>
      <c r="DN68" s="1810">
        <v>3</v>
      </c>
      <c r="DO68" s="1799">
        <v>5</v>
      </c>
      <c r="DP68" s="1800">
        <v>0</v>
      </c>
      <c r="DQ68" s="1799">
        <v>2</v>
      </c>
      <c r="DR68" s="1800">
        <v>0</v>
      </c>
      <c r="DS68" s="1799">
        <v>0</v>
      </c>
    </row>
    <row r="69" spans="1:123" ht="121.5">
      <c r="A69" s="1801" t="s">
        <v>1156</v>
      </c>
      <c r="B69" s="1788" t="s">
        <v>1157</v>
      </c>
      <c r="C69" s="426">
        <v>2022</v>
      </c>
      <c r="D69" s="417" t="s">
        <v>681</v>
      </c>
      <c r="E69" s="1802">
        <v>1039094</v>
      </c>
      <c r="F69" s="1803" t="s">
        <v>1157</v>
      </c>
      <c r="G69" s="419">
        <v>45126</v>
      </c>
      <c r="H69" s="1790" t="s">
        <v>1158</v>
      </c>
      <c r="I69" s="1791" t="s">
        <v>1157</v>
      </c>
      <c r="J69" s="1793" t="s">
        <v>1159</v>
      </c>
      <c r="K69" s="1788" t="s">
        <v>1157</v>
      </c>
      <c r="L69" s="1791" t="s">
        <v>1159</v>
      </c>
      <c r="M69" s="1793" t="s">
        <v>1160</v>
      </c>
      <c r="N69" s="1790" t="s">
        <v>42</v>
      </c>
      <c r="O69" s="1793" t="s">
        <v>45</v>
      </c>
      <c r="P69" s="420" t="s">
        <v>683</v>
      </c>
      <c r="Q69" s="421"/>
      <c r="R69" s="421"/>
      <c r="S69" s="422"/>
      <c r="T69" s="1794"/>
      <c r="U69" s="423">
        <v>11837.839800000002</v>
      </c>
      <c r="V69" s="424">
        <v>4</v>
      </c>
      <c r="W69" s="424">
        <v>3</v>
      </c>
      <c r="X69" s="425"/>
      <c r="Y69" s="426">
        <v>2022</v>
      </c>
      <c r="Z69" s="417">
        <v>2024</v>
      </c>
      <c r="AA69" s="1804">
        <v>2022</v>
      </c>
      <c r="AB69" s="427"/>
      <c r="AC69" s="1793"/>
      <c r="AD69" s="428" t="s">
        <v>5863</v>
      </c>
      <c r="AE69" s="1791" t="s">
        <v>4922</v>
      </c>
      <c r="AF69" s="1791" t="s">
        <v>1161</v>
      </c>
      <c r="AG69" s="1793" t="s">
        <v>1162</v>
      </c>
      <c r="AH69" s="428"/>
      <c r="AI69" s="1793"/>
      <c r="AJ69" s="429">
        <v>2021</v>
      </c>
      <c r="AK69" s="424">
        <v>20989</v>
      </c>
      <c r="AL69" s="424">
        <v>14430</v>
      </c>
      <c r="AM69" s="430"/>
      <c r="AN69" s="431"/>
      <c r="AO69" s="432">
        <v>2024</v>
      </c>
      <c r="AP69" s="425">
        <v>16160</v>
      </c>
      <c r="AQ69" s="433">
        <v>23</v>
      </c>
      <c r="AR69" s="425">
        <v>6000</v>
      </c>
      <c r="AS69" s="433">
        <v>58.41</v>
      </c>
      <c r="AT69" s="434"/>
      <c r="AU69" s="431"/>
      <c r="AV69" s="435"/>
      <c r="AW69" s="432">
        <v>2022</v>
      </c>
      <c r="AX69" s="425">
        <v>21077</v>
      </c>
      <c r="AY69" s="433">
        <v>-0.42</v>
      </c>
      <c r="AZ69" s="425">
        <v>3970</v>
      </c>
      <c r="BA69" s="433">
        <v>72.48</v>
      </c>
      <c r="BB69" s="434"/>
      <c r="BC69" s="431"/>
      <c r="BD69" s="435"/>
      <c r="BE69" s="432">
        <v>2023</v>
      </c>
      <c r="BF69" s="425"/>
      <c r="BG69" s="433"/>
      <c r="BH69" s="425"/>
      <c r="BI69" s="433"/>
      <c r="BJ69" s="434"/>
      <c r="BK69" s="431"/>
      <c r="BL69" s="435"/>
      <c r="BM69" s="432">
        <v>2024</v>
      </c>
      <c r="BN69" s="425"/>
      <c r="BO69" s="433"/>
      <c r="BP69" s="425"/>
      <c r="BQ69" s="433"/>
      <c r="BR69" s="434"/>
      <c r="BS69" s="431"/>
      <c r="BT69" s="435"/>
      <c r="BU69" s="1805" t="s">
        <v>719</v>
      </c>
      <c r="BV69" s="1806" t="s">
        <v>728</v>
      </c>
      <c r="BW69" s="1807" t="s">
        <v>688</v>
      </c>
      <c r="BX69" s="1808" t="s">
        <v>4923</v>
      </c>
      <c r="BY69" s="1809">
        <v>2021</v>
      </c>
      <c r="BZ69" s="424"/>
      <c r="CA69" s="424"/>
      <c r="CB69" s="430"/>
      <c r="CC69" s="431"/>
      <c r="CD69" s="432">
        <v>2024</v>
      </c>
      <c r="CE69" s="425"/>
      <c r="CF69" s="433"/>
      <c r="CG69" s="425"/>
      <c r="CH69" s="433"/>
      <c r="CI69" s="434"/>
      <c r="CJ69" s="431"/>
      <c r="CK69" s="435"/>
      <c r="CL69" s="432">
        <v>2022</v>
      </c>
      <c r="CM69" s="425">
        <v>0</v>
      </c>
      <c r="CN69" s="433"/>
      <c r="CO69" s="425">
        <v>0</v>
      </c>
      <c r="CP69" s="433"/>
      <c r="CQ69" s="434"/>
      <c r="CR69" s="431"/>
      <c r="CS69" s="435"/>
      <c r="CT69" s="432">
        <v>2023</v>
      </c>
      <c r="CU69" s="425"/>
      <c r="CV69" s="433"/>
      <c r="CW69" s="425"/>
      <c r="CX69" s="433"/>
      <c r="CY69" s="434"/>
      <c r="CZ69" s="431"/>
      <c r="DA69" s="435"/>
      <c r="DB69" s="432">
        <v>2024</v>
      </c>
      <c r="DC69" s="425"/>
      <c r="DD69" s="433"/>
      <c r="DE69" s="425"/>
      <c r="DF69" s="433"/>
      <c r="DG69" s="434"/>
      <c r="DH69" s="431"/>
      <c r="DI69" s="435"/>
      <c r="DJ69" s="1805"/>
      <c r="DK69" s="1806"/>
      <c r="DL69" s="1807"/>
      <c r="DM69" s="1808"/>
      <c r="DN69" s="1810">
        <v>0</v>
      </c>
      <c r="DO69" s="1799">
        <v>0</v>
      </c>
      <c r="DP69" s="1800">
        <v>0</v>
      </c>
      <c r="DQ69" s="1799">
        <v>0</v>
      </c>
      <c r="DR69" s="1800">
        <v>0</v>
      </c>
      <c r="DS69" s="1799">
        <v>0</v>
      </c>
    </row>
    <row r="70" spans="1:123" ht="121.5">
      <c r="A70" s="1801" t="s">
        <v>1163</v>
      </c>
      <c r="B70" s="1788" t="s">
        <v>1164</v>
      </c>
      <c r="C70" s="426">
        <v>2022</v>
      </c>
      <c r="D70" s="417" t="s">
        <v>681</v>
      </c>
      <c r="E70" s="1802">
        <v>1035095</v>
      </c>
      <c r="F70" s="1803" t="s">
        <v>1164</v>
      </c>
      <c r="G70" s="419">
        <v>45128</v>
      </c>
      <c r="H70" s="1790" t="s">
        <v>1165</v>
      </c>
      <c r="I70" s="1791" t="s">
        <v>1164</v>
      </c>
      <c r="J70" s="1793" t="s">
        <v>4924</v>
      </c>
      <c r="K70" s="1788" t="s">
        <v>1164</v>
      </c>
      <c r="L70" s="1791" t="s">
        <v>4924</v>
      </c>
      <c r="M70" s="1793" t="s">
        <v>1165</v>
      </c>
      <c r="N70" s="1790" t="s">
        <v>37</v>
      </c>
      <c r="O70" s="1793" t="s">
        <v>40</v>
      </c>
      <c r="P70" s="420" t="s">
        <v>683</v>
      </c>
      <c r="Q70" s="421"/>
      <c r="R70" s="421"/>
      <c r="S70" s="422"/>
      <c r="T70" s="1794"/>
      <c r="U70" s="423">
        <v>2815.1412</v>
      </c>
      <c r="V70" s="424">
        <v>1</v>
      </c>
      <c r="W70" s="424">
        <v>1</v>
      </c>
      <c r="X70" s="425"/>
      <c r="Y70" s="426">
        <v>2022</v>
      </c>
      <c r="Z70" s="417">
        <v>2024</v>
      </c>
      <c r="AA70" s="1804">
        <v>2022</v>
      </c>
      <c r="AB70" s="427"/>
      <c r="AC70" s="1793"/>
      <c r="AD70" s="428" t="s">
        <v>5863</v>
      </c>
      <c r="AE70" s="1791" t="s">
        <v>1166</v>
      </c>
      <c r="AF70" s="1791" t="s">
        <v>1167</v>
      </c>
      <c r="AG70" s="1793" t="s">
        <v>1168</v>
      </c>
      <c r="AH70" s="428"/>
      <c r="AI70" s="1793"/>
      <c r="AJ70" s="429">
        <v>2021</v>
      </c>
      <c r="AK70" s="424">
        <v>1156</v>
      </c>
      <c r="AL70" s="424">
        <v>1150</v>
      </c>
      <c r="AM70" s="430">
        <v>9.4600000000000009</v>
      </c>
      <c r="AN70" s="431" t="s">
        <v>1169</v>
      </c>
      <c r="AO70" s="432">
        <v>2024</v>
      </c>
      <c r="AP70" s="425">
        <v>1139</v>
      </c>
      <c r="AQ70" s="433">
        <v>1.47</v>
      </c>
      <c r="AR70" s="425">
        <v>1133</v>
      </c>
      <c r="AS70" s="433">
        <v>1.47</v>
      </c>
      <c r="AT70" s="434">
        <v>11.51</v>
      </c>
      <c r="AU70" s="431" t="s">
        <v>1169</v>
      </c>
      <c r="AV70" s="435">
        <v>-21.68</v>
      </c>
      <c r="AW70" s="432">
        <v>2022</v>
      </c>
      <c r="AX70" s="425">
        <v>1140</v>
      </c>
      <c r="AY70" s="433">
        <v>1.38</v>
      </c>
      <c r="AZ70" s="425">
        <v>1105</v>
      </c>
      <c r="BA70" s="433">
        <v>3.91</v>
      </c>
      <c r="BB70" s="434">
        <v>11.120974743681042</v>
      </c>
      <c r="BC70" s="431" t="s">
        <v>1169</v>
      </c>
      <c r="BD70" s="435">
        <v>-17.559999999999999</v>
      </c>
      <c r="BE70" s="432">
        <v>2023</v>
      </c>
      <c r="BF70" s="425"/>
      <c r="BG70" s="433"/>
      <c r="BH70" s="425"/>
      <c r="BI70" s="433"/>
      <c r="BJ70" s="434"/>
      <c r="BK70" s="431"/>
      <c r="BL70" s="435"/>
      <c r="BM70" s="432">
        <v>2024</v>
      </c>
      <c r="BN70" s="425"/>
      <c r="BO70" s="433"/>
      <c r="BP70" s="425"/>
      <c r="BQ70" s="433"/>
      <c r="BR70" s="434"/>
      <c r="BS70" s="431"/>
      <c r="BT70" s="435"/>
      <c r="BU70" s="1805" t="s">
        <v>719</v>
      </c>
      <c r="BV70" s="1806" t="s">
        <v>728</v>
      </c>
      <c r="BW70" s="1807" t="s">
        <v>688</v>
      </c>
      <c r="BX70" s="1808" t="s">
        <v>4925</v>
      </c>
      <c r="BY70" s="1809">
        <v>2021</v>
      </c>
      <c r="BZ70" s="424"/>
      <c r="CA70" s="424"/>
      <c r="CB70" s="430"/>
      <c r="CC70" s="431"/>
      <c r="CD70" s="432">
        <v>2024</v>
      </c>
      <c r="CE70" s="425"/>
      <c r="CF70" s="433"/>
      <c r="CG70" s="425"/>
      <c r="CH70" s="433"/>
      <c r="CI70" s="434"/>
      <c r="CJ70" s="431"/>
      <c r="CK70" s="435"/>
      <c r="CL70" s="432">
        <v>2022</v>
      </c>
      <c r="CM70" s="425">
        <v>0</v>
      </c>
      <c r="CN70" s="433"/>
      <c r="CO70" s="425">
        <v>0</v>
      </c>
      <c r="CP70" s="433"/>
      <c r="CQ70" s="434"/>
      <c r="CR70" s="431"/>
      <c r="CS70" s="435">
        <v>0</v>
      </c>
      <c r="CT70" s="432">
        <v>2023</v>
      </c>
      <c r="CU70" s="425"/>
      <c r="CV70" s="433"/>
      <c r="CW70" s="425"/>
      <c r="CX70" s="433"/>
      <c r="CY70" s="434"/>
      <c r="CZ70" s="431"/>
      <c r="DA70" s="435"/>
      <c r="DB70" s="432">
        <v>2024</v>
      </c>
      <c r="DC70" s="425"/>
      <c r="DD70" s="433"/>
      <c r="DE70" s="425"/>
      <c r="DF70" s="433"/>
      <c r="DG70" s="434"/>
      <c r="DH70" s="431"/>
      <c r="DI70" s="435"/>
      <c r="DJ70" s="1805"/>
      <c r="DK70" s="1806"/>
      <c r="DL70" s="1807"/>
      <c r="DM70" s="1808"/>
      <c r="DN70" s="1810">
        <v>0</v>
      </c>
      <c r="DO70" s="1799">
        <v>0</v>
      </c>
      <c r="DP70" s="1800">
        <v>0</v>
      </c>
      <c r="DQ70" s="1799">
        <v>0</v>
      </c>
      <c r="DR70" s="1800">
        <v>0</v>
      </c>
      <c r="DS70" s="1799">
        <v>0</v>
      </c>
    </row>
    <row r="71" spans="1:123" ht="94.5">
      <c r="A71" s="1801" t="s">
        <v>1170</v>
      </c>
      <c r="B71" s="1788" t="s">
        <v>1172</v>
      </c>
      <c r="C71" s="426">
        <v>2022</v>
      </c>
      <c r="D71" s="417" t="s">
        <v>681</v>
      </c>
      <c r="E71" s="1802">
        <v>1081096</v>
      </c>
      <c r="F71" s="1803" t="s">
        <v>1172</v>
      </c>
      <c r="G71" s="419">
        <v>45133</v>
      </c>
      <c r="H71" s="1790" t="s">
        <v>1171</v>
      </c>
      <c r="I71" s="1791" t="s">
        <v>1172</v>
      </c>
      <c r="J71" s="1793" t="s">
        <v>1173</v>
      </c>
      <c r="K71" s="1788" t="s">
        <v>1172</v>
      </c>
      <c r="L71" s="1791" t="s">
        <v>1173</v>
      </c>
      <c r="M71" s="1793" t="s">
        <v>1174</v>
      </c>
      <c r="N71" s="1790" t="s">
        <v>93</v>
      </c>
      <c r="O71" s="1793" t="s">
        <v>94</v>
      </c>
      <c r="P71" s="420" t="s">
        <v>683</v>
      </c>
      <c r="Q71" s="421"/>
      <c r="R71" s="421"/>
      <c r="S71" s="422"/>
      <c r="T71" s="1794"/>
      <c r="U71" s="423">
        <v>2753.4792000000002</v>
      </c>
      <c r="V71" s="424">
        <v>3</v>
      </c>
      <c r="W71" s="424">
        <v>1</v>
      </c>
      <c r="X71" s="425"/>
      <c r="Y71" s="426">
        <v>2022</v>
      </c>
      <c r="Z71" s="417">
        <v>2024</v>
      </c>
      <c r="AA71" s="1804">
        <v>2022</v>
      </c>
      <c r="AB71" s="427"/>
      <c r="AC71" s="1793"/>
      <c r="AD71" s="428" t="s">
        <v>5863</v>
      </c>
      <c r="AE71" s="1791" t="s">
        <v>1175</v>
      </c>
      <c r="AF71" s="1791" t="s">
        <v>1176</v>
      </c>
      <c r="AG71" s="1793" t="s">
        <v>1177</v>
      </c>
      <c r="AH71" s="428"/>
      <c r="AI71" s="1793"/>
      <c r="AJ71" s="429">
        <v>2021</v>
      </c>
      <c r="AK71" s="424">
        <v>4331</v>
      </c>
      <c r="AL71" s="424">
        <v>3783</v>
      </c>
      <c r="AM71" s="430">
        <v>40.71</v>
      </c>
      <c r="AN71" s="431" t="s">
        <v>727</v>
      </c>
      <c r="AO71" s="432">
        <v>2024</v>
      </c>
      <c r="AP71" s="425">
        <v>4201</v>
      </c>
      <c r="AQ71" s="433">
        <v>3</v>
      </c>
      <c r="AR71" s="425">
        <v>3669</v>
      </c>
      <c r="AS71" s="433">
        <v>3.01</v>
      </c>
      <c r="AT71" s="434">
        <v>39.49</v>
      </c>
      <c r="AU71" s="431" t="s">
        <v>727</v>
      </c>
      <c r="AV71" s="435">
        <v>2.99</v>
      </c>
      <c r="AW71" s="432">
        <v>2022</v>
      </c>
      <c r="AX71" s="425">
        <v>4765</v>
      </c>
      <c r="AY71" s="433">
        <v>-10.029999999999999</v>
      </c>
      <c r="AZ71" s="425">
        <v>4865</v>
      </c>
      <c r="BA71" s="433">
        <v>-28.61</v>
      </c>
      <c r="BB71" s="434">
        <v>44.79225418311713</v>
      </c>
      <c r="BC71" s="431" t="s">
        <v>727</v>
      </c>
      <c r="BD71" s="435">
        <v>-10.029999999999999</v>
      </c>
      <c r="BE71" s="432">
        <v>2023</v>
      </c>
      <c r="BF71" s="425"/>
      <c r="BG71" s="433"/>
      <c r="BH71" s="425"/>
      <c r="BI71" s="433"/>
      <c r="BJ71" s="434"/>
      <c r="BK71" s="431"/>
      <c r="BL71" s="435"/>
      <c r="BM71" s="432">
        <v>2024</v>
      </c>
      <c r="BN71" s="425"/>
      <c r="BO71" s="433"/>
      <c r="BP71" s="425"/>
      <c r="BQ71" s="433"/>
      <c r="BR71" s="434"/>
      <c r="BS71" s="431"/>
      <c r="BT71" s="435"/>
      <c r="BU71" s="1805" t="s">
        <v>676</v>
      </c>
      <c r="BV71" s="1806" t="s">
        <v>728</v>
      </c>
      <c r="BW71" s="1807" t="s">
        <v>688</v>
      </c>
      <c r="BX71" s="1808" t="s">
        <v>4926</v>
      </c>
      <c r="BY71" s="1809">
        <v>2021</v>
      </c>
      <c r="BZ71" s="424"/>
      <c r="CA71" s="424"/>
      <c r="CB71" s="430"/>
      <c r="CC71" s="431"/>
      <c r="CD71" s="432">
        <v>2024</v>
      </c>
      <c r="CE71" s="425"/>
      <c r="CF71" s="433"/>
      <c r="CG71" s="425"/>
      <c r="CH71" s="433"/>
      <c r="CI71" s="434"/>
      <c r="CJ71" s="431"/>
      <c r="CK71" s="435"/>
      <c r="CL71" s="432">
        <v>2022</v>
      </c>
      <c r="CM71" s="425">
        <v>0</v>
      </c>
      <c r="CN71" s="433"/>
      <c r="CO71" s="425">
        <v>0</v>
      </c>
      <c r="CP71" s="433"/>
      <c r="CQ71" s="434"/>
      <c r="CR71" s="431"/>
      <c r="CS71" s="435">
        <v>0</v>
      </c>
      <c r="CT71" s="432">
        <v>2023</v>
      </c>
      <c r="CU71" s="425"/>
      <c r="CV71" s="433"/>
      <c r="CW71" s="425"/>
      <c r="CX71" s="433"/>
      <c r="CY71" s="434"/>
      <c r="CZ71" s="431"/>
      <c r="DA71" s="435"/>
      <c r="DB71" s="432">
        <v>2024</v>
      </c>
      <c r="DC71" s="425"/>
      <c r="DD71" s="433"/>
      <c r="DE71" s="425"/>
      <c r="DF71" s="433"/>
      <c r="DG71" s="434"/>
      <c r="DH71" s="431"/>
      <c r="DI71" s="435"/>
      <c r="DJ71" s="1805"/>
      <c r="DK71" s="1806"/>
      <c r="DL71" s="1807"/>
      <c r="DM71" s="1808"/>
      <c r="DN71" s="1810">
        <v>0</v>
      </c>
      <c r="DO71" s="1799">
        <v>0</v>
      </c>
      <c r="DP71" s="1800">
        <v>0</v>
      </c>
      <c r="DQ71" s="1799">
        <v>0</v>
      </c>
      <c r="DR71" s="1800">
        <v>0</v>
      </c>
      <c r="DS71" s="1799">
        <v>0</v>
      </c>
    </row>
    <row r="72" spans="1:123" ht="81">
      <c r="A72" s="1801" t="s">
        <v>1178</v>
      </c>
      <c r="B72" s="1788" t="s">
        <v>1179</v>
      </c>
      <c r="C72" s="426">
        <v>2022</v>
      </c>
      <c r="D72" s="417" t="s">
        <v>681</v>
      </c>
      <c r="E72" s="1802">
        <v>1021097</v>
      </c>
      <c r="F72" s="1803" t="s">
        <v>1179</v>
      </c>
      <c r="G72" s="419">
        <v>45093</v>
      </c>
      <c r="H72" s="1790" t="s">
        <v>1180</v>
      </c>
      <c r="I72" s="1791" t="s">
        <v>1179</v>
      </c>
      <c r="J72" s="1793" t="s">
        <v>1181</v>
      </c>
      <c r="K72" s="1788" t="s">
        <v>1179</v>
      </c>
      <c r="L72" s="1791" t="s">
        <v>4927</v>
      </c>
      <c r="M72" s="1793" t="s">
        <v>1182</v>
      </c>
      <c r="N72" s="1790" t="s">
        <v>12</v>
      </c>
      <c r="O72" s="1793" t="s">
        <v>25</v>
      </c>
      <c r="P72" s="420" t="s">
        <v>683</v>
      </c>
      <c r="Q72" s="421"/>
      <c r="R72" s="421"/>
      <c r="S72" s="422"/>
      <c r="T72" s="1794"/>
      <c r="U72" s="423">
        <v>3223.1166000000003</v>
      </c>
      <c r="V72" s="424">
        <v>2</v>
      </c>
      <c r="W72" s="424">
        <v>1</v>
      </c>
      <c r="X72" s="425">
        <v>2</v>
      </c>
      <c r="Y72" s="426">
        <v>2022</v>
      </c>
      <c r="Z72" s="417">
        <v>2024</v>
      </c>
      <c r="AA72" s="1804">
        <v>2022</v>
      </c>
      <c r="AB72" s="427"/>
      <c r="AC72" s="1793"/>
      <c r="AD72" s="428" t="s">
        <v>5863</v>
      </c>
      <c r="AE72" s="1791" t="s">
        <v>1183</v>
      </c>
      <c r="AF72" s="1791" t="s">
        <v>1184</v>
      </c>
      <c r="AG72" s="1793" t="s">
        <v>1185</v>
      </c>
      <c r="AH72" s="428"/>
      <c r="AI72" s="1793"/>
      <c r="AJ72" s="429">
        <v>2021</v>
      </c>
      <c r="AK72" s="424">
        <v>5990</v>
      </c>
      <c r="AL72" s="424">
        <v>6792</v>
      </c>
      <c r="AM72" s="430"/>
      <c r="AN72" s="431"/>
      <c r="AO72" s="432">
        <v>2024</v>
      </c>
      <c r="AP72" s="425">
        <v>5828</v>
      </c>
      <c r="AQ72" s="433">
        <v>2.7</v>
      </c>
      <c r="AR72" s="425">
        <v>6609</v>
      </c>
      <c r="AS72" s="433">
        <v>2.69</v>
      </c>
      <c r="AT72" s="434"/>
      <c r="AU72" s="431"/>
      <c r="AV72" s="435"/>
      <c r="AW72" s="432">
        <v>2022</v>
      </c>
      <c r="AX72" s="425">
        <v>6883</v>
      </c>
      <c r="AY72" s="433">
        <v>-14.91</v>
      </c>
      <c r="AZ72" s="425">
        <v>6734</v>
      </c>
      <c r="BA72" s="433">
        <v>0.85</v>
      </c>
      <c r="BB72" s="434"/>
      <c r="BC72" s="431"/>
      <c r="BD72" s="435"/>
      <c r="BE72" s="432">
        <v>2023</v>
      </c>
      <c r="BF72" s="425"/>
      <c r="BG72" s="433"/>
      <c r="BH72" s="425"/>
      <c r="BI72" s="433"/>
      <c r="BJ72" s="434"/>
      <c r="BK72" s="431"/>
      <c r="BL72" s="435"/>
      <c r="BM72" s="432">
        <v>2024</v>
      </c>
      <c r="BN72" s="425"/>
      <c r="BO72" s="433"/>
      <c r="BP72" s="425"/>
      <c r="BQ72" s="433"/>
      <c r="BR72" s="434"/>
      <c r="BS72" s="431"/>
      <c r="BT72" s="435"/>
      <c r="BU72" s="1805" t="s">
        <v>676</v>
      </c>
      <c r="BV72" s="1806" t="s">
        <v>728</v>
      </c>
      <c r="BW72" s="1807" t="s">
        <v>678</v>
      </c>
      <c r="BX72" s="1808" t="s">
        <v>4928</v>
      </c>
      <c r="BY72" s="1809">
        <v>2021</v>
      </c>
      <c r="BZ72" s="424"/>
      <c r="CA72" s="424"/>
      <c r="CB72" s="430"/>
      <c r="CC72" s="431"/>
      <c r="CD72" s="432">
        <v>2024</v>
      </c>
      <c r="CE72" s="425"/>
      <c r="CF72" s="433"/>
      <c r="CG72" s="425"/>
      <c r="CH72" s="433"/>
      <c r="CI72" s="434"/>
      <c r="CJ72" s="431"/>
      <c r="CK72" s="435"/>
      <c r="CL72" s="432">
        <v>2022</v>
      </c>
      <c r="CM72" s="425">
        <v>6.6212799999999996</v>
      </c>
      <c r="CN72" s="433"/>
      <c r="CO72" s="425">
        <v>6.6212799999999996</v>
      </c>
      <c r="CP72" s="433"/>
      <c r="CQ72" s="434"/>
      <c r="CR72" s="431"/>
      <c r="CS72" s="435"/>
      <c r="CT72" s="432">
        <v>2023</v>
      </c>
      <c r="CU72" s="425"/>
      <c r="CV72" s="433"/>
      <c r="CW72" s="425"/>
      <c r="CX72" s="433"/>
      <c r="CY72" s="434"/>
      <c r="CZ72" s="431"/>
      <c r="DA72" s="435"/>
      <c r="DB72" s="432">
        <v>2024</v>
      </c>
      <c r="DC72" s="425"/>
      <c r="DD72" s="433"/>
      <c r="DE72" s="425"/>
      <c r="DF72" s="433"/>
      <c r="DG72" s="434"/>
      <c r="DH72" s="431"/>
      <c r="DI72" s="435"/>
      <c r="DJ72" s="1805"/>
      <c r="DK72" s="1806"/>
      <c r="DL72" s="1807"/>
      <c r="DM72" s="1808"/>
      <c r="DN72" s="1810">
        <v>0</v>
      </c>
      <c r="DO72" s="1799">
        <v>0</v>
      </c>
      <c r="DP72" s="1800">
        <v>0</v>
      </c>
      <c r="DQ72" s="1799">
        <v>0</v>
      </c>
      <c r="DR72" s="1800">
        <v>0</v>
      </c>
      <c r="DS72" s="1799">
        <v>0</v>
      </c>
    </row>
    <row r="73" spans="1:123" ht="54">
      <c r="A73" s="1801" t="s">
        <v>1186</v>
      </c>
      <c r="B73" s="1788" t="s">
        <v>1187</v>
      </c>
      <c r="C73" s="426">
        <v>2022</v>
      </c>
      <c r="D73" s="417" t="s">
        <v>681</v>
      </c>
      <c r="E73" s="1802">
        <v>1056099</v>
      </c>
      <c r="F73" s="1803" t="s">
        <v>1187</v>
      </c>
      <c r="G73" s="419">
        <v>45137</v>
      </c>
      <c r="H73" s="1790" t="s">
        <v>1188</v>
      </c>
      <c r="I73" s="1791" t="s">
        <v>1187</v>
      </c>
      <c r="J73" s="1793" t="s">
        <v>1189</v>
      </c>
      <c r="K73" s="1788" t="s">
        <v>1187</v>
      </c>
      <c r="L73" s="1791" t="s">
        <v>1190</v>
      </c>
      <c r="M73" s="1793" t="s">
        <v>1188</v>
      </c>
      <c r="N73" s="1790" t="s">
        <v>57</v>
      </c>
      <c r="O73" s="1793" t="s">
        <v>64</v>
      </c>
      <c r="P73" s="420" t="s">
        <v>683</v>
      </c>
      <c r="Q73" s="421"/>
      <c r="R73" s="421"/>
      <c r="S73" s="422"/>
      <c r="T73" s="1794"/>
      <c r="U73" s="423">
        <v>5101.0212000000001</v>
      </c>
      <c r="V73" s="424">
        <v>5</v>
      </c>
      <c r="W73" s="424">
        <v>3</v>
      </c>
      <c r="X73" s="425"/>
      <c r="Y73" s="426">
        <v>2022</v>
      </c>
      <c r="Z73" s="417">
        <v>2024</v>
      </c>
      <c r="AA73" s="1804">
        <v>2022</v>
      </c>
      <c r="AB73" s="427"/>
      <c r="AC73" s="1793"/>
      <c r="AD73" s="428" t="s">
        <v>5863</v>
      </c>
      <c r="AE73" s="1791" t="s">
        <v>1191</v>
      </c>
      <c r="AF73" s="1791" t="s">
        <v>1188</v>
      </c>
      <c r="AG73" s="1793" t="s">
        <v>1192</v>
      </c>
      <c r="AH73" s="428"/>
      <c r="AI73" s="1793"/>
      <c r="AJ73" s="429">
        <v>2021</v>
      </c>
      <c r="AK73" s="424">
        <v>9230</v>
      </c>
      <c r="AL73" s="424">
        <v>8967</v>
      </c>
      <c r="AM73" s="430">
        <v>30.43</v>
      </c>
      <c r="AN73" s="431" t="s">
        <v>1193</v>
      </c>
      <c r="AO73" s="432">
        <v>2024</v>
      </c>
      <c r="AP73" s="425">
        <v>9128</v>
      </c>
      <c r="AQ73" s="433">
        <v>1.1000000000000001</v>
      </c>
      <c r="AR73" s="425">
        <v>8967</v>
      </c>
      <c r="AS73" s="433">
        <v>0</v>
      </c>
      <c r="AT73" s="434">
        <v>30.24</v>
      </c>
      <c r="AU73" s="431" t="s">
        <v>1193</v>
      </c>
      <c r="AV73" s="435">
        <v>0.62</v>
      </c>
      <c r="AW73" s="432">
        <v>2022</v>
      </c>
      <c r="AX73" s="425">
        <v>9316</v>
      </c>
      <c r="AY73" s="433">
        <v>-0.94</v>
      </c>
      <c r="AZ73" s="425">
        <v>8972</v>
      </c>
      <c r="BA73" s="433">
        <v>-0.06</v>
      </c>
      <c r="BB73" s="434">
        <v>29.286387928324423</v>
      </c>
      <c r="BC73" s="431" t="s">
        <v>1193</v>
      </c>
      <c r="BD73" s="435">
        <v>3.75</v>
      </c>
      <c r="BE73" s="432">
        <v>2023</v>
      </c>
      <c r="BF73" s="425"/>
      <c r="BG73" s="433"/>
      <c r="BH73" s="425"/>
      <c r="BI73" s="433"/>
      <c r="BJ73" s="434"/>
      <c r="BK73" s="431"/>
      <c r="BL73" s="435"/>
      <c r="BM73" s="432">
        <v>2024</v>
      </c>
      <c r="BN73" s="425"/>
      <c r="BO73" s="433"/>
      <c r="BP73" s="425"/>
      <c r="BQ73" s="433"/>
      <c r="BR73" s="434"/>
      <c r="BS73" s="431"/>
      <c r="BT73" s="435"/>
      <c r="BU73" s="1805" t="s">
        <v>687</v>
      </c>
      <c r="BV73" s="1806" t="s">
        <v>728</v>
      </c>
      <c r="BW73" s="1807" t="s">
        <v>688</v>
      </c>
      <c r="BX73" s="1808"/>
      <c r="BY73" s="1809">
        <v>2021</v>
      </c>
      <c r="BZ73" s="424"/>
      <c r="CA73" s="424"/>
      <c r="CB73" s="430"/>
      <c r="CC73" s="431"/>
      <c r="CD73" s="432">
        <v>2024</v>
      </c>
      <c r="CE73" s="425"/>
      <c r="CF73" s="433"/>
      <c r="CG73" s="425"/>
      <c r="CH73" s="433"/>
      <c r="CI73" s="434"/>
      <c r="CJ73" s="431"/>
      <c r="CK73" s="435"/>
      <c r="CL73" s="432">
        <v>2022</v>
      </c>
      <c r="CM73" s="425">
        <v>0</v>
      </c>
      <c r="CN73" s="433"/>
      <c r="CO73" s="425">
        <v>0</v>
      </c>
      <c r="CP73" s="433"/>
      <c r="CQ73" s="434"/>
      <c r="CR73" s="431"/>
      <c r="CS73" s="435"/>
      <c r="CT73" s="432">
        <v>2023</v>
      </c>
      <c r="CU73" s="425"/>
      <c r="CV73" s="433"/>
      <c r="CW73" s="425"/>
      <c r="CX73" s="433"/>
      <c r="CY73" s="434"/>
      <c r="CZ73" s="431"/>
      <c r="DA73" s="435"/>
      <c r="DB73" s="432">
        <v>2024</v>
      </c>
      <c r="DC73" s="425"/>
      <c r="DD73" s="433"/>
      <c r="DE73" s="425"/>
      <c r="DF73" s="433"/>
      <c r="DG73" s="434"/>
      <c r="DH73" s="431"/>
      <c r="DI73" s="435"/>
      <c r="DJ73" s="1805"/>
      <c r="DK73" s="1806"/>
      <c r="DL73" s="1807"/>
      <c r="DM73" s="1808"/>
      <c r="DN73" s="1810">
        <v>0</v>
      </c>
      <c r="DO73" s="1799">
        <v>0</v>
      </c>
      <c r="DP73" s="1800">
        <v>0</v>
      </c>
      <c r="DQ73" s="1799">
        <v>0</v>
      </c>
      <c r="DR73" s="1800">
        <v>0</v>
      </c>
      <c r="DS73" s="1799">
        <v>0</v>
      </c>
    </row>
    <row r="74" spans="1:123" ht="54">
      <c r="A74" s="1801" t="s">
        <v>1194</v>
      </c>
      <c r="B74" s="1788" t="s">
        <v>1195</v>
      </c>
      <c r="C74" s="426">
        <v>2022</v>
      </c>
      <c r="D74" s="417" t="s">
        <v>681</v>
      </c>
      <c r="E74" s="1802">
        <v>1009100</v>
      </c>
      <c r="F74" s="1803" t="s">
        <v>1195</v>
      </c>
      <c r="G74" s="419">
        <v>45117</v>
      </c>
      <c r="H74" s="1790" t="s">
        <v>1196</v>
      </c>
      <c r="I74" s="1791" t="s">
        <v>1195</v>
      </c>
      <c r="J74" s="1793" t="s">
        <v>1197</v>
      </c>
      <c r="K74" s="1788" t="s">
        <v>1195</v>
      </c>
      <c r="L74" s="1791" t="s">
        <v>1198</v>
      </c>
      <c r="M74" s="1793" t="s">
        <v>1196</v>
      </c>
      <c r="N74" s="1790" t="s">
        <v>12</v>
      </c>
      <c r="O74" s="1793" t="s">
        <v>13</v>
      </c>
      <c r="P74" s="420" t="s">
        <v>683</v>
      </c>
      <c r="Q74" s="421"/>
      <c r="R74" s="421"/>
      <c r="S74" s="422"/>
      <c r="T74" s="1794"/>
      <c r="U74" s="423">
        <v>8876.4384000000009</v>
      </c>
      <c r="V74" s="424">
        <v>1</v>
      </c>
      <c r="W74" s="424">
        <v>1</v>
      </c>
      <c r="X74" s="425"/>
      <c r="Y74" s="426">
        <v>2022</v>
      </c>
      <c r="Z74" s="417">
        <v>2024</v>
      </c>
      <c r="AA74" s="1804">
        <v>2022</v>
      </c>
      <c r="AB74" s="427"/>
      <c r="AC74" s="1793"/>
      <c r="AD74" s="428" t="s">
        <v>5863</v>
      </c>
      <c r="AE74" s="1791" t="s">
        <v>1199</v>
      </c>
      <c r="AF74" s="1791" t="s">
        <v>1200</v>
      </c>
      <c r="AG74" s="1793" t="s">
        <v>1201</v>
      </c>
      <c r="AH74" s="428"/>
      <c r="AI74" s="1793"/>
      <c r="AJ74" s="429">
        <v>2021</v>
      </c>
      <c r="AK74" s="424">
        <v>17381</v>
      </c>
      <c r="AL74" s="424">
        <v>16830</v>
      </c>
      <c r="AM74" s="430">
        <v>236.35</v>
      </c>
      <c r="AN74" s="431" t="s">
        <v>1003</v>
      </c>
      <c r="AO74" s="432">
        <v>2024</v>
      </c>
      <c r="AP74" s="425">
        <v>16859.57</v>
      </c>
      <c r="AQ74" s="433">
        <v>3</v>
      </c>
      <c r="AR74" s="425">
        <v>16325.1</v>
      </c>
      <c r="AS74" s="433">
        <v>3</v>
      </c>
      <c r="AT74" s="434">
        <v>229.2595</v>
      </c>
      <c r="AU74" s="431" t="s">
        <v>1003</v>
      </c>
      <c r="AV74" s="435">
        <v>3</v>
      </c>
      <c r="AW74" s="432">
        <v>2022</v>
      </c>
      <c r="AX74" s="425">
        <v>17070</v>
      </c>
      <c r="AY74" s="433">
        <v>1.78</v>
      </c>
      <c r="AZ74" s="425">
        <v>15415.072401519999</v>
      </c>
      <c r="BA74" s="433">
        <v>8.4</v>
      </c>
      <c r="BB74" s="434">
        <v>241.938912904826</v>
      </c>
      <c r="BC74" s="431" t="s">
        <v>1003</v>
      </c>
      <c r="BD74" s="435">
        <v>-2.37</v>
      </c>
      <c r="BE74" s="432">
        <v>2023</v>
      </c>
      <c r="BF74" s="425"/>
      <c r="BG74" s="433"/>
      <c r="BH74" s="425"/>
      <c r="BI74" s="433"/>
      <c r="BJ74" s="434"/>
      <c r="BK74" s="431"/>
      <c r="BL74" s="435"/>
      <c r="BM74" s="432">
        <v>2024</v>
      </c>
      <c r="BN74" s="425"/>
      <c r="BO74" s="433"/>
      <c r="BP74" s="425"/>
      <c r="BQ74" s="433"/>
      <c r="BR74" s="434"/>
      <c r="BS74" s="431"/>
      <c r="BT74" s="435"/>
      <c r="BU74" s="1805" t="s">
        <v>719</v>
      </c>
      <c r="BV74" s="1806" t="s">
        <v>728</v>
      </c>
      <c r="BW74" s="1807" t="s">
        <v>688</v>
      </c>
      <c r="BX74" s="1808" t="s">
        <v>4929</v>
      </c>
      <c r="BY74" s="1809">
        <v>2021</v>
      </c>
      <c r="BZ74" s="424"/>
      <c r="CA74" s="424"/>
      <c r="CB74" s="430"/>
      <c r="CC74" s="431"/>
      <c r="CD74" s="432">
        <v>2024</v>
      </c>
      <c r="CE74" s="425"/>
      <c r="CF74" s="433"/>
      <c r="CG74" s="425"/>
      <c r="CH74" s="433"/>
      <c r="CI74" s="434"/>
      <c r="CJ74" s="431"/>
      <c r="CK74" s="435"/>
      <c r="CL74" s="432">
        <v>2022</v>
      </c>
      <c r="CM74" s="425">
        <v>0</v>
      </c>
      <c r="CN74" s="433"/>
      <c r="CO74" s="425">
        <v>-1481.9275984799999</v>
      </c>
      <c r="CP74" s="433"/>
      <c r="CQ74" s="434"/>
      <c r="CR74" s="431"/>
      <c r="CS74" s="435"/>
      <c r="CT74" s="432">
        <v>2023</v>
      </c>
      <c r="CU74" s="425"/>
      <c r="CV74" s="433"/>
      <c r="CW74" s="425"/>
      <c r="CX74" s="433"/>
      <c r="CY74" s="434"/>
      <c r="CZ74" s="431"/>
      <c r="DA74" s="435"/>
      <c r="DB74" s="432">
        <v>2024</v>
      </c>
      <c r="DC74" s="425"/>
      <c r="DD74" s="433"/>
      <c r="DE74" s="425"/>
      <c r="DF74" s="433"/>
      <c r="DG74" s="434"/>
      <c r="DH74" s="431"/>
      <c r="DI74" s="435"/>
      <c r="DJ74" s="1805"/>
      <c r="DK74" s="1806"/>
      <c r="DL74" s="1807"/>
      <c r="DM74" s="1808"/>
      <c r="DN74" s="1810">
        <v>0</v>
      </c>
      <c r="DO74" s="1799">
        <v>0</v>
      </c>
      <c r="DP74" s="1800">
        <v>0</v>
      </c>
      <c r="DQ74" s="1799">
        <v>0</v>
      </c>
      <c r="DR74" s="1800">
        <v>0</v>
      </c>
      <c r="DS74" s="1799">
        <v>0</v>
      </c>
    </row>
    <row r="75" spans="1:123" ht="94.5">
      <c r="A75" s="1801" t="s">
        <v>1202</v>
      </c>
      <c r="B75" s="1788" t="s">
        <v>1203</v>
      </c>
      <c r="C75" s="426">
        <v>2022</v>
      </c>
      <c r="D75" s="417" t="s">
        <v>681</v>
      </c>
      <c r="E75" s="1802">
        <v>1048101</v>
      </c>
      <c r="F75" s="1803" t="s">
        <v>1203</v>
      </c>
      <c r="G75" s="419">
        <v>45133</v>
      </c>
      <c r="H75" s="1790" t="s">
        <v>1204</v>
      </c>
      <c r="I75" s="1791" t="s">
        <v>1203</v>
      </c>
      <c r="J75" s="1793" t="s">
        <v>4930</v>
      </c>
      <c r="K75" s="1788" t="s">
        <v>1203</v>
      </c>
      <c r="L75" s="1791" t="s">
        <v>4930</v>
      </c>
      <c r="M75" s="1793" t="s">
        <v>1204</v>
      </c>
      <c r="N75" s="1790" t="s">
        <v>48</v>
      </c>
      <c r="O75" s="1793" t="s">
        <v>55</v>
      </c>
      <c r="P75" s="420" t="s">
        <v>683</v>
      </c>
      <c r="Q75" s="421"/>
      <c r="R75" s="421"/>
      <c r="S75" s="422"/>
      <c r="T75" s="1794"/>
      <c r="U75" s="423">
        <v>1596.375</v>
      </c>
      <c r="V75" s="424">
        <v>1</v>
      </c>
      <c r="W75" s="424">
        <v>1</v>
      </c>
      <c r="X75" s="425"/>
      <c r="Y75" s="426">
        <v>2022</v>
      </c>
      <c r="Z75" s="417">
        <v>2024</v>
      </c>
      <c r="AA75" s="1804">
        <v>2022</v>
      </c>
      <c r="AB75" s="427"/>
      <c r="AC75" s="1793"/>
      <c r="AD75" s="428" t="s">
        <v>5863</v>
      </c>
      <c r="AE75" s="1791" t="s">
        <v>1205</v>
      </c>
      <c r="AF75" s="1791" t="s">
        <v>1204</v>
      </c>
      <c r="AG75" s="1793" t="s">
        <v>1206</v>
      </c>
      <c r="AH75" s="428"/>
      <c r="AI75" s="1793"/>
      <c r="AJ75" s="429">
        <v>2021</v>
      </c>
      <c r="AK75" s="424">
        <v>3497</v>
      </c>
      <c r="AL75" s="424">
        <v>3123</v>
      </c>
      <c r="AM75" s="430">
        <v>1.91</v>
      </c>
      <c r="AN75" s="431" t="s">
        <v>1207</v>
      </c>
      <c r="AO75" s="432">
        <v>2024</v>
      </c>
      <c r="AP75" s="425">
        <v>3462</v>
      </c>
      <c r="AQ75" s="433">
        <v>1</v>
      </c>
      <c r="AR75" s="425">
        <v>3091</v>
      </c>
      <c r="AS75" s="433">
        <v>1.02</v>
      </c>
      <c r="AT75" s="434">
        <v>1.89</v>
      </c>
      <c r="AU75" s="431" t="s">
        <v>1207</v>
      </c>
      <c r="AV75" s="435">
        <v>1.04</v>
      </c>
      <c r="AW75" s="432">
        <v>2022</v>
      </c>
      <c r="AX75" s="425">
        <v>3441</v>
      </c>
      <c r="AY75" s="433">
        <v>1.6</v>
      </c>
      <c r="AZ75" s="425">
        <v>3140</v>
      </c>
      <c r="BA75" s="433">
        <v>-0.55000000000000004</v>
      </c>
      <c r="BB75" s="434">
        <v>1.5375335120643432</v>
      </c>
      <c r="BC75" s="431" t="s">
        <v>1207</v>
      </c>
      <c r="BD75" s="435">
        <v>19.5</v>
      </c>
      <c r="BE75" s="432">
        <v>2023</v>
      </c>
      <c r="BF75" s="425"/>
      <c r="BG75" s="433"/>
      <c r="BH75" s="425"/>
      <c r="BI75" s="433"/>
      <c r="BJ75" s="434"/>
      <c r="BK75" s="431"/>
      <c r="BL75" s="435"/>
      <c r="BM75" s="432">
        <v>2024</v>
      </c>
      <c r="BN75" s="425"/>
      <c r="BO75" s="433"/>
      <c r="BP75" s="425"/>
      <c r="BQ75" s="433"/>
      <c r="BR75" s="434"/>
      <c r="BS75" s="431"/>
      <c r="BT75" s="435"/>
      <c r="BU75" s="1805" t="s">
        <v>687</v>
      </c>
      <c r="BV75" s="1806" t="s">
        <v>728</v>
      </c>
      <c r="BW75" s="1807" t="s">
        <v>688</v>
      </c>
      <c r="BX75" s="1808"/>
      <c r="BY75" s="1809">
        <v>2021</v>
      </c>
      <c r="BZ75" s="424"/>
      <c r="CA75" s="424"/>
      <c r="CB75" s="430"/>
      <c r="CC75" s="431"/>
      <c r="CD75" s="432">
        <v>2024</v>
      </c>
      <c r="CE75" s="425"/>
      <c r="CF75" s="433"/>
      <c r="CG75" s="425"/>
      <c r="CH75" s="433"/>
      <c r="CI75" s="434"/>
      <c r="CJ75" s="431"/>
      <c r="CK75" s="435"/>
      <c r="CL75" s="432">
        <v>2022</v>
      </c>
      <c r="CM75" s="425">
        <v>0</v>
      </c>
      <c r="CN75" s="433"/>
      <c r="CO75" s="425">
        <v>0</v>
      </c>
      <c r="CP75" s="433"/>
      <c r="CQ75" s="434"/>
      <c r="CR75" s="431"/>
      <c r="CS75" s="435"/>
      <c r="CT75" s="432">
        <v>2023</v>
      </c>
      <c r="CU75" s="425"/>
      <c r="CV75" s="433"/>
      <c r="CW75" s="425"/>
      <c r="CX75" s="433"/>
      <c r="CY75" s="434"/>
      <c r="CZ75" s="431"/>
      <c r="DA75" s="435"/>
      <c r="DB75" s="432">
        <v>2024</v>
      </c>
      <c r="DC75" s="425"/>
      <c r="DD75" s="433"/>
      <c r="DE75" s="425"/>
      <c r="DF75" s="433"/>
      <c r="DG75" s="434"/>
      <c r="DH75" s="431"/>
      <c r="DI75" s="435"/>
      <c r="DJ75" s="1805"/>
      <c r="DK75" s="1806"/>
      <c r="DL75" s="1807"/>
      <c r="DM75" s="1808"/>
      <c r="DN75" s="1810">
        <v>0</v>
      </c>
      <c r="DO75" s="1799">
        <v>0</v>
      </c>
      <c r="DP75" s="1800">
        <v>0</v>
      </c>
      <c r="DQ75" s="1799">
        <v>0</v>
      </c>
      <c r="DR75" s="1800">
        <v>0</v>
      </c>
      <c r="DS75" s="1799">
        <v>0</v>
      </c>
    </row>
    <row r="76" spans="1:123" ht="54">
      <c r="A76" s="1801" t="s">
        <v>1208</v>
      </c>
      <c r="B76" s="1788" t="s">
        <v>1209</v>
      </c>
      <c r="C76" s="426">
        <v>2022</v>
      </c>
      <c r="D76" s="417" t="s">
        <v>714</v>
      </c>
      <c r="E76" s="1802">
        <v>3070102</v>
      </c>
      <c r="F76" s="1803" t="s">
        <v>1209</v>
      </c>
      <c r="G76" s="419">
        <v>45118</v>
      </c>
      <c r="H76" s="1790" t="s">
        <v>1210</v>
      </c>
      <c r="I76" s="1791" t="s">
        <v>1209</v>
      </c>
      <c r="J76" s="1793" t="s">
        <v>1211</v>
      </c>
      <c r="K76" s="1788" t="s">
        <v>1209</v>
      </c>
      <c r="L76" s="1791" t="s">
        <v>1212</v>
      </c>
      <c r="M76" s="1793" t="s">
        <v>1210</v>
      </c>
      <c r="N76" s="1790" t="s">
        <v>77</v>
      </c>
      <c r="O76" s="1793" t="s">
        <v>80</v>
      </c>
      <c r="P76" s="420"/>
      <c r="Q76" s="421"/>
      <c r="R76" s="421" t="s">
        <v>717</v>
      </c>
      <c r="S76" s="422"/>
      <c r="T76" s="1794"/>
      <c r="U76" s="423"/>
      <c r="V76" s="424"/>
      <c r="W76" s="424"/>
      <c r="X76" s="425">
        <v>1639</v>
      </c>
      <c r="Y76" s="426">
        <v>2022</v>
      </c>
      <c r="Z76" s="417">
        <v>2024</v>
      </c>
      <c r="AA76" s="1804">
        <v>2022</v>
      </c>
      <c r="AB76" s="427"/>
      <c r="AC76" s="1793"/>
      <c r="AD76" s="428" t="s">
        <v>5863</v>
      </c>
      <c r="AE76" s="1791" t="s">
        <v>1127</v>
      </c>
      <c r="AF76" s="1791" t="s">
        <v>1213</v>
      </c>
      <c r="AG76" s="1793" t="s">
        <v>1214</v>
      </c>
      <c r="AH76" s="428"/>
      <c r="AI76" s="1793"/>
      <c r="AJ76" s="429">
        <v>2021</v>
      </c>
      <c r="AK76" s="424">
        <v>0</v>
      </c>
      <c r="AL76" s="424"/>
      <c r="AM76" s="430"/>
      <c r="AN76" s="431"/>
      <c r="AO76" s="432">
        <v>2024</v>
      </c>
      <c r="AP76" s="425">
        <v>0</v>
      </c>
      <c r="AQ76" s="433"/>
      <c r="AR76" s="425">
        <v>0</v>
      </c>
      <c r="AS76" s="433"/>
      <c r="AT76" s="434"/>
      <c r="AU76" s="431"/>
      <c r="AV76" s="435"/>
      <c r="AW76" s="432">
        <v>2022</v>
      </c>
      <c r="AX76" s="425"/>
      <c r="AY76" s="433"/>
      <c r="AZ76" s="425"/>
      <c r="BA76" s="433"/>
      <c r="BB76" s="434"/>
      <c r="BC76" s="431"/>
      <c r="BD76" s="435"/>
      <c r="BE76" s="432">
        <v>2023</v>
      </c>
      <c r="BF76" s="425"/>
      <c r="BG76" s="433"/>
      <c r="BH76" s="425"/>
      <c r="BI76" s="433"/>
      <c r="BJ76" s="434"/>
      <c r="BK76" s="431"/>
      <c r="BL76" s="435"/>
      <c r="BM76" s="432">
        <v>2024</v>
      </c>
      <c r="BN76" s="425"/>
      <c r="BO76" s="433"/>
      <c r="BP76" s="425"/>
      <c r="BQ76" s="433"/>
      <c r="BR76" s="434"/>
      <c r="BS76" s="431"/>
      <c r="BT76" s="435"/>
      <c r="BU76" s="1805"/>
      <c r="BV76" s="1806"/>
      <c r="BW76" s="1807"/>
      <c r="BX76" s="1808"/>
      <c r="BY76" s="1809">
        <v>2021</v>
      </c>
      <c r="BZ76" s="424">
        <v>3481</v>
      </c>
      <c r="CA76" s="424">
        <v>3481</v>
      </c>
      <c r="CB76" s="430">
        <v>0.13</v>
      </c>
      <c r="CC76" s="431" t="s">
        <v>736</v>
      </c>
      <c r="CD76" s="432">
        <v>2024</v>
      </c>
      <c r="CE76" s="425">
        <v>3900</v>
      </c>
      <c r="CF76" s="433">
        <v>-12.04</v>
      </c>
      <c r="CG76" s="425">
        <v>3900</v>
      </c>
      <c r="CH76" s="433">
        <v>-12.04</v>
      </c>
      <c r="CI76" s="434">
        <v>0.13</v>
      </c>
      <c r="CJ76" s="431" t="s">
        <v>736</v>
      </c>
      <c r="CK76" s="435">
        <v>0</v>
      </c>
      <c r="CL76" s="432">
        <v>2022</v>
      </c>
      <c r="CM76" s="425">
        <v>3435.8050099999996</v>
      </c>
      <c r="CN76" s="433">
        <v>1.29</v>
      </c>
      <c r="CO76" s="425">
        <v>3435.8050099999996</v>
      </c>
      <c r="CP76" s="433">
        <v>1.29</v>
      </c>
      <c r="CQ76" s="434">
        <v>0.1351604931151765</v>
      </c>
      <c r="CR76" s="431" t="s">
        <v>736</v>
      </c>
      <c r="CS76" s="435">
        <v>-3.97</v>
      </c>
      <c r="CT76" s="432">
        <v>2023</v>
      </c>
      <c r="CU76" s="425"/>
      <c r="CV76" s="433"/>
      <c r="CW76" s="425"/>
      <c r="CX76" s="433"/>
      <c r="CY76" s="434"/>
      <c r="CZ76" s="431"/>
      <c r="DA76" s="435"/>
      <c r="DB76" s="432">
        <v>2024</v>
      </c>
      <c r="DC76" s="425"/>
      <c r="DD76" s="433"/>
      <c r="DE76" s="425"/>
      <c r="DF76" s="433"/>
      <c r="DG76" s="434"/>
      <c r="DH76" s="431"/>
      <c r="DI76" s="435"/>
      <c r="DJ76" s="1805" t="s">
        <v>719</v>
      </c>
      <c r="DK76" s="1806" t="s">
        <v>728</v>
      </c>
      <c r="DL76" s="1807" t="s">
        <v>678</v>
      </c>
      <c r="DM76" s="1808"/>
      <c r="DN76" s="1810">
        <v>0</v>
      </c>
      <c r="DO76" s="1799">
        <v>2</v>
      </c>
      <c r="DP76" s="1800">
        <v>0</v>
      </c>
      <c r="DQ76" s="1799">
        <v>3</v>
      </c>
      <c r="DR76" s="1800">
        <v>0</v>
      </c>
      <c r="DS76" s="1799">
        <v>0</v>
      </c>
    </row>
    <row r="77" spans="1:123" ht="175.5">
      <c r="A77" s="1801" t="s">
        <v>1215</v>
      </c>
      <c r="B77" s="1788" t="s">
        <v>1216</v>
      </c>
      <c r="C77" s="426">
        <v>2022</v>
      </c>
      <c r="D77" s="417" t="s">
        <v>681</v>
      </c>
      <c r="E77" s="1802">
        <v>1047105</v>
      </c>
      <c r="F77" s="1803" t="s">
        <v>1216</v>
      </c>
      <c r="G77" s="419">
        <v>45133</v>
      </c>
      <c r="H77" s="1790" t="s">
        <v>1217</v>
      </c>
      <c r="I77" s="1791" t="s">
        <v>1216</v>
      </c>
      <c r="J77" s="1793" t="s">
        <v>1218</v>
      </c>
      <c r="K77" s="1788" t="s">
        <v>1216</v>
      </c>
      <c r="L77" s="1791" t="s">
        <v>1218</v>
      </c>
      <c r="M77" s="1793" t="s">
        <v>1217</v>
      </c>
      <c r="N77" s="1790" t="s">
        <v>48</v>
      </c>
      <c r="O77" s="1793" t="s">
        <v>54</v>
      </c>
      <c r="P77" s="420" t="s">
        <v>683</v>
      </c>
      <c r="Q77" s="421"/>
      <c r="R77" s="421"/>
      <c r="S77" s="422"/>
      <c r="T77" s="1794"/>
      <c r="U77" s="423">
        <v>2342.0466000000001</v>
      </c>
      <c r="V77" s="424">
        <v>2</v>
      </c>
      <c r="W77" s="424">
        <v>2</v>
      </c>
      <c r="X77" s="425"/>
      <c r="Y77" s="426">
        <v>2022</v>
      </c>
      <c r="Z77" s="417">
        <v>2024</v>
      </c>
      <c r="AA77" s="1804">
        <v>2022</v>
      </c>
      <c r="AB77" s="427"/>
      <c r="AC77" s="1793"/>
      <c r="AD77" s="428" t="s">
        <v>5863</v>
      </c>
      <c r="AE77" s="1791" t="s">
        <v>1219</v>
      </c>
      <c r="AF77" s="1791" t="s">
        <v>1220</v>
      </c>
      <c r="AG77" s="1793" t="s">
        <v>1221</v>
      </c>
      <c r="AH77" s="428"/>
      <c r="AI77" s="1793"/>
      <c r="AJ77" s="429">
        <v>2021</v>
      </c>
      <c r="AK77" s="424">
        <v>4382</v>
      </c>
      <c r="AL77" s="424">
        <v>4343</v>
      </c>
      <c r="AM77" s="430"/>
      <c r="AN77" s="431"/>
      <c r="AO77" s="432">
        <v>2024</v>
      </c>
      <c r="AP77" s="425">
        <v>4294</v>
      </c>
      <c r="AQ77" s="433">
        <v>2</v>
      </c>
      <c r="AR77" s="425">
        <v>4256</v>
      </c>
      <c r="AS77" s="433">
        <v>2</v>
      </c>
      <c r="AT77" s="434"/>
      <c r="AU77" s="431"/>
      <c r="AV77" s="435"/>
      <c r="AW77" s="432">
        <v>2022</v>
      </c>
      <c r="AX77" s="425">
        <v>4072</v>
      </c>
      <c r="AY77" s="433">
        <v>7.07</v>
      </c>
      <c r="AZ77" s="425">
        <v>4072</v>
      </c>
      <c r="BA77" s="433">
        <v>6.23</v>
      </c>
      <c r="BB77" s="434"/>
      <c r="BC77" s="431"/>
      <c r="BD77" s="435"/>
      <c r="BE77" s="432">
        <v>2023</v>
      </c>
      <c r="BF77" s="425"/>
      <c r="BG77" s="433"/>
      <c r="BH77" s="425"/>
      <c r="BI77" s="433"/>
      <c r="BJ77" s="434"/>
      <c r="BK77" s="431"/>
      <c r="BL77" s="435"/>
      <c r="BM77" s="432">
        <v>2024</v>
      </c>
      <c r="BN77" s="425"/>
      <c r="BO77" s="433"/>
      <c r="BP77" s="425"/>
      <c r="BQ77" s="433"/>
      <c r="BR77" s="434"/>
      <c r="BS77" s="431"/>
      <c r="BT77" s="435"/>
      <c r="BU77" s="1805" t="s">
        <v>687</v>
      </c>
      <c r="BV77" s="1806" t="s">
        <v>728</v>
      </c>
      <c r="BW77" s="1807" t="s">
        <v>697</v>
      </c>
      <c r="BX77" s="1808" t="s">
        <v>4931</v>
      </c>
      <c r="BY77" s="1809">
        <v>2021</v>
      </c>
      <c r="BZ77" s="424"/>
      <c r="CA77" s="424"/>
      <c r="CB77" s="430"/>
      <c r="CC77" s="431"/>
      <c r="CD77" s="432">
        <v>2024</v>
      </c>
      <c r="CE77" s="425"/>
      <c r="CF77" s="433"/>
      <c r="CG77" s="425"/>
      <c r="CH77" s="433"/>
      <c r="CI77" s="434"/>
      <c r="CJ77" s="431"/>
      <c r="CK77" s="435"/>
      <c r="CL77" s="432">
        <v>2022</v>
      </c>
      <c r="CM77" s="425">
        <v>0</v>
      </c>
      <c r="CN77" s="433"/>
      <c r="CO77" s="425">
        <v>0</v>
      </c>
      <c r="CP77" s="433"/>
      <c r="CQ77" s="434"/>
      <c r="CR77" s="431"/>
      <c r="CS77" s="435"/>
      <c r="CT77" s="432">
        <v>2023</v>
      </c>
      <c r="CU77" s="425"/>
      <c r="CV77" s="433"/>
      <c r="CW77" s="425"/>
      <c r="CX77" s="433"/>
      <c r="CY77" s="434"/>
      <c r="CZ77" s="431"/>
      <c r="DA77" s="435"/>
      <c r="DB77" s="432">
        <v>2024</v>
      </c>
      <c r="DC77" s="425"/>
      <c r="DD77" s="433"/>
      <c r="DE77" s="425"/>
      <c r="DF77" s="433"/>
      <c r="DG77" s="434"/>
      <c r="DH77" s="431"/>
      <c r="DI77" s="435"/>
      <c r="DJ77" s="1805"/>
      <c r="DK77" s="1806"/>
      <c r="DL77" s="1807"/>
      <c r="DM77" s="1808"/>
      <c r="DN77" s="1810">
        <v>0</v>
      </c>
      <c r="DO77" s="1799">
        <v>0</v>
      </c>
      <c r="DP77" s="1800">
        <v>0</v>
      </c>
      <c r="DQ77" s="1799">
        <v>0</v>
      </c>
      <c r="DR77" s="1800">
        <v>0</v>
      </c>
      <c r="DS77" s="1799">
        <v>0</v>
      </c>
    </row>
    <row r="78" spans="1:123" ht="67.5">
      <c r="A78" s="1801" t="s">
        <v>1222</v>
      </c>
      <c r="B78" s="1788" t="s">
        <v>1223</v>
      </c>
      <c r="C78" s="426">
        <v>2022</v>
      </c>
      <c r="D78" s="417" t="s">
        <v>5702</v>
      </c>
      <c r="E78" s="1802">
        <v>1081107</v>
      </c>
      <c r="F78" s="1803" t="s">
        <v>1223</v>
      </c>
      <c r="G78" s="419">
        <v>45138</v>
      </c>
      <c r="H78" s="1790" t="s">
        <v>1224</v>
      </c>
      <c r="I78" s="1791" t="s">
        <v>1223</v>
      </c>
      <c r="J78" s="1793" t="s">
        <v>1225</v>
      </c>
      <c r="K78" s="1788" t="s">
        <v>1223</v>
      </c>
      <c r="L78" s="1791" t="s">
        <v>1225</v>
      </c>
      <c r="M78" s="1793" t="s">
        <v>1224</v>
      </c>
      <c r="N78" s="1790" t="s">
        <v>93</v>
      </c>
      <c r="O78" s="1793" t="s">
        <v>94</v>
      </c>
      <c r="P78" s="420"/>
      <c r="Q78" s="421"/>
      <c r="R78" s="421"/>
      <c r="S78" s="422" t="s">
        <v>5865</v>
      </c>
      <c r="T78" s="1794"/>
      <c r="U78" s="423">
        <v>1452.153</v>
      </c>
      <c r="V78" s="424">
        <v>1</v>
      </c>
      <c r="W78" s="424">
        <v>1</v>
      </c>
      <c r="X78" s="425"/>
      <c r="Y78" s="426">
        <v>2022</v>
      </c>
      <c r="Z78" s="417">
        <v>2024</v>
      </c>
      <c r="AA78" s="1804">
        <v>2022</v>
      </c>
      <c r="AB78" s="427"/>
      <c r="AC78" s="1793"/>
      <c r="AD78" s="428" t="s">
        <v>5863</v>
      </c>
      <c r="AE78" s="1791" t="s">
        <v>1226</v>
      </c>
      <c r="AF78" s="1791" t="s">
        <v>1224</v>
      </c>
      <c r="AG78" s="1793" t="s">
        <v>1227</v>
      </c>
      <c r="AH78" s="428"/>
      <c r="AI78" s="1793"/>
      <c r="AJ78" s="429">
        <v>2021</v>
      </c>
      <c r="AK78" s="424">
        <v>2596</v>
      </c>
      <c r="AL78" s="424">
        <v>2575</v>
      </c>
      <c r="AM78" s="430">
        <v>41.29</v>
      </c>
      <c r="AN78" s="431" t="s">
        <v>727</v>
      </c>
      <c r="AO78" s="432">
        <v>2024</v>
      </c>
      <c r="AP78" s="425">
        <v>2518.8962039999997</v>
      </c>
      <c r="AQ78" s="433">
        <v>2.97</v>
      </c>
      <c r="AR78" s="425">
        <v>2498.5199249999996</v>
      </c>
      <c r="AS78" s="433">
        <v>2.97</v>
      </c>
      <c r="AT78" s="434">
        <v>40.07</v>
      </c>
      <c r="AU78" s="431" t="s">
        <v>727</v>
      </c>
      <c r="AV78" s="435">
        <v>2.95</v>
      </c>
      <c r="AW78" s="432">
        <v>2022</v>
      </c>
      <c r="AX78" s="425">
        <v>2661</v>
      </c>
      <c r="AY78" s="433">
        <v>-2.5099999999999998</v>
      </c>
      <c r="AZ78" s="425">
        <v>2307</v>
      </c>
      <c r="BA78" s="433">
        <v>10.4</v>
      </c>
      <c r="BB78" s="434">
        <v>42.325904694342071</v>
      </c>
      <c r="BC78" s="431" t="s">
        <v>727</v>
      </c>
      <c r="BD78" s="435">
        <v>-2.5099999999999998</v>
      </c>
      <c r="BE78" s="432">
        <v>2023</v>
      </c>
      <c r="BF78" s="425"/>
      <c r="BG78" s="433"/>
      <c r="BH78" s="425"/>
      <c r="BI78" s="433"/>
      <c r="BJ78" s="434"/>
      <c r="BK78" s="431"/>
      <c r="BL78" s="435"/>
      <c r="BM78" s="432">
        <v>2024</v>
      </c>
      <c r="BN78" s="425"/>
      <c r="BO78" s="433"/>
      <c r="BP78" s="425"/>
      <c r="BQ78" s="433"/>
      <c r="BR78" s="434"/>
      <c r="BS78" s="431"/>
      <c r="BT78" s="435"/>
      <c r="BU78" s="1805" t="s">
        <v>676</v>
      </c>
      <c r="BV78" s="1806" t="s">
        <v>728</v>
      </c>
      <c r="BW78" s="1807" t="s">
        <v>688</v>
      </c>
      <c r="BX78" s="1808" t="s">
        <v>4932</v>
      </c>
      <c r="BY78" s="1809">
        <v>2021</v>
      </c>
      <c r="BZ78" s="424"/>
      <c r="CA78" s="424"/>
      <c r="CB78" s="430"/>
      <c r="CC78" s="431"/>
      <c r="CD78" s="432">
        <v>2024</v>
      </c>
      <c r="CE78" s="425"/>
      <c r="CF78" s="433"/>
      <c r="CG78" s="425"/>
      <c r="CH78" s="433"/>
      <c r="CI78" s="434"/>
      <c r="CJ78" s="431"/>
      <c r="CK78" s="435"/>
      <c r="CL78" s="432">
        <v>2022</v>
      </c>
      <c r="CM78" s="425">
        <v>0</v>
      </c>
      <c r="CN78" s="433"/>
      <c r="CO78" s="425">
        <v>-348</v>
      </c>
      <c r="CP78" s="433"/>
      <c r="CQ78" s="434"/>
      <c r="CR78" s="431"/>
      <c r="CS78" s="435">
        <v>0</v>
      </c>
      <c r="CT78" s="432">
        <v>2023</v>
      </c>
      <c r="CU78" s="425"/>
      <c r="CV78" s="433"/>
      <c r="CW78" s="425"/>
      <c r="CX78" s="433"/>
      <c r="CY78" s="434"/>
      <c r="CZ78" s="431"/>
      <c r="DA78" s="435"/>
      <c r="DB78" s="432">
        <v>2024</v>
      </c>
      <c r="DC78" s="425"/>
      <c r="DD78" s="433"/>
      <c r="DE78" s="425"/>
      <c r="DF78" s="433"/>
      <c r="DG78" s="434"/>
      <c r="DH78" s="431"/>
      <c r="DI78" s="435"/>
      <c r="DJ78" s="1805"/>
      <c r="DK78" s="1806"/>
      <c r="DL78" s="1807"/>
      <c r="DM78" s="1808"/>
      <c r="DN78" s="1810">
        <v>0</v>
      </c>
      <c r="DO78" s="1799">
        <v>0</v>
      </c>
      <c r="DP78" s="1800">
        <v>0</v>
      </c>
      <c r="DQ78" s="1799">
        <v>0</v>
      </c>
      <c r="DR78" s="1800">
        <v>0</v>
      </c>
      <c r="DS78" s="1799">
        <v>0</v>
      </c>
    </row>
    <row r="79" spans="1:123" ht="81">
      <c r="A79" s="1801" t="s">
        <v>1228</v>
      </c>
      <c r="B79" s="1788" t="s">
        <v>1229</v>
      </c>
      <c r="C79" s="426">
        <v>2022</v>
      </c>
      <c r="D79" s="417" t="s">
        <v>681</v>
      </c>
      <c r="E79" s="1802">
        <v>1069109</v>
      </c>
      <c r="F79" s="1803" t="s">
        <v>1229</v>
      </c>
      <c r="G79" s="419">
        <v>45118</v>
      </c>
      <c r="H79" s="1790" t="s">
        <v>1230</v>
      </c>
      <c r="I79" s="1791" t="s">
        <v>1229</v>
      </c>
      <c r="J79" s="1793" t="s">
        <v>1231</v>
      </c>
      <c r="K79" s="1788" t="s">
        <v>1229</v>
      </c>
      <c r="L79" s="1791" t="s">
        <v>1231</v>
      </c>
      <c r="M79" s="1793" t="s">
        <v>1232</v>
      </c>
      <c r="N79" s="1790" t="s">
        <v>77</v>
      </c>
      <c r="O79" s="1793" t="s">
        <v>79</v>
      </c>
      <c r="P79" s="420" t="s">
        <v>683</v>
      </c>
      <c r="Q79" s="421"/>
      <c r="R79" s="421"/>
      <c r="S79" s="422"/>
      <c r="T79" s="1794"/>
      <c r="U79" s="423">
        <v>1684.8948</v>
      </c>
      <c r="V79" s="424">
        <v>1</v>
      </c>
      <c r="W79" s="424">
        <v>1</v>
      </c>
      <c r="X79" s="425"/>
      <c r="Y79" s="426">
        <v>2022</v>
      </c>
      <c r="Z79" s="417">
        <v>2024</v>
      </c>
      <c r="AA79" s="1804">
        <v>2022</v>
      </c>
      <c r="AB79" s="427"/>
      <c r="AC79" s="1793"/>
      <c r="AD79" s="428" t="s">
        <v>5863</v>
      </c>
      <c r="AE79" s="1791" t="s">
        <v>1233</v>
      </c>
      <c r="AF79" s="1791" t="s">
        <v>1232</v>
      </c>
      <c r="AG79" s="1793" t="s">
        <v>919</v>
      </c>
      <c r="AH79" s="428"/>
      <c r="AI79" s="1793"/>
      <c r="AJ79" s="429">
        <v>2021</v>
      </c>
      <c r="AK79" s="424">
        <v>3050</v>
      </c>
      <c r="AL79" s="424">
        <v>3066</v>
      </c>
      <c r="AM79" s="430"/>
      <c r="AN79" s="431"/>
      <c r="AO79" s="432">
        <v>2024</v>
      </c>
      <c r="AP79" s="425">
        <v>3019.5</v>
      </c>
      <c r="AQ79" s="433">
        <v>1</v>
      </c>
      <c r="AR79" s="425">
        <v>3035.34</v>
      </c>
      <c r="AS79" s="433">
        <v>0.99</v>
      </c>
      <c r="AT79" s="434"/>
      <c r="AU79" s="431"/>
      <c r="AV79" s="435"/>
      <c r="AW79" s="432">
        <v>2022</v>
      </c>
      <c r="AX79" s="425">
        <v>3117</v>
      </c>
      <c r="AY79" s="433">
        <v>-2.2000000000000002</v>
      </c>
      <c r="AZ79" s="425">
        <v>3114</v>
      </c>
      <c r="BA79" s="433">
        <v>-1.57</v>
      </c>
      <c r="BB79" s="434"/>
      <c r="BC79" s="431"/>
      <c r="BD79" s="435"/>
      <c r="BE79" s="432">
        <v>2023</v>
      </c>
      <c r="BF79" s="425"/>
      <c r="BG79" s="433"/>
      <c r="BH79" s="425"/>
      <c r="BI79" s="433"/>
      <c r="BJ79" s="434"/>
      <c r="BK79" s="431"/>
      <c r="BL79" s="435"/>
      <c r="BM79" s="432">
        <v>2024</v>
      </c>
      <c r="BN79" s="425"/>
      <c r="BO79" s="433"/>
      <c r="BP79" s="425"/>
      <c r="BQ79" s="433"/>
      <c r="BR79" s="434"/>
      <c r="BS79" s="431"/>
      <c r="BT79" s="435"/>
      <c r="BU79" s="1805" t="s">
        <v>676</v>
      </c>
      <c r="BV79" s="1806" t="s">
        <v>728</v>
      </c>
      <c r="BW79" s="1807" t="s">
        <v>678</v>
      </c>
      <c r="BX79" s="1808" t="s">
        <v>4933</v>
      </c>
      <c r="BY79" s="1809">
        <v>2021</v>
      </c>
      <c r="BZ79" s="424"/>
      <c r="CA79" s="424"/>
      <c r="CB79" s="430"/>
      <c r="CC79" s="431"/>
      <c r="CD79" s="432">
        <v>2024</v>
      </c>
      <c r="CE79" s="425"/>
      <c r="CF79" s="433"/>
      <c r="CG79" s="425"/>
      <c r="CH79" s="433"/>
      <c r="CI79" s="434"/>
      <c r="CJ79" s="431"/>
      <c r="CK79" s="435"/>
      <c r="CL79" s="432">
        <v>2022</v>
      </c>
      <c r="CM79" s="425">
        <v>0</v>
      </c>
      <c r="CN79" s="433"/>
      <c r="CO79" s="425">
        <v>0</v>
      </c>
      <c r="CP79" s="433"/>
      <c r="CQ79" s="434"/>
      <c r="CR79" s="431"/>
      <c r="CS79" s="435">
        <v>0</v>
      </c>
      <c r="CT79" s="432">
        <v>2023</v>
      </c>
      <c r="CU79" s="425"/>
      <c r="CV79" s="433"/>
      <c r="CW79" s="425"/>
      <c r="CX79" s="433"/>
      <c r="CY79" s="434"/>
      <c r="CZ79" s="431"/>
      <c r="DA79" s="435"/>
      <c r="DB79" s="432">
        <v>2024</v>
      </c>
      <c r="DC79" s="425"/>
      <c r="DD79" s="433"/>
      <c r="DE79" s="425"/>
      <c r="DF79" s="433"/>
      <c r="DG79" s="434"/>
      <c r="DH79" s="431"/>
      <c r="DI79" s="435"/>
      <c r="DJ79" s="1805"/>
      <c r="DK79" s="1806"/>
      <c r="DL79" s="1807"/>
      <c r="DM79" s="1808"/>
      <c r="DN79" s="1810">
        <v>0</v>
      </c>
      <c r="DO79" s="1799">
        <v>0</v>
      </c>
      <c r="DP79" s="1800">
        <v>0</v>
      </c>
      <c r="DQ79" s="1799">
        <v>0</v>
      </c>
      <c r="DR79" s="1800">
        <v>0</v>
      </c>
      <c r="DS79" s="1799">
        <v>0</v>
      </c>
    </row>
    <row r="80" spans="1:123" ht="81">
      <c r="A80" s="1801" t="s">
        <v>1234</v>
      </c>
      <c r="B80" s="1788" t="s">
        <v>1235</v>
      </c>
      <c r="C80" s="426">
        <v>2022</v>
      </c>
      <c r="D80" s="417" t="s">
        <v>681</v>
      </c>
      <c r="E80" s="1802">
        <v>1069112</v>
      </c>
      <c r="F80" s="1803" t="s">
        <v>1235</v>
      </c>
      <c r="G80" s="419">
        <v>45138</v>
      </c>
      <c r="H80" s="1790" t="s">
        <v>1236</v>
      </c>
      <c r="I80" s="1791" t="s">
        <v>1235</v>
      </c>
      <c r="J80" s="1793" t="s">
        <v>1237</v>
      </c>
      <c r="K80" s="1788" t="s">
        <v>1235</v>
      </c>
      <c r="L80" s="1791" t="s">
        <v>1238</v>
      </c>
      <c r="M80" s="1793" t="s">
        <v>1236</v>
      </c>
      <c r="N80" s="1790" t="s">
        <v>70</v>
      </c>
      <c r="O80" s="1793" t="s">
        <v>73</v>
      </c>
      <c r="P80" s="420" t="s">
        <v>683</v>
      </c>
      <c r="Q80" s="421"/>
      <c r="R80" s="421"/>
      <c r="S80" s="422"/>
      <c r="T80" s="1794"/>
      <c r="U80" s="423">
        <v>1813.7916</v>
      </c>
      <c r="V80" s="424">
        <v>2</v>
      </c>
      <c r="W80" s="424">
        <v>1</v>
      </c>
      <c r="X80" s="425"/>
      <c r="Y80" s="426">
        <v>2022</v>
      </c>
      <c r="Z80" s="417">
        <v>2024</v>
      </c>
      <c r="AA80" s="1804">
        <v>2022</v>
      </c>
      <c r="AB80" s="427"/>
      <c r="AC80" s="1793"/>
      <c r="AD80" s="428" t="s">
        <v>5863</v>
      </c>
      <c r="AE80" s="1791" t="s">
        <v>1239</v>
      </c>
      <c r="AF80" s="1791" t="s">
        <v>1240</v>
      </c>
      <c r="AG80" s="1793" t="s">
        <v>1241</v>
      </c>
      <c r="AH80" s="428"/>
      <c r="AI80" s="1793"/>
      <c r="AJ80" s="429">
        <v>2021</v>
      </c>
      <c r="AK80" s="424">
        <v>2951</v>
      </c>
      <c r="AL80" s="424">
        <v>2934</v>
      </c>
      <c r="AM80" s="430">
        <v>87.18</v>
      </c>
      <c r="AN80" s="431" t="s">
        <v>864</v>
      </c>
      <c r="AO80" s="432">
        <v>2024</v>
      </c>
      <c r="AP80" s="425">
        <v>2921</v>
      </c>
      <c r="AQ80" s="433">
        <v>1.01</v>
      </c>
      <c r="AR80" s="425">
        <v>2904</v>
      </c>
      <c r="AS80" s="433">
        <v>1.02</v>
      </c>
      <c r="AT80" s="434">
        <v>86.31</v>
      </c>
      <c r="AU80" s="431" t="s">
        <v>864</v>
      </c>
      <c r="AV80" s="435">
        <v>1</v>
      </c>
      <c r="AW80" s="432">
        <v>2022</v>
      </c>
      <c r="AX80" s="425">
        <v>3124</v>
      </c>
      <c r="AY80" s="433">
        <v>-5.87</v>
      </c>
      <c r="AZ80" s="425">
        <v>1240</v>
      </c>
      <c r="BA80" s="433">
        <v>57.73</v>
      </c>
      <c r="BB80" s="434">
        <v>91.908925433441496</v>
      </c>
      <c r="BC80" s="431" t="s">
        <v>864</v>
      </c>
      <c r="BD80" s="435">
        <v>-5.43</v>
      </c>
      <c r="BE80" s="432">
        <v>2023</v>
      </c>
      <c r="BF80" s="425"/>
      <c r="BG80" s="433"/>
      <c r="BH80" s="425"/>
      <c r="BI80" s="433"/>
      <c r="BJ80" s="434"/>
      <c r="BK80" s="431"/>
      <c r="BL80" s="435"/>
      <c r="BM80" s="432">
        <v>2024</v>
      </c>
      <c r="BN80" s="425"/>
      <c r="BO80" s="433"/>
      <c r="BP80" s="425"/>
      <c r="BQ80" s="433"/>
      <c r="BR80" s="434"/>
      <c r="BS80" s="431"/>
      <c r="BT80" s="435"/>
      <c r="BU80" s="1805" t="s">
        <v>687</v>
      </c>
      <c r="BV80" s="1806" t="s">
        <v>728</v>
      </c>
      <c r="BW80" s="1807" t="s">
        <v>678</v>
      </c>
      <c r="BX80" s="1808" t="s">
        <v>4934</v>
      </c>
      <c r="BY80" s="1809">
        <v>2021</v>
      </c>
      <c r="BZ80" s="424"/>
      <c r="CA80" s="424"/>
      <c r="CB80" s="430"/>
      <c r="CC80" s="431"/>
      <c r="CD80" s="432">
        <v>2024</v>
      </c>
      <c r="CE80" s="425"/>
      <c r="CF80" s="433"/>
      <c r="CG80" s="425"/>
      <c r="CH80" s="433"/>
      <c r="CI80" s="434"/>
      <c r="CJ80" s="431"/>
      <c r="CK80" s="435"/>
      <c r="CL80" s="432">
        <v>2022</v>
      </c>
      <c r="CM80" s="425">
        <v>0</v>
      </c>
      <c r="CN80" s="433"/>
      <c r="CO80" s="425">
        <v>0</v>
      </c>
      <c r="CP80" s="433"/>
      <c r="CQ80" s="434"/>
      <c r="CR80" s="431"/>
      <c r="CS80" s="435">
        <v>0</v>
      </c>
      <c r="CT80" s="432">
        <v>2023</v>
      </c>
      <c r="CU80" s="425"/>
      <c r="CV80" s="433"/>
      <c r="CW80" s="425"/>
      <c r="CX80" s="433"/>
      <c r="CY80" s="434"/>
      <c r="CZ80" s="431"/>
      <c r="DA80" s="435"/>
      <c r="DB80" s="432">
        <v>2024</v>
      </c>
      <c r="DC80" s="425"/>
      <c r="DD80" s="433"/>
      <c r="DE80" s="425"/>
      <c r="DF80" s="433"/>
      <c r="DG80" s="434"/>
      <c r="DH80" s="431"/>
      <c r="DI80" s="435"/>
      <c r="DJ80" s="1805"/>
      <c r="DK80" s="1806"/>
      <c r="DL80" s="1807"/>
      <c r="DM80" s="1808"/>
      <c r="DN80" s="1810">
        <v>0</v>
      </c>
      <c r="DO80" s="1799">
        <v>0</v>
      </c>
      <c r="DP80" s="1800">
        <v>0</v>
      </c>
      <c r="DQ80" s="1799">
        <v>0</v>
      </c>
      <c r="DR80" s="1800">
        <v>0</v>
      </c>
      <c r="DS80" s="1799">
        <v>0</v>
      </c>
    </row>
    <row r="81" spans="1:123" ht="54">
      <c r="A81" s="1801" t="s">
        <v>1242</v>
      </c>
      <c r="B81" s="1788" t="s">
        <v>1243</v>
      </c>
      <c r="C81" s="426">
        <v>2022</v>
      </c>
      <c r="D81" s="417" t="s">
        <v>681</v>
      </c>
      <c r="E81" s="1802">
        <v>1031113</v>
      </c>
      <c r="F81" s="1803" t="s">
        <v>1243</v>
      </c>
      <c r="G81" s="419">
        <v>45098</v>
      </c>
      <c r="H81" s="1790" t="s">
        <v>1244</v>
      </c>
      <c r="I81" s="1791" t="s">
        <v>1243</v>
      </c>
      <c r="J81" s="1793" t="s">
        <v>1245</v>
      </c>
      <c r="K81" s="1788" t="s">
        <v>1243</v>
      </c>
      <c r="L81" s="1791" t="s">
        <v>1245</v>
      </c>
      <c r="M81" s="1793" t="s">
        <v>1244</v>
      </c>
      <c r="N81" s="1790" t="s">
        <v>12</v>
      </c>
      <c r="O81" s="1793" t="s">
        <v>35</v>
      </c>
      <c r="P81" s="420" t="s">
        <v>683</v>
      </c>
      <c r="Q81" s="421"/>
      <c r="R81" s="421"/>
      <c r="S81" s="422"/>
      <c r="T81" s="1794"/>
      <c r="U81" s="423">
        <v>1698.1302000000001</v>
      </c>
      <c r="V81" s="424">
        <v>1</v>
      </c>
      <c r="W81" s="424">
        <v>1</v>
      </c>
      <c r="X81" s="425"/>
      <c r="Y81" s="426">
        <v>2022</v>
      </c>
      <c r="Z81" s="417">
        <v>2024</v>
      </c>
      <c r="AA81" s="1804">
        <v>2022</v>
      </c>
      <c r="AB81" s="427"/>
      <c r="AC81" s="1793"/>
      <c r="AD81" s="428" t="s">
        <v>5863</v>
      </c>
      <c r="AE81" s="1791" t="s">
        <v>1246</v>
      </c>
      <c r="AF81" s="1791" t="s">
        <v>1247</v>
      </c>
      <c r="AG81" s="1793" t="s">
        <v>1248</v>
      </c>
      <c r="AH81" s="428"/>
      <c r="AI81" s="1793"/>
      <c r="AJ81" s="429">
        <v>2021</v>
      </c>
      <c r="AK81" s="424">
        <v>3105</v>
      </c>
      <c r="AL81" s="424">
        <v>3084</v>
      </c>
      <c r="AM81" s="430">
        <v>21.52</v>
      </c>
      <c r="AN81" s="431" t="s">
        <v>912</v>
      </c>
      <c r="AO81" s="432">
        <v>2024</v>
      </c>
      <c r="AP81" s="425">
        <v>3011</v>
      </c>
      <c r="AQ81" s="433">
        <v>3.02</v>
      </c>
      <c r="AR81" s="425">
        <v>2991</v>
      </c>
      <c r="AS81" s="433">
        <v>3.01</v>
      </c>
      <c r="AT81" s="434">
        <v>20.87</v>
      </c>
      <c r="AU81" s="431" t="s">
        <v>912</v>
      </c>
      <c r="AV81" s="435">
        <v>3.02</v>
      </c>
      <c r="AW81" s="432">
        <v>2022</v>
      </c>
      <c r="AX81" s="425">
        <v>3003</v>
      </c>
      <c r="AY81" s="433">
        <v>3.28</v>
      </c>
      <c r="AZ81" s="425">
        <v>3023</v>
      </c>
      <c r="BA81" s="433">
        <v>1.97</v>
      </c>
      <c r="BB81" s="434">
        <v>20.854166666666668</v>
      </c>
      <c r="BC81" s="431" t="s">
        <v>912</v>
      </c>
      <c r="BD81" s="435">
        <v>3.09</v>
      </c>
      <c r="BE81" s="432">
        <v>2023</v>
      </c>
      <c r="BF81" s="425"/>
      <c r="BG81" s="433"/>
      <c r="BH81" s="425"/>
      <c r="BI81" s="433"/>
      <c r="BJ81" s="434"/>
      <c r="BK81" s="431"/>
      <c r="BL81" s="435"/>
      <c r="BM81" s="432">
        <v>2024</v>
      </c>
      <c r="BN81" s="425"/>
      <c r="BO81" s="433"/>
      <c r="BP81" s="425"/>
      <c r="BQ81" s="433"/>
      <c r="BR81" s="434"/>
      <c r="BS81" s="431"/>
      <c r="BT81" s="435"/>
      <c r="BU81" s="1805" t="s">
        <v>719</v>
      </c>
      <c r="BV81" s="1806" t="s">
        <v>728</v>
      </c>
      <c r="BW81" s="1807" t="s">
        <v>697</v>
      </c>
      <c r="BX81" s="1808"/>
      <c r="BY81" s="1809">
        <v>2021</v>
      </c>
      <c r="BZ81" s="424"/>
      <c r="CA81" s="424"/>
      <c r="CB81" s="430"/>
      <c r="CC81" s="431"/>
      <c r="CD81" s="432">
        <v>2024</v>
      </c>
      <c r="CE81" s="425"/>
      <c r="CF81" s="433"/>
      <c r="CG81" s="425"/>
      <c r="CH81" s="433"/>
      <c r="CI81" s="434"/>
      <c r="CJ81" s="431"/>
      <c r="CK81" s="435"/>
      <c r="CL81" s="432">
        <v>2022</v>
      </c>
      <c r="CM81" s="425">
        <v>0</v>
      </c>
      <c r="CN81" s="433"/>
      <c r="CO81" s="425">
        <v>0</v>
      </c>
      <c r="CP81" s="433"/>
      <c r="CQ81" s="434">
        <v>0</v>
      </c>
      <c r="CR81" s="431"/>
      <c r="CS81" s="435"/>
      <c r="CT81" s="432">
        <v>2023</v>
      </c>
      <c r="CU81" s="425"/>
      <c r="CV81" s="433"/>
      <c r="CW81" s="425"/>
      <c r="CX81" s="433"/>
      <c r="CY81" s="434"/>
      <c r="CZ81" s="431"/>
      <c r="DA81" s="435"/>
      <c r="DB81" s="432">
        <v>2024</v>
      </c>
      <c r="DC81" s="425"/>
      <c r="DD81" s="433"/>
      <c r="DE81" s="425"/>
      <c r="DF81" s="433"/>
      <c r="DG81" s="434"/>
      <c r="DH81" s="431"/>
      <c r="DI81" s="435"/>
      <c r="DJ81" s="1805"/>
      <c r="DK81" s="1806"/>
      <c r="DL81" s="1807"/>
      <c r="DM81" s="1808"/>
      <c r="DN81" s="1810">
        <v>0</v>
      </c>
      <c r="DO81" s="1799">
        <v>0</v>
      </c>
      <c r="DP81" s="1800">
        <v>0</v>
      </c>
      <c r="DQ81" s="1799">
        <v>0</v>
      </c>
      <c r="DR81" s="1800">
        <v>0</v>
      </c>
      <c r="DS81" s="1799">
        <v>0</v>
      </c>
    </row>
    <row r="82" spans="1:123" ht="67.5">
      <c r="A82" s="1801" t="s">
        <v>1249</v>
      </c>
      <c r="B82" s="1788" t="s">
        <v>1250</v>
      </c>
      <c r="C82" s="426">
        <v>2020</v>
      </c>
      <c r="D82" s="417" t="s">
        <v>681</v>
      </c>
      <c r="E82" s="1802">
        <v>1075114</v>
      </c>
      <c r="F82" s="1803" t="s">
        <v>1250</v>
      </c>
      <c r="G82" s="419">
        <v>45130</v>
      </c>
      <c r="H82" s="1790" t="s">
        <v>1251</v>
      </c>
      <c r="I82" s="1791" t="s">
        <v>1250</v>
      </c>
      <c r="J82" s="1793" t="s">
        <v>1252</v>
      </c>
      <c r="K82" s="1788" t="s">
        <v>1250</v>
      </c>
      <c r="L82" s="1791" t="s">
        <v>1253</v>
      </c>
      <c r="M82" s="1793" t="s">
        <v>1251</v>
      </c>
      <c r="N82" s="1790" t="s">
        <v>86</v>
      </c>
      <c r="O82" s="1793" t="s">
        <v>87</v>
      </c>
      <c r="P82" s="420" t="s">
        <v>683</v>
      </c>
      <c r="Q82" s="421"/>
      <c r="R82" s="421"/>
      <c r="S82" s="422"/>
      <c r="T82" s="1794"/>
      <c r="U82" s="423">
        <v>1452.0498</v>
      </c>
      <c r="V82" s="424">
        <v>11</v>
      </c>
      <c r="W82" s="424">
        <v>0</v>
      </c>
      <c r="X82" s="425"/>
      <c r="Y82" s="426">
        <v>2020</v>
      </c>
      <c r="Z82" s="417">
        <v>2022</v>
      </c>
      <c r="AA82" s="1804">
        <v>2022</v>
      </c>
      <c r="AB82" s="427"/>
      <c r="AC82" s="1793"/>
      <c r="AD82" s="428" t="s">
        <v>5863</v>
      </c>
      <c r="AE82" s="1791" t="s">
        <v>1254</v>
      </c>
      <c r="AF82" s="1791" t="s">
        <v>1251</v>
      </c>
      <c r="AG82" s="1793" t="s">
        <v>1255</v>
      </c>
      <c r="AH82" s="428"/>
      <c r="AI82" s="1793"/>
      <c r="AJ82" s="429">
        <v>2019</v>
      </c>
      <c r="AK82" s="424">
        <v>3149</v>
      </c>
      <c r="AL82" s="424">
        <v>3624</v>
      </c>
      <c r="AM82" s="430">
        <v>6.77</v>
      </c>
      <c r="AN82" s="431" t="s">
        <v>1256</v>
      </c>
      <c r="AO82" s="432">
        <v>2022</v>
      </c>
      <c r="AP82" s="425">
        <v>3464</v>
      </c>
      <c r="AQ82" s="433">
        <v>-10.01</v>
      </c>
      <c r="AR82" s="425">
        <v>3985</v>
      </c>
      <c r="AS82" s="433">
        <v>-9.9700000000000006</v>
      </c>
      <c r="AT82" s="434">
        <v>6.68</v>
      </c>
      <c r="AU82" s="431" t="s">
        <v>1256</v>
      </c>
      <c r="AV82" s="435">
        <v>1.32</v>
      </c>
      <c r="AW82" s="432">
        <v>2020</v>
      </c>
      <c r="AX82" s="425">
        <v>2009</v>
      </c>
      <c r="AY82" s="433">
        <v>36.200000000000003</v>
      </c>
      <c r="AZ82" s="425">
        <v>2659</v>
      </c>
      <c r="BA82" s="433">
        <v>26.62</v>
      </c>
      <c r="BB82" s="434">
        <v>9.77</v>
      </c>
      <c r="BC82" s="431" t="s">
        <v>1256</v>
      </c>
      <c r="BD82" s="435">
        <v>-44.32</v>
      </c>
      <c r="BE82" s="432">
        <v>2021</v>
      </c>
      <c r="BF82" s="425">
        <v>2518</v>
      </c>
      <c r="BG82" s="433">
        <v>20.03</v>
      </c>
      <c r="BH82" s="425">
        <v>2517</v>
      </c>
      <c r="BI82" s="433">
        <v>30.54</v>
      </c>
      <c r="BJ82" s="434">
        <v>6.13</v>
      </c>
      <c r="BK82" s="431" t="s">
        <v>1256</v>
      </c>
      <c r="BL82" s="435">
        <v>9.4499999999999993</v>
      </c>
      <c r="BM82" s="432">
        <v>2022</v>
      </c>
      <c r="BN82" s="425">
        <v>2978</v>
      </c>
      <c r="BO82" s="433">
        <v>5.43</v>
      </c>
      <c r="BP82" s="425">
        <v>2974</v>
      </c>
      <c r="BQ82" s="433">
        <v>17.93</v>
      </c>
      <c r="BR82" s="434">
        <v>5.3634367779036491</v>
      </c>
      <c r="BS82" s="431" t="s">
        <v>1256</v>
      </c>
      <c r="BT82" s="435">
        <v>20.77</v>
      </c>
      <c r="BU82" s="1805" t="s">
        <v>687</v>
      </c>
      <c r="BV82" s="1806" t="s">
        <v>728</v>
      </c>
      <c r="BW82" s="1807" t="s">
        <v>678</v>
      </c>
      <c r="BX82" s="1808"/>
      <c r="BY82" s="1809">
        <v>2019</v>
      </c>
      <c r="BZ82" s="424"/>
      <c r="CA82" s="424"/>
      <c r="CB82" s="430"/>
      <c r="CC82" s="431"/>
      <c r="CD82" s="432">
        <v>2022</v>
      </c>
      <c r="CE82" s="425"/>
      <c r="CF82" s="433"/>
      <c r="CG82" s="425"/>
      <c r="CH82" s="433"/>
      <c r="CI82" s="434"/>
      <c r="CJ82" s="431"/>
      <c r="CK82" s="435"/>
      <c r="CL82" s="432">
        <v>2020</v>
      </c>
      <c r="CM82" s="425"/>
      <c r="CN82" s="433"/>
      <c r="CO82" s="425"/>
      <c r="CP82" s="433"/>
      <c r="CQ82" s="434"/>
      <c r="CR82" s="431"/>
      <c r="CS82" s="435"/>
      <c r="CT82" s="432">
        <v>2021</v>
      </c>
      <c r="CU82" s="425"/>
      <c r="CV82" s="433"/>
      <c r="CW82" s="425"/>
      <c r="CX82" s="433"/>
      <c r="CY82" s="434"/>
      <c r="CZ82" s="431"/>
      <c r="DA82" s="435"/>
      <c r="DB82" s="432">
        <v>2022</v>
      </c>
      <c r="DC82" s="425">
        <v>0</v>
      </c>
      <c r="DD82" s="433"/>
      <c r="DE82" s="425">
        <v>0</v>
      </c>
      <c r="DF82" s="433"/>
      <c r="DG82" s="434"/>
      <c r="DH82" s="431"/>
      <c r="DI82" s="435">
        <v>0</v>
      </c>
      <c r="DJ82" s="1805"/>
      <c r="DK82" s="1806"/>
      <c r="DL82" s="1807"/>
      <c r="DM82" s="1808"/>
      <c r="DN82" s="1810">
        <v>0</v>
      </c>
      <c r="DO82" s="1799">
        <v>0</v>
      </c>
      <c r="DP82" s="1800">
        <v>0</v>
      </c>
      <c r="DQ82" s="1799">
        <v>0</v>
      </c>
      <c r="DR82" s="1800">
        <v>0</v>
      </c>
      <c r="DS82" s="1799">
        <v>0</v>
      </c>
    </row>
    <row r="83" spans="1:123" ht="67.5">
      <c r="A83" s="1801" t="s">
        <v>1257</v>
      </c>
      <c r="B83" s="1788" t="s">
        <v>1258</v>
      </c>
      <c r="C83" s="426">
        <v>2022</v>
      </c>
      <c r="D83" s="417" t="s">
        <v>681</v>
      </c>
      <c r="E83" s="1802">
        <v>1030115</v>
      </c>
      <c r="F83" s="1803" t="s">
        <v>1258</v>
      </c>
      <c r="G83" s="419">
        <v>45133</v>
      </c>
      <c r="H83" s="1790" t="s">
        <v>1259</v>
      </c>
      <c r="I83" s="1791" t="s">
        <v>1258</v>
      </c>
      <c r="J83" s="1793" t="s">
        <v>1260</v>
      </c>
      <c r="K83" s="1788" t="s">
        <v>1258</v>
      </c>
      <c r="L83" s="1791" t="s">
        <v>1260</v>
      </c>
      <c r="M83" s="1793" t="s">
        <v>1261</v>
      </c>
      <c r="N83" s="1790" t="s">
        <v>12</v>
      </c>
      <c r="O83" s="1793" t="s">
        <v>34</v>
      </c>
      <c r="P83" s="420" t="s">
        <v>683</v>
      </c>
      <c r="Q83" s="421"/>
      <c r="R83" s="421"/>
      <c r="S83" s="422"/>
      <c r="T83" s="1794"/>
      <c r="U83" s="423">
        <v>13714.0674</v>
      </c>
      <c r="V83" s="424">
        <v>5</v>
      </c>
      <c r="W83" s="424">
        <v>2</v>
      </c>
      <c r="X83" s="425"/>
      <c r="Y83" s="426">
        <v>2022</v>
      </c>
      <c r="Z83" s="417">
        <v>2024</v>
      </c>
      <c r="AA83" s="1804">
        <v>2022</v>
      </c>
      <c r="AB83" s="427"/>
      <c r="AC83" s="1793"/>
      <c r="AD83" s="428" t="s">
        <v>5863</v>
      </c>
      <c r="AE83" s="1791" t="s">
        <v>1262</v>
      </c>
      <c r="AF83" s="1791" t="s">
        <v>1263</v>
      </c>
      <c r="AG83" s="1793" t="s">
        <v>1264</v>
      </c>
      <c r="AH83" s="428"/>
      <c r="AI83" s="1793"/>
      <c r="AJ83" s="429">
        <v>2021</v>
      </c>
      <c r="AK83" s="424">
        <v>25547</v>
      </c>
      <c r="AL83" s="424">
        <v>25321</v>
      </c>
      <c r="AM83" s="430">
        <v>1.67</v>
      </c>
      <c r="AN83" s="431" t="s">
        <v>1265</v>
      </c>
      <c r="AO83" s="432">
        <v>2024</v>
      </c>
      <c r="AP83" s="425">
        <v>26857</v>
      </c>
      <c r="AQ83" s="433">
        <v>-5.13</v>
      </c>
      <c r="AR83" s="425">
        <v>26857</v>
      </c>
      <c r="AS83" s="433">
        <v>-6.07</v>
      </c>
      <c r="AT83" s="434">
        <v>1.62</v>
      </c>
      <c r="AU83" s="431" t="s">
        <v>1265</v>
      </c>
      <c r="AV83" s="435">
        <v>2.99</v>
      </c>
      <c r="AW83" s="432">
        <v>2022</v>
      </c>
      <c r="AX83" s="425">
        <v>25288</v>
      </c>
      <c r="AY83" s="433">
        <v>1.01</v>
      </c>
      <c r="AZ83" s="425">
        <v>25096</v>
      </c>
      <c r="BA83" s="433">
        <v>0.88</v>
      </c>
      <c r="BB83" s="434">
        <v>1.6423018723332403</v>
      </c>
      <c r="BC83" s="431" t="s">
        <v>1265</v>
      </c>
      <c r="BD83" s="435">
        <v>1.65</v>
      </c>
      <c r="BE83" s="432">
        <v>2023</v>
      </c>
      <c r="BF83" s="425"/>
      <c r="BG83" s="433"/>
      <c r="BH83" s="425"/>
      <c r="BI83" s="433"/>
      <c r="BJ83" s="434"/>
      <c r="BK83" s="431"/>
      <c r="BL83" s="435"/>
      <c r="BM83" s="432">
        <v>2024</v>
      </c>
      <c r="BN83" s="425"/>
      <c r="BO83" s="433"/>
      <c r="BP83" s="425"/>
      <c r="BQ83" s="433"/>
      <c r="BR83" s="434"/>
      <c r="BS83" s="431"/>
      <c r="BT83" s="435"/>
      <c r="BU83" s="1805" t="s">
        <v>719</v>
      </c>
      <c r="BV83" s="1806" t="s">
        <v>728</v>
      </c>
      <c r="BW83" s="1807" t="s">
        <v>697</v>
      </c>
      <c r="BX83" s="1808" t="s">
        <v>4935</v>
      </c>
      <c r="BY83" s="1809">
        <v>2021</v>
      </c>
      <c r="BZ83" s="424"/>
      <c r="CA83" s="424"/>
      <c r="CB83" s="430"/>
      <c r="CC83" s="431"/>
      <c r="CD83" s="432">
        <v>2024</v>
      </c>
      <c r="CE83" s="425"/>
      <c r="CF83" s="433"/>
      <c r="CG83" s="425"/>
      <c r="CH83" s="433"/>
      <c r="CI83" s="434"/>
      <c r="CJ83" s="431"/>
      <c r="CK83" s="435"/>
      <c r="CL83" s="432">
        <v>2022</v>
      </c>
      <c r="CM83" s="425">
        <v>0</v>
      </c>
      <c r="CN83" s="433"/>
      <c r="CO83" s="425">
        <v>0</v>
      </c>
      <c r="CP83" s="433"/>
      <c r="CQ83" s="434"/>
      <c r="CR83" s="431"/>
      <c r="CS83" s="435">
        <v>0</v>
      </c>
      <c r="CT83" s="432">
        <v>2023</v>
      </c>
      <c r="CU83" s="425"/>
      <c r="CV83" s="433"/>
      <c r="CW83" s="425"/>
      <c r="CX83" s="433"/>
      <c r="CY83" s="434"/>
      <c r="CZ83" s="431"/>
      <c r="DA83" s="435"/>
      <c r="DB83" s="432">
        <v>2024</v>
      </c>
      <c r="DC83" s="425"/>
      <c r="DD83" s="433"/>
      <c r="DE83" s="425"/>
      <c r="DF83" s="433"/>
      <c r="DG83" s="434"/>
      <c r="DH83" s="431"/>
      <c r="DI83" s="435"/>
      <c r="DJ83" s="1805"/>
      <c r="DK83" s="1806"/>
      <c r="DL83" s="1807"/>
      <c r="DM83" s="1808"/>
      <c r="DN83" s="1810">
        <v>0</v>
      </c>
      <c r="DO83" s="1799">
        <v>0</v>
      </c>
      <c r="DP83" s="1800">
        <v>0</v>
      </c>
      <c r="DQ83" s="1799">
        <v>0</v>
      </c>
      <c r="DR83" s="1800">
        <v>0</v>
      </c>
      <c r="DS83" s="1799">
        <v>0</v>
      </c>
    </row>
    <row r="84" spans="1:123" ht="67.5">
      <c r="A84" s="1801" t="s">
        <v>1266</v>
      </c>
      <c r="B84" s="1788" t="s">
        <v>1267</v>
      </c>
      <c r="C84" s="426">
        <v>2022</v>
      </c>
      <c r="D84" s="417" t="s">
        <v>681</v>
      </c>
      <c r="E84" s="1802">
        <v>1030117</v>
      </c>
      <c r="F84" s="1803" t="s">
        <v>1267</v>
      </c>
      <c r="G84" s="419">
        <v>45121</v>
      </c>
      <c r="H84" s="1790" t="s">
        <v>1268</v>
      </c>
      <c r="I84" s="1791" t="s">
        <v>1267</v>
      </c>
      <c r="J84" s="1793" t="s">
        <v>1269</v>
      </c>
      <c r="K84" s="1788" t="s">
        <v>1267</v>
      </c>
      <c r="L84" s="1791" t="s">
        <v>1269</v>
      </c>
      <c r="M84" s="1793" t="s">
        <v>1268</v>
      </c>
      <c r="N84" s="1790" t="s">
        <v>12</v>
      </c>
      <c r="O84" s="1793" t="s">
        <v>34</v>
      </c>
      <c r="P84" s="420" t="s">
        <v>683</v>
      </c>
      <c r="Q84" s="421"/>
      <c r="R84" s="421"/>
      <c r="S84" s="422"/>
      <c r="T84" s="1794"/>
      <c r="U84" s="423">
        <v>2027.0285999999999</v>
      </c>
      <c r="V84" s="424">
        <v>2</v>
      </c>
      <c r="W84" s="424">
        <v>1</v>
      </c>
      <c r="X84" s="425"/>
      <c r="Y84" s="426">
        <v>2022</v>
      </c>
      <c r="Z84" s="417">
        <v>2024</v>
      </c>
      <c r="AA84" s="1804">
        <v>2022</v>
      </c>
      <c r="AB84" s="427"/>
      <c r="AC84" s="1793"/>
      <c r="AD84" s="428" t="s">
        <v>5863</v>
      </c>
      <c r="AE84" s="1791" t="s">
        <v>1270</v>
      </c>
      <c r="AF84" s="1791" t="s">
        <v>1271</v>
      </c>
      <c r="AG84" s="1793" t="s">
        <v>1272</v>
      </c>
      <c r="AH84" s="428"/>
      <c r="AI84" s="1793"/>
      <c r="AJ84" s="429">
        <v>2021</v>
      </c>
      <c r="AK84" s="424">
        <v>3241</v>
      </c>
      <c r="AL84" s="424">
        <v>2664</v>
      </c>
      <c r="AM84" s="430"/>
      <c r="AN84" s="431"/>
      <c r="AO84" s="432">
        <v>2024</v>
      </c>
      <c r="AP84" s="425">
        <v>4200</v>
      </c>
      <c r="AQ84" s="433">
        <v>-29.59</v>
      </c>
      <c r="AR84" s="425">
        <v>3921</v>
      </c>
      <c r="AS84" s="433">
        <v>-47.19</v>
      </c>
      <c r="AT84" s="434"/>
      <c r="AU84" s="431"/>
      <c r="AV84" s="435"/>
      <c r="AW84" s="432">
        <v>2022</v>
      </c>
      <c r="AX84" s="425">
        <v>3624</v>
      </c>
      <c r="AY84" s="433">
        <v>-11.82</v>
      </c>
      <c r="AZ84" s="425">
        <v>336</v>
      </c>
      <c r="BA84" s="433">
        <v>87.38</v>
      </c>
      <c r="BB84" s="434"/>
      <c r="BC84" s="431"/>
      <c r="BD84" s="435"/>
      <c r="BE84" s="432">
        <v>2023</v>
      </c>
      <c r="BF84" s="425"/>
      <c r="BG84" s="433"/>
      <c r="BH84" s="425"/>
      <c r="BI84" s="433"/>
      <c r="BJ84" s="434"/>
      <c r="BK84" s="431"/>
      <c r="BL84" s="435"/>
      <c r="BM84" s="432">
        <v>2024</v>
      </c>
      <c r="BN84" s="425"/>
      <c r="BO84" s="433"/>
      <c r="BP84" s="425"/>
      <c r="BQ84" s="433"/>
      <c r="BR84" s="434"/>
      <c r="BS84" s="431"/>
      <c r="BT84" s="435"/>
      <c r="BU84" s="1805" t="s">
        <v>719</v>
      </c>
      <c r="BV84" s="1806" t="s">
        <v>728</v>
      </c>
      <c r="BW84" s="1807" t="s">
        <v>678</v>
      </c>
      <c r="BX84" s="1808" t="s">
        <v>4936</v>
      </c>
      <c r="BY84" s="1809">
        <v>2021</v>
      </c>
      <c r="BZ84" s="424"/>
      <c r="CA84" s="424"/>
      <c r="CB84" s="430"/>
      <c r="CC84" s="431"/>
      <c r="CD84" s="432">
        <v>2024</v>
      </c>
      <c r="CE84" s="425"/>
      <c r="CF84" s="433"/>
      <c r="CG84" s="425"/>
      <c r="CH84" s="433"/>
      <c r="CI84" s="434"/>
      <c r="CJ84" s="431"/>
      <c r="CK84" s="435"/>
      <c r="CL84" s="432">
        <v>2022</v>
      </c>
      <c r="CM84" s="425">
        <v>0</v>
      </c>
      <c r="CN84" s="433"/>
      <c r="CO84" s="425">
        <v>0</v>
      </c>
      <c r="CP84" s="433"/>
      <c r="CQ84" s="434"/>
      <c r="CR84" s="431"/>
      <c r="CS84" s="435">
        <v>0</v>
      </c>
      <c r="CT84" s="432">
        <v>2023</v>
      </c>
      <c r="CU84" s="425"/>
      <c r="CV84" s="433"/>
      <c r="CW84" s="425"/>
      <c r="CX84" s="433"/>
      <c r="CY84" s="434"/>
      <c r="CZ84" s="431"/>
      <c r="DA84" s="435"/>
      <c r="DB84" s="432">
        <v>2024</v>
      </c>
      <c r="DC84" s="425"/>
      <c r="DD84" s="433"/>
      <c r="DE84" s="425"/>
      <c r="DF84" s="433"/>
      <c r="DG84" s="434"/>
      <c r="DH84" s="431"/>
      <c r="DI84" s="435"/>
      <c r="DJ84" s="1805"/>
      <c r="DK84" s="1806"/>
      <c r="DL84" s="1807"/>
      <c r="DM84" s="1808"/>
      <c r="DN84" s="1810">
        <v>0</v>
      </c>
      <c r="DO84" s="1799">
        <v>0</v>
      </c>
      <c r="DP84" s="1800">
        <v>0</v>
      </c>
      <c r="DQ84" s="1799">
        <v>0</v>
      </c>
      <c r="DR84" s="1800">
        <v>0</v>
      </c>
      <c r="DS84" s="1799">
        <v>0</v>
      </c>
    </row>
    <row r="85" spans="1:123" ht="81">
      <c r="A85" s="1801" t="s">
        <v>1273</v>
      </c>
      <c r="B85" s="1788" t="s">
        <v>1274</v>
      </c>
      <c r="C85" s="426">
        <v>2022</v>
      </c>
      <c r="D85" s="417" t="s">
        <v>681</v>
      </c>
      <c r="E85" s="1802">
        <v>1069118</v>
      </c>
      <c r="F85" s="1803" t="s">
        <v>1274</v>
      </c>
      <c r="G85" s="419">
        <v>45128</v>
      </c>
      <c r="H85" s="1790" t="s">
        <v>1275</v>
      </c>
      <c r="I85" s="1791" t="s">
        <v>1274</v>
      </c>
      <c r="J85" s="1793" t="s">
        <v>4937</v>
      </c>
      <c r="K85" s="1788" t="s">
        <v>1274</v>
      </c>
      <c r="L85" s="1791" t="s">
        <v>4937</v>
      </c>
      <c r="M85" s="1793" t="s">
        <v>1275</v>
      </c>
      <c r="N85" s="1790" t="s">
        <v>77</v>
      </c>
      <c r="O85" s="1793" t="s">
        <v>79</v>
      </c>
      <c r="P85" s="420" t="s">
        <v>683</v>
      </c>
      <c r="Q85" s="421"/>
      <c r="R85" s="421"/>
      <c r="S85" s="422"/>
      <c r="T85" s="1794"/>
      <c r="U85" s="423">
        <v>2778.6858000000002</v>
      </c>
      <c r="V85" s="424">
        <v>2</v>
      </c>
      <c r="W85" s="424">
        <v>2</v>
      </c>
      <c r="X85" s="425"/>
      <c r="Y85" s="426">
        <v>2022</v>
      </c>
      <c r="Z85" s="417">
        <v>2024</v>
      </c>
      <c r="AA85" s="1804">
        <v>2022</v>
      </c>
      <c r="AB85" s="427"/>
      <c r="AC85" s="1793"/>
      <c r="AD85" s="428" t="s">
        <v>5863</v>
      </c>
      <c r="AE85" s="1791" t="s">
        <v>1276</v>
      </c>
      <c r="AF85" s="1791" t="s">
        <v>1277</v>
      </c>
      <c r="AG85" s="1793" t="s">
        <v>1278</v>
      </c>
      <c r="AH85" s="428"/>
      <c r="AI85" s="1793"/>
      <c r="AJ85" s="429">
        <v>2021</v>
      </c>
      <c r="AK85" s="424">
        <v>4649</v>
      </c>
      <c r="AL85" s="424">
        <v>4347</v>
      </c>
      <c r="AM85" s="430"/>
      <c r="AN85" s="431"/>
      <c r="AO85" s="432">
        <v>2024</v>
      </c>
      <c r="AP85" s="425">
        <v>4510</v>
      </c>
      <c r="AQ85" s="433">
        <v>2.98</v>
      </c>
      <c r="AR85" s="425">
        <v>4217</v>
      </c>
      <c r="AS85" s="433">
        <v>2.99</v>
      </c>
      <c r="AT85" s="434"/>
      <c r="AU85" s="431"/>
      <c r="AV85" s="435"/>
      <c r="AW85" s="432">
        <v>2022</v>
      </c>
      <c r="AX85" s="425">
        <v>4735</v>
      </c>
      <c r="AY85" s="433">
        <v>-1.85</v>
      </c>
      <c r="AZ85" s="425">
        <v>2847</v>
      </c>
      <c r="BA85" s="433">
        <v>34.5</v>
      </c>
      <c r="BB85" s="434"/>
      <c r="BC85" s="431"/>
      <c r="BD85" s="435"/>
      <c r="BE85" s="432">
        <v>2023</v>
      </c>
      <c r="BF85" s="425"/>
      <c r="BG85" s="433"/>
      <c r="BH85" s="425"/>
      <c r="BI85" s="433"/>
      <c r="BJ85" s="434"/>
      <c r="BK85" s="431"/>
      <c r="BL85" s="435"/>
      <c r="BM85" s="432">
        <v>2024</v>
      </c>
      <c r="BN85" s="425"/>
      <c r="BO85" s="433"/>
      <c r="BP85" s="425"/>
      <c r="BQ85" s="433"/>
      <c r="BR85" s="434"/>
      <c r="BS85" s="431"/>
      <c r="BT85" s="435"/>
      <c r="BU85" s="1805" t="s">
        <v>687</v>
      </c>
      <c r="BV85" s="1806" t="s">
        <v>728</v>
      </c>
      <c r="BW85" s="1807" t="s">
        <v>678</v>
      </c>
      <c r="BX85" s="1808" t="s">
        <v>4938</v>
      </c>
      <c r="BY85" s="1809">
        <v>2021</v>
      </c>
      <c r="BZ85" s="424"/>
      <c r="CA85" s="424"/>
      <c r="CB85" s="430"/>
      <c r="CC85" s="431"/>
      <c r="CD85" s="432">
        <v>2024</v>
      </c>
      <c r="CE85" s="425"/>
      <c r="CF85" s="433"/>
      <c r="CG85" s="425"/>
      <c r="CH85" s="433"/>
      <c r="CI85" s="434"/>
      <c r="CJ85" s="431"/>
      <c r="CK85" s="435"/>
      <c r="CL85" s="432">
        <v>2022</v>
      </c>
      <c r="CM85" s="425">
        <v>0</v>
      </c>
      <c r="CN85" s="433"/>
      <c r="CO85" s="425">
        <v>0</v>
      </c>
      <c r="CP85" s="433"/>
      <c r="CQ85" s="434"/>
      <c r="CR85" s="431"/>
      <c r="CS85" s="435">
        <v>0</v>
      </c>
      <c r="CT85" s="432">
        <v>2023</v>
      </c>
      <c r="CU85" s="425"/>
      <c r="CV85" s="433"/>
      <c r="CW85" s="425"/>
      <c r="CX85" s="433"/>
      <c r="CY85" s="434"/>
      <c r="CZ85" s="431"/>
      <c r="DA85" s="435"/>
      <c r="DB85" s="432">
        <v>2024</v>
      </c>
      <c r="DC85" s="425"/>
      <c r="DD85" s="433"/>
      <c r="DE85" s="425"/>
      <c r="DF85" s="433"/>
      <c r="DG85" s="434"/>
      <c r="DH85" s="431"/>
      <c r="DI85" s="435"/>
      <c r="DJ85" s="1805"/>
      <c r="DK85" s="1806"/>
      <c r="DL85" s="1807"/>
      <c r="DM85" s="1808"/>
      <c r="DN85" s="1810">
        <v>0</v>
      </c>
      <c r="DO85" s="1799">
        <v>0</v>
      </c>
      <c r="DP85" s="1800">
        <v>0</v>
      </c>
      <c r="DQ85" s="1799">
        <v>0</v>
      </c>
      <c r="DR85" s="1800">
        <v>0</v>
      </c>
      <c r="DS85" s="1799">
        <v>0</v>
      </c>
    </row>
    <row r="86" spans="1:123" ht="54">
      <c r="A86" s="1801" t="s">
        <v>1279</v>
      </c>
      <c r="B86" s="1788" t="s">
        <v>1280</v>
      </c>
      <c r="C86" s="426">
        <v>2022</v>
      </c>
      <c r="D86" s="417" t="s">
        <v>681</v>
      </c>
      <c r="E86" s="1802">
        <v>1009119</v>
      </c>
      <c r="F86" s="1803" t="s">
        <v>1280</v>
      </c>
      <c r="G86" s="419">
        <v>45132</v>
      </c>
      <c r="H86" s="1790" t="s">
        <v>1281</v>
      </c>
      <c r="I86" s="1791" t="s">
        <v>1280</v>
      </c>
      <c r="J86" s="1793" t="s">
        <v>1282</v>
      </c>
      <c r="K86" s="1788" t="s">
        <v>1280</v>
      </c>
      <c r="L86" s="1791" t="s">
        <v>1282</v>
      </c>
      <c r="M86" s="1793" t="s">
        <v>1281</v>
      </c>
      <c r="N86" s="1790" t="s">
        <v>12</v>
      </c>
      <c r="O86" s="1793" t="s">
        <v>13</v>
      </c>
      <c r="P86" s="420" t="s">
        <v>683</v>
      </c>
      <c r="Q86" s="421"/>
      <c r="R86" s="421"/>
      <c r="S86" s="422"/>
      <c r="T86" s="1794"/>
      <c r="U86" s="423">
        <v>7055.5518000000002</v>
      </c>
      <c r="V86" s="424">
        <v>3</v>
      </c>
      <c r="W86" s="424">
        <v>1</v>
      </c>
      <c r="X86" s="425"/>
      <c r="Y86" s="426">
        <v>2022</v>
      </c>
      <c r="Z86" s="417">
        <v>2024</v>
      </c>
      <c r="AA86" s="1804">
        <v>2022</v>
      </c>
      <c r="AB86" s="427"/>
      <c r="AC86" s="1793"/>
      <c r="AD86" s="428" t="s">
        <v>5863</v>
      </c>
      <c r="AE86" s="1791" t="s">
        <v>1123</v>
      </c>
      <c r="AF86" s="1791" t="s">
        <v>1283</v>
      </c>
      <c r="AG86" s="1793" t="s">
        <v>919</v>
      </c>
      <c r="AH86" s="428"/>
      <c r="AI86" s="1793"/>
      <c r="AJ86" s="429">
        <v>2021</v>
      </c>
      <c r="AK86" s="424">
        <v>12803</v>
      </c>
      <c r="AL86" s="424">
        <v>12689</v>
      </c>
      <c r="AM86" s="430"/>
      <c r="AN86" s="431"/>
      <c r="AO86" s="432">
        <v>2024</v>
      </c>
      <c r="AP86" s="425">
        <v>12425</v>
      </c>
      <c r="AQ86" s="433">
        <v>2.95</v>
      </c>
      <c r="AR86" s="425">
        <v>12314</v>
      </c>
      <c r="AS86" s="433">
        <v>2.95</v>
      </c>
      <c r="AT86" s="434"/>
      <c r="AU86" s="431"/>
      <c r="AV86" s="435"/>
      <c r="AW86" s="432">
        <v>2022</v>
      </c>
      <c r="AX86" s="425">
        <v>12855</v>
      </c>
      <c r="AY86" s="433">
        <v>-0.41</v>
      </c>
      <c r="AZ86" s="425">
        <v>12827</v>
      </c>
      <c r="BA86" s="433">
        <v>-1.0900000000000001</v>
      </c>
      <c r="BB86" s="434"/>
      <c r="BC86" s="431"/>
      <c r="BD86" s="435"/>
      <c r="BE86" s="432">
        <v>2023</v>
      </c>
      <c r="BF86" s="425"/>
      <c r="BG86" s="433"/>
      <c r="BH86" s="425"/>
      <c r="BI86" s="433"/>
      <c r="BJ86" s="434"/>
      <c r="BK86" s="431"/>
      <c r="BL86" s="435"/>
      <c r="BM86" s="432">
        <v>2024</v>
      </c>
      <c r="BN86" s="425"/>
      <c r="BO86" s="433"/>
      <c r="BP86" s="425"/>
      <c r="BQ86" s="433"/>
      <c r="BR86" s="434"/>
      <c r="BS86" s="431"/>
      <c r="BT86" s="435"/>
      <c r="BU86" s="1805" t="s">
        <v>676</v>
      </c>
      <c r="BV86" s="1806" t="s">
        <v>728</v>
      </c>
      <c r="BW86" s="1807" t="s">
        <v>688</v>
      </c>
      <c r="BX86" s="1808" t="s">
        <v>1284</v>
      </c>
      <c r="BY86" s="1809">
        <v>2021</v>
      </c>
      <c r="BZ86" s="424"/>
      <c r="CA86" s="424"/>
      <c r="CB86" s="430"/>
      <c r="CC86" s="431"/>
      <c r="CD86" s="432">
        <v>2024</v>
      </c>
      <c r="CE86" s="425"/>
      <c r="CF86" s="433"/>
      <c r="CG86" s="425"/>
      <c r="CH86" s="433"/>
      <c r="CI86" s="434"/>
      <c r="CJ86" s="431"/>
      <c r="CK86" s="435"/>
      <c r="CL86" s="432">
        <v>2022</v>
      </c>
      <c r="CM86" s="425">
        <v>0</v>
      </c>
      <c r="CN86" s="433"/>
      <c r="CO86" s="425">
        <v>0</v>
      </c>
      <c r="CP86" s="433"/>
      <c r="CQ86" s="434"/>
      <c r="CR86" s="431"/>
      <c r="CS86" s="435">
        <v>0</v>
      </c>
      <c r="CT86" s="432">
        <v>2023</v>
      </c>
      <c r="CU86" s="425"/>
      <c r="CV86" s="433"/>
      <c r="CW86" s="425"/>
      <c r="CX86" s="433"/>
      <c r="CY86" s="434"/>
      <c r="CZ86" s="431"/>
      <c r="DA86" s="435"/>
      <c r="DB86" s="432">
        <v>2024</v>
      </c>
      <c r="DC86" s="425"/>
      <c r="DD86" s="433"/>
      <c r="DE86" s="425"/>
      <c r="DF86" s="433"/>
      <c r="DG86" s="434"/>
      <c r="DH86" s="431"/>
      <c r="DI86" s="435"/>
      <c r="DJ86" s="1805"/>
      <c r="DK86" s="1806"/>
      <c r="DL86" s="1807"/>
      <c r="DM86" s="1808"/>
      <c r="DN86" s="1810">
        <v>0</v>
      </c>
      <c r="DO86" s="1799">
        <v>0</v>
      </c>
      <c r="DP86" s="1800">
        <v>0</v>
      </c>
      <c r="DQ86" s="1799">
        <v>0</v>
      </c>
      <c r="DR86" s="1800">
        <v>0</v>
      </c>
      <c r="DS86" s="1799">
        <v>0</v>
      </c>
    </row>
    <row r="87" spans="1:123" ht="81">
      <c r="A87" s="1801" t="s">
        <v>1285</v>
      </c>
      <c r="B87" s="1788" t="s">
        <v>1286</v>
      </c>
      <c r="C87" s="426">
        <v>2022</v>
      </c>
      <c r="D87" s="417" t="s">
        <v>681</v>
      </c>
      <c r="E87" s="1802">
        <v>1056120</v>
      </c>
      <c r="F87" s="1803" t="s">
        <v>1286</v>
      </c>
      <c r="G87" s="419">
        <v>45136</v>
      </c>
      <c r="H87" s="1790" t="s">
        <v>1287</v>
      </c>
      <c r="I87" s="1791" t="s">
        <v>1286</v>
      </c>
      <c r="J87" s="1793" t="s">
        <v>1288</v>
      </c>
      <c r="K87" s="1788" t="s">
        <v>1286</v>
      </c>
      <c r="L87" s="1791" t="s">
        <v>1288</v>
      </c>
      <c r="M87" s="1793" t="s">
        <v>1287</v>
      </c>
      <c r="N87" s="1790" t="s">
        <v>57</v>
      </c>
      <c r="O87" s="1793" t="s">
        <v>64</v>
      </c>
      <c r="P87" s="420" t="s">
        <v>683</v>
      </c>
      <c r="Q87" s="421"/>
      <c r="R87" s="421"/>
      <c r="S87" s="422"/>
      <c r="T87" s="1794"/>
      <c r="U87" s="423">
        <v>7301.9160000000002</v>
      </c>
      <c r="V87" s="424">
        <v>27</v>
      </c>
      <c r="W87" s="424">
        <v>1</v>
      </c>
      <c r="X87" s="425"/>
      <c r="Y87" s="426">
        <v>2022</v>
      </c>
      <c r="Z87" s="417">
        <v>2024</v>
      </c>
      <c r="AA87" s="1804">
        <v>2022</v>
      </c>
      <c r="AB87" s="427"/>
      <c r="AC87" s="1793"/>
      <c r="AD87" s="428" t="s">
        <v>5863</v>
      </c>
      <c r="AE87" s="1791" t="s">
        <v>1289</v>
      </c>
      <c r="AF87" s="1791" t="s">
        <v>1290</v>
      </c>
      <c r="AG87" s="1793" t="s">
        <v>1291</v>
      </c>
      <c r="AH87" s="428"/>
      <c r="AI87" s="1793"/>
      <c r="AJ87" s="429">
        <v>2021</v>
      </c>
      <c r="AK87" s="424">
        <v>13535</v>
      </c>
      <c r="AL87" s="424">
        <v>13416</v>
      </c>
      <c r="AM87" s="430"/>
      <c r="AN87" s="431"/>
      <c r="AO87" s="432">
        <v>2024</v>
      </c>
      <c r="AP87" s="425">
        <v>13399</v>
      </c>
      <c r="AQ87" s="433">
        <v>1</v>
      </c>
      <c r="AR87" s="425">
        <v>13282</v>
      </c>
      <c r="AS87" s="433">
        <v>0.99</v>
      </c>
      <c r="AT87" s="434"/>
      <c r="AU87" s="431"/>
      <c r="AV87" s="435"/>
      <c r="AW87" s="432">
        <v>2022</v>
      </c>
      <c r="AX87" s="425">
        <v>12362</v>
      </c>
      <c r="AY87" s="433">
        <v>8.66</v>
      </c>
      <c r="AZ87" s="425">
        <v>12362</v>
      </c>
      <c r="BA87" s="433">
        <v>7.85</v>
      </c>
      <c r="BB87" s="434"/>
      <c r="BC87" s="431"/>
      <c r="BD87" s="435"/>
      <c r="BE87" s="432">
        <v>2023</v>
      </c>
      <c r="BF87" s="425"/>
      <c r="BG87" s="433"/>
      <c r="BH87" s="425"/>
      <c r="BI87" s="433"/>
      <c r="BJ87" s="434"/>
      <c r="BK87" s="431"/>
      <c r="BL87" s="435"/>
      <c r="BM87" s="432">
        <v>2024</v>
      </c>
      <c r="BN87" s="425"/>
      <c r="BO87" s="433"/>
      <c r="BP87" s="425"/>
      <c r="BQ87" s="433"/>
      <c r="BR87" s="434"/>
      <c r="BS87" s="431"/>
      <c r="BT87" s="435"/>
      <c r="BU87" s="1805" t="s">
        <v>687</v>
      </c>
      <c r="BV87" s="1806" t="s">
        <v>728</v>
      </c>
      <c r="BW87" s="1807" t="s">
        <v>688</v>
      </c>
      <c r="BX87" s="1808" t="s">
        <v>4939</v>
      </c>
      <c r="BY87" s="1809">
        <v>2021</v>
      </c>
      <c r="BZ87" s="424"/>
      <c r="CA87" s="424"/>
      <c r="CB87" s="430"/>
      <c r="CC87" s="431"/>
      <c r="CD87" s="432">
        <v>2024</v>
      </c>
      <c r="CE87" s="425"/>
      <c r="CF87" s="433"/>
      <c r="CG87" s="425"/>
      <c r="CH87" s="433"/>
      <c r="CI87" s="434"/>
      <c r="CJ87" s="431"/>
      <c r="CK87" s="435"/>
      <c r="CL87" s="432">
        <v>2022</v>
      </c>
      <c r="CM87" s="425">
        <v>0</v>
      </c>
      <c r="CN87" s="433"/>
      <c r="CO87" s="425">
        <v>0</v>
      </c>
      <c r="CP87" s="433"/>
      <c r="CQ87" s="434"/>
      <c r="CR87" s="431"/>
      <c r="CS87" s="435">
        <v>0</v>
      </c>
      <c r="CT87" s="432">
        <v>2023</v>
      </c>
      <c r="CU87" s="425"/>
      <c r="CV87" s="433"/>
      <c r="CW87" s="425"/>
      <c r="CX87" s="433"/>
      <c r="CY87" s="434"/>
      <c r="CZ87" s="431"/>
      <c r="DA87" s="435"/>
      <c r="DB87" s="432">
        <v>2024</v>
      </c>
      <c r="DC87" s="425"/>
      <c r="DD87" s="433"/>
      <c r="DE87" s="425"/>
      <c r="DF87" s="433"/>
      <c r="DG87" s="434"/>
      <c r="DH87" s="431"/>
      <c r="DI87" s="435"/>
      <c r="DJ87" s="1805"/>
      <c r="DK87" s="1806"/>
      <c r="DL87" s="1807"/>
      <c r="DM87" s="1808"/>
      <c r="DN87" s="1810">
        <v>0</v>
      </c>
      <c r="DO87" s="1799">
        <v>0</v>
      </c>
      <c r="DP87" s="1800">
        <v>0</v>
      </c>
      <c r="DQ87" s="1799">
        <v>0</v>
      </c>
      <c r="DR87" s="1800">
        <v>0</v>
      </c>
      <c r="DS87" s="1799">
        <v>0</v>
      </c>
    </row>
    <row r="88" spans="1:123" ht="67.5">
      <c r="A88" s="1801" t="s">
        <v>1292</v>
      </c>
      <c r="B88" s="1788" t="s">
        <v>1293</v>
      </c>
      <c r="C88" s="426">
        <v>2022</v>
      </c>
      <c r="D88" s="417" t="s">
        <v>681</v>
      </c>
      <c r="E88" s="1802">
        <v>1047122</v>
      </c>
      <c r="F88" s="1803" t="s">
        <v>1293</v>
      </c>
      <c r="G88" s="419">
        <v>45114</v>
      </c>
      <c r="H88" s="1790" t="s">
        <v>1294</v>
      </c>
      <c r="I88" s="1791" t="s">
        <v>1293</v>
      </c>
      <c r="J88" s="1793" t="s">
        <v>1295</v>
      </c>
      <c r="K88" s="1788" t="s">
        <v>1293</v>
      </c>
      <c r="L88" s="1791" t="s">
        <v>1296</v>
      </c>
      <c r="M88" s="1793" t="s">
        <v>1294</v>
      </c>
      <c r="N88" s="1790" t="s">
        <v>48</v>
      </c>
      <c r="O88" s="1793" t="s">
        <v>54</v>
      </c>
      <c r="P88" s="420" t="s">
        <v>683</v>
      </c>
      <c r="Q88" s="421"/>
      <c r="R88" s="421"/>
      <c r="S88" s="422"/>
      <c r="T88" s="1794"/>
      <c r="U88" s="423">
        <v>1821.2736</v>
      </c>
      <c r="V88" s="424">
        <v>3</v>
      </c>
      <c r="W88" s="424">
        <v>2</v>
      </c>
      <c r="X88" s="425"/>
      <c r="Y88" s="426">
        <v>2022</v>
      </c>
      <c r="Z88" s="417">
        <v>2024</v>
      </c>
      <c r="AA88" s="1804">
        <v>2022</v>
      </c>
      <c r="AB88" s="427"/>
      <c r="AC88" s="1793"/>
      <c r="AD88" s="428" t="s">
        <v>5863</v>
      </c>
      <c r="AE88" s="1791" t="s">
        <v>1297</v>
      </c>
      <c r="AF88" s="1791" t="s">
        <v>1294</v>
      </c>
      <c r="AG88" s="1793" t="s">
        <v>1298</v>
      </c>
      <c r="AH88" s="428"/>
      <c r="AI88" s="1793"/>
      <c r="AJ88" s="429">
        <v>2021</v>
      </c>
      <c r="AK88" s="424">
        <v>3316</v>
      </c>
      <c r="AL88" s="424">
        <v>3287</v>
      </c>
      <c r="AM88" s="430"/>
      <c r="AN88" s="431"/>
      <c r="AO88" s="432">
        <v>2024</v>
      </c>
      <c r="AP88" s="425">
        <v>3282</v>
      </c>
      <c r="AQ88" s="433">
        <v>1.02</v>
      </c>
      <c r="AR88" s="425">
        <v>3254</v>
      </c>
      <c r="AS88" s="433">
        <v>1</v>
      </c>
      <c r="AT88" s="434"/>
      <c r="AU88" s="431"/>
      <c r="AV88" s="435"/>
      <c r="AW88" s="432">
        <v>2022</v>
      </c>
      <c r="AX88" s="425">
        <v>3345</v>
      </c>
      <c r="AY88" s="433">
        <v>-0.88</v>
      </c>
      <c r="AZ88" s="425">
        <v>3338</v>
      </c>
      <c r="BA88" s="433">
        <v>-1.56</v>
      </c>
      <c r="BB88" s="434"/>
      <c r="BC88" s="431"/>
      <c r="BD88" s="435"/>
      <c r="BE88" s="432">
        <v>2023</v>
      </c>
      <c r="BF88" s="425"/>
      <c r="BG88" s="433"/>
      <c r="BH88" s="425"/>
      <c r="BI88" s="433"/>
      <c r="BJ88" s="434"/>
      <c r="BK88" s="431"/>
      <c r="BL88" s="435"/>
      <c r="BM88" s="432">
        <v>2024</v>
      </c>
      <c r="BN88" s="425"/>
      <c r="BO88" s="433"/>
      <c r="BP88" s="425"/>
      <c r="BQ88" s="433"/>
      <c r="BR88" s="434"/>
      <c r="BS88" s="431"/>
      <c r="BT88" s="435"/>
      <c r="BU88" s="1805" t="s">
        <v>676</v>
      </c>
      <c r="BV88" s="1806" t="s">
        <v>728</v>
      </c>
      <c r="BW88" s="1807" t="s">
        <v>688</v>
      </c>
      <c r="BX88" s="1808" t="s">
        <v>4940</v>
      </c>
      <c r="BY88" s="1809">
        <v>2021</v>
      </c>
      <c r="BZ88" s="424"/>
      <c r="CA88" s="424"/>
      <c r="CB88" s="430"/>
      <c r="CC88" s="431"/>
      <c r="CD88" s="432">
        <v>2024</v>
      </c>
      <c r="CE88" s="425"/>
      <c r="CF88" s="433"/>
      <c r="CG88" s="425"/>
      <c r="CH88" s="433"/>
      <c r="CI88" s="434"/>
      <c r="CJ88" s="431"/>
      <c r="CK88" s="435"/>
      <c r="CL88" s="432">
        <v>2022</v>
      </c>
      <c r="CM88" s="425">
        <v>0</v>
      </c>
      <c r="CN88" s="433"/>
      <c r="CO88" s="425">
        <v>0</v>
      </c>
      <c r="CP88" s="433"/>
      <c r="CQ88" s="434"/>
      <c r="CR88" s="431"/>
      <c r="CS88" s="435">
        <v>0</v>
      </c>
      <c r="CT88" s="432">
        <v>2023</v>
      </c>
      <c r="CU88" s="425"/>
      <c r="CV88" s="433"/>
      <c r="CW88" s="425"/>
      <c r="CX88" s="433"/>
      <c r="CY88" s="434"/>
      <c r="CZ88" s="431"/>
      <c r="DA88" s="435"/>
      <c r="DB88" s="432">
        <v>2024</v>
      </c>
      <c r="DC88" s="425"/>
      <c r="DD88" s="433"/>
      <c r="DE88" s="425"/>
      <c r="DF88" s="433"/>
      <c r="DG88" s="434"/>
      <c r="DH88" s="431"/>
      <c r="DI88" s="435"/>
      <c r="DJ88" s="1805"/>
      <c r="DK88" s="1806"/>
      <c r="DL88" s="1807"/>
      <c r="DM88" s="1808"/>
      <c r="DN88" s="1810">
        <v>0</v>
      </c>
      <c r="DO88" s="1799">
        <v>0</v>
      </c>
      <c r="DP88" s="1800">
        <v>0</v>
      </c>
      <c r="DQ88" s="1799">
        <v>0</v>
      </c>
      <c r="DR88" s="1800">
        <v>0</v>
      </c>
      <c r="DS88" s="1799">
        <v>0</v>
      </c>
    </row>
    <row r="89" spans="1:123" ht="67.5">
      <c r="A89" s="1801" t="s">
        <v>1299</v>
      </c>
      <c r="B89" s="1788" t="s">
        <v>1300</v>
      </c>
      <c r="C89" s="426">
        <v>2022</v>
      </c>
      <c r="D89" s="417" t="s">
        <v>681</v>
      </c>
      <c r="E89" s="1802">
        <v>1024123</v>
      </c>
      <c r="F89" s="1803" t="s">
        <v>1300</v>
      </c>
      <c r="G89" s="419">
        <v>45191</v>
      </c>
      <c r="H89" s="1790" t="s">
        <v>1301</v>
      </c>
      <c r="I89" s="1791" t="s">
        <v>1300</v>
      </c>
      <c r="J89" s="1793" t="s">
        <v>4941</v>
      </c>
      <c r="K89" s="1788" t="s">
        <v>1300</v>
      </c>
      <c r="L89" s="1791" t="s">
        <v>1302</v>
      </c>
      <c r="M89" s="1793" t="s">
        <v>1303</v>
      </c>
      <c r="N89" s="1790" t="s">
        <v>12</v>
      </c>
      <c r="O89" s="1793" t="s">
        <v>28</v>
      </c>
      <c r="P89" s="420" t="s">
        <v>683</v>
      </c>
      <c r="Q89" s="421"/>
      <c r="R89" s="421"/>
      <c r="S89" s="422"/>
      <c r="T89" s="1794"/>
      <c r="U89" s="423">
        <v>13662.6222</v>
      </c>
      <c r="V89" s="424">
        <v>4</v>
      </c>
      <c r="W89" s="424">
        <v>4</v>
      </c>
      <c r="X89" s="425"/>
      <c r="Y89" s="426">
        <v>2022</v>
      </c>
      <c r="Z89" s="417">
        <v>2024</v>
      </c>
      <c r="AA89" s="1804">
        <v>2022</v>
      </c>
      <c r="AB89" s="427"/>
      <c r="AC89" s="1793"/>
      <c r="AD89" s="428" t="s">
        <v>5863</v>
      </c>
      <c r="AE89" s="1791" t="s">
        <v>1304</v>
      </c>
      <c r="AF89" s="1791" t="s">
        <v>1305</v>
      </c>
      <c r="AG89" s="1793" t="s">
        <v>1306</v>
      </c>
      <c r="AH89" s="428"/>
      <c r="AI89" s="1793"/>
      <c r="AJ89" s="429">
        <v>2021</v>
      </c>
      <c r="AK89" s="424">
        <v>18225</v>
      </c>
      <c r="AL89" s="424">
        <v>18155</v>
      </c>
      <c r="AM89" s="430"/>
      <c r="AN89" s="431"/>
      <c r="AO89" s="432">
        <v>2024</v>
      </c>
      <c r="AP89" s="425">
        <v>17164</v>
      </c>
      <c r="AQ89" s="433">
        <v>5.82</v>
      </c>
      <c r="AR89" s="425">
        <v>17164</v>
      </c>
      <c r="AS89" s="433">
        <v>5.45</v>
      </c>
      <c r="AT89" s="434"/>
      <c r="AU89" s="431"/>
      <c r="AV89" s="435"/>
      <c r="AW89" s="432">
        <v>2022</v>
      </c>
      <c r="AX89" s="425">
        <v>25815</v>
      </c>
      <c r="AY89" s="433">
        <v>-41.65</v>
      </c>
      <c r="AZ89" s="425">
        <v>25792</v>
      </c>
      <c r="BA89" s="433">
        <v>-42.07</v>
      </c>
      <c r="BB89" s="434"/>
      <c r="BC89" s="431"/>
      <c r="BD89" s="435"/>
      <c r="BE89" s="432">
        <v>2023</v>
      </c>
      <c r="BF89" s="425"/>
      <c r="BG89" s="433"/>
      <c r="BH89" s="425"/>
      <c r="BI89" s="433"/>
      <c r="BJ89" s="434"/>
      <c r="BK89" s="431"/>
      <c r="BL89" s="435"/>
      <c r="BM89" s="432">
        <v>2024</v>
      </c>
      <c r="BN89" s="425"/>
      <c r="BO89" s="433"/>
      <c r="BP89" s="425"/>
      <c r="BQ89" s="433"/>
      <c r="BR89" s="434"/>
      <c r="BS89" s="431"/>
      <c r="BT89" s="435"/>
      <c r="BU89" s="1805" t="s">
        <v>719</v>
      </c>
      <c r="BV89" s="1806" t="s">
        <v>728</v>
      </c>
      <c r="BW89" s="1807" t="s">
        <v>688</v>
      </c>
      <c r="BX89" s="1808" t="s">
        <v>4942</v>
      </c>
      <c r="BY89" s="1809">
        <v>2021</v>
      </c>
      <c r="BZ89" s="424"/>
      <c r="CA89" s="424"/>
      <c r="CB89" s="430"/>
      <c r="CC89" s="431"/>
      <c r="CD89" s="432">
        <v>2024</v>
      </c>
      <c r="CE89" s="425"/>
      <c r="CF89" s="433"/>
      <c r="CG89" s="425"/>
      <c r="CH89" s="433"/>
      <c r="CI89" s="434"/>
      <c r="CJ89" s="431"/>
      <c r="CK89" s="435"/>
      <c r="CL89" s="432">
        <v>2022</v>
      </c>
      <c r="CM89" s="425">
        <v>0</v>
      </c>
      <c r="CN89" s="433"/>
      <c r="CO89" s="425">
        <v>0</v>
      </c>
      <c r="CP89" s="433"/>
      <c r="CQ89" s="434"/>
      <c r="CR89" s="431"/>
      <c r="CS89" s="435">
        <v>0</v>
      </c>
      <c r="CT89" s="432">
        <v>2023</v>
      </c>
      <c r="CU89" s="425"/>
      <c r="CV89" s="433"/>
      <c r="CW89" s="425"/>
      <c r="CX89" s="433"/>
      <c r="CY89" s="434"/>
      <c r="CZ89" s="431"/>
      <c r="DA89" s="435"/>
      <c r="DB89" s="432">
        <v>2024</v>
      </c>
      <c r="DC89" s="425"/>
      <c r="DD89" s="433"/>
      <c r="DE89" s="425"/>
      <c r="DF89" s="433"/>
      <c r="DG89" s="434"/>
      <c r="DH89" s="431"/>
      <c r="DI89" s="435"/>
      <c r="DJ89" s="1805"/>
      <c r="DK89" s="1806"/>
      <c r="DL89" s="1807"/>
      <c r="DM89" s="1808"/>
      <c r="DN89" s="1810">
        <v>1</v>
      </c>
      <c r="DO89" s="1799">
        <v>2</v>
      </c>
      <c r="DP89" s="1800">
        <v>0</v>
      </c>
      <c r="DQ89" s="1799">
        <v>0</v>
      </c>
      <c r="DR89" s="1800">
        <v>0</v>
      </c>
      <c r="DS89" s="1799">
        <v>0</v>
      </c>
    </row>
    <row r="90" spans="1:123" ht="94.5">
      <c r="A90" s="1801" t="s">
        <v>1307</v>
      </c>
      <c r="B90" s="1788" t="s">
        <v>1308</v>
      </c>
      <c r="C90" s="426">
        <v>2022</v>
      </c>
      <c r="D90" s="417" t="s">
        <v>668</v>
      </c>
      <c r="E90" s="1802">
        <v>2095124</v>
      </c>
      <c r="F90" s="1803" t="s">
        <v>1308</v>
      </c>
      <c r="G90" s="419">
        <v>45138</v>
      </c>
      <c r="H90" s="1790" t="s">
        <v>1309</v>
      </c>
      <c r="I90" s="1791" t="s">
        <v>1308</v>
      </c>
      <c r="J90" s="1793" t="s">
        <v>1310</v>
      </c>
      <c r="K90" s="1788" t="s">
        <v>1308</v>
      </c>
      <c r="L90" s="1791" t="s">
        <v>1310</v>
      </c>
      <c r="M90" s="1793" t="s">
        <v>1309</v>
      </c>
      <c r="N90" s="1790" t="s">
        <v>102</v>
      </c>
      <c r="O90" s="1793" t="s">
        <v>110</v>
      </c>
      <c r="P90" s="420"/>
      <c r="Q90" s="421" t="s">
        <v>5862</v>
      </c>
      <c r="R90" s="421"/>
      <c r="S90" s="422"/>
      <c r="T90" s="1794"/>
      <c r="U90" s="423">
        <v>1735.0500000000002</v>
      </c>
      <c r="V90" s="424">
        <v>30</v>
      </c>
      <c r="W90" s="424">
        <v>1</v>
      </c>
      <c r="X90" s="425"/>
      <c r="Y90" s="426">
        <v>2022</v>
      </c>
      <c r="Z90" s="417">
        <v>2024</v>
      </c>
      <c r="AA90" s="1804">
        <v>2022</v>
      </c>
      <c r="AB90" s="427" t="s">
        <v>5863</v>
      </c>
      <c r="AC90" s="1793" t="s">
        <v>1311</v>
      </c>
      <c r="AD90" s="428"/>
      <c r="AE90" s="1791"/>
      <c r="AF90" s="1791"/>
      <c r="AG90" s="1793"/>
      <c r="AH90" s="428"/>
      <c r="AI90" s="1793"/>
      <c r="AJ90" s="429">
        <v>2021</v>
      </c>
      <c r="AK90" s="424">
        <v>3068</v>
      </c>
      <c r="AL90" s="424">
        <v>2986</v>
      </c>
      <c r="AM90" s="430"/>
      <c r="AN90" s="431"/>
      <c r="AO90" s="432">
        <v>2024</v>
      </c>
      <c r="AP90" s="425">
        <v>2977</v>
      </c>
      <c r="AQ90" s="433">
        <v>2.96</v>
      </c>
      <c r="AR90" s="425">
        <v>2897</v>
      </c>
      <c r="AS90" s="433">
        <v>2.98</v>
      </c>
      <c r="AT90" s="434"/>
      <c r="AU90" s="431"/>
      <c r="AV90" s="435"/>
      <c r="AW90" s="432">
        <v>2022</v>
      </c>
      <c r="AX90" s="425">
        <v>3129</v>
      </c>
      <c r="AY90" s="433">
        <v>-1.99</v>
      </c>
      <c r="AZ90" s="425">
        <v>3001</v>
      </c>
      <c r="BA90" s="433">
        <v>-0.51</v>
      </c>
      <c r="BB90" s="434"/>
      <c r="BC90" s="431"/>
      <c r="BD90" s="435"/>
      <c r="BE90" s="432">
        <v>2023</v>
      </c>
      <c r="BF90" s="425"/>
      <c r="BG90" s="433"/>
      <c r="BH90" s="425"/>
      <c r="BI90" s="433"/>
      <c r="BJ90" s="434"/>
      <c r="BK90" s="431"/>
      <c r="BL90" s="435"/>
      <c r="BM90" s="432">
        <v>2024</v>
      </c>
      <c r="BN90" s="425"/>
      <c r="BO90" s="433"/>
      <c r="BP90" s="425"/>
      <c r="BQ90" s="433"/>
      <c r="BR90" s="434"/>
      <c r="BS90" s="431"/>
      <c r="BT90" s="435"/>
      <c r="BU90" s="1805" t="s">
        <v>676</v>
      </c>
      <c r="BV90" s="1806" t="s">
        <v>728</v>
      </c>
      <c r="BW90" s="1807" t="s">
        <v>678</v>
      </c>
      <c r="BX90" s="1808" t="s">
        <v>4943</v>
      </c>
      <c r="BY90" s="1809">
        <v>2021</v>
      </c>
      <c r="BZ90" s="424"/>
      <c r="CA90" s="424"/>
      <c r="CB90" s="430"/>
      <c r="CC90" s="431"/>
      <c r="CD90" s="432">
        <v>2024</v>
      </c>
      <c r="CE90" s="425"/>
      <c r="CF90" s="433"/>
      <c r="CG90" s="425"/>
      <c r="CH90" s="433"/>
      <c r="CI90" s="434"/>
      <c r="CJ90" s="431"/>
      <c r="CK90" s="435"/>
      <c r="CL90" s="432">
        <v>2022</v>
      </c>
      <c r="CM90" s="425">
        <v>0</v>
      </c>
      <c r="CN90" s="433"/>
      <c r="CO90" s="425">
        <v>0</v>
      </c>
      <c r="CP90" s="433"/>
      <c r="CQ90" s="434"/>
      <c r="CR90" s="431"/>
      <c r="CS90" s="435">
        <v>0</v>
      </c>
      <c r="CT90" s="432">
        <v>2023</v>
      </c>
      <c r="CU90" s="425"/>
      <c r="CV90" s="433"/>
      <c r="CW90" s="425"/>
      <c r="CX90" s="433"/>
      <c r="CY90" s="434"/>
      <c r="CZ90" s="431"/>
      <c r="DA90" s="435"/>
      <c r="DB90" s="432">
        <v>2024</v>
      </c>
      <c r="DC90" s="425"/>
      <c r="DD90" s="433"/>
      <c r="DE90" s="425"/>
      <c r="DF90" s="433"/>
      <c r="DG90" s="434"/>
      <c r="DH90" s="431"/>
      <c r="DI90" s="435"/>
      <c r="DJ90" s="1805"/>
      <c r="DK90" s="1806"/>
      <c r="DL90" s="1807"/>
      <c r="DM90" s="1808"/>
      <c r="DN90" s="1810">
        <v>0</v>
      </c>
      <c r="DO90" s="1799">
        <v>0</v>
      </c>
      <c r="DP90" s="1800">
        <v>0</v>
      </c>
      <c r="DQ90" s="1799">
        <v>0</v>
      </c>
      <c r="DR90" s="1800">
        <v>0</v>
      </c>
      <c r="DS90" s="1799">
        <v>0</v>
      </c>
    </row>
    <row r="91" spans="1:123" ht="148.5">
      <c r="A91" s="1801" t="s">
        <v>1312</v>
      </c>
      <c r="B91" s="1788" t="s">
        <v>1313</v>
      </c>
      <c r="C91" s="426">
        <v>2022</v>
      </c>
      <c r="D91" s="417" t="s">
        <v>681</v>
      </c>
      <c r="E91" s="1802">
        <v>1009125</v>
      </c>
      <c r="F91" s="1803" t="s">
        <v>1313</v>
      </c>
      <c r="G91" s="419">
        <v>45131</v>
      </c>
      <c r="H91" s="1790" t="s">
        <v>1314</v>
      </c>
      <c r="I91" s="1791" t="s">
        <v>1313</v>
      </c>
      <c r="J91" s="1793" t="s">
        <v>747</v>
      </c>
      <c r="K91" s="1788" t="s">
        <v>1313</v>
      </c>
      <c r="L91" s="1791" t="s">
        <v>747</v>
      </c>
      <c r="M91" s="1793" t="s">
        <v>1314</v>
      </c>
      <c r="N91" s="1790" t="s">
        <v>12</v>
      </c>
      <c r="O91" s="1793" t="s">
        <v>13</v>
      </c>
      <c r="P91" s="420" t="s">
        <v>683</v>
      </c>
      <c r="Q91" s="421"/>
      <c r="R91" s="421"/>
      <c r="S91" s="422"/>
      <c r="T91" s="1794"/>
      <c r="U91" s="423">
        <v>4836.1841999999997</v>
      </c>
      <c r="V91" s="424">
        <v>4</v>
      </c>
      <c r="W91" s="424">
        <v>1</v>
      </c>
      <c r="X91" s="425"/>
      <c r="Y91" s="426">
        <v>2022</v>
      </c>
      <c r="Z91" s="417">
        <v>2024</v>
      </c>
      <c r="AA91" s="1804">
        <v>2022</v>
      </c>
      <c r="AB91" s="427"/>
      <c r="AC91" s="1793"/>
      <c r="AD91" s="428" t="s">
        <v>5863</v>
      </c>
      <c r="AE91" s="1791" t="s">
        <v>1315</v>
      </c>
      <c r="AF91" s="1791" t="s">
        <v>1316</v>
      </c>
      <c r="AG91" s="1793" t="s">
        <v>1317</v>
      </c>
      <c r="AH91" s="428"/>
      <c r="AI91" s="1793"/>
      <c r="AJ91" s="429">
        <v>2021</v>
      </c>
      <c r="AK91" s="424">
        <v>9231</v>
      </c>
      <c r="AL91" s="424">
        <v>9199</v>
      </c>
      <c r="AM91" s="430">
        <v>0.46</v>
      </c>
      <c r="AN91" s="431" t="s">
        <v>675</v>
      </c>
      <c r="AO91" s="432">
        <v>2024</v>
      </c>
      <c r="AP91" s="425">
        <v>8954</v>
      </c>
      <c r="AQ91" s="433">
        <v>3</v>
      </c>
      <c r="AR91" s="425">
        <v>8923</v>
      </c>
      <c r="AS91" s="433">
        <v>3</v>
      </c>
      <c r="AT91" s="434">
        <v>0.44600000000000001</v>
      </c>
      <c r="AU91" s="431" t="s">
        <v>675</v>
      </c>
      <c r="AV91" s="435">
        <v>3.04</v>
      </c>
      <c r="AW91" s="432">
        <v>2022</v>
      </c>
      <c r="AX91" s="425">
        <v>9184</v>
      </c>
      <c r="AY91" s="433">
        <v>0.5</v>
      </c>
      <c r="AZ91" s="425">
        <v>9177</v>
      </c>
      <c r="BA91" s="433">
        <v>0.23</v>
      </c>
      <c r="BB91" s="434">
        <v>0.45925042569674152</v>
      </c>
      <c r="BC91" s="431" t="s">
        <v>675</v>
      </c>
      <c r="BD91" s="435">
        <v>0.16</v>
      </c>
      <c r="BE91" s="432">
        <v>2023</v>
      </c>
      <c r="BF91" s="425"/>
      <c r="BG91" s="433"/>
      <c r="BH91" s="425"/>
      <c r="BI91" s="433"/>
      <c r="BJ91" s="434"/>
      <c r="BK91" s="431"/>
      <c r="BL91" s="435"/>
      <c r="BM91" s="432">
        <v>2024</v>
      </c>
      <c r="BN91" s="425"/>
      <c r="BO91" s="433"/>
      <c r="BP91" s="425"/>
      <c r="BQ91" s="433"/>
      <c r="BR91" s="434"/>
      <c r="BS91" s="431"/>
      <c r="BT91" s="435"/>
      <c r="BU91" s="1805" t="s">
        <v>676</v>
      </c>
      <c r="BV91" s="1806" t="s">
        <v>728</v>
      </c>
      <c r="BW91" s="1807" t="s">
        <v>678</v>
      </c>
      <c r="BX91" s="1808" t="s">
        <v>4944</v>
      </c>
      <c r="BY91" s="1809">
        <v>2021</v>
      </c>
      <c r="BZ91" s="424"/>
      <c r="CA91" s="424"/>
      <c r="CB91" s="430"/>
      <c r="CC91" s="431"/>
      <c r="CD91" s="432">
        <v>2024</v>
      </c>
      <c r="CE91" s="425"/>
      <c r="CF91" s="433"/>
      <c r="CG91" s="425"/>
      <c r="CH91" s="433"/>
      <c r="CI91" s="434"/>
      <c r="CJ91" s="431"/>
      <c r="CK91" s="435"/>
      <c r="CL91" s="432">
        <v>2022</v>
      </c>
      <c r="CM91" s="425">
        <v>0</v>
      </c>
      <c r="CN91" s="433"/>
      <c r="CO91" s="425">
        <v>0</v>
      </c>
      <c r="CP91" s="433"/>
      <c r="CQ91" s="434"/>
      <c r="CR91" s="431"/>
      <c r="CS91" s="435">
        <v>0</v>
      </c>
      <c r="CT91" s="432">
        <v>2023</v>
      </c>
      <c r="CU91" s="425"/>
      <c r="CV91" s="433"/>
      <c r="CW91" s="425"/>
      <c r="CX91" s="433"/>
      <c r="CY91" s="434"/>
      <c r="CZ91" s="431"/>
      <c r="DA91" s="435"/>
      <c r="DB91" s="432">
        <v>2024</v>
      </c>
      <c r="DC91" s="425"/>
      <c r="DD91" s="433"/>
      <c r="DE91" s="425"/>
      <c r="DF91" s="433"/>
      <c r="DG91" s="434"/>
      <c r="DH91" s="431"/>
      <c r="DI91" s="435"/>
      <c r="DJ91" s="1805"/>
      <c r="DK91" s="1806"/>
      <c r="DL91" s="1807"/>
      <c r="DM91" s="1808"/>
      <c r="DN91" s="1810">
        <v>0</v>
      </c>
      <c r="DO91" s="1799">
        <v>0</v>
      </c>
      <c r="DP91" s="1800">
        <v>0</v>
      </c>
      <c r="DQ91" s="1799">
        <v>0</v>
      </c>
      <c r="DR91" s="1800">
        <v>0</v>
      </c>
      <c r="DS91" s="1799">
        <v>0</v>
      </c>
    </row>
    <row r="92" spans="1:123" ht="162">
      <c r="A92" s="1801" t="s">
        <v>1318</v>
      </c>
      <c r="B92" s="1788" t="s">
        <v>1319</v>
      </c>
      <c r="C92" s="426">
        <v>2022</v>
      </c>
      <c r="D92" s="417" t="s">
        <v>681</v>
      </c>
      <c r="E92" s="1802">
        <v>1083126</v>
      </c>
      <c r="F92" s="1803" t="s">
        <v>1319</v>
      </c>
      <c r="G92" s="419">
        <v>45166</v>
      </c>
      <c r="H92" s="1790" t="s">
        <v>1320</v>
      </c>
      <c r="I92" s="1791" t="s">
        <v>1319</v>
      </c>
      <c r="J92" s="1793" t="s">
        <v>1321</v>
      </c>
      <c r="K92" s="1788" t="s">
        <v>1319</v>
      </c>
      <c r="L92" s="1791" t="s">
        <v>1322</v>
      </c>
      <c r="M92" s="1793" t="s">
        <v>1323</v>
      </c>
      <c r="N92" s="1790" t="s">
        <v>523</v>
      </c>
      <c r="O92" s="1793" t="s">
        <v>96</v>
      </c>
      <c r="P92" s="420" t="s">
        <v>683</v>
      </c>
      <c r="Q92" s="421"/>
      <c r="R92" s="421"/>
      <c r="S92" s="422"/>
      <c r="T92" s="1794"/>
      <c r="U92" s="423">
        <v>8436.6515999999992</v>
      </c>
      <c r="V92" s="424">
        <v>7</v>
      </c>
      <c r="W92" s="424">
        <v>4</v>
      </c>
      <c r="X92" s="425"/>
      <c r="Y92" s="426">
        <v>2022</v>
      </c>
      <c r="Z92" s="417">
        <v>2024</v>
      </c>
      <c r="AA92" s="1804">
        <v>2022</v>
      </c>
      <c r="AB92" s="427"/>
      <c r="AC92" s="1793"/>
      <c r="AD92" s="428" t="s">
        <v>5863</v>
      </c>
      <c r="AE92" s="1791" t="s">
        <v>1324</v>
      </c>
      <c r="AF92" s="1791" t="s">
        <v>1325</v>
      </c>
      <c r="AG92" s="1793" t="s">
        <v>1326</v>
      </c>
      <c r="AH92" s="428"/>
      <c r="AI92" s="1793"/>
      <c r="AJ92" s="429">
        <v>2021</v>
      </c>
      <c r="AK92" s="424">
        <v>15723</v>
      </c>
      <c r="AL92" s="424">
        <v>15368</v>
      </c>
      <c r="AM92" s="430"/>
      <c r="AN92" s="431"/>
      <c r="AO92" s="432">
        <v>2024</v>
      </c>
      <c r="AP92" s="425">
        <v>15565.649999999998</v>
      </c>
      <c r="AQ92" s="433">
        <v>1</v>
      </c>
      <c r="AR92" s="425">
        <v>15186</v>
      </c>
      <c r="AS92" s="433">
        <v>1.18</v>
      </c>
      <c r="AT92" s="434"/>
      <c r="AU92" s="431"/>
      <c r="AV92" s="435"/>
      <c r="AW92" s="432">
        <v>2022</v>
      </c>
      <c r="AX92" s="425">
        <v>15637</v>
      </c>
      <c r="AY92" s="433">
        <v>0.54</v>
      </c>
      <c r="AZ92" s="425">
        <v>15431</v>
      </c>
      <c r="BA92" s="433">
        <v>-0.41</v>
      </c>
      <c r="BB92" s="434"/>
      <c r="BC92" s="431"/>
      <c r="BD92" s="435"/>
      <c r="BE92" s="432">
        <v>2023</v>
      </c>
      <c r="BF92" s="425"/>
      <c r="BG92" s="433"/>
      <c r="BH92" s="425"/>
      <c r="BI92" s="433"/>
      <c r="BJ92" s="434"/>
      <c r="BK92" s="431"/>
      <c r="BL92" s="435"/>
      <c r="BM92" s="432">
        <v>2024</v>
      </c>
      <c r="BN92" s="425"/>
      <c r="BO92" s="433"/>
      <c r="BP92" s="425"/>
      <c r="BQ92" s="433"/>
      <c r="BR92" s="434"/>
      <c r="BS92" s="431"/>
      <c r="BT92" s="435"/>
      <c r="BU92" s="1805" t="s">
        <v>719</v>
      </c>
      <c r="BV92" s="1806" t="s">
        <v>728</v>
      </c>
      <c r="BW92" s="1807" t="s">
        <v>688</v>
      </c>
      <c r="BX92" s="1808" t="s">
        <v>4945</v>
      </c>
      <c r="BY92" s="1809">
        <v>2021</v>
      </c>
      <c r="BZ92" s="424"/>
      <c r="CA92" s="424"/>
      <c r="CB92" s="430"/>
      <c r="CC92" s="431"/>
      <c r="CD92" s="432">
        <v>2024</v>
      </c>
      <c r="CE92" s="425"/>
      <c r="CF92" s="433"/>
      <c r="CG92" s="425"/>
      <c r="CH92" s="433"/>
      <c r="CI92" s="434"/>
      <c r="CJ92" s="431"/>
      <c r="CK92" s="435"/>
      <c r="CL92" s="432">
        <v>2022</v>
      </c>
      <c r="CM92" s="425">
        <v>0</v>
      </c>
      <c r="CN92" s="433"/>
      <c r="CO92" s="425">
        <v>0</v>
      </c>
      <c r="CP92" s="433"/>
      <c r="CQ92" s="434"/>
      <c r="CR92" s="431"/>
      <c r="CS92" s="435"/>
      <c r="CT92" s="432">
        <v>2023</v>
      </c>
      <c r="CU92" s="425"/>
      <c r="CV92" s="433"/>
      <c r="CW92" s="425"/>
      <c r="CX92" s="433"/>
      <c r="CY92" s="434"/>
      <c r="CZ92" s="431"/>
      <c r="DA92" s="435"/>
      <c r="DB92" s="432">
        <v>2024</v>
      </c>
      <c r="DC92" s="425"/>
      <c r="DD92" s="433"/>
      <c r="DE92" s="425"/>
      <c r="DF92" s="433"/>
      <c r="DG92" s="434"/>
      <c r="DH92" s="431"/>
      <c r="DI92" s="435"/>
      <c r="DJ92" s="1805"/>
      <c r="DK92" s="1806"/>
      <c r="DL92" s="1807"/>
      <c r="DM92" s="1808"/>
      <c r="DN92" s="1810">
        <v>0</v>
      </c>
      <c r="DO92" s="1799">
        <v>0</v>
      </c>
      <c r="DP92" s="1800">
        <v>0</v>
      </c>
      <c r="DQ92" s="1799">
        <v>0</v>
      </c>
      <c r="DR92" s="1800">
        <v>0</v>
      </c>
      <c r="DS92" s="1799">
        <v>0</v>
      </c>
    </row>
    <row r="93" spans="1:123" ht="94.5">
      <c r="A93" s="1801" t="s">
        <v>1327</v>
      </c>
      <c r="B93" s="1788" t="s">
        <v>1329</v>
      </c>
      <c r="C93" s="426">
        <v>2022</v>
      </c>
      <c r="D93" s="417" t="s">
        <v>681</v>
      </c>
      <c r="E93" s="1802">
        <v>1022129</v>
      </c>
      <c r="F93" s="1803" t="s">
        <v>1329</v>
      </c>
      <c r="G93" s="419">
        <v>45163</v>
      </c>
      <c r="H93" s="1790" t="s">
        <v>1328</v>
      </c>
      <c r="I93" s="1791" t="s">
        <v>1329</v>
      </c>
      <c r="J93" s="1793" t="s">
        <v>1330</v>
      </c>
      <c r="K93" s="1788" t="s">
        <v>1329</v>
      </c>
      <c r="L93" s="1791" t="s">
        <v>1331</v>
      </c>
      <c r="M93" s="1793" t="s">
        <v>1332</v>
      </c>
      <c r="N93" s="1790" t="s">
        <v>12</v>
      </c>
      <c r="O93" s="1793" t="s">
        <v>26</v>
      </c>
      <c r="P93" s="420" t="s">
        <v>683</v>
      </c>
      <c r="Q93" s="421"/>
      <c r="R93" s="421"/>
      <c r="S93" s="422"/>
      <c r="T93" s="1794"/>
      <c r="U93" s="423">
        <v>230410.22820000001</v>
      </c>
      <c r="V93" s="424">
        <v>2</v>
      </c>
      <c r="W93" s="424">
        <v>1</v>
      </c>
      <c r="X93" s="425"/>
      <c r="Y93" s="426">
        <v>2022</v>
      </c>
      <c r="Z93" s="417">
        <v>2024</v>
      </c>
      <c r="AA93" s="1804">
        <v>2022</v>
      </c>
      <c r="AB93" s="427"/>
      <c r="AC93" s="1793"/>
      <c r="AD93" s="428" t="s">
        <v>5863</v>
      </c>
      <c r="AE93" s="1791" t="s">
        <v>1333</v>
      </c>
      <c r="AF93" s="1791" t="s">
        <v>1328</v>
      </c>
      <c r="AG93" s="1793" t="s">
        <v>1334</v>
      </c>
      <c r="AH93" s="428"/>
      <c r="AI93" s="1793"/>
      <c r="AJ93" s="429">
        <v>2021</v>
      </c>
      <c r="AK93" s="424">
        <v>578917</v>
      </c>
      <c r="AL93" s="424" t="s">
        <v>6066</v>
      </c>
      <c r="AM93" s="430"/>
      <c r="AN93" s="431"/>
      <c r="AO93" s="432">
        <v>2024</v>
      </c>
      <c r="AP93" s="425">
        <v>176108</v>
      </c>
      <c r="AQ93" s="433">
        <v>69.569999999999993</v>
      </c>
      <c r="AR93" s="425" t="s">
        <v>6066</v>
      </c>
      <c r="AS93" s="433" t="s">
        <v>6066</v>
      </c>
      <c r="AT93" s="434"/>
      <c r="AU93" s="431"/>
      <c r="AV93" s="435"/>
      <c r="AW93" s="432">
        <v>2022</v>
      </c>
      <c r="AX93" s="425">
        <v>502292</v>
      </c>
      <c r="AY93" s="433">
        <v>13.23</v>
      </c>
      <c r="AZ93" s="425" t="s">
        <v>6066</v>
      </c>
      <c r="BA93" s="433" t="s">
        <v>6066</v>
      </c>
      <c r="BB93" s="434"/>
      <c r="BC93" s="431"/>
      <c r="BD93" s="435"/>
      <c r="BE93" s="432">
        <v>2023</v>
      </c>
      <c r="BF93" s="425"/>
      <c r="BG93" s="433"/>
      <c r="BH93" s="425"/>
      <c r="BI93" s="433"/>
      <c r="BJ93" s="434"/>
      <c r="BK93" s="431"/>
      <c r="BL93" s="435"/>
      <c r="BM93" s="432">
        <v>2024</v>
      </c>
      <c r="BN93" s="425"/>
      <c r="BO93" s="433"/>
      <c r="BP93" s="425"/>
      <c r="BQ93" s="433"/>
      <c r="BR93" s="434"/>
      <c r="BS93" s="431"/>
      <c r="BT93" s="435"/>
      <c r="BU93" s="1805" t="s">
        <v>687</v>
      </c>
      <c r="BV93" s="1806" t="s">
        <v>728</v>
      </c>
      <c r="BW93" s="1807" t="s">
        <v>697</v>
      </c>
      <c r="BX93" s="1808"/>
      <c r="BY93" s="1809">
        <v>2021</v>
      </c>
      <c r="BZ93" s="424"/>
      <c r="CA93" s="424"/>
      <c r="CB93" s="430"/>
      <c r="CC93" s="431"/>
      <c r="CD93" s="432">
        <v>2024</v>
      </c>
      <c r="CE93" s="425"/>
      <c r="CF93" s="433"/>
      <c r="CG93" s="425"/>
      <c r="CH93" s="433"/>
      <c r="CI93" s="434"/>
      <c r="CJ93" s="431"/>
      <c r="CK93" s="435"/>
      <c r="CL93" s="432">
        <v>2022</v>
      </c>
      <c r="CM93" s="425">
        <v>0</v>
      </c>
      <c r="CN93" s="433"/>
      <c r="CO93" s="425">
        <v>0</v>
      </c>
      <c r="CP93" s="433"/>
      <c r="CQ93" s="434"/>
      <c r="CR93" s="431"/>
      <c r="CS93" s="435"/>
      <c r="CT93" s="432">
        <v>2023</v>
      </c>
      <c r="CU93" s="425"/>
      <c r="CV93" s="433"/>
      <c r="CW93" s="425"/>
      <c r="CX93" s="433"/>
      <c r="CY93" s="434"/>
      <c r="CZ93" s="431"/>
      <c r="DA93" s="435"/>
      <c r="DB93" s="432">
        <v>2024</v>
      </c>
      <c r="DC93" s="425"/>
      <c r="DD93" s="433"/>
      <c r="DE93" s="425"/>
      <c r="DF93" s="433"/>
      <c r="DG93" s="434"/>
      <c r="DH93" s="431"/>
      <c r="DI93" s="435"/>
      <c r="DJ93" s="1805"/>
      <c r="DK93" s="1806"/>
      <c r="DL93" s="1807"/>
      <c r="DM93" s="1808"/>
      <c r="DN93" s="1810">
        <v>0</v>
      </c>
      <c r="DO93" s="1799">
        <v>0</v>
      </c>
      <c r="DP93" s="1800">
        <v>0</v>
      </c>
      <c r="DQ93" s="1799">
        <v>0</v>
      </c>
      <c r="DR93" s="1800">
        <v>0</v>
      </c>
      <c r="DS93" s="1799">
        <v>0</v>
      </c>
    </row>
    <row r="94" spans="1:123" ht="81">
      <c r="A94" s="1801" t="s">
        <v>1335</v>
      </c>
      <c r="B94" s="1788" t="s">
        <v>1336</v>
      </c>
      <c r="C94" s="426">
        <v>2022</v>
      </c>
      <c r="D94" s="417" t="s">
        <v>681</v>
      </c>
      <c r="E94" s="1802">
        <v>1075130</v>
      </c>
      <c r="F94" s="1803" t="s">
        <v>1336</v>
      </c>
      <c r="G94" s="419">
        <v>45106</v>
      </c>
      <c r="H94" s="1790" t="s">
        <v>1337</v>
      </c>
      <c r="I94" s="1791" t="s">
        <v>1336</v>
      </c>
      <c r="J94" s="1793" t="s">
        <v>1338</v>
      </c>
      <c r="K94" s="1788" t="s">
        <v>1336</v>
      </c>
      <c r="L94" s="1791" t="s">
        <v>1338</v>
      </c>
      <c r="M94" s="1793" t="s">
        <v>1339</v>
      </c>
      <c r="N94" s="1790" t="s">
        <v>86</v>
      </c>
      <c r="O94" s="1793" t="s">
        <v>87</v>
      </c>
      <c r="P94" s="420" t="s">
        <v>683</v>
      </c>
      <c r="Q94" s="421"/>
      <c r="R94" s="421"/>
      <c r="S94" s="422"/>
      <c r="T94" s="1794"/>
      <c r="U94" s="423">
        <v>3590.973</v>
      </c>
      <c r="V94" s="424">
        <v>2</v>
      </c>
      <c r="W94" s="424">
        <v>1</v>
      </c>
      <c r="X94" s="425"/>
      <c r="Y94" s="426">
        <v>2022</v>
      </c>
      <c r="Z94" s="417">
        <v>2024</v>
      </c>
      <c r="AA94" s="1804">
        <v>2022</v>
      </c>
      <c r="AB94" s="427"/>
      <c r="AC94" s="1793"/>
      <c r="AD94" s="428" t="s">
        <v>5863</v>
      </c>
      <c r="AE94" s="1791" t="s">
        <v>1340</v>
      </c>
      <c r="AF94" s="1791" t="s">
        <v>1339</v>
      </c>
      <c r="AG94" s="1793" t="s">
        <v>957</v>
      </c>
      <c r="AH94" s="428"/>
      <c r="AI94" s="1793"/>
      <c r="AJ94" s="429">
        <v>2021</v>
      </c>
      <c r="AK94" s="424">
        <v>5391</v>
      </c>
      <c r="AL94" s="424">
        <v>5364</v>
      </c>
      <c r="AM94" s="430"/>
      <c r="AN94" s="431"/>
      <c r="AO94" s="432">
        <v>2024</v>
      </c>
      <c r="AP94" s="425">
        <v>5385.6090000000004</v>
      </c>
      <c r="AQ94" s="433">
        <v>0.09</v>
      </c>
      <c r="AR94" s="425">
        <v>5358.6360000000004</v>
      </c>
      <c r="AS94" s="433">
        <v>0.09</v>
      </c>
      <c r="AT94" s="434"/>
      <c r="AU94" s="431"/>
      <c r="AV94" s="435"/>
      <c r="AW94" s="432">
        <v>2022</v>
      </c>
      <c r="AX94" s="425">
        <v>6166</v>
      </c>
      <c r="AY94" s="433">
        <v>-14.38</v>
      </c>
      <c r="AZ94" s="425">
        <v>6159</v>
      </c>
      <c r="BA94" s="433">
        <v>-14.83</v>
      </c>
      <c r="BB94" s="434"/>
      <c r="BC94" s="431"/>
      <c r="BD94" s="435"/>
      <c r="BE94" s="432">
        <v>2023</v>
      </c>
      <c r="BF94" s="425"/>
      <c r="BG94" s="433"/>
      <c r="BH94" s="425"/>
      <c r="BI94" s="433"/>
      <c r="BJ94" s="434"/>
      <c r="BK94" s="431"/>
      <c r="BL94" s="435"/>
      <c r="BM94" s="432">
        <v>2024</v>
      </c>
      <c r="BN94" s="425"/>
      <c r="BO94" s="433"/>
      <c r="BP94" s="425"/>
      <c r="BQ94" s="433"/>
      <c r="BR94" s="434"/>
      <c r="BS94" s="431"/>
      <c r="BT94" s="435"/>
      <c r="BU94" s="1805" t="s">
        <v>676</v>
      </c>
      <c r="BV94" s="1806" t="s">
        <v>728</v>
      </c>
      <c r="BW94" s="1807" t="s">
        <v>678</v>
      </c>
      <c r="BX94" s="1808" t="s">
        <v>4946</v>
      </c>
      <c r="BY94" s="1809">
        <v>2021</v>
      </c>
      <c r="BZ94" s="424"/>
      <c r="CA94" s="424"/>
      <c r="CB94" s="430"/>
      <c r="CC94" s="431"/>
      <c r="CD94" s="432">
        <v>2024</v>
      </c>
      <c r="CE94" s="425"/>
      <c r="CF94" s="433"/>
      <c r="CG94" s="425"/>
      <c r="CH94" s="433"/>
      <c r="CI94" s="434"/>
      <c r="CJ94" s="431"/>
      <c r="CK94" s="435"/>
      <c r="CL94" s="432">
        <v>2022</v>
      </c>
      <c r="CM94" s="425">
        <v>0</v>
      </c>
      <c r="CN94" s="433"/>
      <c r="CO94" s="425">
        <v>0</v>
      </c>
      <c r="CP94" s="433"/>
      <c r="CQ94" s="434"/>
      <c r="CR94" s="431"/>
      <c r="CS94" s="435"/>
      <c r="CT94" s="432">
        <v>2023</v>
      </c>
      <c r="CU94" s="425"/>
      <c r="CV94" s="433"/>
      <c r="CW94" s="425"/>
      <c r="CX94" s="433"/>
      <c r="CY94" s="434"/>
      <c r="CZ94" s="431"/>
      <c r="DA94" s="435"/>
      <c r="DB94" s="432">
        <v>2024</v>
      </c>
      <c r="DC94" s="425"/>
      <c r="DD94" s="433"/>
      <c r="DE94" s="425"/>
      <c r="DF94" s="433"/>
      <c r="DG94" s="434"/>
      <c r="DH94" s="431"/>
      <c r="DI94" s="435"/>
      <c r="DJ94" s="1805"/>
      <c r="DK94" s="1806"/>
      <c r="DL94" s="1807"/>
      <c r="DM94" s="1808"/>
      <c r="DN94" s="1810">
        <v>0</v>
      </c>
      <c r="DO94" s="1799">
        <v>0</v>
      </c>
      <c r="DP94" s="1800">
        <v>0</v>
      </c>
      <c r="DQ94" s="1799">
        <v>0</v>
      </c>
      <c r="DR94" s="1800">
        <v>0</v>
      </c>
      <c r="DS94" s="1799">
        <v>0</v>
      </c>
    </row>
    <row r="95" spans="1:123" ht="121.5">
      <c r="A95" s="1801" t="s">
        <v>1341</v>
      </c>
      <c r="B95" s="1788" t="s">
        <v>1342</v>
      </c>
      <c r="C95" s="426">
        <v>2022</v>
      </c>
      <c r="D95" s="417" t="s">
        <v>681</v>
      </c>
      <c r="E95" s="1802">
        <v>1014133</v>
      </c>
      <c r="F95" s="1803" t="s">
        <v>1342</v>
      </c>
      <c r="G95" s="419">
        <v>45128</v>
      </c>
      <c r="H95" s="1790" t="s">
        <v>1343</v>
      </c>
      <c r="I95" s="1791" t="s">
        <v>1342</v>
      </c>
      <c r="J95" s="1793" t="s">
        <v>1344</v>
      </c>
      <c r="K95" s="1788" t="s">
        <v>1342</v>
      </c>
      <c r="L95" s="1791" t="s">
        <v>1345</v>
      </c>
      <c r="M95" s="1793" t="s">
        <v>1343</v>
      </c>
      <c r="N95" s="1790" t="s">
        <v>12</v>
      </c>
      <c r="O95" s="1793" t="s">
        <v>19</v>
      </c>
      <c r="P95" s="420" t="s">
        <v>683</v>
      </c>
      <c r="Q95" s="421"/>
      <c r="R95" s="421"/>
      <c r="S95" s="422"/>
      <c r="T95" s="1794"/>
      <c r="U95" s="423">
        <v>10025.9058</v>
      </c>
      <c r="V95" s="424">
        <v>1</v>
      </c>
      <c r="W95" s="424">
        <v>1</v>
      </c>
      <c r="X95" s="425"/>
      <c r="Y95" s="426">
        <v>2022</v>
      </c>
      <c r="Z95" s="417">
        <v>2024</v>
      </c>
      <c r="AA95" s="1804">
        <v>2022</v>
      </c>
      <c r="AB95" s="427"/>
      <c r="AC95" s="1793"/>
      <c r="AD95" s="428" t="s">
        <v>5863</v>
      </c>
      <c r="AE95" s="1791" t="s">
        <v>1346</v>
      </c>
      <c r="AF95" s="1791" t="s">
        <v>1343</v>
      </c>
      <c r="AG95" s="1793" t="s">
        <v>1347</v>
      </c>
      <c r="AH95" s="428"/>
      <c r="AI95" s="1793"/>
      <c r="AJ95" s="429">
        <v>2021</v>
      </c>
      <c r="AK95" s="424">
        <v>18205</v>
      </c>
      <c r="AL95" s="424">
        <v>18078</v>
      </c>
      <c r="AM95" s="430">
        <v>230.74</v>
      </c>
      <c r="AN95" s="431" t="s">
        <v>912</v>
      </c>
      <c r="AO95" s="432">
        <v>2024</v>
      </c>
      <c r="AP95" s="425">
        <v>17646</v>
      </c>
      <c r="AQ95" s="433">
        <v>3.07</v>
      </c>
      <c r="AR95" s="425">
        <v>17522.899642955232</v>
      </c>
      <c r="AS95" s="433">
        <v>3.07</v>
      </c>
      <c r="AT95" s="434">
        <v>219.4</v>
      </c>
      <c r="AU95" s="431" t="s">
        <v>912</v>
      </c>
      <c r="AV95" s="435">
        <v>4.91</v>
      </c>
      <c r="AW95" s="432">
        <v>2022</v>
      </c>
      <c r="AX95" s="425">
        <v>18620</v>
      </c>
      <c r="AY95" s="433">
        <v>-2.2799999999999998</v>
      </c>
      <c r="AZ95" s="425">
        <v>18588</v>
      </c>
      <c r="BA95" s="433">
        <v>-2.83</v>
      </c>
      <c r="BB95" s="434">
        <v>221.66666666666666</v>
      </c>
      <c r="BC95" s="431" t="s">
        <v>912</v>
      </c>
      <c r="BD95" s="435">
        <v>3.93</v>
      </c>
      <c r="BE95" s="432">
        <v>2023</v>
      </c>
      <c r="BF95" s="425"/>
      <c r="BG95" s="433"/>
      <c r="BH95" s="425"/>
      <c r="BI95" s="433"/>
      <c r="BJ95" s="434"/>
      <c r="BK95" s="431"/>
      <c r="BL95" s="435"/>
      <c r="BM95" s="432">
        <v>2024</v>
      </c>
      <c r="BN95" s="425"/>
      <c r="BO95" s="433"/>
      <c r="BP95" s="425"/>
      <c r="BQ95" s="433"/>
      <c r="BR95" s="434"/>
      <c r="BS95" s="431"/>
      <c r="BT95" s="435"/>
      <c r="BU95" s="1805" t="s">
        <v>687</v>
      </c>
      <c r="BV95" s="1806" t="s">
        <v>728</v>
      </c>
      <c r="BW95" s="1807" t="s">
        <v>678</v>
      </c>
      <c r="BX95" s="1808" t="s">
        <v>4947</v>
      </c>
      <c r="BY95" s="1809">
        <v>2021</v>
      </c>
      <c r="BZ95" s="424"/>
      <c r="CA95" s="424"/>
      <c r="CB95" s="430"/>
      <c r="CC95" s="431"/>
      <c r="CD95" s="432">
        <v>2024</v>
      </c>
      <c r="CE95" s="425"/>
      <c r="CF95" s="433"/>
      <c r="CG95" s="425"/>
      <c r="CH95" s="433"/>
      <c r="CI95" s="434"/>
      <c r="CJ95" s="431"/>
      <c r="CK95" s="435"/>
      <c r="CL95" s="432">
        <v>2022</v>
      </c>
      <c r="CM95" s="425">
        <v>0</v>
      </c>
      <c r="CN95" s="433"/>
      <c r="CO95" s="425">
        <v>0</v>
      </c>
      <c r="CP95" s="433"/>
      <c r="CQ95" s="434"/>
      <c r="CR95" s="431"/>
      <c r="CS95" s="435"/>
      <c r="CT95" s="432">
        <v>2023</v>
      </c>
      <c r="CU95" s="425"/>
      <c r="CV95" s="433"/>
      <c r="CW95" s="425"/>
      <c r="CX95" s="433"/>
      <c r="CY95" s="434"/>
      <c r="CZ95" s="431"/>
      <c r="DA95" s="435"/>
      <c r="DB95" s="432">
        <v>2024</v>
      </c>
      <c r="DC95" s="425"/>
      <c r="DD95" s="433"/>
      <c r="DE95" s="425"/>
      <c r="DF95" s="433"/>
      <c r="DG95" s="434"/>
      <c r="DH95" s="431"/>
      <c r="DI95" s="435"/>
      <c r="DJ95" s="1805"/>
      <c r="DK95" s="1806"/>
      <c r="DL95" s="1807"/>
      <c r="DM95" s="1808"/>
      <c r="DN95" s="1810">
        <v>0</v>
      </c>
      <c r="DO95" s="1799">
        <v>0</v>
      </c>
      <c r="DP95" s="1800">
        <v>0</v>
      </c>
      <c r="DQ95" s="1799">
        <v>0</v>
      </c>
      <c r="DR95" s="1800">
        <v>0</v>
      </c>
      <c r="DS95" s="1799">
        <v>0</v>
      </c>
    </row>
    <row r="96" spans="1:123" ht="67.5">
      <c r="A96" s="1801" t="s">
        <v>1348</v>
      </c>
      <c r="B96" s="1788" t="s">
        <v>1350</v>
      </c>
      <c r="C96" s="426">
        <v>2022</v>
      </c>
      <c r="D96" s="417" t="s">
        <v>681</v>
      </c>
      <c r="E96" s="1802">
        <v>1033134</v>
      </c>
      <c r="F96" s="1803" t="s">
        <v>1350</v>
      </c>
      <c r="G96" s="419">
        <v>45119</v>
      </c>
      <c r="H96" s="1790" t="s">
        <v>1349</v>
      </c>
      <c r="I96" s="1791" t="s">
        <v>1350</v>
      </c>
      <c r="J96" s="1793" t="s">
        <v>4948</v>
      </c>
      <c r="K96" s="1788" t="s">
        <v>1350</v>
      </c>
      <c r="L96" s="1791" t="s">
        <v>4949</v>
      </c>
      <c r="M96" s="1793" t="s">
        <v>1351</v>
      </c>
      <c r="N96" s="1790" t="s">
        <v>37</v>
      </c>
      <c r="O96" s="1793" t="s">
        <v>38</v>
      </c>
      <c r="P96" s="420" t="s">
        <v>683</v>
      </c>
      <c r="Q96" s="421"/>
      <c r="R96" s="421"/>
      <c r="S96" s="422"/>
      <c r="T96" s="1794"/>
      <c r="U96" s="423">
        <v>1391631.6954000001</v>
      </c>
      <c r="V96" s="424">
        <v>1</v>
      </c>
      <c r="W96" s="424">
        <v>1</v>
      </c>
      <c r="X96" s="425"/>
      <c r="Y96" s="426">
        <v>2022</v>
      </c>
      <c r="Z96" s="417">
        <v>2024</v>
      </c>
      <c r="AA96" s="1804">
        <v>2022</v>
      </c>
      <c r="AB96" s="427"/>
      <c r="AC96" s="1793"/>
      <c r="AD96" s="428" t="s">
        <v>5863</v>
      </c>
      <c r="AE96" s="1791" t="s">
        <v>1352</v>
      </c>
      <c r="AF96" s="1791" t="s">
        <v>1353</v>
      </c>
      <c r="AG96" s="1793" t="s">
        <v>1354</v>
      </c>
      <c r="AH96" s="428"/>
      <c r="AI96" s="1793"/>
      <c r="AJ96" s="429">
        <v>2021</v>
      </c>
      <c r="AK96" s="424">
        <v>343953</v>
      </c>
      <c r="AL96" s="424">
        <v>343953</v>
      </c>
      <c r="AM96" s="430">
        <v>44.12</v>
      </c>
      <c r="AN96" s="431" t="s">
        <v>1355</v>
      </c>
      <c r="AO96" s="432">
        <v>2024</v>
      </c>
      <c r="AP96" s="425">
        <v>394853</v>
      </c>
      <c r="AQ96" s="433">
        <v>-14.8</v>
      </c>
      <c r="AR96" s="425">
        <v>394853</v>
      </c>
      <c r="AS96" s="433">
        <v>-14.8</v>
      </c>
      <c r="AT96" s="434">
        <v>44.12</v>
      </c>
      <c r="AU96" s="431" t="s">
        <v>1355</v>
      </c>
      <c r="AV96" s="435">
        <v>0</v>
      </c>
      <c r="AW96" s="432">
        <v>2022</v>
      </c>
      <c r="AX96" s="425">
        <v>298569</v>
      </c>
      <c r="AY96" s="433">
        <v>13.19</v>
      </c>
      <c r="AZ96" s="425">
        <v>298569</v>
      </c>
      <c r="BA96" s="433">
        <v>13.19</v>
      </c>
      <c r="BB96" s="434">
        <v>50.862945563331536</v>
      </c>
      <c r="BC96" s="431" t="s">
        <v>1355</v>
      </c>
      <c r="BD96" s="435">
        <v>-15.29</v>
      </c>
      <c r="BE96" s="432">
        <v>2023</v>
      </c>
      <c r="BF96" s="425"/>
      <c r="BG96" s="433"/>
      <c r="BH96" s="425"/>
      <c r="BI96" s="433"/>
      <c r="BJ96" s="434"/>
      <c r="BK96" s="431"/>
      <c r="BL96" s="435"/>
      <c r="BM96" s="432">
        <v>2024</v>
      </c>
      <c r="BN96" s="425"/>
      <c r="BO96" s="433"/>
      <c r="BP96" s="425"/>
      <c r="BQ96" s="433"/>
      <c r="BR96" s="434"/>
      <c r="BS96" s="431"/>
      <c r="BT96" s="435"/>
      <c r="BU96" s="1805" t="s">
        <v>676</v>
      </c>
      <c r="BV96" s="1806" t="s">
        <v>728</v>
      </c>
      <c r="BW96" s="1807" t="s">
        <v>697</v>
      </c>
      <c r="BX96" s="1808" t="s">
        <v>4950</v>
      </c>
      <c r="BY96" s="1809">
        <v>2021</v>
      </c>
      <c r="BZ96" s="424"/>
      <c r="CA96" s="424"/>
      <c r="CB96" s="430"/>
      <c r="CC96" s="431"/>
      <c r="CD96" s="432">
        <v>2024</v>
      </c>
      <c r="CE96" s="425"/>
      <c r="CF96" s="433"/>
      <c r="CG96" s="425"/>
      <c r="CH96" s="433"/>
      <c r="CI96" s="434"/>
      <c r="CJ96" s="431"/>
      <c r="CK96" s="435"/>
      <c r="CL96" s="432">
        <v>2022</v>
      </c>
      <c r="CM96" s="425">
        <v>0</v>
      </c>
      <c r="CN96" s="433"/>
      <c r="CO96" s="425">
        <v>0</v>
      </c>
      <c r="CP96" s="433"/>
      <c r="CQ96" s="434"/>
      <c r="CR96" s="431"/>
      <c r="CS96" s="435">
        <v>0</v>
      </c>
      <c r="CT96" s="432">
        <v>2023</v>
      </c>
      <c r="CU96" s="425"/>
      <c r="CV96" s="433"/>
      <c r="CW96" s="425"/>
      <c r="CX96" s="433"/>
      <c r="CY96" s="434"/>
      <c r="CZ96" s="431"/>
      <c r="DA96" s="435"/>
      <c r="DB96" s="432">
        <v>2024</v>
      </c>
      <c r="DC96" s="425"/>
      <c r="DD96" s="433"/>
      <c r="DE96" s="425"/>
      <c r="DF96" s="433"/>
      <c r="DG96" s="434"/>
      <c r="DH96" s="431"/>
      <c r="DI96" s="435"/>
      <c r="DJ96" s="1805"/>
      <c r="DK96" s="1806"/>
      <c r="DL96" s="1807"/>
      <c r="DM96" s="1808"/>
      <c r="DN96" s="1810">
        <v>0</v>
      </c>
      <c r="DO96" s="1799">
        <v>0</v>
      </c>
      <c r="DP96" s="1800">
        <v>0</v>
      </c>
      <c r="DQ96" s="1799">
        <v>0</v>
      </c>
      <c r="DR96" s="1800">
        <v>0</v>
      </c>
      <c r="DS96" s="1799">
        <v>0</v>
      </c>
    </row>
    <row r="97" spans="1:123" ht="121.5">
      <c r="A97" s="1801" t="s">
        <v>1356</v>
      </c>
      <c r="B97" s="1788" t="s">
        <v>1357</v>
      </c>
      <c r="C97" s="426">
        <v>2022</v>
      </c>
      <c r="D97" s="417" t="s">
        <v>681</v>
      </c>
      <c r="E97" s="1802">
        <v>1081136</v>
      </c>
      <c r="F97" s="1803" t="s">
        <v>1357</v>
      </c>
      <c r="G97" s="419">
        <v>45135</v>
      </c>
      <c r="H97" s="1790" t="s">
        <v>1358</v>
      </c>
      <c r="I97" s="1791" t="s">
        <v>1357</v>
      </c>
      <c r="J97" s="1793" t="s">
        <v>1359</v>
      </c>
      <c r="K97" s="1788" t="s">
        <v>1357</v>
      </c>
      <c r="L97" s="1791" t="s">
        <v>1360</v>
      </c>
      <c r="M97" s="1793" t="s">
        <v>1358</v>
      </c>
      <c r="N97" s="1790" t="s">
        <v>93</v>
      </c>
      <c r="O97" s="1793" t="s">
        <v>94</v>
      </c>
      <c r="P97" s="420" t="s">
        <v>683</v>
      </c>
      <c r="Q97" s="421"/>
      <c r="R97" s="421"/>
      <c r="S97" s="422"/>
      <c r="T97" s="1794"/>
      <c r="U97" s="423">
        <v>6768.8621999999996</v>
      </c>
      <c r="V97" s="424">
        <v>1</v>
      </c>
      <c r="W97" s="424">
        <v>1</v>
      </c>
      <c r="X97" s="425"/>
      <c r="Y97" s="426">
        <v>2022</v>
      </c>
      <c r="Z97" s="417">
        <v>2024</v>
      </c>
      <c r="AA97" s="1804">
        <v>2022</v>
      </c>
      <c r="AB97" s="427" t="s">
        <v>5863</v>
      </c>
      <c r="AC97" s="1793" t="s">
        <v>4951</v>
      </c>
      <c r="AD97" s="428"/>
      <c r="AE97" s="1791"/>
      <c r="AF97" s="1791"/>
      <c r="AG97" s="1793"/>
      <c r="AH97" s="428"/>
      <c r="AI97" s="1793"/>
      <c r="AJ97" s="429">
        <v>2021</v>
      </c>
      <c r="AK97" s="424">
        <v>12493</v>
      </c>
      <c r="AL97" s="424">
        <v>12331</v>
      </c>
      <c r="AM97" s="430">
        <v>79.36</v>
      </c>
      <c r="AN97" s="431" t="s">
        <v>727</v>
      </c>
      <c r="AO97" s="432">
        <v>2024</v>
      </c>
      <c r="AP97" s="425">
        <v>12118</v>
      </c>
      <c r="AQ97" s="433">
        <v>3</v>
      </c>
      <c r="AR97" s="425">
        <v>11961</v>
      </c>
      <c r="AS97" s="433">
        <v>3</v>
      </c>
      <c r="AT97" s="434">
        <v>76.97351667656838</v>
      </c>
      <c r="AU97" s="431" t="s">
        <v>727</v>
      </c>
      <c r="AV97" s="435">
        <v>3</v>
      </c>
      <c r="AW97" s="432">
        <v>2022</v>
      </c>
      <c r="AX97" s="425">
        <v>12052</v>
      </c>
      <c r="AY97" s="433">
        <v>3.52</v>
      </c>
      <c r="AZ97" s="425">
        <v>12039</v>
      </c>
      <c r="BA97" s="433">
        <v>2.36</v>
      </c>
      <c r="BB97" s="434">
        <v>76.554284781812356</v>
      </c>
      <c r="BC97" s="431" t="s">
        <v>727</v>
      </c>
      <c r="BD97" s="435">
        <v>3.53</v>
      </c>
      <c r="BE97" s="432">
        <v>2023</v>
      </c>
      <c r="BF97" s="425"/>
      <c r="BG97" s="433"/>
      <c r="BH97" s="425"/>
      <c r="BI97" s="433"/>
      <c r="BJ97" s="434"/>
      <c r="BK97" s="431"/>
      <c r="BL97" s="435"/>
      <c r="BM97" s="432">
        <v>2024</v>
      </c>
      <c r="BN97" s="425"/>
      <c r="BO97" s="433"/>
      <c r="BP97" s="425"/>
      <c r="BQ97" s="433"/>
      <c r="BR97" s="434"/>
      <c r="BS97" s="431"/>
      <c r="BT97" s="435"/>
      <c r="BU97" s="1805" t="s">
        <v>687</v>
      </c>
      <c r="BV97" s="1806" t="s">
        <v>728</v>
      </c>
      <c r="BW97" s="1807" t="s">
        <v>678</v>
      </c>
      <c r="BX97" s="1808" t="s">
        <v>1361</v>
      </c>
      <c r="BY97" s="1809">
        <v>2021</v>
      </c>
      <c r="BZ97" s="424"/>
      <c r="CA97" s="424"/>
      <c r="CB97" s="430"/>
      <c r="CC97" s="431"/>
      <c r="CD97" s="432">
        <v>2024</v>
      </c>
      <c r="CE97" s="425"/>
      <c r="CF97" s="433"/>
      <c r="CG97" s="425"/>
      <c r="CH97" s="433"/>
      <c r="CI97" s="434"/>
      <c r="CJ97" s="431"/>
      <c r="CK97" s="435"/>
      <c r="CL97" s="432">
        <v>2022</v>
      </c>
      <c r="CM97" s="425">
        <v>0</v>
      </c>
      <c r="CN97" s="433"/>
      <c r="CO97" s="425">
        <v>0</v>
      </c>
      <c r="CP97" s="433"/>
      <c r="CQ97" s="434"/>
      <c r="CR97" s="431"/>
      <c r="CS97" s="435">
        <v>0</v>
      </c>
      <c r="CT97" s="432">
        <v>2023</v>
      </c>
      <c r="CU97" s="425"/>
      <c r="CV97" s="433"/>
      <c r="CW97" s="425"/>
      <c r="CX97" s="433"/>
      <c r="CY97" s="434"/>
      <c r="CZ97" s="431"/>
      <c r="DA97" s="435"/>
      <c r="DB97" s="432">
        <v>2024</v>
      </c>
      <c r="DC97" s="425"/>
      <c r="DD97" s="433"/>
      <c r="DE97" s="425"/>
      <c r="DF97" s="433"/>
      <c r="DG97" s="434"/>
      <c r="DH97" s="431"/>
      <c r="DI97" s="435"/>
      <c r="DJ97" s="1805"/>
      <c r="DK97" s="1806"/>
      <c r="DL97" s="1807"/>
      <c r="DM97" s="1808"/>
      <c r="DN97" s="1810">
        <v>0</v>
      </c>
      <c r="DO97" s="1799">
        <v>0</v>
      </c>
      <c r="DP97" s="1800">
        <v>0</v>
      </c>
      <c r="DQ97" s="1799">
        <v>3</v>
      </c>
      <c r="DR97" s="1800">
        <v>0</v>
      </c>
      <c r="DS97" s="1799">
        <v>0</v>
      </c>
    </row>
    <row r="98" spans="1:123" ht="67.5">
      <c r="A98" s="1801" t="s">
        <v>1362</v>
      </c>
      <c r="B98" s="1788" t="s">
        <v>1363</v>
      </c>
      <c r="C98" s="426">
        <v>2022</v>
      </c>
      <c r="D98" s="417" t="s">
        <v>681</v>
      </c>
      <c r="E98" s="1802">
        <v>1035137</v>
      </c>
      <c r="F98" s="1803" t="s">
        <v>1363</v>
      </c>
      <c r="G98" s="419">
        <v>45138</v>
      </c>
      <c r="H98" s="1790" t="s">
        <v>1364</v>
      </c>
      <c r="I98" s="1791" t="s">
        <v>1363</v>
      </c>
      <c r="J98" s="1793" t="s">
        <v>1365</v>
      </c>
      <c r="K98" s="1788" t="s">
        <v>1363</v>
      </c>
      <c r="L98" s="1791" t="s">
        <v>1365</v>
      </c>
      <c r="M98" s="1793" t="s">
        <v>1364</v>
      </c>
      <c r="N98" s="1790" t="s">
        <v>37</v>
      </c>
      <c r="O98" s="1793" t="s">
        <v>40</v>
      </c>
      <c r="P98" s="420" t="s">
        <v>683</v>
      </c>
      <c r="Q98" s="421"/>
      <c r="R98" s="421"/>
      <c r="S98" s="422"/>
      <c r="T98" s="1794"/>
      <c r="U98" s="423">
        <v>5803.2197999999999</v>
      </c>
      <c r="V98" s="424">
        <v>6</v>
      </c>
      <c r="W98" s="424">
        <v>2</v>
      </c>
      <c r="X98" s="425"/>
      <c r="Y98" s="426">
        <v>2022</v>
      </c>
      <c r="Z98" s="417">
        <v>2024</v>
      </c>
      <c r="AA98" s="1804">
        <v>2022</v>
      </c>
      <c r="AB98" s="427"/>
      <c r="AC98" s="1793"/>
      <c r="AD98" s="428" t="s">
        <v>5863</v>
      </c>
      <c r="AE98" s="1791" t="s">
        <v>1363</v>
      </c>
      <c r="AF98" s="1791" t="s">
        <v>1364</v>
      </c>
      <c r="AG98" s="1793" t="s">
        <v>1366</v>
      </c>
      <c r="AH98" s="428"/>
      <c r="AI98" s="1793"/>
      <c r="AJ98" s="429">
        <v>2021</v>
      </c>
      <c r="AK98" s="424">
        <v>2591</v>
      </c>
      <c r="AL98" s="424">
        <v>2580</v>
      </c>
      <c r="AM98" s="430"/>
      <c r="AN98" s="431"/>
      <c r="AO98" s="432">
        <v>2024</v>
      </c>
      <c r="AP98" s="425">
        <v>2513</v>
      </c>
      <c r="AQ98" s="433">
        <v>3.01</v>
      </c>
      <c r="AR98" s="425">
        <v>2503</v>
      </c>
      <c r="AS98" s="433">
        <v>2.98</v>
      </c>
      <c r="AT98" s="434"/>
      <c r="AU98" s="431"/>
      <c r="AV98" s="435"/>
      <c r="AW98" s="432">
        <v>2022</v>
      </c>
      <c r="AX98" s="425">
        <v>2672</v>
      </c>
      <c r="AY98" s="433">
        <v>-3.13</v>
      </c>
      <c r="AZ98" s="425">
        <v>2669</v>
      </c>
      <c r="BA98" s="433">
        <v>-3.45</v>
      </c>
      <c r="BB98" s="434"/>
      <c r="BC98" s="431"/>
      <c r="BD98" s="435"/>
      <c r="BE98" s="432">
        <v>2023</v>
      </c>
      <c r="BF98" s="425"/>
      <c r="BG98" s="433"/>
      <c r="BH98" s="425"/>
      <c r="BI98" s="433"/>
      <c r="BJ98" s="434"/>
      <c r="BK98" s="431"/>
      <c r="BL98" s="435"/>
      <c r="BM98" s="432">
        <v>2024</v>
      </c>
      <c r="BN98" s="425"/>
      <c r="BO98" s="433"/>
      <c r="BP98" s="425"/>
      <c r="BQ98" s="433"/>
      <c r="BR98" s="434"/>
      <c r="BS98" s="431"/>
      <c r="BT98" s="435"/>
      <c r="BU98" s="1805" t="s">
        <v>676</v>
      </c>
      <c r="BV98" s="1806" t="s">
        <v>728</v>
      </c>
      <c r="BW98" s="1807" t="s">
        <v>678</v>
      </c>
      <c r="BX98" s="1808" t="s">
        <v>4952</v>
      </c>
      <c r="BY98" s="1809">
        <v>2021</v>
      </c>
      <c r="BZ98" s="424"/>
      <c r="CA98" s="424"/>
      <c r="CB98" s="430"/>
      <c r="CC98" s="431"/>
      <c r="CD98" s="432">
        <v>2024</v>
      </c>
      <c r="CE98" s="425"/>
      <c r="CF98" s="433"/>
      <c r="CG98" s="425"/>
      <c r="CH98" s="433"/>
      <c r="CI98" s="434"/>
      <c r="CJ98" s="431"/>
      <c r="CK98" s="435"/>
      <c r="CL98" s="432">
        <v>2022</v>
      </c>
      <c r="CM98" s="425">
        <v>0</v>
      </c>
      <c r="CN98" s="433"/>
      <c r="CO98" s="425">
        <v>0</v>
      </c>
      <c r="CP98" s="433"/>
      <c r="CQ98" s="434"/>
      <c r="CR98" s="431"/>
      <c r="CS98" s="435">
        <v>0</v>
      </c>
      <c r="CT98" s="432">
        <v>2023</v>
      </c>
      <c r="CU98" s="425"/>
      <c r="CV98" s="433"/>
      <c r="CW98" s="425"/>
      <c r="CX98" s="433"/>
      <c r="CY98" s="434"/>
      <c r="CZ98" s="431"/>
      <c r="DA98" s="435"/>
      <c r="DB98" s="432">
        <v>2024</v>
      </c>
      <c r="DC98" s="425"/>
      <c r="DD98" s="433"/>
      <c r="DE98" s="425"/>
      <c r="DF98" s="433"/>
      <c r="DG98" s="434"/>
      <c r="DH98" s="431"/>
      <c r="DI98" s="435"/>
      <c r="DJ98" s="1805"/>
      <c r="DK98" s="1806"/>
      <c r="DL98" s="1807"/>
      <c r="DM98" s="1808"/>
      <c r="DN98" s="1810">
        <v>0</v>
      </c>
      <c r="DO98" s="1799">
        <v>0</v>
      </c>
      <c r="DP98" s="1800">
        <v>0</v>
      </c>
      <c r="DQ98" s="1799">
        <v>0</v>
      </c>
      <c r="DR98" s="1800">
        <v>0</v>
      </c>
      <c r="DS98" s="1799">
        <v>0</v>
      </c>
    </row>
    <row r="99" spans="1:123" ht="54">
      <c r="A99" s="1801" t="s">
        <v>1367</v>
      </c>
      <c r="B99" s="1788" t="s">
        <v>1368</v>
      </c>
      <c r="C99" s="426">
        <v>2022</v>
      </c>
      <c r="D99" s="417" t="s">
        <v>681</v>
      </c>
      <c r="E99" s="1802">
        <v>1081139</v>
      </c>
      <c r="F99" s="1803" t="s">
        <v>1368</v>
      </c>
      <c r="G99" s="419">
        <v>45138</v>
      </c>
      <c r="H99" s="1790" t="s">
        <v>1369</v>
      </c>
      <c r="I99" s="1791" t="s">
        <v>1368</v>
      </c>
      <c r="J99" s="1793" t="s">
        <v>1370</v>
      </c>
      <c r="K99" s="1788" t="s">
        <v>1368</v>
      </c>
      <c r="L99" s="1791" t="s">
        <v>1370</v>
      </c>
      <c r="M99" s="1793" t="s">
        <v>1369</v>
      </c>
      <c r="N99" s="1790" t="s">
        <v>93</v>
      </c>
      <c r="O99" s="1793" t="s">
        <v>94</v>
      </c>
      <c r="P99" s="420" t="s">
        <v>683</v>
      </c>
      <c r="Q99" s="421"/>
      <c r="R99" s="421"/>
      <c r="S99" s="422"/>
      <c r="T99" s="1794"/>
      <c r="U99" s="423">
        <v>3006.4223999999999</v>
      </c>
      <c r="V99" s="424">
        <v>1</v>
      </c>
      <c r="W99" s="424">
        <v>1</v>
      </c>
      <c r="X99" s="425"/>
      <c r="Y99" s="426">
        <v>2022</v>
      </c>
      <c r="Z99" s="417">
        <v>2024</v>
      </c>
      <c r="AA99" s="1804">
        <v>2022</v>
      </c>
      <c r="AB99" s="427"/>
      <c r="AC99" s="1793"/>
      <c r="AD99" s="428" t="s">
        <v>5863</v>
      </c>
      <c r="AE99" s="1791" t="s">
        <v>1371</v>
      </c>
      <c r="AF99" s="1791" t="s">
        <v>1372</v>
      </c>
      <c r="AG99" s="1793" t="s">
        <v>1373</v>
      </c>
      <c r="AH99" s="428"/>
      <c r="AI99" s="1793"/>
      <c r="AJ99" s="429">
        <v>2021</v>
      </c>
      <c r="AK99" s="424">
        <v>5515</v>
      </c>
      <c r="AL99" s="424">
        <v>5571</v>
      </c>
      <c r="AM99" s="430"/>
      <c r="AN99" s="431"/>
      <c r="AO99" s="432">
        <v>2024</v>
      </c>
      <c r="AP99" s="425">
        <v>5460</v>
      </c>
      <c r="AQ99" s="433">
        <v>0.99</v>
      </c>
      <c r="AR99" s="425">
        <v>5515</v>
      </c>
      <c r="AS99" s="433">
        <v>1</v>
      </c>
      <c r="AT99" s="434"/>
      <c r="AU99" s="431"/>
      <c r="AV99" s="435"/>
      <c r="AW99" s="432">
        <v>2022</v>
      </c>
      <c r="AX99" s="425">
        <v>5468</v>
      </c>
      <c r="AY99" s="433">
        <v>0.85</v>
      </c>
      <c r="AZ99" s="425">
        <v>5483</v>
      </c>
      <c r="BA99" s="433">
        <v>1.57</v>
      </c>
      <c r="BB99" s="434"/>
      <c r="BC99" s="431"/>
      <c r="BD99" s="435"/>
      <c r="BE99" s="432">
        <v>2023</v>
      </c>
      <c r="BF99" s="425"/>
      <c r="BG99" s="433"/>
      <c r="BH99" s="425"/>
      <c r="BI99" s="433"/>
      <c r="BJ99" s="434"/>
      <c r="BK99" s="431"/>
      <c r="BL99" s="435"/>
      <c r="BM99" s="432">
        <v>2024</v>
      </c>
      <c r="BN99" s="425"/>
      <c r="BO99" s="433"/>
      <c r="BP99" s="425"/>
      <c r="BQ99" s="433"/>
      <c r="BR99" s="434"/>
      <c r="BS99" s="431"/>
      <c r="BT99" s="435"/>
      <c r="BU99" s="1805" t="s">
        <v>719</v>
      </c>
      <c r="BV99" s="1806" t="s">
        <v>728</v>
      </c>
      <c r="BW99" s="1807" t="s">
        <v>678</v>
      </c>
      <c r="BX99" s="1808"/>
      <c r="BY99" s="1809">
        <v>2021</v>
      </c>
      <c r="BZ99" s="424"/>
      <c r="CA99" s="424"/>
      <c r="CB99" s="430"/>
      <c r="CC99" s="431"/>
      <c r="CD99" s="432">
        <v>2024</v>
      </c>
      <c r="CE99" s="425"/>
      <c r="CF99" s="433"/>
      <c r="CG99" s="425"/>
      <c r="CH99" s="433"/>
      <c r="CI99" s="434"/>
      <c r="CJ99" s="431"/>
      <c r="CK99" s="435"/>
      <c r="CL99" s="432">
        <v>2022</v>
      </c>
      <c r="CM99" s="425">
        <v>0</v>
      </c>
      <c r="CN99" s="433"/>
      <c r="CO99" s="425">
        <v>0</v>
      </c>
      <c r="CP99" s="433"/>
      <c r="CQ99" s="434"/>
      <c r="CR99" s="431"/>
      <c r="CS99" s="435"/>
      <c r="CT99" s="432">
        <v>2023</v>
      </c>
      <c r="CU99" s="425"/>
      <c r="CV99" s="433"/>
      <c r="CW99" s="425"/>
      <c r="CX99" s="433"/>
      <c r="CY99" s="434"/>
      <c r="CZ99" s="431"/>
      <c r="DA99" s="435"/>
      <c r="DB99" s="432">
        <v>2024</v>
      </c>
      <c r="DC99" s="425"/>
      <c r="DD99" s="433"/>
      <c r="DE99" s="425"/>
      <c r="DF99" s="433"/>
      <c r="DG99" s="434"/>
      <c r="DH99" s="431"/>
      <c r="DI99" s="435"/>
      <c r="DJ99" s="1805"/>
      <c r="DK99" s="1806"/>
      <c r="DL99" s="1807"/>
      <c r="DM99" s="1808"/>
      <c r="DN99" s="1810">
        <v>0</v>
      </c>
      <c r="DO99" s="1799">
        <v>0</v>
      </c>
      <c r="DP99" s="1800">
        <v>0</v>
      </c>
      <c r="DQ99" s="1799">
        <v>0</v>
      </c>
      <c r="DR99" s="1800">
        <v>0</v>
      </c>
      <c r="DS99" s="1799">
        <v>0</v>
      </c>
    </row>
    <row r="100" spans="1:123" ht="67.5">
      <c r="A100" s="1801" t="s">
        <v>1374</v>
      </c>
      <c r="B100" s="1788" t="s">
        <v>1375</v>
      </c>
      <c r="C100" s="426">
        <v>2022</v>
      </c>
      <c r="D100" s="417" t="s">
        <v>681</v>
      </c>
      <c r="E100" s="1802">
        <v>1081140</v>
      </c>
      <c r="F100" s="1803" t="s">
        <v>1375</v>
      </c>
      <c r="G100" s="419">
        <v>45138</v>
      </c>
      <c r="H100" s="1790" t="s">
        <v>1376</v>
      </c>
      <c r="I100" s="1791" t="s">
        <v>1375</v>
      </c>
      <c r="J100" s="1793" t="s">
        <v>1377</v>
      </c>
      <c r="K100" s="1788" t="s">
        <v>1375</v>
      </c>
      <c r="L100" s="1791" t="s">
        <v>1377</v>
      </c>
      <c r="M100" s="1793" t="s">
        <v>1376</v>
      </c>
      <c r="N100" s="1790" t="s">
        <v>93</v>
      </c>
      <c r="O100" s="1793" t="s">
        <v>94</v>
      </c>
      <c r="P100" s="420" t="s">
        <v>683</v>
      </c>
      <c r="Q100" s="421"/>
      <c r="R100" s="421"/>
      <c r="S100" s="422"/>
      <c r="T100" s="1794"/>
      <c r="U100" s="423">
        <v>10967.9928</v>
      </c>
      <c r="V100" s="424">
        <v>13</v>
      </c>
      <c r="W100" s="424">
        <v>2</v>
      </c>
      <c r="X100" s="425"/>
      <c r="Y100" s="426">
        <v>2022</v>
      </c>
      <c r="Z100" s="417">
        <v>2024</v>
      </c>
      <c r="AA100" s="1804">
        <v>2022</v>
      </c>
      <c r="AB100" s="427"/>
      <c r="AC100" s="1793"/>
      <c r="AD100" s="428" t="s">
        <v>5863</v>
      </c>
      <c r="AE100" s="1791" t="s">
        <v>1378</v>
      </c>
      <c r="AF100" s="1791" t="s">
        <v>1379</v>
      </c>
      <c r="AG100" s="1793" t="s">
        <v>1380</v>
      </c>
      <c r="AH100" s="428"/>
      <c r="AI100" s="1793"/>
      <c r="AJ100" s="429">
        <v>2021</v>
      </c>
      <c r="AK100" s="424">
        <v>19210</v>
      </c>
      <c r="AL100" s="424">
        <v>19017</v>
      </c>
      <c r="AM100" s="430"/>
      <c r="AN100" s="431"/>
      <c r="AO100" s="432">
        <v>2024</v>
      </c>
      <c r="AP100" s="425">
        <v>18634</v>
      </c>
      <c r="AQ100" s="433">
        <v>2.99</v>
      </c>
      <c r="AR100" s="425">
        <v>18446</v>
      </c>
      <c r="AS100" s="433">
        <v>3</v>
      </c>
      <c r="AT100" s="434"/>
      <c r="AU100" s="431"/>
      <c r="AV100" s="435"/>
      <c r="AW100" s="432">
        <v>2022</v>
      </c>
      <c r="AX100" s="425">
        <v>20177</v>
      </c>
      <c r="AY100" s="433">
        <v>-5.04</v>
      </c>
      <c r="AZ100" s="425">
        <v>20080</v>
      </c>
      <c r="BA100" s="433">
        <v>-5.59</v>
      </c>
      <c r="BB100" s="434"/>
      <c r="BC100" s="431"/>
      <c r="BD100" s="435"/>
      <c r="BE100" s="432">
        <v>2023</v>
      </c>
      <c r="BF100" s="425"/>
      <c r="BG100" s="433"/>
      <c r="BH100" s="425"/>
      <c r="BI100" s="433"/>
      <c r="BJ100" s="434"/>
      <c r="BK100" s="431"/>
      <c r="BL100" s="435"/>
      <c r="BM100" s="432">
        <v>2024</v>
      </c>
      <c r="BN100" s="425"/>
      <c r="BO100" s="433"/>
      <c r="BP100" s="425"/>
      <c r="BQ100" s="433"/>
      <c r="BR100" s="434"/>
      <c r="BS100" s="431"/>
      <c r="BT100" s="435"/>
      <c r="BU100" s="1805" t="s">
        <v>676</v>
      </c>
      <c r="BV100" s="1806" t="s">
        <v>728</v>
      </c>
      <c r="BW100" s="1807" t="s">
        <v>678</v>
      </c>
      <c r="BX100" s="1808" t="s">
        <v>4953</v>
      </c>
      <c r="BY100" s="1809">
        <v>2021</v>
      </c>
      <c r="BZ100" s="424"/>
      <c r="CA100" s="424"/>
      <c r="CB100" s="430"/>
      <c r="CC100" s="431"/>
      <c r="CD100" s="432">
        <v>2024</v>
      </c>
      <c r="CE100" s="425"/>
      <c r="CF100" s="433"/>
      <c r="CG100" s="425"/>
      <c r="CH100" s="433"/>
      <c r="CI100" s="434"/>
      <c r="CJ100" s="431"/>
      <c r="CK100" s="435"/>
      <c r="CL100" s="432">
        <v>2022</v>
      </c>
      <c r="CM100" s="425">
        <v>0</v>
      </c>
      <c r="CN100" s="433"/>
      <c r="CO100" s="425">
        <v>0</v>
      </c>
      <c r="CP100" s="433"/>
      <c r="CQ100" s="434"/>
      <c r="CR100" s="431"/>
      <c r="CS100" s="435">
        <v>0</v>
      </c>
      <c r="CT100" s="432">
        <v>2023</v>
      </c>
      <c r="CU100" s="425"/>
      <c r="CV100" s="433"/>
      <c r="CW100" s="425"/>
      <c r="CX100" s="433"/>
      <c r="CY100" s="434"/>
      <c r="CZ100" s="431"/>
      <c r="DA100" s="435"/>
      <c r="DB100" s="432">
        <v>2024</v>
      </c>
      <c r="DC100" s="425"/>
      <c r="DD100" s="433"/>
      <c r="DE100" s="425"/>
      <c r="DF100" s="433"/>
      <c r="DG100" s="434"/>
      <c r="DH100" s="431"/>
      <c r="DI100" s="435"/>
      <c r="DJ100" s="1805"/>
      <c r="DK100" s="1806"/>
      <c r="DL100" s="1807"/>
      <c r="DM100" s="1808"/>
      <c r="DN100" s="1810">
        <v>0</v>
      </c>
      <c r="DO100" s="1799">
        <v>0</v>
      </c>
      <c r="DP100" s="1800">
        <v>0</v>
      </c>
      <c r="DQ100" s="1799">
        <v>0</v>
      </c>
      <c r="DR100" s="1800">
        <v>0</v>
      </c>
      <c r="DS100" s="1799">
        <v>0</v>
      </c>
    </row>
    <row r="101" spans="1:123" ht="94.5">
      <c r="A101" s="1801" t="s">
        <v>1381</v>
      </c>
      <c r="B101" s="1788" t="s">
        <v>1382</v>
      </c>
      <c r="C101" s="426">
        <v>2022</v>
      </c>
      <c r="D101" s="417" t="s">
        <v>891</v>
      </c>
      <c r="E101" s="1802">
        <v>1306141</v>
      </c>
      <c r="F101" s="1803" t="s">
        <v>1382</v>
      </c>
      <c r="G101" s="419">
        <v>45133</v>
      </c>
      <c r="H101" s="1790" t="s">
        <v>1383</v>
      </c>
      <c r="I101" s="1791" t="s">
        <v>1382</v>
      </c>
      <c r="J101" s="1793" t="s">
        <v>1384</v>
      </c>
      <c r="K101" s="1788" t="s">
        <v>1382</v>
      </c>
      <c r="L101" s="1791" t="s">
        <v>1385</v>
      </c>
      <c r="M101" s="1793" t="s">
        <v>1386</v>
      </c>
      <c r="N101" s="1790" t="s">
        <v>12</v>
      </c>
      <c r="O101" s="1793" t="s">
        <v>29</v>
      </c>
      <c r="P101" s="420" t="s">
        <v>683</v>
      </c>
      <c r="Q101" s="421"/>
      <c r="R101" s="421" t="s">
        <v>717</v>
      </c>
      <c r="S101" s="422"/>
      <c r="T101" s="1794"/>
      <c r="U101" s="423">
        <v>3780.3966</v>
      </c>
      <c r="V101" s="424">
        <v>2</v>
      </c>
      <c r="W101" s="424">
        <v>1</v>
      </c>
      <c r="X101" s="425">
        <v>339</v>
      </c>
      <c r="Y101" s="426">
        <v>2022</v>
      </c>
      <c r="Z101" s="417">
        <v>2024</v>
      </c>
      <c r="AA101" s="1804">
        <v>2022</v>
      </c>
      <c r="AB101" s="427"/>
      <c r="AC101" s="1793"/>
      <c r="AD101" s="428" t="s">
        <v>5863</v>
      </c>
      <c r="AE101" s="1791" t="s">
        <v>1387</v>
      </c>
      <c r="AF101" s="1791" t="s">
        <v>1383</v>
      </c>
      <c r="AG101" s="1793" t="s">
        <v>1388</v>
      </c>
      <c r="AH101" s="428"/>
      <c r="AI101" s="1793"/>
      <c r="AJ101" s="429">
        <v>2021</v>
      </c>
      <c r="AK101" s="424">
        <v>3665</v>
      </c>
      <c r="AL101" s="424">
        <v>913</v>
      </c>
      <c r="AM101" s="430">
        <v>972.15</v>
      </c>
      <c r="AN101" s="431" t="s">
        <v>1389</v>
      </c>
      <c r="AO101" s="432">
        <v>2024</v>
      </c>
      <c r="AP101" s="425">
        <v>3555</v>
      </c>
      <c r="AQ101" s="433">
        <v>3</v>
      </c>
      <c r="AR101" s="425">
        <v>886</v>
      </c>
      <c r="AS101" s="433">
        <v>2.95</v>
      </c>
      <c r="AT101" s="434">
        <v>943</v>
      </c>
      <c r="AU101" s="431" t="s">
        <v>1389</v>
      </c>
      <c r="AV101" s="435">
        <v>2.99</v>
      </c>
      <c r="AW101" s="432">
        <v>2022</v>
      </c>
      <c r="AX101" s="425">
        <v>4351</v>
      </c>
      <c r="AY101" s="433">
        <v>-18.72</v>
      </c>
      <c r="AZ101" s="425">
        <v>1297</v>
      </c>
      <c r="BA101" s="433">
        <v>-42.06</v>
      </c>
      <c r="BB101" s="434">
        <v>1271.4786674459381</v>
      </c>
      <c r="BC101" s="431" t="s">
        <v>1389</v>
      </c>
      <c r="BD101" s="435">
        <v>-30.8</v>
      </c>
      <c r="BE101" s="432">
        <v>2023</v>
      </c>
      <c r="BF101" s="425"/>
      <c r="BG101" s="433"/>
      <c r="BH101" s="425"/>
      <c r="BI101" s="433"/>
      <c r="BJ101" s="434"/>
      <c r="BK101" s="431"/>
      <c r="BL101" s="435"/>
      <c r="BM101" s="432">
        <v>2024</v>
      </c>
      <c r="BN101" s="425"/>
      <c r="BO101" s="433"/>
      <c r="BP101" s="425"/>
      <c r="BQ101" s="433"/>
      <c r="BR101" s="434"/>
      <c r="BS101" s="431"/>
      <c r="BT101" s="435"/>
      <c r="BU101" s="1805" t="s">
        <v>676</v>
      </c>
      <c r="BV101" s="1806" t="s">
        <v>728</v>
      </c>
      <c r="BW101" s="1807" t="s">
        <v>678</v>
      </c>
      <c r="BX101" s="1808" t="s">
        <v>4954</v>
      </c>
      <c r="BY101" s="1809">
        <v>2021</v>
      </c>
      <c r="BZ101" s="424">
        <v>682</v>
      </c>
      <c r="CA101" s="424">
        <v>682</v>
      </c>
      <c r="CB101" s="430">
        <v>0.15</v>
      </c>
      <c r="CC101" s="431" t="s">
        <v>800</v>
      </c>
      <c r="CD101" s="432">
        <v>2024</v>
      </c>
      <c r="CE101" s="425">
        <v>661.5</v>
      </c>
      <c r="CF101" s="433">
        <v>3</v>
      </c>
      <c r="CG101" s="425">
        <v>661.5</v>
      </c>
      <c r="CH101" s="433">
        <v>3</v>
      </c>
      <c r="CI101" s="434">
        <v>0.14549999999999999</v>
      </c>
      <c r="CJ101" s="431" t="s">
        <v>800</v>
      </c>
      <c r="CK101" s="435">
        <v>3</v>
      </c>
      <c r="CL101" s="432">
        <v>2022</v>
      </c>
      <c r="CM101" s="425">
        <v>615.10953999999992</v>
      </c>
      <c r="CN101" s="433">
        <v>9.8000000000000007</v>
      </c>
      <c r="CO101" s="425">
        <v>615.10953999999992</v>
      </c>
      <c r="CP101" s="433">
        <v>9.8000000000000007</v>
      </c>
      <c r="CQ101" s="434">
        <v>0.15657144151672633</v>
      </c>
      <c r="CR101" s="431" t="s">
        <v>800</v>
      </c>
      <c r="CS101" s="435">
        <v>-4.3899999999999997</v>
      </c>
      <c r="CT101" s="432">
        <v>2023</v>
      </c>
      <c r="CU101" s="425"/>
      <c r="CV101" s="433"/>
      <c r="CW101" s="425"/>
      <c r="CX101" s="433"/>
      <c r="CY101" s="434"/>
      <c r="CZ101" s="431"/>
      <c r="DA101" s="435"/>
      <c r="DB101" s="432">
        <v>2024</v>
      </c>
      <c r="DC101" s="425"/>
      <c r="DD101" s="433"/>
      <c r="DE101" s="425"/>
      <c r="DF101" s="433"/>
      <c r="DG101" s="434"/>
      <c r="DH101" s="431"/>
      <c r="DI101" s="435"/>
      <c r="DJ101" s="1805" t="s">
        <v>676</v>
      </c>
      <c r="DK101" s="1806" t="s">
        <v>728</v>
      </c>
      <c r="DL101" s="1807" t="s">
        <v>678</v>
      </c>
      <c r="DM101" s="1808" t="s">
        <v>4955</v>
      </c>
      <c r="DN101" s="1810">
        <v>0</v>
      </c>
      <c r="DO101" s="1799">
        <v>0</v>
      </c>
      <c r="DP101" s="1800">
        <v>0</v>
      </c>
      <c r="DQ101" s="1799">
        <v>0</v>
      </c>
      <c r="DR101" s="1800">
        <v>0</v>
      </c>
      <c r="DS101" s="1799">
        <v>0</v>
      </c>
    </row>
    <row r="102" spans="1:123" ht="162">
      <c r="A102" s="1801" t="s">
        <v>1390</v>
      </c>
      <c r="B102" s="1788" t="s">
        <v>1391</v>
      </c>
      <c r="C102" s="426">
        <v>2022</v>
      </c>
      <c r="D102" s="417" t="s">
        <v>681</v>
      </c>
      <c r="E102" s="1802">
        <v>1075143</v>
      </c>
      <c r="F102" s="1803" t="s">
        <v>1391</v>
      </c>
      <c r="G102" s="419">
        <v>45138</v>
      </c>
      <c r="H102" s="1790" t="s">
        <v>1392</v>
      </c>
      <c r="I102" s="1791" t="s">
        <v>1391</v>
      </c>
      <c r="J102" s="1793" t="s">
        <v>1393</v>
      </c>
      <c r="K102" s="1788" t="s">
        <v>1391</v>
      </c>
      <c r="L102" s="1791" t="s">
        <v>1393</v>
      </c>
      <c r="M102" s="1793" t="s">
        <v>1394</v>
      </c>
      <c r="N102" s="1790" t="s">
        <v>86</v>
      </c>
      <c r="O102" s="1793" t="s">
        <v>87</v>
      </c>
      <c r="P102" s="420" t="s">
        <v>683</v>
      </c>
      <c r="Q102" s="421"/>
      <c r="R102" s="421"/>
      <c r="S102" s="422"/>
      <c r="T102" s="1794"/>
      <c r="U102" s="423">
        <v>3479.8524000000002</v>
      </c>
      <c r="V102" s="424">
        <v>1</v>
      </c>
      <c r="W102" s="424">
        <v>1</v>
      </c>
      <c r="X102" s="425"/>
      <c r="Y102" s="426">
        <v>2022</v>
      </c>
      <c r="Z102" s="417">
        <v>2024</v>
      </c>
      <c r="AA102" s="1804">
        <v>2022</v>
      </c>
      <c r="AB102" s="427"/>
      <c r="AC102" s="1793"/>
      <c r="AD102" s="428" t="s">
        <v>5863</v>
      </c>
      <c r="AE102" s="1791" t="s">
        <v>1395</v>
      </c>
      <c r="AF102" s="1791" t="s">
        <v>1396</v>
      </c>
      <c r="AG102" s="1793" t="s">
        <v>1397</v>
      </c>
      <c r="AH102" s="428"/>
      <c r="AI102" s="1793"/>
      <c r="AJ102" s="429">
        <v>2021</v>
      </c>
      <c r="AK102" s="424">
        <v>5559</v>
      </c>
      <c r="AL102" s="424">
        <v>5454</v>
      </c>
      <c r="AM102" s="430"/>
      <c r="AN102" s="431"/>
      <c r="AO102" s="432">
        <v>2024</v>
      </c>
      <c r="AP102" s="425">
        <v>6289.95</v>
      </c>
      <c r="AQ102" s="433">
        <v>-13.15</v>
      </c>
      <c r="AR102" s="425">
        <v>6134.15</v>
      </c>
      <c r="AS102" s="433">
        <v>-12.48</v>
      </c>
      <c r="AT102" s="434"/>
      <c r="AU102" s="431"/>
      <c r="AV102" s="435"/>
      <c r="AW102" s="432">
        <v>2022</v>
      </c>
      <c r="AX102" s="425">
        <v>6007</v>
      </c>
      <c r="AY102" s="433">
        <v>-8.06</v>
      </c>
      <c r="AZ102" s="425">
        <v>5656</v>
      </c>
      <c r="BA102" s="433">
        <v>-3.71</v>
      </c>
      <c r="BB102" s="434"/>
      <c r="BC102" s="431"/>
      <c r="BD102" s="435"/>
      <c r="BE102" s="432">
        <v>2023</v>
      </c>
      <c r="BF102" s="425"/>
      <c r="BG102" s="433"/>
      <c r="BH102" s="425"/>
      <c r="BI102" s="433"/>
      <c r="BJ102" s="434"/>
      <c r="BK102" s="431"/>
      <c r="BL102" s="435"/>
      <c r="BM102" s="432">
        <v>2024</v>
      </c>
      <c r="BN102" s="425"/>
      <c r="BO102" s="433"/>
      <c r="BP102" s="425"/>
      <c r="BQ102" s="433"/>
      <c r="BR102" s="434"/>
      <c r="BS102" s="431"/>
      <c r="BT102" s="435"/>
      <c r="BU102" s="1805" t="s">
        <v>687</v>
      </c>
      <c r="BV102" s="1806" t="s">
        <v>728</v>
      </c>
      <c r="BW102" s="1807" t="s">
        <v>678</v>
      </c>
      <c r="BX102" s="1808" t="s">
        <v>4956</v>
      </c>
      <c r="BY102" s="1809">
        <v>2021</v>
      </c>
      <c r="BZ102" s="424"/>
      <c r="CA102" s="424"/>
      <c r="CB102" s="430"/>
      <c r="CC102" s="431"/>
      <c r="CD102" s="432">
        <v>2024</v>
      </c>
      <c r="CE102" s="425"/>
      <c r="CF102" s="433"/>
      <c r="CG102" s="425"/>
      <c r="CH102" s="433"/>
      <c r="CI102" s="434"/>
      <c r="CJ102" s="431"/>
      <c r="CK102" s="435"/>
      <c r="CL102" s="432">
        <v>2022</v>
      </c>
      <c r="CM102" s="425">
        <v>0</v>
      </c>
      <c r="CN102" s="433"/>
      <c r="CO102" s="425">
        <v>0</v>
      </c>
      <c r="CP102" s="433"/>
      <c r="CQ102" s="434"/>
      <c r="CR102" s="431"/>
      <c r="CS102" s="435">
        <v>0</v>
      </c>
      <c r="CT102" s="432">
        <v>2023</v>
      </c>
      <c r="CU102" s="425"/>
      <c r="CV102" s="433"/>
      <c r="CW102" s="425"/>
      <c r="CX102" s="433"/>
      <c r="CY102" s="434"/>
      <c r="CZ102" s="431"/>
      <c r="DA102" s="435"/>
      <c r="DB102" s="432">
        <v>2024</v>
      </c>
      <c r="DC102" s="425"/>
      <c r="DD102" s="433"/>
      <c r="DE102" s="425"/>
      <c r="DF102" s="433"/>
      <c r="DG102" s="434"/>
      <c r="DH102" s="431"/>
      <c r="DI102" s="435"/>
      <c r="DJ102" s="1805"/>
      <c r="DK102" s="1806"/>
      <c r="DL102" s="1807"/>
      <c r="DM102" s="1808"/>
      <c r="DN102" s="1810">
        <v>0</v>
      </c>
      <c r="DO102" s="1799">
        <v>0</v>
      </c>
      <c r="DP102" s="1800">
        <v>0</v>
      </c>
      <c r="DQ102" s="1799">
        <v>0</v>
      </c>
      <c r="DR102" s="1800">
        <v>0</v>
      </c>
      <c r="DS102" s="1799">
        <v>0</v>
      </c>
    </row>
    <row r="103" spans="1:123" ht="94.5">
      <c r="A103" s="1801" t="s">
        <v>1398</v>
      </c>
      <c r="B103" s="1788" t="s">
        <v>1399</v>
      </c>
      <c r="C103" s="426">
        <v>2022</v>
      </c>
      <c r="D103" s="417" t="s">
        <v>714</v>
      </c>
      <c r="E103" s="1802">
        <v>3043144</v>
      </c>
      <c r="F103" s="1803" t="s">
        <v>1399</v>
      </c>
      <c r="G103" s="419"/>
      <c r="H103" s="1790" t="s">
        <v>1400</v>
      </c>
      <c r="I103" s="1791" t="s">
        <v>1399</v>
      </c>
      <c r="J103" s="1793" t="s">
        <v>1401</v>
      </c>
      <c r="K103" s="1788" t="s">
        <v>1399</v>
      </c>
      <c r="L103" s="1791" t="s">
        <v>1401</v>
      </c>
      <c r="M103" s="1793" t="s">
        <v>1400</v>
      </c>
      <c r="N103" s="1790" t="s">
        <v>48</v>
      </c>
      <c r="O103" s="1793" t="s">
        <v>50</v>
      </c>
      <c r="P103" s="420"/>
      <c r="Q103" s="421"/>
      <c r="R103" s="421" t="s">
        <v>717</v>
      </c>
      <c r="S103" s="422"/>
      <c r="T103" s="1794"/>
      <c r="U103" s="423"/>
      <c r="V103" s="424"/>
      <c r="W103" s="424"/>
      <c r="X103" s="425">
        <v>277</v>
      </c>
      <c r="Y103" s="426">
        <v>2022</v>
      </c>
      <c r="Z103" s="417">
        <v>2024</v>
      </c>
      <c r="AA103" s="1804">
        <v>2022</v>
      </c>
      <c r="AB103" s="427"/>
      <c r="AC103" s="1793"/>
      <c r="AD103" s="428" t="s">
        <v>5863</v>
      </c>
      <c r="AE103" s="1791" t="s">
        <v>1402</v>
      </c>
      <c r="AF103" s="1791" t="s">
        <v>1403</v>
      </c>
      <c r="AG103" s="1793" t="s">
        <v>1404</v>
      </c>
      <c r="AH103" s="428"/>
      <c r="AI103" s="1793"/>
      <c r="AJ103" s="429">
        <v>2021</v>
      </c>
      <c r="AK103" s="424">
        <v>0</v>
      </c>
      <c r="AL103" s="424"/>
      <c r="AM103" s="430"/>
      <c r="AN103" s="431"/>
      <c r="AO103" s="432">
        <v>2024</v>
      </c>
      <c r="AP103" s="425">
        <v>0</v>
      </c>
      <c r="AQ103" s="433"/>
      <c r="AR103" s="425">
        <v>0</v>
      </c>
      <c r="AS103" s="433"/>
      <c r="AT103" s="434"/>
      <c r="AU103" s="431"/>
      <c r="AV103" s="435"/>
      <c r="AW103" s="432">
        <v>2022</v>
      </c>
      <c r="AX103" s="425"/>
      <c r="AY103" s="433"/>
      <c r="AZ103" s="425"/>
      <c r="BA103" s="433"/>
      <c r="BB103" s="434"/>
      <c r="BC103" s="431"/>
      <c r="BD103" s="435"/>
      <c r="BE103" s="432">
        <v>2023</v>
      </c>
      <c r="BF103" s="425"/>
      <c r="BG103" s="433"/>
      <c r="BH103" s="425"/>
      <c r="BI103" s="433"/>
      <c r="BJ103" s="434"/>
      <c r="BK103" s="431"/>
      <c r="BL103" s="435"/>
      <c r="BM103" s="432">
        <v>2024</v>
      </c>
      <c r="BN103" s="425"/>
      <c r="BO103" s="433"/>
      <c r="BP103" s="425"/>
      <c r="BQ103" s="433"/>
      <c r="BR103" s="434"/>
      <c r="BS103" s="431"/>
      <c r="BT103" s="435"/>
      <c r="BU103" s="1805"/>
      <c r="BV103" s="1806"/>
      <c r="BW103" s="1807"/>
      <c r="BX103" s="1808"/>
      <c r="BY103" s="1809">
        <v>2021</v>
      </c>
      <c r="BZ103" s="424">
        <v>11141</v>
      </c>
      <c r="CA103" s="424">
        <v>11141</v>
      </c>
      <c r="CB103" s="430"/>
      <c r="CC103" s="431"/>
      <c r="CD103" s="432">
        <v>2024</v>
      </c>
      <c r="CE103" s="425">
        <v>10974</v>
      </c>
      <c r="CF103" s="433">
        <v>1.49</v>
      </c>
      <c r="CG103" s="425">
        <v>10974</v>
      </c>
      <c r="CH103" s="433">
        <v>1.49</v>
      </c>
      <c r="CI103" s="434"/>
      <c r="CJ103" s="431"/>
      <c r="CK103" s="435"/>
      <c r="CL103" s="432">
        <v>2022</v>
      </c>
      <c r="CM103" s="425">
        <v>11083.712660000001</v>
      </c>
      <c r="CN103" s="433">
        <v>0.51</v>
      </c>
      <c r="CO103" s="425">
        <v>11083.712660000001</v>
      </c>
      <c r="CP103" s="433">
        <v>0.51</v>
      </c>
      <c r="CQ103" s="434"/>
      <c r="CR103" s="431"/>
      <c r="CS103" s="435"/>
      <c r="CT103" s="432">
        <v>2023</v>
      </c>
      <c r="CU103" s="425"/>
      <c r="CV103" s="433"/>
      <c r="CW103" s="425"/>
      <c r="CX103" s="433"/>
      <c r="CY103" s="434"/>
      <c r="CZ103" s="431"/>
      <c r="DA103" s="435"/>
      <c r="DB103" s="432">
        <v>2024</v>
      </c>
      <c r="DC103" s="425"/>
      <c r="DD103" s="433"/>
      <c r="DE103" s="425"/>
      <c r="DF103" s="433"/>
      <c r="DG103" s="434"/>
      <c r="DH103" s="431"/>
      <c r="DI103" s="435"/>
      <c r="DJ103" s="1805" t="s">
        <v>687</v>
      </c>
      <c r="DK103" s="1806" t="s">
        <v>728</v>
      </c>
      <c r="DL103" s="1807" t="s">
        <v>678</v>
      </c>
      <c r="DM103" s="1808" t="s">
        <v>4957</v>
      </c>
      <c r="DN103" s="1810">
        <v>0</v>
      </c>
      <c r="DO103" s="1799">
        <v>0</v>
      </c>
      <c r="DP103" s="1800">
        <v>0</v>
      </c>
      <c r="DQ103" s="1799">
        <v>0</v>
      </c>
      <c r="DR103" s="1800">
        <v>0</v>
      </c>
      <c r="DS103" s="1799">
        <v>0</v>
      </c>
    </row>
    <row r="104" spans="1:123" ht="108">
      <c r="A104" s="1801" t="s">
        <v>5703</v>
      </c>
      <c r="B104" s="1788" t="s">
        <v>5704</v>
      </c>
      <c r="C104" s="426">
        <v>2022</v>
      </c>
      <c r="D104" s="417" t="s">
        <v>681</v>
      </c>
      <c r="E104" s="1802">
        <v>1016147</v>
      </c>
      <c r="F104" s="1803" t="s">
        <v>5704</v>
      </c>
      <c r="G104" s="419">
        <v>45135</v>
      </c>
      <c r="H104" s="1790" t="s">
        <v>5705</v>
      </c>
      <c r="I104" s="1791" t="s">
        <v>5704</v>
      </c>
      <c r="J104" s="1793" t="s">
        <v>5706</v>
      </c>
      <c r="K104" s="1788" t="s">
        <v>5704</v>
      </c>
      <c r="L104" s="1791" t="s">
        <v>5707</v>
      </c>
      <c r="M104" s="1793" t="s">
        <v>5705</v>
      </c>
      <c r="N104" s="1790" t="s">
        <v>12</v>
      </c>
      <c r="O104" s="1793" t="s">
        <v>20</v>
      </c>
      <c r="P104" s="420" t="s">
        <v>683</v>
      </c>
      <c r="Q104" s="421"/>
      <c r="R104" s="421"/>
      <c r="S104" s="422"/>
      <c r="T104" s="1794"/>
      <c r="U104" s="423">
        <v>15570.8676</v>
      </c>
      <c r="V104" s="424">
        <v>1</v>
      </c>
      <c r="W104" s="424">
        <v>1</v>
      </c>
      <c r="X104" s="425"/>
      <c r="Y104" s="426">
        <v>2022</v>
      </c>
      <c r="Z104" s="417">
        <v>2024</v>
      </c>
      <c r="AA104" s="1804">
        <v>2022</v>
      </c>
      <c r="AB104" s="427"/>
      <c r="AC104" s="1793"/>
      <c r="AD104" s="428" t="s">
        <v>5863</v>
      </c>
      <c r="AE104" s="1791" t="s">
        <v>5708</v>
      </c>
      <c r="AF104" s="1791" t="s">
        <v>5709</v>
      </c>
      <c r="AG104" s="1793" t="s">
        <v>5710</v>
      </c>
      <c r="AH104" s="428"/>
      <c r="AI104" s="1793"/>
      <c r="AJ104" s="429">
        <v>2021</v>
      </c>
      <c r="AK104" s="424">
        <v>28141</v>
      </c>
      <c r="AL104" s="424">
        <v>27897</v>
      </c>
      <c r="AM104" s="430">
        <v>175.01</v>
      </c>
      <c r="AN104" s="431" t="s">
        <v>5711</v>
      </c>
      <c r="AO104" s="432">
        <v>2024</v>
      </c>
      <c r="AP104" s="425">
        <v>28057</v>
      </c>
      <c r="AQ104" s="433">
        <v>0.28999999999999998</v>
      </c>
      <c r="AR104" s="425">
        <v>27813</v>
      </c>
      <c r="AS104" s="433">
        <v>0.3</v>
      </c>
      <c r="AT104" s="434">
        <v>174.48</v>
      </c>
      <c r="AU104" s="431" t="s">
        <v>5711</v>
      </c>
      <c r="AV104" s="435">
        <v>0.3</v>
      </c>
      <c r="AW104" s="432">
        <v>2022</v>
      </c>
      <c r="AX104" s="425">
        <v>28649</v>
      </c>
      <c r="AY104" s="433">
        <v>-1.81</v>
      </c>
      <c r="AZ104" s="425">
        <v>28588</v>
      </c>
      <c r="BA104" s="433">
        <v>-2.48</v>
      </c>
      <c r="BB104" s="434">
        <v>176.84567901234567</v>
      </c>
      <c r="BC104" s="431" t="s">
        <v>5711</v>
      </c>
      <c r="BD104" s="435">
        <v>-1.05</v>
      </c>
      <c r="BE104" s="432">
        <v>2023</v>
      </c>
      <c r="BF104" s="425"/>
      <c r="BG104" s="433"/>
      <c r="BH104" s="425"/>
      <c r="BI104" s="433"/>
      <c r="BJ104" s="434"/>
      <c r="BK104" s="431"/>
      <c r="BL104" s="435"/>
      <c r="BM104" s="432">
        <v>2024</v>
      </c>
      <c r="BN104" s="425"/>
      <c r="BO104" s="433"/>
      <c r="BP104" s="425"/>
      <c r="BQ104" s="433"/>
      <c r="BR104" s="434"/>
      <c r="BS104" s="431"/>
      <c r="BT104" s="435"/>
      <c r="BU104" s="1805" t="s">
        <v>676</v>
      </c>
      <c r="BV104" s="1806" t="s">
        <v>728</v>
      </c>
      <c r="BW104" s="1807" t="s">
        <v>678</v>
      </c>
      <c r="BX104" s="1808" t="s">
        <v>5712</v>
      </c>
      <c r="BY104" s="1809">
        <v>2021</v>
      </c>
      <c r="BZ104" s="424"/>
      <c r="CA104" s="424"/>
      <c r="CB104" s="430"/>
      <c r="CC104" s="431"/>
      <c r="CD104" s="432">
        <v>2024</v>
      </c>
      <c r="CE104" s="425"/>
      <c r="CF104" s="433"/>
      <c r="CG104" s="425"/>
      <c r="CH104" s="433"/>
      <c r="CI104" s="434"/>
      <c r="CJ104" s="431"/>
      <c r="CK104" s="435"/>
      <c r="CL104" s="432">
        <v>2022</v>
      </c>
      <c r="CM104" s="425">
        <v>0</v>
      </c>
      <c r="CN104" s="433"/>
      <c r="CO104" s="425">
        <v>0</v>
      </c>
      <c r="CP104" s="433"/>
      <c r="CQ104" s="434"/>
      <c r="CR104" s="431"/>
      <c r="CS104" s="435">
        <v>0</v>
      </c>
      <c r="CT104" s="432">
        <v>2023</v>
      </c>
      <c r="CU104" s="425"/>
      <c r="CV104" s="433"/>
      <c r="CW104" s="425"/>
      <c r="CX104" s="433"/>
      <c r="CY104" s="434"/>
      <c r="CZ104" s="431"/>
      <c r="DA104" s="435"/>
      <c r="DB104" s="432">
        <v>2024</v>
      </c>
      <c r="DC104" s="425"/>
      <c r="DD104" s="433"/>
      <c r="DE104" s="425"/>
      <c r="DF104" s="433"/>
      <c r="DG104" s="434"/>
      <c r="DH104" s="431"/>
      <c r="DI104" s="435"/>
      <c r="DJ104" s="1805"/>
      <c r="DK104" s="1806"/>
      <c r="DL104" s="1807"/>
      <c r="DM104" s="1808"/>
      <c r="DN104" s="1810">
        <v>0</v>
      </c>
      <c r="DO104" s="1799">
        <v>0</v>
      </c>
      <c r="DP104" s="1800">
        <v>0</v>
      </c>
      <c r="DQ104" s="1799">
        <v>0</v>
      </c>
      <c r="DR104" s="1800">
        <v>0</v>
      </c>
      <c r="DS104" s="1799">
        <v>0</v>
      </c>
    </row>
    <row r="105" spans="1:123" ht="81">
      <c r="A105" s="1801" t="s">
        <v>1405</v>
      </c>
      <c r="B105" s="1788" t="s">
        <v>1406</v>
      </c>
      <c r="C105" s="426">
        <v>2022</v>
      </c>
      <c r="D105" s="417" t="s">
        <v>681</v>
      </c>
      <c r="E105" s="1802">
        <v>1006148</v>
      </c>
      <c r="F105" s="1803" t="s">
        <v>1406</v>
      </c>
      <c r="G105" s="419">
        <v>45138</v>
      </c>
      <c r="H105" s="1790" t="s">
        <v>1407</v>
      </c>
      <c r="I105" s="1791" t="s">
        <v>1406</v>
      </c>
      <c r="J105" s="1793" t="s">
        <v>1408</v>
      </c>
      <c r="K105" s="1788" t="s">
        <v>1406</v>
      </c>
      <c r="L105" s="1791" t="s">
        <v>1408</v>
      </c>
      <c r="M105" s="1793" t="s">
        <v>1409</v>
      </c>
      <c r="N105" s="1790" t="s">
        <v>8</v>
      </c>
      <c r="O105" s="1793" t="s">
        <v>9</v>
      </c>
      <c r="P105" s="420" t="s">
        <v>683</v>
      </c>
      <c r="Q105" s="421"/>
      <c r="R105" s="421"/>
      <c r="S105" s="422"/>
      <c r="T105" s="1794"/>
      <c r="U105" s="423">
        <v>2563.3332</v>
      </c>
      <c r="V105" s="424">
        <v>3</v>
      </c>
      <c r="W105" s="424">
        <v>1</v>
      </c>
      <c r="X105" s="425"/>
      <c r="Y105" s="426">
        <v>2022</v>
      </c>
      <c r="Z105" s="417">
        <v>2024</v>
      </c>
      <c r="AA105" s="1804">
        <v>2022</v>
      </c>
      <c r="AB105" s="427"/>
      <c r="AC105" s="1793"/>
      <c r="AD105" s="428" t="s">
        <v>5863</v>
      </c>
      <c r="AE105" s="1791" t="s">
        <v>1410</v>
      </c>
      <c r="AF105" s="1791" t="s">
        <v>1411</v>
      </c>
      <c r="AG105" s="1793" t="s">
        <v>1412</v>
      </c>
      <c r="AH105" s="428"/>
      <c r="AI105" s="1793"/>
      <c r="AJ105" s="429">
        <v>2021</v>
      </c>
      <c r="AK105" s="424">
        <v>4058</v>
      </c>
      <c r="AL105" s="424">
        <v>4036</v>
      </c>
      <c r="AM105" s="430">
        <v>60.43</v>
      </c>
      <c r="AN105" s="431" t="s">
        <v>727</v>
      </c>
      <c r="AO105" s="432">
        <v>2024</v>
      </c>
      <c r="AP105" s="425">
        <v>3936</v>
      </c>
      <c r="AQ105" s="433">
        <v>3</v>
      </c>
      <c r="AR105" s="425">
        <v>3915</v>
      </c>
      <c r="AS105" s="433">
        <v>2.99</v>
      </c>
      <c r="AT105" s="434">
        <v>58.62</v>
      </c>
      <c r="AU105" s="431" t="s">
        <v>727</v>
      </c>
      <c r="AV105" s="435">
        <v>2.99</v>
      </c>
      <c r="AW105" s="432">
        <v>2022</v>
      </c>
      <c r="AX105" s="425">
        <v>4396</v>
      </c>
      <c r="AY105" s="433">
        <v>-8.33</v>
      </c>
      <c r="AZ105" s="425">
        <v>4390</v>
      </c>
      <c r="BA105" s="433">
        <v>-8.7799999999999994</v>
      </c>
      <c r="BB105" s="434">
        <v>63.875851847546535</v>
      </c>
      <c r="BC105" s="431" t="s">
        <v>727</v>
      </c>
      <c r="BD105" s="435">
        <v>-5.71</v>
      </c>
      <c r="BE105" s="432">
        <v>2023</v>
      </c>
      <c r="BF105" s="425"/>
      <c r="BG105" s="433"/>
      <c r="BH105" s="425"/>
      <c r="BI105" s="433"/>
      <c r="BJ105" s="434"/>
      <c r="BK105" s="431"/>
      <c r="BL105" s="435"/>
      <c r="BM105" s="432">
        <v>2024</v>
      </c>
      <c r="BN105" s="425"/>
      <c r="BO105" s="433"/>
      <c r="BP105" s="425"/>
      <c r="BQ105" s="433"/>
      <c r="BR105" s="434"/>
      <c r="BS105" s="431"/>
      <c r="BT105" s="435"/>
      <c r="BU105" s="1805" t="s">
        <v>676</v>
      </c>
      <c r="BV105" s="1806" t="s">
        <v>728</v>
      </c>
      <c r="BW105" s="1807" t="s">
        <v>678</v>
      </c>
      <c r="BX105" s="1808" t="s">
        <v>4958</v>
      </c>
      <c r="BY105" s="1809">
        <v>2021</v>
      </c>
      <c r="BZ105" s="424"/>
      <c r="CA105" s="424"/>
      <c r="CB105" s="430"/>
      <c r="CC105" s="431"/>
      <c r="CD105" s="432">
        <v>2024</v>
      </c>
      <c r="CE105" s="425"/>
      <c r="CF105" s="433"/>
      <c r="CG105" s="425"/>
      <c r="CH105" s="433"/>
      <c r="CI105" s="434"/>
      <c r="CJ105" s="431"/>
      <c r="CK105" s="435"/>
      <c r="CL105" s="432">
        <v>2022</v>
      </c>
      <c r="CM105" s="425">
        <v>0</v>
      </c>
      <c r="CN105" s="433"/>
      <c r="CO105" s="425">
        <v>0</v>
      </c>
      <c r="CP105" s="433"/>
      <c r="CQ105" s="434"/>
      <c r="CR105" s="431"/>
      <c r="CS105" s="435">
        <v>0</v>
      </c>
      <c r="CT105" s="432">
        <v>2023</v>
      </c>
      <c r="CU105" s="425"/>
      <c r="CV105" s="433"/>
      <c r="CW105" s="425"/>
      <c r="CX105" s="433"/>
      <c r="CY105" s="434"/>
      <c r="CZ105" s="431"/>
      <c r="DA105" s="435"/>
      <c r="DB105" s="432">
        <v>2024</v>
      </c>
      <c r="DC105" s="425"/>
      <c r="DD105" s="433"/>
      <c r="DE105" s="425"/>
      <c r="DF105" s="433"/>
      <c r="DG105" s="434"/>
      <c r="DH105" s="431"/>
      <c r="DI105" s="435"/>
      <c r="DJ105" s="1805"/>
      <c r="DK105" s="1806"/>
      <c r="DL105" s="1807"/>
      <c r="DM105" s="1808"/>
      <c r="DN105" s="1810">
        <v>0</v>
      </c>
      <c r="DO105" s="1799">
        <v>0</v>
      </c>
      <c r="DP105" s="1800">
        <v>0</v>
      </c>
      <c r="DQ105" s="1799">
        <v>0</v>
      </c>
      <c r="DR105" s="1800">
        <v>0</v>
      </c>
      <c r="DS105" s="1799">
        <v>0</v>
      </c>
    </row>
    <row r="106" spans="1:123" ht="81">
      <c r="A106" s="1801" t="s">
        <v>1414</v>
      </c>
      <c r="B106" s="1788" t="s">
        <v>1415</v>
      </c>
      <c r="C106" s="426">
        <v>2022</v>
      </c>
      <c r="D106" s="417" t="s">
        <v>681</v>
      </c>
      <c r="E106" s="1802">
        <v>1069149</v>
      </c>
      <c r="F106" s="1803" t="s">
        <v>1415</v>
      </c>
      <c r="G106" s="419">
        <v>45125</v>
      </c>
      <c r="H106" s="1790" t="s">
        <v>1416</v>
      </c>
      <c r="I106" s="1791" t="s">
        <v>1415</v>
      </c>
      <c r="J106" s="1793" t="s">
        <v>1417</v>
      </c>
      <c r="K106" s="1788" t="s">
        <v>1415</v>
      </c>
      <c r="L106" s="1791" t="s">
        <v>1417</v>
      </c>
      <c r="M106" s="1793" t="s">
        <v>1416</v>
      </c>
      <c r="N106" s="1790" t="s">
        <v>77</v>
      </c>
      <c r="O106" s="1793" t="s">
        <v>79</v>
      </c>
      <c r="P106" s="420" t="s">
        <v>683</v>
      </c>
      <c r="Q106" s="421"/>
      <c r="R106" s="421"/>
      <c r="S106" s="422"/>
      <c r="T106" s="1794"/>
      <c r="U106" s="423">
        <v>2437.1453999999999</v>
      </c>
      <c r="V106" s="424">
        <v>1</v>
      </c>
      <c r="W106" s="424">
        <v>1</v>
      </c>
      <c r="X106" s="425"/>
      <c r="Y106" s="426">
        <v>2022</v>
      </c>
      <c r="Z106" s="417">
        <v>2024</v>
      </c>
      <c r="AA106" s="1804">
        <v>2022</v>
      </c>
      <c r="AB106" s="427"/>
      <c r="AC106" s="1793"/>
      <c r="AD106" s="428" t="s">
        <v>5863</v>
      </c>
      <c r="AE106" s="1791" t="s">
        <v>1418</v>
      </c>
      <c r="AF106" s="1791" t="s">
        <v>1419</v>
      </c>
      <c r="AG106" s="1793" t="s">
        <v>1420</v>
      </c>
      <c r="AH106" s="428"/>
      <c r="AI106" s="1793"/>
      <c r="AJ106" s="429">
        <v>2021</v>
      </c>
      <c r="AK106" s="424">
        <v>4741</v>
      </c>
      <c r="AL106" s="424">
        <v>4699</v>
      </c>
      <c r="AM106" s="430"/>
      <c r="AN106" s="431"/>
      <c r="AO106" s="432">
        <v>2024</v>
      </c>
      <c r="AP106" s="425">
        <v>4613</v>
      </c>
      <c r="AQ106" s="433">
        <v>2.69</v>
      </c>
      <c r="AR106" s="425">
        <v>4572.1269999999995</v>
      </c>
      <c r="AS106" s="433">
        <v>2.7</v>
      </c>
      <c r="AT106" s="434"/>
      <c r="AU106" s="431"/>
      <c r="AV106" s="435"/>
      <c r="AW106" s="432">
        <v>2022</v>
      </c>
      <c r="AX106" s="425">
        <v>4215</v>
      </c>
      <c r="AY106" s="433">
        <v>11.09</v>
      </c>
      <c r="AZ106" s="425">
        <v>4215</v>
      </c>
      <c r="BA106" s="433">
        <v>10.3</v>
      </c>
      <c r="BB106" s="434"/>
      <c r="BC106" s="431"/>
      <c r="BD106" s="435"/>
      <c r="BE106" s="432">
        <v>2023</v>
      </c>
      <c r="BF106" s="425"/>
      <c r="BG106" s="433"/>
      <c r="BH106" s="425"/>
      <c r="BI106" s="433"/>
      <c r="BJ106" s="434"/>
      <c r="BK106" s="431"/>
      <c r="BL106" s="435"/>
      <c r="BM106" s="432">
        <v>2024</v>
      </c>
      <c r="BN106" s="425"/>
      <c r="BO106" s="433"/>
      <c r="BP106" s="425"/>
      <c r="BQ106" s="433"/>
      <c r="BR106" s="434"/>
      <c r="BS106" s="431"/>
      <c r="BT106" s="435"/>
      <c r="BU106" s="1805" t="s">
        <v>687</v>
      </c>
      <c r="BV106" s="1806" t="s">
        <v>728</v>
      </c>
      <c r="BW106" s="1807" t="s">
        <v>678</v>
      </c>
      <c r="BX106" s="1808"/>
      <c r="BY106" s="1809">
        <v>2021</v>
      </c>
      <c r="BZ106" s="424"/>
      <c r="CA106" s="424"/>
      <c r="CB106" s="430"/>
      <c r="CC106" s="431"/>
      <c r="CD106" s="432">
        <v>2024</v>
      </c>
      <c r="CE106" s="425"/>
      <c r="CF106" s="433"/>
      <c r="CG106" s="425"/>
      <c r="CH106" s="433"/>
      <c r="CI106" s="434"/>
      <c r="CJ106" s="431"/>
      <c r="CK106" s="435"/>
      <c r="CL106" s="432">
        <v>2022</v>
      </c>
      <c r="CM106" s="425">
        <v>0</v>
      </c>
      <c r="CN106" s="433"/>
      <c r="CO106" s="425">
        <v>0</v>
      </c>
      <c r="CP106" s="433"/>
      <c r="CQ106" s="434">
        <v>0</v>
      </c>
      <c r="CR106" s="431"/>
      <c r="CS106" s="435"/>
      <c r="CT106" s="432">
        <v>2023</v>
      </c>
      <c r="CU106" s="425"/>
      <c r="CV106" s="433"/>
      <c r="CW106" s="425"/>
      <c r="CX106" s="433"/>
      <c r="CY106" s="434"/>
      <c r="CZ106" s="431"/>
      <c r="DA106" s="435"/>
      <c r="DB106" s="432">
        <v>2024</v>
      </c>
      <c r="DC106" s="425"/>
      <c r="DD106" s="433"/>
      <c r="DE106" s="425"/>
      <c r="DF106" s="433"/>
      <c r="DG106" s="434"/>
      <c r="DH106" s="431"/>
      <c r="DI106" s="435"/>
      <c r="DJ106" s="1805"/>
      <c r="DK106" s="1806"/>
      <c r="DL106" s="1807"/>
      <c r="DM106" s="1808"/>
      <c r="DN106" s="1810">
        <v>0</v>
      </c>
      <c r="DO106" s="1799">
        <v>0</v>
      </c>
      <c r="DP106" s="1800">
        <v>0</v>
      </c>
      <c r="DQ106" s="1799">
        <v>1</v>
      </c>
      <c r="DR106" s="1800">
        <v>0</v>
      </c>
      <c r="DS106" s="1799">
        <v>0</v>
      </c>
    </row>
    <row r="107" spans="1:123" ht="81">
      <c r="A107" s="1801" t="s">
        <v>1421</v>
      </c>
      <c r="B107" s="1788" t="s">
        <v>1422</v>
      </c>
      <c r="C107" s="426">
        <v>2022</v>
      </c>
      <c r="D107" s="417" t="s">
        <v>891</v>
      </c>
      <c r="E107" s="1802">
        <v>1334150</v>
      </c>
      <c r="F107" s="1803" t="s">
        <v>1422</v>
      </c>
      <c r="G107" s="419">
        <v>45132</v>
      </c>
      <c r="H107" s="1790" t="s">
        <v>1423</v>
      </c>
      <c r="I107" s="1791" t="s">
        <v>1422</v>
      </c>
      <c r="J107" s="1793" t="s">
        <v>4959</v>
      </c>
      <c r="K107" s="1788" t="s">
        <v>1422</v>
      </c>
      <c r="L107" s="1791" t="s">
        <v>4959</v>
      </c>
      <c r="M107" s="1793" t="s">
        <v>1423</v>
      </c>
      <c r="N107" s="1790" t="s">
        <v>37</v>
      </c>
      <c r="O107" s="1793" t="s">
        <v>39</v>
      </c>
      <c r="P107" s="420" t="s">
        <v>683</v>
      </c>
      <c r="Q107" s="421"/>
      <c r="R107" s="421" t="s">
        <v>717</v>
      </c>
      <c r="S107" s="422"/>
      <c r="T107" s="1794"/>
      <c r="U107" s="423">
        <v>38815.326000000001</v>
      </c>
      <c r="V107" s="424">
        <v>17</v>
      </c>
      <c r="W107" s="424">
        <v>4</v>
      </c>
      <c r="X107" s="425">
        <v>24</v>
      </c>
      <c r="Y107" s="426">
        <v>2022</v>
      </c>
      <c r="Z107" s="417">
        <v>2024</v>
      </c>
      <c r="AA107" s="1804">
        <v>2022</v>
      </c>
      <c r="AB107" s="427" t="s">
        <v>5863</v>
      </c>
      <c r="AC107" s="1793" t="s">
        <v>1424</v>
      </c>
      <c r="AD107" s="428"/>
      <c r="AE107" s="1791"/>
      <c r="AF107" s="1791"/>
      <c r="AG107" s="1793"/>
      <c r="AH107" s="428"/>
      <c r="AI107" s="1793"/>
      <c r="AJ107" s="429">
        <v>2021</v>
      </c>
      <c r="AK107" s="424">
        <v>65476</v>
      </c>
      <c r="AL107" s="424">
        <v>65592</v>
      </c>
      <c r="AM107" s="430">
        <v>7.13</v>
      </c>
      <c r="AN107" s="431" t="s">
        <v>2597</v>
      </c>
      <c r="AO107" s="432">
        <v>2024</v>
      </c>
      <c r="AP107" s="425">
        <v>63563</v>
      </c>
      <c r="AQ107" s="433">
        <v>2.92</v>
      </c>
      <c r="AR107" s="425">
        <v>63668</v>
      </c>
      <c r="AS107" s="433">
        <v>2.93</v>
      </c>
      <c r="AT107" s="434">
        <v>7.39</v>
      </c>
      <c r="AU107" s="431" t="s">
        <v>2597</v>
      </c>
      <c r="AV107" s="435">
        <v>-3.65</v>
      </c>
      <c r="AW107" s="432">
        <v>2022</v>
      </c>
      <c r="AX107" s="425">
        <v>63666</v>
      </c>
      <c r="AY107" s="433">
        <v>2.76</v>
      </c>
      <c r="AZ107" s="425">
        <v>63278</v>
      </c>
      <c r="BA107" s="433">
        <v>3.52</v>
      </c>
      <c r="BB107" s="434">
        <v>8.0475394622181753</v>
      </c>
      <c r="BC107" s="431" t="s">
        <v>2597</v>
      </c>
      <c r="BD107" s="435">
        <v>-12.87</v>
      </c>
      <c r="BE107" s="432">
        <v>2023</v>
      </c>
      <c r="BF107" s="425"/>
      <c r="BG107" s="433"/>
      <c r="BH107" s="425"/>
      <c r="BI107" s="433"/>
      <c r="BJ107" s="434"/>
      <c r="BK107" s="431"/>
      <c r="BL107" s="435"/>
      <c r="BM107" s="432">
        <v>2024</v>
      </c>
      <c r="BN107" s="425"/>
      <c r="BO107" s="433"/>
      <c r="BP107" s="425"/>
      <c r="BQ107" s="433"/>
      <c r="BR107" s="434"/>
      <c r="BS107" s="431"/>
      <c r="BT107" s="435"/>
      <c r="BU107" s="1805" t="s">
        <v>719</v>
      </c>
      <c r="BV107" s="1806" t="s">
        <v>728</v>
      </c>
      <c r="BW107" s="1807" t="s">
        <v>697</v>
      </c>
      <c r="BX107" s="1808" t="s">
        <v>4960</v>
      </c>
      <c r="BY107" s="1809">
        <v>2021</v>
      </c>
      <c r="BZ107" s="424">
        <v>155</v>
      </c>
      <c r="CA107" s="424">
        <v>155</v>
      </c>
      <c r="CB107" s="430"/>
      <c r="CC107" s="431"/>
      <c r="CD107" s="432">
        <v>2024</v>
      </c>
      <c r="CE107" s="425">
        <v>149.80000000000001</v>
      </c>
      <c r="CF107" s="433">
        <v>3.35</v>
      </c>
      <c r="CG107" s="425">
        <v>149.80000000000001</v>
      </c>
      <c r="CH107" s="433">
        <v>3.35</v>
      </c>
      <c r="CI107" s="434"/>
      <c r="CJ107" s="431"/>
      <c r="CK107" s="435"/>
      <c r="CL107" s="432">
        <v>2022</v>
      </c>
      <c r="CM107" s="425">
        <v>39.086649999999999</v>
      </c>
      <c r="CN107" s="433">
        <v>74.78</v>
      </c>
      <c r="CO107" s="425">
        <v>39.086649999999999</v>
      </c>
      <c r="CP107" s="433">
        <v>74.78</v>
      </c>
      <c r="CQ107" s="434"/>
      <c r="CR107" s="431"/>
      <c r="CS107" s="435"/>
      <c r="CT107" s="432">
        <v>2023</v>
      </c>
      <c r="CU107" s="425"/>
      <c r="CV107" s="433"/>
      <c r="CW107" s="425"/>
      <c r="CX107" s="433"/>
      <c r="CY107" s="434"/>
      <c r="CZ107" s="431"/>
      <c r="DA107" s="435"/>
      <c r="DB107" s="432">
        <v>2024</v>
      </c>
      <c r="DC107" s="425"/>
      <c r="DD107" s="433"/>
      <c r="DE107" s="425"/>
      <c r="DF107" s="433"/>
      <c r="DG107" s="434"/>
      <c r="DH107" s="431"/>
      <c r="DI107" s="435"/>
      <c r="DJ107" s="1805" t="s">
        <v>687</v>
      </c>
      <c r="DK107" s="1806" t="s">
        <v>728</v>
      </c>
      <c r="DL107" s="1807" t="s">
        <v>697</v>
      </c>
      <c r="DM107" s="1808" t="s">
        <v>4961</v>
      </c>
      <c r="DN107" s="1810">
        <v>0</v>
      </c>
      <c r="DO107" s="1799">
        <v>0</v>
      </c>
      <c r="DP107" s="1800">
        <v>0</v>
      </c>
      <c r="DQ107" s="1799">
        <v>0</v>
      </c>
      <c r="DR107" s="1800">
        <v>1</v>
      </c>
      <c r="DS107" s="1799">
        <v>5</v>
      </c>
    </row>
    <row r="108" spans="1:123" ht="94.5">
      <c r="A108" s="1801" t="s">
        <v>1425</v>
      </c>
      <c r="B108" s="1788" t="s">
        <v>1426</v>
      </c>
      <c r="C108" s="426">
        <v>2022</v>
      </c>
      <c r="D108" s="417" t="s">
        <v>681</v>
      </c>
      <c r="E108" s="1802">
        <v>1038151</v>
      </c>
      <c r="F108" s="1803" t="s">
        <v>1426</v>
      </c>
      <c r="G108" s="419">
        <v>45127</v>
      </c>
      <c r="H108" s="1790" t="s">
        <v>1427</v>
      </c>
      <c r="I108" s="1791" t="s">
        <v>1426</v>
      </c>
      <c r="J108" s="1793" t="s">
        <v>4962</v>
      </c>
      <c r="K108" s="1788" t="s">
        <v>1426</v>
      </c>
      <c r="L108" s="1791" t="s">
        <v>4962</v>
      </c>
      <c r="M108" s="1793" t="s">
        <v>1428</v>
      </c>
      <c r="N108" s="1790" t="s">
        <v>42</v>
      </c>
      <c r="O108" s="1793" t="s">
        <v>44</v>
      </c>
      <c r="P108" s="420" t="s">
        <v>683</v>
      </c>
      <c r="Q108" s="421"/>
      <c r="R108" s="421"/>
      <c r="S108" s="422"/>
      <c r="T108" s="1794"/>
      <c r="U108" s="423">
        <v>1594.2336</v>
      </c>
      <c r="V108" s="424">
        <v>6</v>
      </c>
      <c r="W108" s="424">
        <v>1</v>
      </c>
      <c r="X108" s="425"/>
      <c r="Y108" s="426">
        <v>2022</v>
      </c>
      <c r="Z108" s="417">
        <v>2024</v>
      </c>
      <c r="AA108" s="1804">
        <v>2022</v>
      </c>
      <c r="AB108" s="427"/>
      <c r="AC108" s="1793"/>
      <c r="AD108" s="428" t="s">
        <v>5863</v>
      </c>
      <c r="AE108" s="1791" t="s">
        <v>1429</v>
      </c>
      <c r="AF108" s="1791" t="s">
        <v>1430</v>
      </c>
      <c r="AG108" s="1793" t="s">
        <v>1431</v>
      </c>
      <c r="AH108" s="428"/>
      <c r="AI108" s="1793"/>
      <c r="AJ108" s="429">
        <v>2021</v>
      </c>
      <c r="AK108" s="424">
        <v>3118</v>
      </c>
      <c r="AL108" s="424">
        <v>2842</v>
      </c>
      <c r="AM108" s="430">
        <v>4.1900000000000004</v>
      </c>
      <c r="AN108" s="431" t="s">
        <v>1432</v>
      </c>
      <c r="AO108" s="432">
        <v>2024</v>
      </c>
      <c r="AP108" s="425">
        <v>3024</v>
      </c>
      <c r="AQ108" s="433">
        <v>3.01</v>
      </c>
      <c r="AR108" s="425">
        <v>2756</v>
      </c>
      <c r="AS108" s="433">
        <v>3.02</v>
      </c>
      <c r="AT108" s="434">
        <v>4.1900000000000004</v>
      </c>
      <c r="AU108" s="431" t="s">
        <v>1432</v>
      </c>
      <c r="AV108" s="435">
        <v>0</v>
      </c>
      <c r="AW108" s="432">
        <v>2022</v>
      </c>
      <c r="AX108" s="425">
        <v>3038</v>
      </c>
      <c r="AY108" s="433">
        <v>2.56</v>
      </c>
      <c r="AZ108" s="425">
        <v>2710</v>
      </c>
      <c r="BA108" s="433">
        <v>4.6399999999999997</v>
      </c>
      <c r="BB108" s="434">
        <v>4.083333333333333</v>
      </c>
      <c r="BC108" s="431" t="s">
        <v>1432</v>
      </c>
      <c r="BD108" s="435">
        <v>2.54</v>
      </c>
      <c r="BE108" s="432">
        <v>2023</v>
      </c>
      <c r="BF108" s="425"/>
      <c r="BG108" s="433"/>
      <c r="BH108" s="425"/>
      <c r="BI108" s="433"/>
      <c r="BJ108" s="434"/>
      <c r="BK108" s="431"/>
      <c r="BL108" s="435"/>
      <c r="BM108" s="432">
        <v>2024</v>
      </c>
      <c r="BN108" s="425"/>
      <c r="BO108" s="433"/>
      <c r="BP108" s="425"/>
      <c r="BQ108" s="433"/>
      <c r="BR108" s="434"/>
      <c r="BS108" s="431"/>
      <c r="BT108" s="435"/>
      <c r="BU108" s="1805" t="s">
        <v>719</v>
      </c>
      <c r="BV108" s="1806" t="s">
        <v>728</v>
      </c>
      <c r="BW108" s="1807" t="s">
        <v>678</v>
      </c>
      <c r="BX108" s="1808"/>
      <c r="BY108" s="1809">
        <v>2021</v>
      </c>
      <c r="BZ108" s="424"/>
      <c r="CA108" s="424"/>
      <c r="CB108" s="430"/>
      <c r="CC108" s="431"/>
      <c r="CD108" s="432">
        <v>2024</v>
      </c>
      <c r="CE108" s="425"/>
      <c r="CF108" s="433"/>
      <c r="CG108" s="425"/>
      <c r="CH108" s="433"/>
      <c r="CI108" s="434"/>
      <c r="CJ108" s="431"/>
      <c r="CK108" s="435"/>
      <c r="CL108" s="432">
        <v>2022</v>
      </c>
      <c r="CM108" s="425">
        <v>0</v>
      </c>
      <c r="CN108" s="433"/>
      <c r="CO108" s="425">
        <v>0</v>
      </c>
      <c r="CP108" s="433"/>
      <c r="CQ108" s="434"/>
      <c r="CR108" s="431"/>
      <c r="CS108" s="435">
        <v>0</v>
      </c>
      <c r="CT108" s="432">
        <v>2023</v>
      </c>
      <c r="CU108" s="425"/>
      <c r="CV108" s="433"/>
      <c r="CW108" s="425"/>
      <c r="CX108" s="433"/>
      <c r="CY108" s="434"/>
      <c r="CZ108" s="431"/>
      <c r="DA108" s="435"/>
      <c r="DB108" s="432">
        <v>2024</v>
      </c>
      <c r="DC108" s="425"/>
      <c r="DD108" s="433"/>
      <c r="DE108" s="425"/>
      <c r="DF108" s="433"/>
      <c r="DG108" s="434"/>
      <c r="DH108" s="431"/>
      <c r="DI108" s="435"/>
      <c r="DJ108" s="1805"/>
      <c r="DK108" s="1806"/>
      <c r="DL108" s="1807"/>
      <c r="DM108" s="1808"/>
      <c r="DN108" s="1810">
        <v>0</v>
      </c>
      <c r="DO108" s="1799">
        <v>0</v>
      </c>
      <c r="DP108" s="1800">
        <v>0</v>
      </c>
      <c r="DQ108" s="1799">
        <v>0</v>
      </c>
      <c r="DR108" s="1800">
        <v>0</v>
      </c>
      <c r="DS108" s="1799">
        <v>0</v>
      </c>
    </row>
    <row r="109" spans="1:123" ht="81">
      <c r="A109" s="1801" t="s">
        <v>1433</v>
      </c>
      <c r="B109" s="1788" t="s">
        <v>1434</v>
      </c>
      <c r="C109" s="426">
        <v>2022</v>
      </c>
      <c r="D109" s="417" t="s">
        <v>681</v>
      </c>
      <c r="E109" s="1802">
        <v>1069153</v>
      </c>
      <c r="F109" s="1803" t="s">
        <v>1434</v>
      </c>
      <c r="G109" s="419">
        <v>45135</v>
      </c>
      <c r="H109" s="1790" t="s">
        <v>1435</v>
      </c>
      <c r="I109" s="1791" t="s">
        <v>1434</v>
      </c>
      <c r="J109" s="1793" t="s">
        <v>1436</v>
      </c>
      <c r="K109" s="1788" t="s">
        <v>1434</v>
      </c>
      <c r="L109" s="1791" t="s">
        <v>1436</v>
      </c>
      <c r="M109" s="1793" t="s">
        <v>1435</v>
      </c>
      <c r="N109" s="1790" t="s">
        <v>77</v>
      </c>
      <c r="O109" s="1793" t="s">
        <v>79</v>
      </c>
      <c r="P109" s="420" t="s">
        <v>683</v>
      </c>
      <c r="Q109" s="421"/>
      <c r="R109" s="421"/>
      <c r="S109" s="422"/>
      <c r="T109" s="1794"/>
      <c r="U109" s="423">
        <v>5212.4256000000005</v>
      </c>
      <c r="V109" s="424">
        <v>4</v>
      </c>
      <c r="W109" s="424">
        <v>2</v>
      </c>
      <c r="X109" s="425"/>
      <c r="Y109" s="426">
        <v>2022</v>
      </c>
      <c r="Z109" s="417">
        <v>2024</v>
      </c>
      <c r="AA109" s="1804">
        <v>2022</v>
      </c>
      <c r="AB109" s="427"/>
      <c r="AC109" s="1793"/>
      <c r="AD109" s="428" t="s">
        <v>5863</v>
      </c>
      <c r="AE109" s="1791" t="s">
        <v>1437</v>
      </c>
      <c r="AF109" s="1791" t="s">
        <v>1435</v>
      </c>
      <c r="AG109" s="1793" t="s">
        <v>1438</v>
      </c>
      <c r="AH109" s="428"/>
      <c r="AI109" s="1793"/>
      <c r="AJ109" s="429">
        <v>2021</v>
      </c>
      <c r="AK109" s="424">
        <v>9273</v>
      </c>
      <c r="AL109" s="424">
        <v>9205</v>
      </c>
      <c r="AM109" s="430"/>
      <c r="AN109" s="431"/>
      <c r="AO109" s="432">
        <v>2024</v>
      </c>
      <c r="AP109" s="425">
        <v>8994.81</v>
      </c>
      <c r="AQ109" s="433">
        <v>3</v>
      </c>
      <c r="AR109" s="425">
        <v>8928.85</v>
      </c>
      <c r="AS109" s="433">
        <v>3</v>
      </c>
      <c r="AT109" s="434"/>
      <c r="AU109" s="431"/>
      <c r="AV109" s="435"/>
      <c r="AW109" s="432">
        <v>2022</v>
      </c>
      <c r="AX109" s="425">
        <v>9402</v>
      </c>
      <c r="AY109" s="433">
        <v>-1.4</v>
      </c>
      <c r="AZ109" s="425">
        <v>9385</v>
      </c>
      <c r="BA109" s="433">
        <v>-1.96</v>
      </c>
      <c r="BB109" s="434"/>
      <c r="BC109" s="431"/>
      <c r="BD109" s="435"/>
      <c r="BE109" s="432">
        <v>2023</v>
      </c>
      <c r="BF109" s="425"/>
      <c r="BG109" s="433"/>
      <c r="BH109" s="425"/>
      <c r="BI109" s="433"/>
      <c r="BJ109" s="434"/>
      <c r="BK109" s="431"/>
      <c r="BL109" s="435"/>
      <c r="BM109" s="432">
        <v>2024</v>
      </c>
      <c r="BN109" s="425"/>
      <c r="BO109" s="433"/>
      <c r="BP109" s="425"/>
      <c r="BQ109" s="433"/>
      <c r="BR109" s="434"/>
      <c r="BS109" s="431"/>
      <c r="BT109" s="435"/>
      <c r="BU109" s="1805" t="s">
        <v>676</v>
      </c>
      <c r="BV109" s="1806" t="s">
        <v>728</v>
      </c>
      <c r="BW109" s="1807" t="s">
        <v>678</v>
      </c>
      <c r="BX109" s="1808" t="s">
        <v>4963</v>
      </c>
      <c r="BY109" s="1809">
        <v>2021</v>
      </c>
      <c r="BZ109" s="424"/>
      <c r="CA109" s="424"/>
      <c r="CB109" s="430"/>
      <c r="CC109" s="431"/>
      <c r="CD109" s="432">
        <v>2024</v>
      </c>
      <c r="CE109" s="425"/>
      <c r="CF109" s="433"/>
      <c r="CG109" s="425"/>
      <c r="CH109" s="433"/>
      <c r="CI109" s="434"/>
      <c r="CJ109" s="431"/>
      <c r="CK109" s="435"/>
      <c r="CL109" s="432">
        <v>2022</v>
      </c>
      <c r="CM109" s="425">
        <v>0</v>
      </c>
      <c r="CN109" s="433"/>
      <c r="CO109" s="425">
        <v>0</v>
      </c>
      <c r="CP109" s="433"/>
      <c r="CQ109" s="434"/>
      <c r="CR109" s="431"/>
      <c r="CS109" s="435">
        <v>0</v>
      </c>
      <c r="CT109" s="432">
        <v>2023</v>
      </c>
      <c r="CU109" s="425"/>
      <c r="CV109" s="433"/>
      <c r="CW109" s="425"/>
      <c r="CX109" s="433"/>
      <c r="CY109" s="434"/>
      <c r="CZ109" s="431"/>
      <c r="DA109" s="435"/>
      <c r="DB109" s="432">
        <v>2024</v>
      </c>
      <c r="DC109" s="425"/>
      <c r="DD109" s="433"/>
      <c r="DE109" s="425"/>
      <c r="DF109" s="433"/>
      <c r="DG109" s="434"/>
      <c r="DH109" s="431"/>
      <c r="DI109" s="435"/>
      <c r="DJ109" s="1805"/>
      <c r="DK109" s="1806"/>
      <c r="DL109" s="1807"/>
      <c r="DM109" s="1808"/>
      <c r="DN109" s="1810">
        <v>0</v>
      </c>
      <c r="DO109" s="1799">
        <v>0</v>
      </c>
      <c r="DP109" s="1800">
        <v>0</v>
      </c>
      <c r="DQ109" s="1799">
        <v>0</v>
      </c>
      <c r="DR109" s="1800">
        <v>0</v>
      </c>
      <c r="DS109" s="1799">
        <v>0</v>
      </c>
    </row>
    <row r="110" spans="1:123" ht="108">
      <c r="A110" s="1801" t="s">
        <v>1439</v>
      </c>
      <c r="B110" s="1788" t="s">
        <v>1440</v>
      </c>
      <c r="C110" s="426">
        <v>2022</v>
      </c>
      <c r="D110" s="417" t="s">
        <v>681</v>
      </c>
      <c r="E110" s="1802">
        <v>1047155</v>
      </c>
      <c r="F110" s="1803" t="s">
        <v>1440</v>
      </c>
      <c r="G110" s="419">
        <v>45133</v>
      </c>
      <c r="H110" s="1790" t="s">
        <v>1441</v>
      </c>
      <c r="I110" s="1791" t="s">
        <v>1440</v>
      </c>
      <c r="J110" s="1793" t="s">
        <v>1442</v>
      </c>
      <c r="K110" s="1788" t="s">
        <v>1440</v>
      </c>
      <c r="L110" s="1791" t="s">
        <v>1442</v>
      </c>
      <c r="M110" s="1793" t="s">
        <v>1441</v>
      </c>
      <c r="N110" s="1790" t="s">
        <v>48</v>
      </c>
      <c r="O110" s="1793" t="s">
        <v>54</v>
      </c>
      <c r="P110" s="420" t="s">
        <v>683</v>
      </c>
      <c r="Q110" s="421"/>
      <c r="R110" s="421"/>
      <c r="S110" s="422"/>
      <c r="T110" s="1794"/>
      <c r="U110" s="423">
        <v>3517.1849999999999</v>
      </c>
      <c r="V110" s="424">
        <v>9</v>
      </c>
      <c r="W110" s="424">
        <v>1</v>
      </c>
      <c r="X110" s="425"/>
      <c r="Y110" s="426">
        <v>2022</v>
      </c>
      <c r="Z110" s="417">
        <v>2024</v>
      </c>
      <c r="AA110" s="1804">
        <v>2022</v>
      </c>
      <c r="AB110" s="427"/>
      <c r="AC110" s="1793"/>
      <c r="AD110" s="428" t="s">
        <v>5863</v>
      </c>
      <c r="AE110" s="1791" t="s">
        <v>1443</v>
      </c>
      <c r="AF110" s="1791" t="s">
        <v>1444</v>
      </c>
      <c r="AG110" s="1793" t="s">
        <v>1445</v>
      </c>
      <c r="AH110" s="428"/>
      <c r="AI110" s="1793"/>
      <c r="AJ110" s="429">
        <v>2021</v>
      </c>
      <c r="AK110" s="424">
        <v>7038</v>
      </c>
      <c r="AL110" s="424">
        <v>7016</v>
      </c>
      <c r="AM110" s="430"/>
      <c r="AN110" s="431"/>
      <c r="AO110" s="432">
        <v>2024</v>
      </c>
      <c r="AP110" s="425">
        <v>6967.62</v>
      </c>
      <c r="AQ110" s="433">
        <v>1</v>
      </c>
      <c r="AR110" s="425">
        <v>6945.84</v>
      </c>
      <c r="AS110" s="433">
        <v>0.99</v>
      </c>
      <c r="AT110" s="434"/>
      <c r="AU110" s="431"/>
      <c r="AV110" s="435"/>
      <c r="AW110" s="432">
        <v>2022</v>
      </c>
      <c r="AX110" s="425">
        <v>7346</v>
      </c>
      <c r="AY110" s="433">
        <v>-4.38</v>
      </c>
      <c r="AZ110" s="425">
        <v>7387</v>
      </c>
      <c r="BA110" s="433">
        <v>-5.29</v>
      </c>
      <c r="BB110" s="434"/>
      <c r="BC110" s="431"/>
      <c r="BD110" s="435"/>
      <c r="BE110" s="432">
        <v>2023</v>
      </c>
      <c r="BF110" s="425"/>
      <c r="BG110" s="433"/>
      <c r="BH110" s="425"/>
      <c r="BI110" s="433"/>
      <c r="BJ110" s="434"/>
      <c r="BK110" s="431"/>
      <c r="BL110" s="435"/>
      <c r="BM110" s="432">
        <v>2024</v>
      </c>
      <c r="BN110" s="425"/>
      <c r="BO110" s="433"/>
      <c r="BP110" s="425"/>
      <c r="BQ110" s="433"/>
      <c r="BR110" s="434"/>
      <c r="BS110" s="431"/>
      <c r="BT110" s="435"/>
      <c r="BU110" s="1805" t="s">
        <v>676</v>
      </c>
      <c r="BV110" s="1806" t="s">
        <v>728</v>
      </c>
      <c r="BW110" s="1807" t="s">
        <v>678</v>
      </c>
      <c r="BX110" s="1808" t="s">
        <v>4964</v>
      </c>
      <c r="BY110" s="1809">
        <v>2021</v>
      </c>
      <c r="BZ110" s="424"/>
      <c r="CA110" s="424"/>
      <c r="CB110" s="430"/>
      <c r="CC110" s="431"/>
      <c r="CD110" s="432">
        <v>2024</v>
      </c>
      <c r="CE110" s="425"/>
      <c r="CF110" s="433"/>
      <c r="CG110" s="425"/>
      <c r="CH110" s="433"/>
      <c r="CI110" s="434"/>
      <c r="CJ110" s="431"/>
      <c r="CK110" s="435"/>
      <c r="CL110" s="432">
        <v>2022</v>
      </c>
      <c r="CM110" s="425">
        <v>0</v>
      </c>
      <c r="CN110" s="433"/>
      <c r="CO110" s="425">
        <v>0</v>
      </c>
      <c r="CP110" s="433"/>
      <c r="CQ110" s="434"/>
      <c r="CR110" s="431"/>
      <c r="CS110" s="435">
        <v>0</v>
      </c>
      <c r="CT110" s="432">
        <v>2023</v>
      </c>
      <c r="CU110" s="425"/>
      <c r="CV110" s="433"/>
      <c r="CW110" s="425"/>
      <c r="CX110" s="433"/>
      <c r="CY110" s="434"/>
      <c r="CZ110" s="431"/>
      <c r="DA110" s="435"/>
      <c r="DB110" s="432">
        <v>2024</v>
      </c>
      <c r="DC110" s="425"/>
      <c r="DD110" s="433"/>
      <c r="DE110" s="425"/>
      <c r="DF110" s="433"/>
      <c r="DG110" s="434"/>
      <c r="DH110" s="431"/>
      <c r="DI110" s="435"/>
      <c r="DJ110" s="1805"/>
      <c r="DK110" s="1806"/>
      <c r="DL110" s="1807"/>
      <c r="DM110" s="1808"/>
      <c r="DN110" s="1810">
        <v>0</v>
      </c>
      <c r="DO110" s="1799">
        <v>1</v>
      </c>
      <c r="DP110" s="1800">
        <v>0</v>
      </c>
      <c r="DQ110" s="1799">
        <v>0</v>
      </c>
      <c r="DR110" s="1800">
        <v>0</v>
      </c>
      <c r="DS110" s="1799">
        <v>0</v>
      </c>
    </row>
    <row r="111" spans="1:123" ht="135">
      <c r="A111" s="1801" t="s">
        <v>1446</v>
      </c>
      <c r="B111" s="1788" t="s">
        <v>1447</v>
      </c>
      <c r="C111" s="426">
        <v>2022</v>
      </c>
      <c r="D111" s="417" t="s">
        <v>681</v>
      </c>
      <c r="E111" s="1802">
        <v>1081157</v>
      </c>
      <c r="F111" s="1803" t="s">
        <v>1447</v>
      </c>
      <c r="G111" s="419">
        <v>45120</v>
      </c>
      <c r="H111" s="1790" t="s">
        <v>1448</v>
      </c>
      <c r="I111" s="1791" t="s">
        <v>1447</v>
      </c>
      <c r="J111" s="1793" t="s">
        <v>1449</v>
      </c>
      <c r="K111" s="1788" t="s">
        <v>1447</v>
      </c>
      <c r="L111" s="1791" t="s">
        <v>1449</v>
      </c>
      <c r="M111" s="1793" t="s">
        <v>1448</v>
      </c>
      <c r="N111" s="1790" t="s">
        <v>93</v>
      </c>
      <c r="O111" s="1793" t="s">
        <v>94</v>
      </c>
      <c r="P111" s="420" t="s">
        <v>683</v>
      </c>
      <c r="Q111" s="421"/>
      <c r="R111" s="421"/>
      <c r="S111" s="422"/>
      <c r="T111" s="1794"/>
      <c r="U111" s="423">
        <v>4334.7353999999996</v>
      </c>
      <c r="V111" s="424">
        <v>3</v>
      </c>
      <c r="W111" s="424">
        <v>1</v>
      </c>
      <c r="X111" s="425"/>
      <c r="Y111" s="426">
        <v>2022</v>
      </c>
      <c r="Z111" s="417">
        <v>2024</v>
      </c>
      <c r="AA111" s="1804">
        <v>2022</v>
      </c>
      <c r="AB111" s="427" t="s">
        <v>5863</v>
      </c>
      <c r="AC111" s="1793" t="s">
        <v>1450</v>
      </c>
      <c r="AD111" s="428"/>
      <c r="AE111" s="1791"/>
      <c r="AF111" s="1791"/>
      <c r="AG111" s="1793"/>
      <c r="AH111" s="428"/>
      <c r="AI111" s="1793"/>
      <c r="AJ111" s="429">
        <v>2021</v>
      </c>
      <c r="AK111" s="424">
        <v>7667</v>
      </c>
      <c r="AL111" s="424">
        <v>7606</v>
      </c>
      <c r="AM111" s="430">
        <v>36.68</v>
      </c>
      <c r="AN111" s="431" t="s">
        <v>864</v>
      </c>
      <c r="AO111" s="432">
        <v>2024</v>
      </c>
      <c r="AP111" s="425">
        <v>7644</v>
      </c>
      <c r="AQ111" s="433">
        <v>0.28999999999999998</v>
      </c>
      <c r="AR111" s="425">
        <v>7583</v>
      </c>
      <c r="AS111" s="433">
        <v>0.3</v>
      </c>
      <c r="AT111" s="434">
        <v>36.57</v>
      </c>
      <c r="AU111" s="431" t="s">
        <v>864</v>
      </c>
      <c r="AV111" s="435">
        <v>0.28999999999999998</v>
      </c>
      <c r="AW111" s="432">
        <v>2022</v>
      </c>
      <c r="AX111" s="425">
        <v>7916</v>
      </c>
      <c r="AY111" s="433">
        <v>-3.25</v>
      </c>
      <c r="AZ111" s="425">
        <v>7901</v>
      </c>
      <c r="BA111" s="433">
        <v>-3.88</v>
      </c>
      <c r="BB111" s="434">
        <v>37.867263664456623</v>
      </c>
      <c r="BC111" s="431" t="s">
        <v>864</v>
      </c>
      <c r="BD111" s="435">
        <v>-3.24</v>
      </c>
      <c r="BE111" s="432">
        <v>2023</v>
      </c>
      <c r="BF111" s="425"/>
      <c r="BG111" s="433"/>
      <c r="BH111" s="425"/>
      <c r="BI111" s="433"/>
      <c r="BJ111" s="434"/>
      <c r="BK111" s="431"/>
      <c r="BL111" s="435"/>
      <c r="BM111" s="432">
        <v>2024</v>
      </c>
      <c r="BN111" s="425"/>
      <c r="BO111" s="433"/>
      <c r="BP111" s="425"/>
      <c r="BQ111" s="433"/>
      <c r="BR111" s="434"/>
      <c r="BS111" s="431"/>
      <c r="BT111" s="435"/>
      <c r="BU111" s="1805" t="s">
        <v>676</v>
      </c>
      <c r="BV111" s="1806" t="s">
        <v>728</v>
      </c>
      <c r="BW111" s="1807" t="s">
        <v>678</v>
      </c>
      <c r="BX111" s="1808" t="s">
        <v>4965</v>
      </c>
      <c r="BY111" s="1809">
        <v>2021</v>
      </c>
      <c r="BZ111" s="424"/>
      <c r="CA111" s="424"/>
      <c r="CB111" s="430"/>
      <c r="CC111" s="431"/>
      <c r="CD111" s="432">
        <v>2024</v>
      </c>
      <c r="CE111" s="425"/>
      <c r="CF111" s="433"/>
      <c r="CG111" s="425"/>
      <c r="CH111" s="433"/>
      <c r="CI111" s="434"/>
      <c r="CJ111" s="431"/>
      <c r="CK111" s="435"/>
      <c r="CL111" s="432">
        <v>2022</v>
      </c>
      <c r="CM111" s="425">
        <v>0</v>
      </c>
      <c r="CN111" s="433"/>
      <c r="CO111" s="425">
        <v>0</v>
      </c>
      <c r="CP111" s="433"/>
      <c r="CQ111" s="434"/>
      <c r="CR111" s="431"/>
      <c r="CS111" s="435">
        <v>0</v>
      </c>
      <c r="CT111" s="432">
        <v>2023</v>
      </c>
      <c r="CU111" s="425"/>
      <c r="CV111" s="433"/>
      <c r="CW111" s="425"/>
      <c r="CX111" s="433"/>
      <c r="CY111" s="434"/>
      <c r="CZ111" s="431"/>
      <c r="DA111" s="435"/>
      <c r="DB111" s="432">
        <v>2024</v>
      </c>
      <c r="DC111" s="425"/>
      <c r="DD111" s="433"/>
      <c r="DE111" s="425"/>
      <c r="DF111" s="433"/>
      <c r="DG111" s="434"/>
      <c r="DH111" s="431"/>
      <c r="DI111" s="435"/>
      <c r="DJ111" s="1805"/>
      <c r="DK111" s="1806"/>
      <c r="DL111" s="1807"/>
      <c r="DM111" s="1808"/>
      <c r="DN111" s="1810">
        <v>0</v>
      </c>
      <c r="DO111" s="1799">
        <v>0</v>
      </c>
      <c r="DP111" s="1800">
        <v>0</v>
      </c>
      <c r="DQ111" s="1799">
        <v>0</v>
      </c>
      <c r="DR111" s="1800">
        <v>0</v>
      </c>
      <c r="DS111" s="1799">
        <v>1</v>
      </c>
    </row>
    <row r="112" spans="1:123" ht="94.5">
      <c r="A112" s="1801" t="s">
        <v>1451</v>
      </c>
      <c r="B112" s="1788" t="s">
        <v>1452</v>
      </c>
      <c r="C112" s="426">
        <v>2022</v>
      </c>
      <c r="D112" s="417" t="s">
        <v>681</v>
      </c>
      <c r="E112" s="1802">
        <v>1069159</v>
      </c>
      <c r="F112" s="1803" t="s">
        <v>1452</v>
      </c>
      <c r="G112" s="419">
        <v>45138</v>
      </c>
      <c r="H112" s="1790" t="s">
        <v>4966</v>
      </c>
      <c r="I112" s="1791" t="s">
        <v>1452</v>
      </c>
      <c r="J112" s="1793" t="s">
        <v>4967</v>
      </c>
      <c r="K112" s="1788" t="s">
        <v>1452</v>
      </c>
      <c r="L112" s="1791" t="s">
        <v>4967</v>
      </c>
      <c r="M112" s="1793" t="s">
        <v>4966</v>
      </c>
      <c r="N112" s="1790" t="s">
        <v>77</v>
      </c>
      <c r="O112" s="1793" t="s">
        <v>79</v>
      </c>
      <c r="P112" s="420" t="s">
        <v>683</v>
      </c>
      <c r="Q112" s="421"/>
      <c r="R112" s="421"/>
      <c r="S112" s="422"/>
      <c r="T112" s="1794"/>
      <c r="U112" s="423">
        <v>2065.0578</v>
      </c>
      <c r="V112" s="424">
        <v>2</v>
      </c>
      <c r="W112" s="424">
        <v>1</v>
      </c>
      <c r="X112" s="425"/>
      <c r="Y112" s="426">
        <v>2022</v>
      </c>
      <c r="Z112" s="417">
        <v>2024</v>
      </c>
      <c r="AA112" s="1804">
        <v>2022</v>
      </c>
      <c r="AB112" s="427"/>
      <c r="AC112" s="1793"/>
      <c r="AD112" s="428" t="s">
        <v>5863</v>
      </c>
      <c r="AE112" s="1791" t="s">
        <v>1453</v>
      </c>
      <c r="AF112" s="1791" t="s">
        <v>1454</v>
      </c>
      <c r="AG112" s="1793" t="s">
        <v>1455</v>
      </c>
      <c r="AH112" s="428"/>
      <c r="AI112" s="1793"/>
      <c r="AJ112" s="429">
        <v>2021</v>
      </c>
      <c r="AK112" s="424">
        <v>3913</v>
      </c>
      <c r="AL112" s="424">
        <v>3883</v>
      </c>
      <c r="AM112" s="430"/>
      <c r="AN112" s="431"/>
      <c r="AO112" s="432">
        <v>2024</v>
      </c>
      <c r="AP112" s="425">
        <v>3900</v>
      </c>
      <c r="AQ112" s="433">
        <v>0.33</v>
      </c>
      <c r="AR112" s="425">
        <v>3800</v>
      </c>
      <c r="AS112" s="433">
        <v>2.13</v>
      </c>
      <c r="AT112" s="434"/>
      <c r="AU112" s="431"/>
      <c r="AV112" s="435"/>
      <c r="AW112" s="432">
        <v>2022</v>
      </c>
      <c r="AX112" s="425">
        <v>3831</v>
      </c>
      <c r="AY112" s="433">
        <v>2.09</v>
      </c>
      <c r="AZ112" s="425">
        <v>3825</v>
      </c>
      <c r="BA112" s="433">
        <v>1.49</v>
      </c>
      <c r="BB112" s="434"/>
      <c r="BC112" s="431"/>
      <c r="BD112" s="435"/>
      <c r="BE112" s="432">
        <v>2023</v>
      </c>
      <c r="BF112" s="425"/>
      <c r="BG112" s="433"/>
      <c r="BH112" s="425"/>
      <c r="BI112" s="433"/>
      <c r="BJ112" s="434"/>
      <c r="BK112" s="431"/>
      <c r="BL112" s="435"/>
      <c r="BM112" s="432">
        <v>2024</v>
      </c>
      <c r="BN112" s="425"/>
      <c r="BO112" s="433"/>
      <c r="BP112" s="425"/>
      <c r="BQ112" s="433"/>
      <c r="BR112" s="434"/>
      <c r="BS112" s="431"/>
      <c r="BT112" s="435"/>
      <c r="BU112" s="1805" t="s">
        <v>719</v>
      </c>
      <c r="BV112" s="1806" t="s">
        <v>728</v>
      </c>
      <c r="BW112" s="1807" t="s">
        <v>688</v>
      </c>
      <c r="BX112" s="1808" t="s">
        <v>4968</v>
      </c>
      <c r="BY112" s="1809">
        <v>2021</v>
      </c>
      <c r="BZ112" s="424"/>
      <c r="CA112" s="424"/>
      <c r="CB112" s="430"/>
      <c r="CC112" s="431"/>
      <c r="CD112" s="432">
        <v>2024</v>
      </c>
      <c r="CE112" s="425"/>
      <c r="CF112" s="433"/>
      <c r="CG112" s="425"/>
      <c r="CH112" s="433"/>
      <c r="CI112" s="434"/>
      <c r="CJ112" s="431"/>
      <c r="CK112" s="435"/>
      <c r="CL112" s="432">
        <v>2022</v>
      </c>
      <c r="CM112" s="425">
        <v>0</v>
      </c>
      <c r="CN112" s="433"/>
      <c r="CO112" s="425">
        <v>0</v>
      </c>
      <c r="CP112" s="433"/>
      <c r="CQ112" s="434"/>
      <c r="CR112" s="431"/>
      <c r="CS112" s="435">
        <v>0</v>
      </c>
      <c r="CT112" s="432">
        <v>2023</v>
      </c>
      <c r="CU112" s="425"/>
      <c r="CV112" s="433"/>
      <c r="CW112" s="425"/>
      <c r="CX112" s="433"/>
      <c r="CY112" s="434"/>
      <c r="CZ112" s="431"/>
      <c r="DA112" s="435"/>
      <c r="DB112" s="432">
        <v>2024</v>
      </c>
      <c r="DC112" s="425"/>
      <c r="DD112" s="433"/>
      <c r="DE112" s="425"/>
      <c r="DF112" s="433"/>
      <c r="DG112" s="434"/>
      <c r="DH112" s="431"/>
      <c r="DI112" s="435"/>
      <c r="DJ112" s="1805"/>
      <c r="DK112" s="1806"/>
      <c r="DL112" s="1807"/>
      <c r="DM112" s="1808"/>
      <c r="DN112" s="1810">
        <v>0</v>
      </c>
      <c r="DO112" s="1799">
        <v>0</v>
      </c>
      <c r="DP112" s="1800">
        <v>0</v>
      </c>
      <c r="DQ112" s="1799">
        <v>0</v>
      </c>
      <c r="DR112" s="1800">
        <v>0</v>
      </c>
      <c r="DS112" s="1799">
        <v>0</v>
      </c>
    </row>
    <row r="113" spans="1:123" ht="94.5">
      <c r="A113" s="1801" t="s">
        <v>1456</v>
      </c>
      <c r="B113" s="1788" t="s">
        <v>1457</v>
      </c>
      <c r="C113" s="426">
        <v>2022</v>
      </c>
      <c r="D113" s="417" t="s">
        <v>681</v>
      </c>
      <c r="E113" s="1802">
        <v>1039160</v>
      </c>
      <c r="F113" s="1803" t="s">
        <v>1457</v>
      </c>
      <c r="G113" s="419">
        <v>45138</v>
      </c>
      <c r="H113" s="1790" t="s">
        <v>1458</v>
      </c>
      <c r="I113" s="1791" t="s">
        <v>1457</v>
      </c>
      <c r="J113" s="1793" t="s">
        <v>1459</v>
      </c>
      <c r="K113" s="1788" t="s">
        <v>1457</v>
      </c>
      <c r="L113" s="1791" t="s">
        <v>1459</v>
      </c>
      <c r="M113" s="1793" t="s">
        <v>1458</v>
      </c>
      <c r="N113" s="1790" t="s">
        <v>42</v>
      </c>
      <c r="O113" s="1793" t="s">
        <v>45</v>
      </c>
      <c r="P113" s="420" t="s">
        <v>683</v>
      </c>
      <c r="Q113" s="421"/>
      <c r="R113" s="421"/>
      <c r="S113" s="422"/>
      <c r="T113" s="1794"/>
      <c r="U113" s="423">
        <v>3986.3322000000003</v>
      </c>
      <c r="V113" s="424">
        <v>2</v>
      </c>
      <c r="W113" s="424">
        <v>1</v>
      </c>
      <c r="X113" s="425"/>
      <c r="Y113" s="426">
        <v>2022</v>
      </c>
      <c r="Z113" s="417">
        <v>2024</v>
      </c>
      <c r="AA113" s="1804">
        <v>2022</v>
      </c>
      <c r="AB113" s="427"/>
      <c r="AC113" s="1793"/>
      <c r="AD113" s="428" t="s">
        <v>5863</v>
      </c>
      <c r="AE113" s="1791" t="s">
        <v>1453</v>
      </c>
      <c r="AF113" s="1791" t="s">
        <v>1454</v>
      </c>
      <c r="AG113" s="1793" t="s">
        <v>1460</v>
      </c>
      <c r="AH113" s="428"/>
      <c r="AI113" s="1793"/>
      <c r="AJ113" s="429">
        <v>2021</v>
      </c>
      <c r="AK113" s="424">
        <v>7012</v>
      </c>
      <c r="AL113" s="424">
        <v>6952</v>
      </c>
      <c r="AM113" s="430"/>
      <c r="AN113" s="431"/>
      <c r="AO113" s="432">
        <v>2024</v>
      </c>
      <c r="AP113" s="425">
        <v>6500</v>
      </c>
      <c r="AQ113" s="433">
        <v>7.3</v>
      </c>
      <c r="AR113" s="425">
        <v>6500</v>
      </c>
      <c r="AS113" s="433">
        <v>6.5</v>
      </c>
      <c r="AT113" s="434"/>
      <c r="AU113" s="431"/>
      <c r="AV113" s="435"/>
      <c r="AW113" s="432">
        <v>2022</v>
      </c>
      <c r="AX113" s="425">
        <v>7376</v>
      </c>
      <c r="AY113" s="433">
        <v>-5.2</v>
      </c>
      <c r="AZ113" s="425">
        <v>7361</v>
      </c>
      <c r="BA113" s="433">
        <v>-5.89</v>
      </c>
      <c r="BB113" s="434"/>
      <c r="BC113" s="431"/>
      <c r="BD113" s="435"/>
      <c r="BE113" s="432">
        <v>2023</v>
      </c>
      <c r="BF113" s="425"/>
      <c r="BG113" s="433"/>
      <c r="BH113" s="425"/>
      <c r="BI113" s="433"/>
      <c r="BJ113" s="434"/>
      <c r="BK113" s="431"/>
      <c r="BL113" s="435"/>
      <c r="BM113" s="432">
        <v>2024</v>
      </c>
      <c r="BN113" s="425"/>
      <c r="BO113" s="433"/>
      <c r="BP113" s="425"/>
      <c r="BQ113" s="433"/>
      <c r="BR113" s="434"/>
      <c r="BS113" s="431"/>
      <c r="BT113" s="435"/>
      <c r="BU113" s="1805" t="s">
        <v>676</v>
      </c>
      <c r="BV113" s="1806" t="s">
        <v>728</v>
      </c>
      <c r="BW113" s="1807" t="s">
        <v>688</v>
      </c>
      <c r="BX113" s="1808" t="s">
        <v>4969</v>
      </c>
      <c r="BY113" s="1809">
        <v>2021</v>
      </c>
      <c r="BZ113" s="424"/>
      <c r="CA113" s="424"/>
      <c r="CB113" s="430"/>
      <c r="CC113" s="431"/>
      <c r="CD113" s="432">
        <v>2024</v>
      </c>
      <c r="CE113" s="425"/>
      <c r="CF113" s="433"/>
      <c r="CG113" s="425"/>
      <c r="CH113" s="433"/>
      <c r="CI113" s="434"/>
      <c r="CJ113" s="431"/>
      <c r="CK113" s="435"/>
      <c r="CL113" s="432">
        <v>2022</v>
      </c>
      <c r="CM113" s="425">
        <v>0</v>
      </c>
      <c r="CN113" s="433"/>
      <c r="CO113" s="425">
        <v>0</v>
      </c>
      <c r="CP113" s="433"/>
      <c r="CQ113" s="434"/>
      <c r="CR113" s="431"/>
      <c r="CS113" s="435">
        <v>0</v>
      </c>
      <c r="CT113" s="432">
        <v>2023</v>
      </c>
      <c r="CU113" s="425"/>
      <c r="CV113" s="433"/>
      <c r="CW113" s="425"/>
      <c r="CX113" s="433"/>
      <c r="CY113" s="434"/>
      <c r="CZ113" s="431"/>
      <c r="DA113" s="435"/>
      <c r="DB113" s="432">
        <v>2024</v>
      </c>
      <c r="DC113" s="425"/>
      <c r="DD113" s="433"/>
      <c r="DE113" s="425"/>
      <c r="DF113" s="433"/>
      <c r="DG113" s="434"/>
      <c r="DH113" s="431"/>
      <c r="DI113" s="435"/>
      <c r="DJ113" s="1805"/>
      <c r="DK113" s="1806"/>
      <c r="DL113" s="1807"/>
      <c r="DM113" s="1808"/>
      <c r="DN113" s="1810">
        <v>0</v>
      </c>
      <c r="DO113" s="1799">
        <v>0</v>
      </c>
      <c r="DP113" s="1800">
        <v>0</v>
      </c>
      <c r="DQ113" s="1799">
        <v>0</v>
      </c>
      <c r="DR113" s="1800">
        <v>0</v>
      </c>
      <c r="DS113" s="1799">
        <v>0</v>
      </c>
    </row>
    <row r="114" spans="1:123" ht="121.5">
      <c r="A114" s="1801" t="s">
        <v>1461</v>
      </c>
      <c r="B114" s="1788" t="s">
        <v>1462</v>
      </c>
      <c r="C114" s="426">
        <v>2022</v>
      </c>
      <c r="D114" s="417" t="s">
        <v>1463</v>
      </c>
      <c r="E114" s="1802">
        <v>2050161</v>
      </c>
      <c r="F114" s="1803" t="s">
        <v>1462</v>
      </c>
      <c r="G114" s="419">
        <v>45107</v>
      </c>
      <c r="H114" s="1790" t="s">
        <v>1464</v>
      </c>
      <c r="I114" s="1791" t="s">
        <v>1462</v>
      </c>
      <c r="J114" s="1793" t="s">
        <v>1465</v>
      </c>
      <c r="K114" s="1788" t="s">
        <v>1462</v>
      </c>
      <c r="L114" s="1791" t="s">
        <v>1465</v>
      </c>
      <c r="M114" s="1793" t="s">
        <v>1466</v>
      </c>
      <c r="N114" s="1790" t="s">
        <v>57</v>
      </c>
      <c r="O114" s="1793" t="s">
        <v>64</v>
      </c>
      <c r="P114" s="420"/>
      <c r="Q114" s="421" t="s">
        <v>5862</v>
      </c>
      <c r="R114" s="421" t="s">
        <v>717</v>
      </c>
      <c r="S114" s="422"/>
      <c r="T114" s="1794"/>
      <c r="U114" s="423">
        <v>5617.7951999999996</v>
      </c>
      <c r="V114" s="424">
        <v>51</v>
      </c>
      <c r="W114" s="424">
        <v>1</v>
      </c>
      <c r="X114" s="425">
        <v>127</v>
      </c>
      <c r="Y114" s="426">
        <v>2022</v>
      </c>
      <c r="Z114" s="417">
        <v>2024</v>
      </c>
      <c r="AA114" s="1804">
        <v>2022</v>
      </c>
      <c r="AB114" s="427"/>
      <c r="AC114" s="1793"/>
      <c r="AD114" s="428" t="s">
        <v>5863</v>
      </c>
      <c r="AE114" s="1791" t="s">
        <v>4970</v>
      </c>
      <c r="AF114" s="1791" t="s">
        <v>1466</v>
      </c>
      <c r="AG114" s="1793" t="s">
        <v>1467</v>
      </c>
      <c r="AH114" s="428"/>
      <c r="AI114" s="1793"/>
      <c r="AJ114" s="429">
        <v>2021</v>
      </c>
      <c r="AK114" s="424">
        <v>10220</v>
      </c>
      <c r="AL114" s="424">
        <v>10041</v>
      </c>
      <c r="AM114" s="430">
        <v>134.19999999999999</v>
      </c>
      <c r="AN114" s="431" t="s">
        <v>727</v>
      </c>
      <c r="AO114" s="432">
        <v>2024</v>
      </c>
      <c r="AP114" s="425">
        <v>9913</v>
      </c>
      <c r="AQ114" s="433">
        <v>3</v>
      </c>
      <c r="AR114" s="425">
        <v>9739</v>
      </c>
      <c r="AS114" s="433">
        <v>3</v>
      </c>
      <c r="AT114" s="434">
        <v>130.16999999999999</v>
      </c>
      <c r="AU114" s="431" t="s">
        <v>727</v>
      </c>
      <c r="AV114" s="435">
        <v>3</v>
      </c>
      <c r="AW114" s="432">
        <v>2022</v>
      </c>
      <c r="AX114" s="425">
        <v>10053</v>
      </c>
      <c r="AY114" s="433">
        <v>1.63</v>
      </c>
      <c r="AZ114" s="425">
        <v>9866</v>
      </c>
      <c r="BA114" s="433">
        <v>1.74</v>
      </c>
      <c r="BB114" s="434">
        <v>134.04</v>
      </c>
      <c r="BC114" s="431" t="s">
        <v>727</v>
      </c>
      <c r="BD114" s="435">
        <v>0.11</v>
      </c>
      <c r="BE114" s="432">
        <v>2023</v>
      </c>
      <c r="BF114" s="425"/>
      <c r="BG114" s="433"/>
      <c r="BH114" s="425"/>
      <c r="BI114" s="433"/>
      <c r="BJ114" s="434"/>
      <c r="BK114" s="431"/>
      <c r="BL114" s="435"/>
      <c r="BM114" s="432">
        <v>2024</v>
      </c>
      <c r="BN114" s="425"/>
      <c r="BO114" s="433"/>
      <c r="BP114" s="425"/>
      <c r="BQ114" s="433"/>
      <c r="BR114" s="434"/>
      <c r="BS114" s="431"/>
      <c r="BT114" s="435"/>
      <c r="BU114" s="1805" t="s">
        <v>719</v>
      </c>
      <c r="BV114" s="1806" t="s">
        <v>728</v>
      </c>
      <c r="BW114" s="1807" t="s">
        <v>697</v>
      </c>
      <c r="BX114" s="1808" t="s">
        <v>4971</v>
      </c>
      <c r="BY114" s="1809">
        <v>2021</v>
      </c>
      <c r="BZ114" s="424">
        <v>349</v>
      </c>
      <c r="CA114" s="424">
        <v>349</v>
      </c>
      <c r="CB114" s="430">
        <v>0.36</v>
      </c>
      <c r="CC114" s="431" t="s">
        <v>1468</v>
      </c>
      <c r="CD114" s="432">
        <v>2024</v>
      </c>
      <c r="CE114" s="425">
        <v>346</v>
      </c>
      <c r="CF114" s="433">
        <v>0.85</v>
      </c>
      <c r="CG114" s="425">
        <v>346</v>
      </c>
      <c r="CH114" s="433">
        <v>0.85</v>
      </c>
      <c r="CI114" s="434">
        <v>0.35699999999999998</v>
      </c>
      <c r="CJ114" s="431" t="s">
        <v>1468</v>
      </c>
      <c r="CK114" s="435">
        <v>0.83</v>
      </c>
      <c r="CL114" s="432">
        <v>2022</v>
      </c>
      <c r="CM114" s="425">
        <v>335.76731999999998</v>
      </c>
      <c r="CN114" s="433">
        <v>3.79</v>
      </c>
      <c r="CO114" s="425">
        <v>335.76731999999998</v>
      </c>
      <c r="CP114" s="433">
        <v>3.79</v>
      </c>
      <c r="CQ114" s="434">
        <v>0.37452629747287264</v>
      </c>
      <c r="CR114" s="431" t="s">
        <v>1468</v>
      </c>
      <c r="CS114" s="435">
        <v>-4.04</v>
      </c>
      <c r="CT114" s="432">
        <v>2023</v>
      </c>
      <c r="CU114" s="425"/>
      <c r="CV114" s="433"/>
      <c r="CW114" s="425"/>
      <c r="CX114" s="433"/>
      <c r="CY114" s="434"/>
      <c r="CZ114" s="431"/>
      <c r="DA114" s="435"/>
      <c r="DB114" s="432">
        <v>2024</v>
      </c>
      <c r="DC114" s="425"/>
      <c r="DD114" s="433"/>
      <c r="DE114" s="425"/>
      <c r="DF114" s="433"/>
      <c r="DG114" s="434"/>
      <c r="DH114" s="431"/>
      <c r="DI114" s="435"/>
      <c r="DJ114" s="1805" t="s">
        <v>687</v>
      </c>
      <c r="DK114" s="1806" t="s">
        <v>728</v>
      </c>
      <c r="DL114" s="1807" t="s">
        <v>697</v>
      </c>
      <c r="DM114" s="1808" t="s">
        <v>4972</v>
      </c>
      <c r="DN114" s="1810">
        <v>0</v>
      </c>
      <c r="DO114" s="1799">
        <v>0</v>
      </c>
      <c r="DP114" s="1800">
        <v>0</v>
      </c>
      <c r="DQ114" s="1799">
        <v>0</v>
      </c>
      <c r="DR114" s="1800">
        <v>0</v>
      </c>
      <c r="DS114" s="1799">
        <v>0</v>
      </c>
    </row>
    <row r="115" spans="1:123" ht="108">
      <c r="A115" s="1801" t="s">
        <v>1469</v>
      </c>
      <c r="B115" s="1788" t="s">
        <v>1470</v>
      </c>
      <c r="C115" s="426">
        <v>2022</v>
      </c>
      <c r="D115" s="417" t="s">
        <v>891</v>
      </c>
      <c r="E115" s="1802">
        <v>1343163</v>
      </c>
      <c r="F115" s="1803" t="s">
        <v>1470</v>
      </c>
      <c r="G115" s="419">
        <v>45135</v>
      </c>
      <c r="H115" s="1790" t="s">
        <v>1471</v>
      </c>
      <c r="I115" s="1791" t="s">
        <v>1470</v>
      </c>
      <c r="J115" s="1793" t="s">
        <v>1472</v>
      </c>
      <c r="K115" s="1788" t="s">
        <v>1470</v>
      </c>
      <c r="L115" s="1791" t="s">
        <v>1473</v>
      </c>
      <c r="M115" s="1793" t="s">
        <v>1471</v>
      </c>
      <c r="N115" s="1790" t="s">
        <v>48</v>
      </c>
      <c r="O115" s="1793" t="s">
        <v>50</v>
      </c>
      <c r="P115" s="420" t="s">
        <v>683</v>
      </c>
      <c r="Q115" s="421"/>
      <c r="R115" s="421" t="s">
        <v>717</v>
      </c>
      <c r="S115" s="422"/>
      <c r="T115" s="1794"/>
      <c r="U115" s="423">
        <v>1516.1886</v>
      </c>
      <c r="V115" s="424">
        <v>27</v>
      </c>
      <c r="W115" s="424">
        <v>0</v>
      </c>
      <c r="X115" s="425">
        <v>862</v>
      </c>
      <c r="Y115" s="426">
        <v>2022</v>
      </c>
      <c r="Z115" s="417">
        <v>2024</v>
      </c>
      <c r="AA115" s="1804">
        <v>2022</v>
      </c>
      <c r="AB115" s="427" t="s">
        <v>5863</v>
      </c>
      <c r="AC115" s="1793" t="s">
        <v>1474</v>
      </c>
      <c r="AD115" s="428"/>
      <c r="AE115" s="1791"/>
      <c r="AF115" s="1791"/>
      <c r="AG115" s="1793"/>
      <c r="AH115" s="428"/>
      <c r="AI115" s="1793"/>
      <c r="AJ115" s="429">
        <v>2021</v>
      </c>
      <c r="AK115" s="424">
        <v>2503.5879780599998</v>
      </c>
      <c r="AL115" s="424">
        <v>2999.5934191400011</v>
      </c>
      <c r="AM115" s="430"/>
      <c r="AN115" s="431"/>
      <c r="AO115" s="432">
        <v>2024</v>
      </c>
      <c r="AP115" s="425">
        <v>2430</v>
      </c>
      <c r="AQ115" s="433">
        <v>2.93</v>
      </c>
      <c r="AR115" s="425">
        <v>2913</v>
      </c>
      <c r="AS115" s="433">
        <v>2.88</v>
      </c>
      <c r="AT115" s="434"/>
      <c r="AU115" s="431"/>
      <c r="AV115" s="435"/>
      <c r="AW115" s="432">
        <v>2022</v>
      </c>
      <c r="AX115" s="425">
        <v>2689</v>
      </c>
      <c r="AY115" s="433">
        <v>-7.41</v>
      </c>
      <c r="AZ115" s="425">
        <v>2880</v>
      </c>
      <c r="BA115" s="433">
        <v>3.98</v>
      </c>
      <c r="BB115" s="434"/>
      <c r="BC115" s="431"/>
      <c r="BD115" s="435"/>
      <c r="BE115" s="432">
        <v>2023</v>
      </c>
      <c r="BF115" s="425"/>
      <c r="BG115" s="433"/>
      <c r="BH115" s="425"/>
      <c r="BI115" s="433"/>
      <c r="BJ115" s="434"/>
      <c r="BK115" s="431"/>
      <c r="BL115" s="435"/>
      <c r="BM115" s="432">
        <v>2024</v>
      </c>
      <c r="BN115" s="425"/>
      <c r="BO115" s="433"/>
      <c r="BP115" s="425"/>
      <c r="BQ115" s="433"/>
      <c r="BR115" s="434"/>
      <c r="BS115" s="431"/>
      <c r="BT115" s="435"/>
      <c r="BU115" s="1805" t="s">
        <v>676</v>
      </c>
      <c r="BV115" s="1806" t="s">
        <v>728</v>
      </c>
      <c r="BW115" s="1807" t="s">
        <v>688</v>
      </c>
      <c r="BX115" s="1808"/>
      <c r="BY115" s="1809">
        <v>2021</v>
      </c>
      <c r="BZ115" s="424">
        <v>26805</v>
      </c>
      <c r="CA115" s="424">
        <v>26805</v>
      </c>
      <c r="CB115" s="430"/>
      <c r="CC115" s="431"/>
      <c r="CD115" s="432">
        <v>2024</v>
      </c>
      <c r="CE115" s="425">
        <v>26009</v>
      </c>
      <c r="CF115" s="433">
        <v>2.96</v>
      </c>
      <c r="CG115" s="425">
        <v>26000</v>
      </c>
      <c r="CH115" s="433">
        <v>3</v>
      </c>
      <c r="CI115" s="434"/>
      <c r="CJ115" s="431"/>
      <c r="CK115" s="435"/>
      <c r="CL115" s="432">
        <v>2022</v>
      </c>
      <c r="CM115" s="425">
        <v>27475.135309999998</v>
      </c>
      <c r="CN115" s="433">
        <v>-2.5099999999999998</v>
      </c>
      <c r="CO115" s="425">
        <v>27407.135309999998</v>
      </c>
      <c r="CP115" s="433">
        <v>-2.25</v>
      </c>
      <c r="CQ115" s="434"/>
      <c r="CR115" s="431"/>
      <c r="CS115" s="435"/>
      <c r="CT115" s="432">
        <v>2023</v>
      </c>
      <c r="CU115" s="425"/>
      <c r="CV115" s="433"/>
      <c r="CW115" s="425"/>
      <c r="CX115" s="433"/>
      <c r="CY115" s="434"/>
      <c r="CZ115" s="431"/>
      <c r="DA115" s="435"/>
      <c r="DB115" s="432">
        <v>2024</v>
      </c>
      <c r="DC115" s="425"/>
      <c r="DD115" s="433"/>
      <c r="DE115" s="425"/>
      <c r="DF115" s="433"/>
      <c r="DG115" s="434"/>
      <c r="DH115" s="431"/>
      <c r="DI115" s="435"/>
      <c r="DJ115" s="1805" t="s">
        <v>676</v>
      </c>
      <c r="DK115" s="1806" t="s">
        <v>728</v>
      </c>
      <c r="DL115" s="1807" t="s">
        <v>688</v>
      </c>
      <c r="DM115" s="1808"/>
      <c r="DN115" s="1810">
        <v>0</v>
      </c>
      <c r="DO115" s="1799">
        <v>0</v>
      </c>
      <c r="DP115" s="1800">
        <v>0</v>
      </c>
      <c r="DQ115" s="1799">
        <v>0</v>
      </c>
      <c r="DR115" s="1800">
        <v>2</v>
      </c>
      <c r="DS115" s="1799">
        <v>3</v>
      </c>
    </row>
    <row r="116" spans="1:123" ht="94.5">
      <c r="A116" s="1801" t="s">
        <v>1475</v>
      </c>
      <c r="B116" s="1788" t="s">
        <v>1476</v>
      </c>
      <c r="C116" s="426">
        <v>2022</v>
      </c>
      <c r="D116" s="417" t="s">
        <v>681</v>
      </c>
      <c r="E116" s="1802">
        <v>1056164</v>
      </c>
      <c r="F116" s="1803" t="s">
        <v>1476</v>
      </c>
      <c r="G116" s="419">
        <v>45126</v>
      </c>
      <c r="H116" s="1790" t="s">
        <v>1477</v>
      </c>
      <c r="I116" s="1791" t="s">
        <v>1476</v>
      </c>
      <c r="J116" s="1793" t="s">
        <v>1478</v>
      </c>
      <c r="K116" s="1788" t="s">
        <v>1476</v>
      </c>
      <c r="L116" s="1791" t="s">
        <v>1478</v>
      </c>
      <c r="M116" s="1793" t="s">
        <v>1479</v>
      </c>
      <c r="N116" s="1790" t="s">
        <v>77</v>
      </c>
      <c r="O116" s="1793" t="s">
        <v>79</v>
      </c>
      <c r="P116" s="420" t="s">
        <v>683</v>
      </c>
      <c r="Q116" s="421"/>
      <c r="R116" s="421"/>
      <c r="S116" s="422"/>
      <c r="T116" s="1794"/>
      <c r="U116" s="423">
        <v>2068.1280000000002</v>
      </c>
      <c r="V116" s="424">
        <v>1</v>
      </c>
      <c r="W116" s="424">
        <v>1</v>
      </c>
      <c r="X116" s="425"/>
      <c r="Y116" s="426">
        <v>2022</v>
      </c>
      <c r="Z116" s="417">
        <v>2024</v>
      </c>
      <c r="AA116" s="1804">
        <v>2022</v>
      </c>
      <c r="AB116" s="427"/>
      <c r="AC116" s="1793"/>
      <c r="AD116" s="428" t="s">
        <v>5863</v>
      </c>
      <c r="AE116" s="1791" t="s">
        <v>1480</v>
      </c>
      <c r="AF116" s="1791" t="s">
        <v>1481</v>
      </c>
      <c r="AG116" s="1793" t="s">
        <v>1192</v>
      </c>
      <c r="AH116" s="428"/>
      <c r="AI116" s="1793"/>
      <c r="AJ116" s="429">
        <v>2021</v>
      </c>
      <c r="AK116" s="424">
        <v>4078</v>
      </c>
      <c r="AL116" s="424">
        <v>3718</v>
      </c>
      <c r="AM116" s="430">
        <v>28.9</v>
      </c>
      <c r="AN116" s="431" t="s">
        <v>727</v>
      </c>
      <c r="AO116" s="432">
        <v>2024</v>
      </c>
      <c r="AP116" s="425">
        <v>3955</v>
      </c>
      <c r="AQ116" s="433">
        <v>3.01</v>
      </c>
      <c r="AR116" s="425">
        <v>3606</v>
      </c>
      <c r="AS116" s="433">
        <v>3.01</v>
      </c>
      <c r="AT116" s="434">
        <v>28.02</v>
      </c>
      <c r="AU116" s="431" t="s">
        <v>727</v>
      </c>
      <c r="AV116" s="435">
        <v>3.04</v>
      </c>
      <c r="AW116" s="432">
        <v>2022</v>
      </c>
      <c r="AX116" s="425">
        <v>3974</v>
      </c>
      <c r="AY116" s="433">
        <v>2.5499999999999998</v>
      </c>
      <c r="AZ116" s="425">
        <v>453</v>
      </c>
      <c r="BA116" s="433">
        <v>87.81</v>
      </c>
      <c r="BB116" s="434">
        <v>28.159433126660762</v>
      </c>
      <c r="BC116" s="431" t="s">
        <v>727</v>
      </c>
      <c r="BD116" s="435">
        <v>2.56</v>
      </c>
      <c r="BE116" s="432">
        <v>2023</v>
      </c>
      <c r="BF116" s="425"/>
      <c r="BG116" s="433"/>
      <c r="BH116" s="425"/>
      <c r="BI116" s="433"/>
      <c r="BJ116" s="434"/>
      <c r="BK116" s="431"/>
      <c r="BL116" s="435"/>
      <c r="BM116" s="432">
        <v>2024</v>
      </c>
      <c r="BN116" s="425"/>
      <c r="BO116" s="433"/>
      <c r="BP116" s="425"/>
      <c r="BQ116" s="433"/>
      <c r="BR116" s="434"/>
      <c r="BS116" s="431"/>
      <c r="BT116" s="435"/>
      <c r="BU116" s="1805" t="s">
        <v>687</v>
      </c>
      <c r="BV116" s="1806" t="s">
        <v>677</v>
      </c>
      <c r="BW116" s="1807" t="s">
        <v>688</v>
      </c>
      <c r="BX116" s="1808" t="s">
        <v>4973</v>
      </c>
      <c r="BY116" s="1809">
        <v>2021</v>
      </c>
      <c r="BZ116" s="424"/>
      <c r="CA116" s="424"/>
      <c r="CB116" s="430"/>
      <c r="CC116" s="431"/>
      <c r="CD116" s="432">
        <v>2024</v>
      </c>
      <c r="CE116" s="425"/>
      <c r="CF116" s="433"/>
      <c r="CG116" s="425"/>
      <c r="CH116" s="433"/>
      <c r="CI116" s="434"/>
      <c r="CJ116" s="431"/>
      <c r="CK116" s="435"/>
      <c r="CL116" s="432">
        <v>2022</v>
      </c>
      <c r="CM116" s="425">
        <v>0</v>
      </c>
      <c r="CN116" s="433"/>
      <c r="CO116" s="425">
        <v>0</v>
      </c>
      <c r="CP116" s="433"/>
      <c r="CQ116" s="434"/>
      <c r="CR116" s="431"/>
      <c r="CS116" s="435">
        <v>0</v>
      </c>
      <c r="CT116" s="432">
        <v>2023</v>
      </c>
      <c r="CU116" s="425"/>
      <c r="CV116" s="433"/>
      <c r="CW116" s="425"/>
      <c r="CX116" s="433"/>
      <c r="CY116" s="434"/>
      <c r="CZ116" s="431"/>
      <c r="DA116" s="435"/>
      <c r="DB116" s="432">
        <v>2024</v>
      </c>
      <c r="DC116" s="425"/>
      <c r="DD116" s="433"/>
      <c r="DE116" s="425"/>
      <c r="DF116" s="433"/>
      <c r="DG116" s="434"/>
      <c r="DH116" s="431"/>
      <c r="DI116" s="435"/>
      <c r="DJ116" s="1805"/>
      <c r="DK116" s="1806"/>
      <c r="DL116" s="1807"/>
      <c r="DM116" s="1808"/>
      <c r="DN116" s="1810">
        <v>0</v>
      </c>
      <c r="DO116" s="1799">
        <v>0</v>
      </c>
      <c r="DP116" s="1800">
        <v>0</v>
      </c>
      <c r="DQ116" s="1799">
        <v>0</v>
      </c>
      <c r="DR116" s="1800">
        <v>0</v>
      </c>
      <c r="DS116" s="1799">
        <v>0</v>
      </c>
    </row>
    <row r="117" spans="1:123" ht="94.5">
      <c r="A117" s="1801" t="s">
        <v>1482</v>
      </c>
      <c r="B117" s="1788" t="s">
        <v>1483</v>
      </c>
      <c r="C117" s="426">
        <v>2022</v>
      </c>
      <c r="D117" s="417" t="s">
        <v>681</v>
      </c>
      <c r="E117" s="1802">
        <v>1056165</v>
      </c>
      <c r="F117" s="1803" t="s">
        <v>1483</v>
      </c>
      <c r="G117" s="419">
        <v>45133</v>
      </c>
      <c r="H117" s="1790" t="s">
        <v>1484</v>
      </c>
      <c r="I117" s="1791" t="s">
        <v>1483</v>
      </c>
      <c r="J117" s="1793" t="s">
        <v>1485</v>
      </c>
      <c r="K117" s="1788" t="s">
        <v>1483</v>
      </c>
      <c r="L117" s="1791" t="s">
        <v>1485</v>
      </c>
      <c r="M117" s="1793" t="s">
        <v>1484</v>
      </c>
      <c r="N117" s="1790" t="s">
        <v>57</v>
      </c>
      <c r="O117" s="1793" t="s">
        <v>64</v>
      </c>
      <c r="P117" s="420" t="s">
        <v>683</v>
      </c>
      <c r="Q117" s="421"/>
      <c r="R117" s="421"/>
      <c r="S117" s="422"/>
      <c r="T117" s="1794"/>
      <c r="U117" s="423">
        <v>3619.7658000000001</v>
      </c>
      <c r="V117" s="424">
        <v>5</v>
      </c>
      <c r="W117" s="424">
        <v>4</v>
      </c>
      <c r="X117" s="425"/>
      <c r="Y117" s="426">
        <v>2022</v>
      </c>
      <c r="Z117" s="417">
        <v>2024</v>
      </c>
      <c r="AA117" s="1804">
        <v>2022</v>
      </c>
      <c r="AB117" s="427"/>
      <c r="AC117" s="1793"/>
      <c r="AD117" s="428" t="s">
        <v>5863</v>
      </c>
      <c r="AE117" s="1791" t="s">
        <v>1486</v>
      </c>
      <c r="AF117" s="1791" t="s">
        <v>1487</v>
      </c>
      <c r="AG117" s="1793" t="s">
        <v>1488</v>
      </c>
      <c r="AH117" s="428"/>
      <c r="AI117" s="1793"/>
      <c r="AJ117" s="429">
        <v>2021</v>
      </c>
      <c r="AK117" s="424">
        <v>6366</v>
      </c>
      <c r="AL117" s="424">
        <v>6105</v>
      </c>
      <c r="AM117" s="430"/>
      <c r="AN117" s="431"/>
      <c r="AO117" s="432">
        <v>2024</v>
      </c>
      <c r="AP117" s="425">
        <v>6302</v>
      </c>
      <c r="AQ117" s="433">
        <v>1</v>
      </c>
      <c r="AR117" s="425">
        <v>6044</v>
      </c>
      <c r="AS117" s="433">
        <v>0.99</v>
      </c>
      <c r="AT117" s="434"/>
      <c r="AU117" s="431"/>
      <c r="AV117" s="435"/>
      <c r="AW117" s="432">
        <v>2022</v>
      </c>
      <c r="AX117" s="425">
        <v>6522</v>
      </c>
      <c r="AY117" s="433">
        <v>-2.46</v>
      </c>
      <c r="AZ117" s="425">
        <v>6533</v>
      </c>
      <c r="BA117" s="433">
        <v>-7.02</v>
      </c>
      <c r="BB117" s="434"/>
      <c r="BC117" s="431"/>
      <c r="BD117" s="435"/>
      <c r="BE117" s="432">
        <v>2023</v>
      </c>
      <c r="BF117" s="425"/>
      <c r="BG117" s="433"/>
      <c r="BH117" s="425"/>
      <c r="BI117" s="433"/>
      <c r="BJ117" s="434"/>
      <c r="BK117" s="431"/>
      <c r="BL117" s="435"/>
      <c r="BM117" s="432">
        <v>2024</v>
      </c>
      <c r="BN117" s="425"/>
      <c r="BO117" s="433"/>
      <c r="BP117" s="425"/>
      <c r="BQ117" s="433"/>
      <c r="BR117" s="434"/>
      <c r="BS117" s="431"/>
      <c r="BT117" s="435"/>
      <c r="BU117" s="1805" t="s">
        <v>676</v>
      </c>
      <c r="BV117" s="1806" t="s">
        <v>728</v>
      </c>
      <c r="BW117" s="1807" t="s">
        <v>688</v>
      </c>
      <c r="BX117" s="1808" t="s">
        <v>4974</v>
      </c>
      <c r="BY117" s="1809">
        <v>2021</v>
      </c>
      <c r="BZ117" s="424"/>
      <c r="CA117" s="424"/>
      <c r="CB117" s="430"/>
      <c r="CC117" s="431"/>
      <c r="CD117" s="432">
        <v>2024</v>
      </c>
      <c r="CE117" s="425"/>
      <c r="CF117" s="433"/>
      <c r="CG117" s="425"/>
      <c r="CH117" s="433"/>
      <c r="CI117" s="434"/>
      <c r="CJ117" s="431"/>
      <c r="CK117" s="435"/>
      <c r="CL117" s="432">
        <v>2022</v>
      </c>
      <c r="CM117" s="425">
        <v>0</v>
      </c>
      <c r="CN117" s="433"/>
      <c r="CO117" s="425">
        <v>0</v>
      </c>
      <c r="CP117" s="433"/>
      <c r="CQ117" s="434"/>
      <c r="CR117" s="431"/>
      <c r="CS117" s="435">
        <v>0</v>
      </c>
      <c r="CT117" s="432">
        <v>2023</v>
      </c>
      <c r="CU117" s="425"/>
      <c r="CV117" s="433"/>
      <c r="CW117" s="425"/>
      <c r="CX117" s="433"/>
      <c r="CY117" s="434"/>
      <c r="CZ117" s="431"/>
      <c r="DA117" s="435"/>
      <c r="DB117" s="432">
        <v>2024</v>
      </c>
      <c r="DC117" s="425"/>
      <c r="DD117" s="433"/>
      <c r="DE117" s="425"/>
      <c r="DF117" s="433"/>
      <c r="DG117" s="434"/>
      <c r="DH117" s="431"/>
      <c r="DI117" s="435"/>
      <c r="DJ117" s="1805"/>
      <c r="DK117" s="1806"/>
      <c r="DL117" s="1807"/>
      <c r="DM117" s="1808"/>
      <c r="DN117" s="1810">
        <v>0</v>
      </c>
      <c r="DO117" s="1799">
        <v>0</v>
      </c>
      <c r="DP117" s="1800">
        <v>0</v>
      </c>
      <c r="DQ117" s="1799">
        <v>0</v>
      </c>
      <c r="DR117" s="1800">
        <v>0</v>
      </c>
      <c r="DS117" s="1799">
        <v>0</v>
      </c>
    </row>
    <row r="118" spans="1:123" ht="67.5">
      <c r="A118" s="1801" t="s">
        <v>1489</v>
      </c>
      <c r="B118" s="1788" t="s">
        <v>1490</v>
      </c>
      <c r="C118" s="426">
        <v>2022</v>
      </c>
      <c r="D118" s="417" t="s">
        <v>681</v>
      </c>
      <c r="E118" s="1802">
        <v>1031166</v>
      </c>
      <c r="F118" s="1803" t="s">
        <v>1490</v>
      </c>
      <c r="G118" s="419">
        <v>45134</v>
      </c>
      <c r="H118" s="1790" t="s">
        <v>1491</v>
      </c>
      <c r="I118" s="1791" t="s">
        <v>1490</v>
      </c>
      <c r="J118" s="1793" t="s">
        <v>1492</v>
      </c>
      <c r="K118" s="1788" t="s">
        <v>1490</v>
      </c>
      <c r="L118" s="1791" t="s">
        <v>1492</v>
      </c>
      <c r="M118" s="1793" t="s">
        <v>1493</v>
      </c>
      <c r="N118" s="1790" t="s">
        <v>12</v>
      </c>
      <c r="O118" s="1793" t="s">
        <v>35</v>
      </c>
      <c r="P118" s="420" t="s">
        <v>683</v>
      </c>
      <c r="Q118" s="421"/>
      <c r="R118" s="421"/>
      <c r="S118" s="422"/>
      <c r="T118" s="1794"/>
      <c r="U118" s="423">
        <v>4238.8883999999998</v>
      </c>
      <c r="V118" s="424">
        <v>2</v>
      </c>
      <c r="W118" s="424">
        <v>2</v>
      </c>
      <c r="X118" s="425"/>
      <c r="Y118" s="426">
        <v>2022</v>
      </c>
      <c r="Z118" s="417">
        <v>2024</v>
      </c>
      <c r="AA118" s="1804">
        <v>2022</v>
      </c>
      <c r="AB118" s="427" t="s">
        <v>5863</v>
      </c>
      <c r="AC118" s="1793" t="s">
        <v>1494</v>
      </c>
      <c r="AD118" s="428"/>
      <c r="AE118" s="1791"/>
      <c r="AF118" s="1791"/>
      <c r="AG118" s="1793"/>
      <c r="AH118" s="428"/>
      <c r="AI118" s="1793"/>
      <c r="AJ118" s="429">
        <v>2021</v>
      </c>
      <c r="AK118" s="424">
        <v>7933</v>
      </c>
      <c r="AL118" s="424">
        <v>7889</v>
      </c>
      <c r="AM118" s="430"/>
      <c r="AN118" s="431"/>
      <c r="AO118" s="432">
        <v>2024</v>
      </c>
      <c r="AP118" s="425">
        <v>7695.01</v>
      </c>
      <c r="AQ118" s="433">
        <v>3</v>
      </c>
      <c r="AR118" s="425">
        <v>7652.33</v>
      </c>
      <c r="AS118" s="433">
        <v>3</v>
      </c>
      <c r="AT118" s="434"/>
      <c r="AU118" s="431"/>
      <c r="AV118" s="435">
        <v>3</v>
      </c>
      <c r="AW118" s="432">
        <v>2022</v>
      </c>
      <c r="AX118" s="425">
        <v>7911</v>
      </c>
      <c r="AY118" s="433">
        <v>0.27</v>
      </c>
      <c r="AZ118" s="425">
        <v>7901</v>
      </c>
      <c r="BA118" s="433">
        <v>-0.16</v>
      </c>
      <c r="BB118" s="434"/>
      <c r="BC118" s="431"/>
      <c r="BD118" s="435">
        <v>4.0836054721892907</v>
      </c>
      <c r="BE118" s="432">
        <v>2023</v>
      </c>
      <c r="BF118" s="425"/>
      <c r="BG118" s="433"/>
      <c r="BH118" s="425"/>
      <c r="BI118" s="433"/>
      <c r="BJ118" s="434"/>
      <c r="BK118" s="431"/>
      <c r="BL118" s="435"/>
      <c r="BM118" s="432">
        <v>2024</v>
      </c>
      <c r="BN118" s="425"/>
      <c r="BO118" s="433"/>
      <c r="BP118" s="425"/>
      <c r="BQ118" s="433"/>
      <c r="BR118" s="434"/>
      <c r="BS118" s="431"/>
      <c r="BT118" s="435"/>
      <c r="BU118" s="1805" t="s">
        <v>687</v>
      </c>
      <c r="BV118" s="1806" t="s">
        <v>728</v>
      </c>
      <c r="BW118" s="1807" t="s">
        <v>678</v>
      </c>
      <c r="BX118" s="1808"/>
      <c r="BY118" s="1809">
        <v>2021</v>
      </c>
      <c r="BZ118" s="424"/>
      <c r="CA118" s="424"/>
      <c r="CB118" s="430"/>
      <c r="CC118" s="431"/>
      <c r="CD118" s="432">
        <v>2024</v>
      </c>
      <c r="CE118" s="425"/>
      <c r="CF118" s="433"/>
      <c r="CG118" s="425"/>
      <c r="CH118" s="433"/>
      <c r="CI118" s="434"/>
      <c r="CJ118" s="431"/>
      <c r="CK118" s="435"/>
      <c r="CL118" s="432">
        <v>2022</v>
      </c>
      <c r="CM118" s="425">
        <v>0</v>
      </c>
      <c r="CN118" s="433"/>
      <c r="CO118" s="425">
        <v>0</v>
      </c>
      <c r="CP118" s="433"/>
      <c r="CQ118" s="434"/>
      <c r="CR118" s="431"/>
      <c r="CS118" s="435">
        <v>0</v>
      </c>
      <c r="CT118" s="432">
        <v>2023</v>
      </c>
      <c r="CU118" s="425"/>
      <c r="CV118" s="433"/>
      <c r="CW118" s="425"/>
      <c r="CX118" s="433"/>
      <c r="CY118" s="434"/>
      <c r="CZ118" s="431"/>
      <c r="DA118" s="435"/>
      <c r="DB118" s="432">
        <v>2024</v>
      </c>
      <c r="DC118" s="425"/>
      <c r="DD118" s="433"/>
      <c r="DE118" s="425"/>
      <c r="DF118" s="433"/>
      <c r="DG118" s="434"/>
      <c r="DH118" s="431"/>
      <c r="DI118" s="435"/>
      <c r="DJ118" s="1805"/>
      <c r="DK118" s="1806"/>
      <c r="DL118" s="1807"/>
      <c r="DM118" s="1808"/>
      <c r="DN118" s="1810">
        <v>0</v>
      </c>
      <c r="DO118" s="1799">
        <v>1</v>
      </c>
      <c r="DP118" s="1800">
        <v>0</v>
      </c>
      <c r="DQ118" s="1799">
        <v>0</v>
      </c>
      <c r="DR118" s="1800">
        <v>0</v>
      </c>
      <c r="DS118" s="1799">
        <v>0</v>
      </c>
    </row>
    <row r="119" spans="1:123" ht="81">
      <c r="A119" s="1801" t="s">
        <v>1495</v>
      </c>
      <c r="B119" s="1788" t="s">
        <v>1496</v>
      </c>
      <c r="C119" s="426">
        <v>2022</v>
      </c>
      <c r="D119" s="417" t="s">
        <v>681</v>
      </c>
      <c r="E119" s="1802">
        <v>1080167</v>
      </c>
      <c r="F119" s="1803" t="s">
        <v>1496</v>
      </c>
      <c r="G119" s="419">
        <v>45134</v>
      </c>
      <c r="H119" s="1790" t="s">
        <v>1497</v>
      </c>
      <c r="I119" s="1791" t="s">
        <v>1496</v>
      </c>
      <c r="J119" s="1793" t="s">
        <v>1498</v>
      </c>
      <c r="K119" s="1788" t="s">
        <v>1496</v>
      </c>
      <c r="L119" s="1791" t="s">
        <v>1498</v>
      </c>
      <c r="M119" s="1793" t="s">
        <v>1497</v>
      </c>
      <c r="N119" s="1790" t="s">
        <v>90</v>
      </c>
      <c r="O119" s="1793" t="s">
        <v>92</v>
      </c>
      <c r="P119" s="420" t="s">
        <v>683</v>
      </c>
      <c r="Q119" s="421"/>
      <c r="R119" s="421"/>
      <c r="S119" s="422"/>
      <c r="T119" s="1794"/>
      <c r="U119" s="423">
        <v>1479.9654</v>
      </c>
      <c r="V119" s="424">
        <v>14</v>
      </c>
      <c r="W119" s="424">
        <v>1</v>
      </c>
      <c r="X119" s="425"/>
      <c r="Y119" s="426">
        <v>2022</v>
      </c>
      <c r="Z119" s="417">
        <v>2024</v>
      </c>
      <c r="AA119" s="1804">
        <v>2022</v>
      </c>
      <c r="AB119" s="427" t="s">
        <v>5863</v>
      </c>
      <c r="AC119" s="1793" t="s">
        <v>1499</v>
      </c>
      <c r="AD119" s="428"/>
      <c r="AE119" s="1791"/>
      <c r="AF119" s="1791"/>
      <c r="AG119" s="1793"/>
      <c r="AH119" s="428"/>
      <c r="AI119" s="1793"/>
      <c r="AJ119" s="429">
        <v>2021</v>
      </c>
      <c r="AK119" s="424">
        <v>2622</v>
      </c>
      <c r="AL119" s="424">
        <v>2610</v>
      </c>
      <c r="AM119" s="430">
        <v>2.0499999999999998</v>
      </c>
      <c r="AN119" s="431" t="s">
        <v>1389</v>
      </c>
      <c r="AO119" s="432">
        <v>2024</v>
      </c>
      <c r="AP119" s="425">
        <v>2543</v>
      </c>
      <c r="AQ119" s="433">
        <v>3.01</v>
      </c>
      <c r="AR119" s="425">
        <v>2531</v>
      </c>
      <c r="AS119" s="433">
        <v>3.02</v>
      </c>
      <c r="AT119" s="434">
        <v>1.99</v>
      </c>
      <c r="AU119" s="431" t="s">
        <v>1389</v>
      </c>
      <c r="AV119" s="435">
        <v>3</v>
      </c>
      <c r="AW119" s="432">
        <v>2022</v>
      </c>
      <c r="AX119" s="425">
        <v>2725</v>
      </c>
      <c r="AY119" s="433">
        <v>-3.93</v>
      </c>
      <c r="AZ119" s="425">
        <v>2721</v>
      </c>
      <c r="BA119" s="433">
        <v>-4.26</v>
      </c>
      <c r="BB119" s="434">
        <v>1.8477156809696813</v>
      </c>
      <c r="BC119" s="431" t="s">
        <v>1389</v>
      </c>
      <c r="BD119" s="435">
        <v>9.86</v>
      </c>
      <c r="BE119" s="432">
        <v>2023</v>
      </c>
      <c r="BF119" s="425"/>
      <c r="BG119" s="433"/>
      <c r="BH119" s="425"/>
      <c r="BI119" s="433"/>
      <c r="BJ119" s="434"/>
      <c r="BK119" s="431"/>
      <c r="BL119" s="435"/>
      <c r="BM119" s="432">
        <v>2024</v>
      </c>
      <c r="BN119" s="425"/>
      <c r="BO119" s="433"/>
      <c r="BP119" s="425"/>
      <c r="BQ119" s="433"/>
      <c r="BR119" s="434"/>
      <c r="BS119" s="431"/>
      <c r="BT119" s="435"/>
      <c r="BU119" s="1805" t="s">
        <v>687</v>
      </c>
      <c r="BV119" s="1806" t="s">
        <v>728</v>
      </c>
      <c r="BW119" s="1807" t="s">
        <v>688</v>
      </c>
      <c r="BX119" s="1808" t="s">
        <v>4975</v>
      </c>
      <c r="BY119" s="1809">
        <v>2021</v>
      </c>
      <c r="BZ119" s="424"/>
      <c r="CA119" s="424"/>
      <c r="CB119" s="430"/>
      <c r="CC119" s="431"/>
      <c r="CD119" s="432">
        <v>2024</v>
      </c>
      <c r="CE119" s="425"/>
      <c r="CF119" s="433"/>
      <c r="CG119" s="425"/>
      <c r="CH119" s="433"/>
      <c r="CI119" s="434"/>
      <c r="CJ119" s="431"/>
      <c r="CK119" s="435"/>
      <c r="CL119" s="432">
        <v>2022</v>
      </c>
      <c r="CM119" s="425">
        <v>0</v>
      </c>
      <c r="CN119" s="433"/>
      <c r="CO119" s="425">
        <v>0</v>
      </c>
      <c r="CP119" s="433"/>
      <c r="CQ119" s="434"/>
      <c r="CR119" s="431"/>
      <c r="CS119" s="435"/>
      <c r="CT119" s="432">
        <v>2023</v>
      </c>
      <c r="CU119" s="425"/>
      <c r="CV119" s="433"/>
      <c r="CW119" s="425"/>
      <c r="CX119" s="433"/>
      <c r="CY119" s="434"/>
      <c r="CZ119" s="431"/>
      <c r="DA119" s="435"/>
      <c r="DB119" s="432">
        <v>2024</v>
      </c>
      <c r="DC119" s="425"/>
      <c r="DD119" s="433"/>
      <c r="DE119" s="425"/>
      <c r="DF119" s="433"/>
      <c r="DG119" s="434"/>
      <c r="DH119" s="431"/>
      <c r="DI119" s="435"/>
      <c r="DJ119" s="1805"/>
      <c r="DK119" s="1806"/>
      <c r="DL119" s="1807"/>
      <c r="DM119" s="1808"/>
      <c r="DN119" s="1810">
        <v>0</v>
      </c>
      <c r="DO119" s="1799">
        <v>0</v>
      </c>
      <c r="DP119" s="1800">
        <v>0</v>
      </c>
      <c r="DQ119" s="1799">
        <v>0</v>
      </c>
      <c r="DR119" s="1800">
        <v>0</v>
      </c>
      <c r="DS119" s="1799">
        <v>0</v>
      </c>
    </row>
    <row r="120" spans="1:123" ht="67.5">
      <c r="A120" s="1801" t="s">
        <v>1500</v>
      </c>
      <c r="B120" s="1788" t="s">
        <v>1501</v>
      </c>
      <c r="C120" s="426">
        <v>2022</v>
      </c>
      <c r="D120" s="417" t="s">
        <v>681</v>
      </c>
      <c r="E120" s="1802">
        <v>1039168</v>
      </c>
      <c r="F120" s="1803" t="s">
        <v>1501</v>
      </c>
      <c r="G120" s="419">
        <v>45138</v>
      </c>
      <c r="H120" s="1790" t="s">
        <v>1502</v>
      </c>
      <c r="I120" s="1791" t="s">
        <v>1501</v>
      </c>
      <c r="J120" s="1793" t="s">
        <v>1503</v>
      </c>
      <c r="K120" s="1788" t="s">
        <v>1501</v>
      </c>
      <c r="L120" s="1791" t="s">
        <v>1504</v>
      </c>
      <c r="M120" s="1793" t="s">
        <v>1502</v>
      </c>
      <c r="N120" s="1790" t="s">
        <v>42</v>
      </c>
      <c r="O120" s="1793" t="s">
        <v>45</v>
      </c>
      <c r="P120" s="420" t="s">
        <v>683</v>
      </c>
      <c r="Q120" s="421"/>
      <c r="R120" s="421"/>
      <c r="S120" s="422"/>
      <c r="T120" s="1794"/>
      <c r="U120" s="423">
        <v>2052.39</v>
      </c>
      <c r="V120" s="424">
        <v>4</v>
      </c>
      <c r="W120" s="424">
        <v>1</v>
      </c>
      <c r="X120" s="425"/>
      <c r="Y120" s="426">
        <v>2022</v>
      </c>
      <c r="Z120" s="417">
        <v>2024</v>
      </c>
      <c r="AA120" s="1804">
        <v>2022</v>
      </c>
      <c r="AB120" s="427"/>
      <c r="AC120" s="1793"/>
      <c r="AD120" s="428" t="s">
        <v>5863</v>
      </c>
      <c r="AE120" s="1791" t="s">
        <v>4976</v>
      </c>
      <c r="AF120" s="1791" t="s">
        <v>1502</v>
      </c>
      <c r="AG120" s="1793" t="s">
        <v>1505</v>
      </c>
      <c r="AH120" s="428"/>
      <c r="AI120" s="1793"/>
      <c r="AJ120" s="429">
        <v>2021</v>
      </c>
      <c r="AK120" s="424">
        <v>3696</v>
      </c>
      <c r="AL120" s="424">
        <v>3592</v>
      </c>
      <c r="AM120" s="430">
        <v>106.65</v>
      </c>
      <c r="AN120" s="431" t="s">
        <v>1413</v>
      </c>
      <c r="AO120" s="432">
        <v>2024</v>
      </c>
      <c r="AP120" s="425">
        <v>3845</v>
      </c>
      <c r="AQ120" s="433">
        <v>-4.04</v>
      </c>
      <c r="AR120" s="425">
        <v>3735</v>
      </c>
      <c r="AS120" s="433">
        <v>-3.99</v>
      </c>
      <c r="AT120" s="434">
        <v>110.89</v>
      </c>
      <c r="AU120" s="431" t="s">
        <v>1413</v>
      </c>
      <c r="AV120" s="435">
        <v>-3.98</v>
      </c>
      <c r="AW120" s="432">
        <v>2022</v>
      </c>
      <c r="AX120" s="425">
        <v>3636</v>
      </c>
      <c r="AY120" s="433">
        <v>1.62</v>
      </c>
      <c r="AZ120" s="425">
        <v>3546</v>
      </c>
      <c r="BA120" s="433">
        <v>1.28</v>
      </c>
      <c r="BB120" s="434">
        <v>104.92598043459441</v>
      </c>
      <c r="BC120" s="431" t="s">
        <v>1413</v>
      </c>
      <c r="BD120" s="435">
        <v>1.61</v>
      </c>
      <c r="BE120" s="432">
        <v>2023</v>
      </c>
      <c r="BF120" s="425"/>
      <c r="BG120" s="433"/>
      <c r="BH120" s="425"/>
      <c r="BI120" s="433"/>
      <c r="BJ120" s="434"/>
      <c r="BK120" s="431"/>
      <c r="BL120" s="435"/>
      <c r="BM120" s="432">
        <v>2024</v>
      </c>
      <c r="BN120" s="425"/>
      <c r="BO120" s="433"/>
      <c r="BP120" s="425"/>
      <c r="BQ120" s="433"/>
      <c r="BR120" s="434"/>
      <c r="BS120" s="431"/>
      <c r="BT120" s="435"/>
      <c r="BU120" s="1805" t="s">
        <v>687</v>
      </c>
      <c r="BV120" s="1806" t="s">
        <v>728</v>
      </c>
      <c r="BW120" s="1807" t="s">
        <v>678</v>
      </c>
      <c r="BX120" s="1808" t="s">
        <v>4977</v>
      </c>
      <c r="BY120" s="1809">
        <v>2021</v>
      </c>
      <c r="BZ120" s="424"/>
      <c r="CA120" s="424"/>
      <c r="CB120" s="430"/>
      <c r="CC120" s="431"/>
      <c r="CD120" s="432">
        <v>2024</v>
      </c>
      <c r="CE120" s="425"/>
      <c r="CF120" s="433"/>
      <c r="CG120" s="425"/>
      <c r="CH120" s="433"/>
      <c r="CI120" s="434"/>
      <c r="CJ120" s="431"/>
      <c r="CK120" s="435"/>
      <c r="CL120" s="432">
        <v>2022</v>
      </c>
      <c r="CM120" s="425">
        <v>0</v>
      </c>
      <c r="CN120" s="433"/>
      <c r="CO120" s="425">
        <v>0</v>
      </c>
      <c r="CP120" s="433"/>
      <c r="CQ120" s="434"/>
      <c r="CR120" s="431"/>
      <c r="CS120" s="435"/>
      <c r="CT120" s="432">
        <v>2023</v>
      </c>
      <c r="CU120" s="425"/>
      <c r="CV120" s="433"/>
      <c r="CW120" s="425"/>
      <c r="CX120" s="433"/>
      <c r="CY120" s="434"/>
      <c r="CZ120" s="431"/>
      <c r="DA120" s="435"/>
      <c r="DB120" s="432">
        <v>2024</v>
      </c>
      <c r="DC120" s="425"/>
      <c r="DD120" s="433"/>
      <c r="DE120" s="425"/>
      <c r="DF120" s="433"/>
      <c r="DG120" s="434"/>
      <c r="DH120" s="431"/>
      <c r="DI120" s="435"/>
      <c r="DJ120" s="1805"/>
      <c r="DK120" s="1806"/>
      <c r="DL120" s="1807"/>
      <c r="DM120" s="1808"/>
      <c r="DN120" s="1810">
        <v>0</v>
      </c>
      <c r="DO120" s="1799">
        <v>0</v>
      </c>
      <c r="DP120" s="1800">
        <v>0</v>
      </c>
      <c r="DQ120" s="1799">
        <v>0</v>
      </c>
      <c r="DR120" s="1800">
        <v>0</v>
      </c>
      <c r="DS120" s="1799">
        <v>0</v>
      </c>
    </row>
    <row r="121" spans="1:123" ht="94.5">
      <c r="A121" s="1801" t="s">
        <v>1506</v>
      </c>
      <c r="B121" s="1788" t="s">
        <v>1507</v>
      </c>
      <c r="C121" s="426">
        <v>2022</v>
      </c>
      <c r="D121" s="417" t="s">
        <v>681</v>
      </c>
      <c r="E121" s="1802">
        <v>1039169</v>
      </c>
      <c r="F121" s="1803" t="s">
        <v>1507</v>
      </c>
      <c r="G121" s="419">
        <v>45134</v>
      </c>
      <c r="H121" s="1790" t="s">
        <v>1508</v>
      </c>
      <c r="I121" s="1791" t="s">
        <v>1507</v>
      </c>
      <c r="J121" s="1793" t="s">
        <v>4978</v>
      </c>
      <c r="K121" s="1788" t="s">
        <v>1507</v>
      </c>
      <c r="L121" s="1791" t="s">
        <v>4978</v>
      </c>
      <c r="M121" s="1793" t="s">
        <v>1509</v>
      </c>
      <c r="N121" s="1790" t="s">
        <v>42</v>
      </c>
      <c r="O121" s="1793" t="s">
        <v>45</v>
      </c>
      <c r="P121" s="420" t="s">
        <v>683</v>
      </c>
      <c r="Q121" s="421"/>
      <c r="R121" s="421"/>
      <c r="S121" s="422"/>
      <c r="T121" s="1794"/>
      <c r="U121" s="423">
        <v>20498.306400000001</v>
      </c>
      <c r="V121" s="424">
        <v>3</v>
      </c>
      <c r="W121" s="424">
        <v>2</v>
      </c>
      <c r="X121" s="425"/>
      <c r="Y121" s="426">
        <v>2022</v>
      </c>
      <c r="Z121" s="417">
        <v>2024</v>
      </c>
      <c r="AA121" s="1804">
        <v>2022</v>
      </c>
      <c r="AB121" s="427"/>
      <c r="AC121" s="1793"/>
      <c r="AD121" s="428" t="s">
        <v>5863</v>
      </c>
      <c r="AE121" s="1791" t="s">
        <v>1510</v>
      </c>
      <c r="AF121" s="1791" t="s">
        <v>1509</v>
      </c>
      <c r="AG121" s="1793" t="s">
        <v>1511</v>
      </c>
      <c r="AH121" s="428"/>
      <c r="AI121" s="1793"/>
      <c r="AJ121" s="429">
        <v>2021</v>
      </c>
      <c r="AK121" s="424">
        <v>31004</v>
      </c>
      <c r="AL121" s="424">
        <v>30750</v>
      </c>
      <c r="AM121" s="430"/>
      <c r="AN121" s="431"/>
      <c r="AO121" s="432">
        <v>2024</v>
      </c>
      <c r="AP121" s="425">
        <v>32554.2</v>
      </c>
      <c r="AQ121" s="433">
        <v>-5</v>
      </c>
      <c r="AR121" s="425">
        <v>32287.5</v>
      </c>
      <c r="AS121" s="433">
        <v>-5</v>
      </c>
      <c r="AT121" s="434"/>
      <c r="AU121" s="431"/>
      <c r="AV121" s="435">
        <v>4.5</v>
      </c>
      <c r="AW121" s="432">
        <v>2022</v>
      </c>
      <c r="AX121" s="425">
        <v>37497</v>
      </c>
      <c r="AY121" s="433">
        <v>-20.95</v>
      </c>
      <c r="AZ121" s="425">
        <v>36975</v>
      </c>
      <c r="BA121" s="433">
        <v>-20.25</v>
      </c>
      <c r="BB121" s="434"/>
      <c r="BC121" s="431"/>
      <c r="BD121" s="435">
        <v>-1.5860703231328013</v>
      </c>
      <c r="BE121" s="432">
        <v>2023</v>
      </c>
      <c r="BF121" s="425"/>
      <c r="BG121" s="433"/>
      <c r="BH121" s="425"/>
      <c r="BI121" s="433"/>
      <c r="BJ121" s="434"/>
      <c r="BK121" s="431"/>
      <c r="BL121" s="435"/>
      <c r="BM121" s="432">
        <v>2024</v>
      </c>
      <c r="BN121" s="425"/>
      <c r="BO121" s="433"/>
      <c r="BP121" s="425"/>
      <c r="BQ121" s="433"/>
      <c r="BR121" s="434"/>
      <c r="BS121" s="431"/>
      <c r="BT121" s="435"/>
      <c r="BU121" s="1805" t="s">
        <v>719</v>
      </c>
      <c r="BV121" s="1806" t="s">
        <v>728</v>
      </c>
      <c r="BW121" s="1807" t="s">
        <v>678</v>
      </c>
      <c r="BX121" s="1808"/>
      <c r="BY121" s="1809">
        <v>2021</v>
      </c>
      <c r="BZ121" s="424"/>
      <c r="CA121" s="424"/>
      <c r="CB121" s="430"/>
      <c r="CC121" s="431"/>
      <c r="CD121" s="432">
        <v>2024</v>
      </c>
      <c r="CE121" s="425"/>
      <c r="CF121" s="433"/>
      <c r="CG121" s="425"/>
      <c r="CH121" s="433"/>
      <c r="CI121" s="434"/>
      <c r="CJ121" s="431"/>
      <c r="CK121" s="435"/>
      <c r="CL121" s="432">
        <v>2022</v>
      </c>
      <c r="CM121" s="425">
        <v>0</v>
      </c>
      <c r="CN121" s="433"/>
      <c r="CO121" s="425">
        <v>0</v>
      </c>
      <c r="CP121" s="433"/>
      <c r="CQ121" s="434"/>
      <c r="CR121" s="431"/>
      <c r="CS121" s="435"/>
      <c r="CT121" s="432">
        <v>2023</v>
      </c>
      <c r="CU121" s="425"/>
      <c r="CV121" s="433"/>
      <c r="CW121" s="425"/>
      <c r="CX121" s="433"/>
      <c r="CY121" s="434"/>
      <c r="CZ121" s="431"/>
      <c r="DA121" s="435"/>
      <c r="DB121" s="432">
        <v>2024</v>
      </c>
      <c r="DC121" s="425"/>
      <c r="DD121" s="433"/>
      <c r="DE121" s="425"/>
      <c r="DF121" s="433"/>
      <c r="DG121" s="434"/>
      <c r="DH121" s="431"/>
      <c r="DI121" s="435"/>
      <c r="DJ121" s="1805"/>
      <c r="DK121" s="1806"/>
      <c r="DL121" s="1807"/>
      <c r="DM121" s="1808"/>
      <c r="DN121" s="1810">
        <v>0</v>
      </c>
      <c r="DO121" s="1799">
        <v>0</v>
      </c>
      <c r="DP121" s="1800">
        <v>0</v>
      </c>
      <c r="DQ121" s="1799">
        <v>0</v>
      </c>
      <c r="DR121" s="1800">
        <v>0</v>
      </c>
      <c r="DS121" s="1799">
        <v>0</v>
      </c>
    </row>
    <row r="122" spans="1:123" ht="54">
      <c r="A122" s="1801" t="s">
        <v>1512</v>
      </c>
      <c r="B122" s="1788" t="s">
        <v>1513</v>
      </c>
      <c r="C122" s="426">
        <v>2022</v>
      </c>
      <c r="D122" s="417" t="s">
        <v>681</v>
      </c>
      <c r="E122" s="1802">
        <v>1022170</v>
      </c>
      <c r="F122" s="1803" t="s">
        <v>1513</v>
      </c>
      <c r="G122" s="419">
        <v>45198</v>
      </c>
      <c r="H122" s="1790" t="s">
        <v>1514</v>
      </c>
      <c r="I122" s="1791" t="s">
        <v>1513</v>
      </c>
      <c r="J122" s="1793" t="s">
        <v>1515</v>
      </c>
      <c r="K122" s="1788" t="s">
        <v>1513</v>
      </c>
      <c r="L122" s="1791" t="s">
        <v>1516</v>
      </c>
      <c r="M122" s="1793" t="s">
        <v>1517</v>
      </c>
      <c r="N122" s="1790" t="s">
        <v>12</v>
      </c>
      <c r="O122" s="1793" t="s">
        <v>26</v>
      </c>
      <c r="P122" s="420" t="s">
        <v>683</v>
      </c>
      <c r="Q122" s="421"/>
      <c r="R122" s="421"/>
      <c r="S122" s="422"/>
      <c r="T122" s="1794"/>
      <c r="U122" s="423">
        <v>1810.8761999999999</v>
      </c>
      <c r="V122" s="424">
        <v>2</v>
      </c>
      <c r="W122" s="424">
        <v>1</v>
      </c>
      <c r="X122" s="425"/>
      <c r="Y122" s="426">
        <v>2022</v>
      </c>
      <c r="Z122" s="417">
        <v>2024</v>
      </c>
      <c r="AA122" s="1804">
        <v>2022</v>
      </c>
      <c r="AB122" s="427"/>
      <c r="AC122" s="1793"/>
      <c r="AD122" s="428" t="s">
        <v>5863</v>
      </c>
      <c r="AE122" s="1791" t="s">
        <v>1518</v>
      </c>
      <c r="AF122" s="1791" t="s">
        <v>1519</v>
      </c>
      <c r="AG122" s="1793" t="s">
        <v>1520</v>
      </c>
      <c r="AH122" s="428"/>
      <c r="AI122" s="1793"/>
      <c r="AJ122" s="429">
        <v>2021</v>
      </c>
      <c r="AK122" s="424">
        <v>3148</v>
      </c>
      <c r="AL122" s="424">
        <v>2485</v>
      </c>
      <c r="AM122" s="430"/>
      <c r="AN122" s="431"/>
      <c r="AO122" s="432">
        <v>2024</v>
      </c>
      <c r="AP122" s="425">
        <v>3080</v>
      </c>
      <c r="AQ122" s="433">
        <v>2.16</v>
      </c>
      <c r="AR122" s="425">
        <v>2400</v>
      </c>
      <c r="AS122" s="433">
        <v>3.42</v>
      </c>
      <c r="AT122" s="434"/>
      <c r="AU122" s="431"/>
      <c r="AV122" s="435"/>
      <c r="AW122" s="432">
        <v>2022</v>
      </c>
      <c r="AX122" s="425">
        <v>3213</v>
      </c>
      <c r="AY122" s="433">
        <v>-2.0699999999999998</v>
      </c>
      <c r="AZ122" s="425">
        <v>3262</v>
      </c>
      <c r="BA122" s="433">
        <v>-31.27</v>
      </c>
      <c r="BB122" s="434"/>
      <c r="BC122" s="431"/>
      <c r="BD122" s="435"/>
      <c r="BE122" s="432">
        <v>2023</v>
      </c>
      <c r="BF122" s="425"/>
      <c r="BG122" s="433"/>
      <c r="BH122" s="425"/>
      <c r="BI122" s="433"/>
      <c r="BJ122" s="434"/>
      <c r="BK122" s="431"/>
      <c r="BL122" s="435"/>
      <c r="BM122" s="432">
        <v>2024</v>
      </c>
      <c r="BN122" s="425"/>
      <c r="BO122" s="433"/>
      <c r="BP122" s="425"/>
      <c r="BQ122" s="433"/>
      <c r="BR122" s="434"/>
      <c r="BS122" s="431"/>
      <c r="BT122" s="435"/>
      <c r="BU122" s="1805" t="s">
        <v>676</v>
      </c>
      <c r="BV122" s="1806" t="s">
        <v>677</v>
      </c>
      <c r="BW122" s="1807" t="s">
        <v>678</v>
      </c>
      <c r="BX122" s="1808" t="s">
        <v>4979</v>
      </c>
      <c r="BY122" s="1809">
        <v>2021</v>
      </c>
      <c r="BZ122" s="424"/>
      <c r="CA122" s="424"/>
      <c r="CB122" s="430"/>
      <c r="CC122" s="431"/>
      <c r="CD122" s="432">
        <v>2024</v>
      </c>
      <c r="CE122" s="425"/>
      <c r="CF122" s="433"/>
      <c r="CG122" s="425"/>
      <c r="CH122" s="433"/>
      <c r="CI122" s="434"/>
      <c r="CJ122" s="431"/>
      <c r="CK122" s="435"/>
      <c r="CL122" s="432">
        <v>2022</v>
      </c>
      <c r="CM122" s="425">
        <v>0</v>
      </c>
      <c r="CN122" s="433"/>
      <c r="CO122" s="425">
        <v>0</v>
      </c>
      <c r="CP122" s="433"/>
      <c r="CQ122" s="434"/>
      <c r="CR122" s="431"/>
      <c r="CS122" s="435">
        <v>0</v>
      </c>
      <c r="CT122" s="432">
        <v>2023</v>
      </c>
      <c r="CU122" s="425"/>
      <c r="CV122" s="433"/>
      <c r="CW122" s="425"/>
      <c r="CX122" s="433"/>
      <c r="CY122" s="434"/>
      <c r="CZ122" s="431"/>
      <c r="DA122" s="435"/>
      <c r="DB122" s="432">
        <v>2024</v>
      </c>
      <c r="DC122" s="425"/>
      <c r="DD122" s="433"/>
      <c r="DE122" s="425"/>
      <c r="DF122" s="433"/>
      <c r="DG122" s="434"/>
      <c r="DH122" s="431"/>
      <c r="DI122" s="435"/>
      <c r="DJ122" s="1805"/>
      <c r="DK122" s="1806"/>
      <c r="DL122" s="1807"/>
      <c r="DM122" s="1808"/>
      <c r="DN122" s="1810">
        <v>0</v>
      </c>
      <c r="DO122" s="1799">
        <v>0</v>
      </c>
      <c r="DP122" s="1800">
        <v>0</v>
      </c>
      <c r="DQ122" s="1799">
        <v>0</v>
      </c>
      <c r="DR122" s="1800">
        <v>0</v>
      </c>
      <c r="DS122" s="1799">
        <v>0</v>
      </c>
    </row>
    <row r="123" spans="1:123" ht="81">
      <c r="A123" s="1801" t="s">
        <v>1521</v>
      </c>
      <c r="B123" s="1788" t="s">
        <v>1524</v>
      </c>
      <c r="C123" s="426">
        <v>2022</v>
      </c>
      <c r="D123" s="417" t="s">
        <v>681</v>
      </c>
      <c r="E123" s="1802">
        <v>1075171</v>
      </c>
      <c r="F123" s="1803" t="s">
        <v>1524</v>
      </c>
      <c r="G123" s="419">
        <v>45138</v>
      </c>
      <c r="H123" s="1790" t="s">
        <v>1522</v>
      </c>
      <c r="I123" s="1791" t="s">
        <v>1524</v>
      </c>
      <c r="J123" s="1793" t="s">
        <v>1523</v>
      </c>
      <c r="K123" s="1788" t="s">
        <v>1524</v>
      </c>
      <c r="L123" s="1791" t="s">
        <v>1523</v>
      </c>
      <c r="M123" s="1793" t="s">
        <v>1522</v>
      </c>
      <c r="N123" s="1790" t="s">
        <v>77</v>
      </c>
      <c r="O123" s="1793" t="s">
        <v>79</v>
      </c>
      <c r="P123" s="420" t="s">
        <v>683</v>
      </c>
      <c r="Q123" s="421"/>
      <c r="R123" s="421"/>
      <c r="S123" s="422"/>
      <c r="T123" s="1794"/>
      <c r="U123" s="423">
        <v>7006.0415999999996</v>
      </c>
      <c r="V123" s="424">
        <v>4</v>
      </c>
      <c r="W123" s="424">
        <v>2</v>
      </c>
      <c r="X123" s="425"/>
      <c r="Y123" s="426">
        <v>2022</v>
      </c>
      <c r="Z123" s="417">
        <v>2024</v>
      </c>
      <c r="AA123" s="1804">
        <v>2022</v>
      </c>
      <c r="AB123" s="427"/>
      <c r="AC123" s="1793"/>
      <c r="AD123" s="428" t="s">
        <v>5863</v>
      </c>
      <c r="AE123" s="1791" t="s">
        <v>2598</v>
      </c>
      <c r="AF123" s="1791" t="s">
        <v>4980</v>
      </c>
      <c r="AG123" s="1793" t="s">
        <v>1155</v>
      </c>
      <c r="AH123" s="428"/>
      <c r="AI123" s="1793"/>
      <c r="AJ123" s="429">
        <v>2021</v>
      </c>
      <c r="AK123" s="424">
        <v>15110</v>
      </c>
      <c r="AL123" s="424">
        <v>15012</v>
      </c>
      <c r="AM123" s="430"/>
      <c r="AN123" s="431"/>
      <c r="AO123" s="432">
        <v>2024</v>
      </c>
      <c r="AP123" s="425">
        <v>14656.699999999999</v>
      </c>
      <c r="AQ123" s="433">
        <v>3</v>
      </c>
      <c r="AR123" s="425">
        <v>14561.64</v>
      </c>
      <c r="AS123" s="433">
        <v>3</v>
      </c>
      <c r="AT123" s="434"/>
      <c r="AU123" s="431"/>
      <c r="AV123" s="435"/>
      <c r="AW123" s="432">
        <v>2022</v>
      </c>
      <c r="AX123" s="425">
        <v>12937</v>
      </c>
      <c r="AY123" s="433">
        <v>14.38</v>
      </c>
      <c r="AZ123" s="425">
        <v>12916</v>
      </c>
      <c r="BA123" s="433">
        <v>13.96</v>
      </c>
      <c r="BB123" s="434"/>
      <c r="BC123" s="431"/>
      <c r="BD123" s="435"/>
      <c r="BE123" s="432">
        <v>2023</v>
      </c>
      <c r="BF123" s="425"/>
      <c r="BG123" s="433"/>
      <c r="BH123" s="425"/>
      <c r="BI123" s="433"/>
      <c r="BJ123" s="434"/>
      <c r="BK123" s="431"/>
      <c r="BL123" s="435"/>
      <c r="BM123" s="432">
        <v>2024</v>
      </c>
      <c r="BN123" s="425"/>
      <c r="BO123" s="433"/>
      <c r="BP123" s="425"/>
      <c r="BQ123" s="433"/>
      <c r="BR123" s="434"/>
      <c r="BS123" s="431"/>
      <c r="BT123" s="435"/>
      <c r="BU123" s="1805" t="s">
        <v>687</v>
      </c>
      <c r="BV123" s="1806" t="s">
        <v>728</v>
      </c>
      <c r="BW123" s="1807" t="s">
        <v>688</v>
      </c>
      <c r="BX123" s="1808" t="s">
        <v>1526</v>
      </c>
      <c r="BY123" s="1809">
        <v>2021</v>
      </c>
      <c r="BZ123" s="424"/>
      <c r="CA123" s="424"/>
      <c r="CB123" s="430"/>
      <c r="CC123" s="431"/>
      <c r="CD123" s="432">
        <v>2024</v>
      </c>
      <c r="CE123" s="425"/>
      <c r="CF123" s="433"/>
      <c r="CG123" s="425"/>
      <c r="CH123" s="433"/>
      <c r="CI123" s="434"/>
      <c r="CJ123" s="431"/>
      <c r="CK123" s="435"/>
      <c r="CL123" s="432">
        <v>2022</v>
      </c>
      <c r="CM123" s="425">
        <v>0</v>
      </c>
      <c r="CN123" s="433"/>
      <c r="CO123" s="425">
        <v>0</v>
      </c>
      <c r="CP123" s="433"/>
      <c r="CQ123" s="434"/>
      <c r="CR123" s="431"/>
      <c r="CS123" s="435"/>
      <c r="CT123" s="432">
        <v>2023</v>
      </c>
      <c r="CU123" s="425"/>
      <c r="CV123" s="433"/>
      <c r="CW123" s="425"/>
      <c r="CX123" s="433"/>
      <c r="CY123" s="434"/>
      <c r="CZ123" s="431"/>
      <c r="DA123" s="435"/>
      <c r="DB123" s="432">
        <v>2024</v>
      </c>
      <c r="DC123" s="425"/>
      <c r="DD123" s="433"/>
      <c r="DE123" s="425"/>
      <c r="DF123" s="433"/>
      <c r="DG123" s="434"/>
      <c r="DH123" s="431"/>
      <c r="DI123" s="435"/>
      <c r="DJ123" s="1805"/>
      <c r="DK123" s="1806"/>
      <c r="DL123" s="1807"/>
      <c r="DM123" s="1808"/>
      <c r="DN123" s="1810">
        <v>0</v>
      </c>
      <c r="DO123" s="1799">
        <v>0</v>
      </c>
      <c r="DP123" s="1800">
        <v>0</v>
      </c>
      <c r="DQ123" s="1799">
        <v>0</v>
      </c>
      <c r="DR123" s="1800">
        <v>0</v>
      </c>
      <c r="DS123" s="1799">
        <v>0</v>
      </c>
    </row>
    <row r="124" spans="1:123" ht="67.5">
      <c r="A124" s="1801" t="s">
        <v>1527</v>
      </c>
      <c r="B124" s="1788" t="s">
        <v>1528</v>
      </c>
      <c r="C124" s="426">
        <v>2022</v>
      </c>
      <c r="D124" s="417" t="s">
        <v>681</v>
      </c>
      <c r="E124" s="1802">
        <v>1080174</v>
      </c>
      <c r="F124" s="1803" t="s">
        <v>1528</v>
      </c>
      <c r="G124" s="419">
        <v>45136</v>
      </c>
      <c r="H124" s="1790" t="s">
        <v>1529</v>
      </c>
      <c r="I124" s="1791" t="s">
        <v>1528</v>
      </c>
      <c r="J124" s="1793" t="s">
        <v>1530</v>
      </c>
      <c r="K124" s="1788" t="s">
        <v>1528</v>
      </c>
      <c r="L124" s="1791" t="s">
        <v>1530</v>
      </c>
      <c r="M124" s="1793" t="s">
        <v>1529</v>
      </c>
      <c r="N124" s="1790" t="s">
        <v>90</v>
      </c>
      <c r="O124" s="1793" t="s">
        <v>92</v>
      </c>
      <c r="P124" s="420" t="s">
        <v>683</v>
      </c>
      <c r="Q124" s="421"/>
      <c r="R124" s="421"/>
      <c r="S124" s="422"/>
      <c r="T124" s="1794"/>
      <c r="U124" s="423">
        <v>4906.0763999999999</v>
      </c>
      <c r="V124" s="424">
        <v>1</v>
      </c>
      <c r="W124" s="424">
        <v>1</v>
      </c>
      <c r="X124" s="425"/>
      <c r="Y124" s="426">
        <v>2022</v>
      </c>
      <c r="Z124" s="417">
        <v>2024</v>
      </c>
      <c r="AA124" s="1804">
        <v>2022</v>
      </c>
      <c r="AB124" s="427"/>
      <c r="AC124" s="1793"/>
      <c r="AD124" s="428" t="s">
        <v>5863</v>
      </c>
      <c r="AE124" s="1791" t="s">
        <v>1531</v>
      </c>
      <c r="AF124" s="1791" t="s">
        <v>1529</v>
      </c>
      <c r="AG124" s="1793" t="s">
        <v>1532</v>
      </c>
      <c r="AH124" s="428"/>
      <c r="AI124" s="1793"/>
      <c r="AJ124" s="429">
        <v>2021</v>
      </c>
      <c r="AK124" s="424">
        <v>8888</v>
      </c>
      <c r="AL124" s="424">
        <v>8813</v>
      </c>
      <c r="AM124" s="430">
        <v>0.21</v>
      </c>
      <c r="AN124" s="431" t="s">
        <v>864</v>
      </c>
      <c r="AO124" s="432">
        <v>2024</v>
      </c>
      <c r="AP124" s="425">
        <v>8622</v>
      </c>
      <c r="AQ124" s="433">
        <v>2.99</v>
      </c>
      <c r="AR124" s="425">
        <v>8549</v>
      </c>
      <c r="AS124" s="433">
        <v>2.99</v>
      </c>
      <c r="AT124" s="434">
        <v>0.21</v>
      </c>
      <c r="AU124" s="431" t="s">
        <v>864</v>
      </c>
      <c r="AV124" s="435">
        <v>0</v>
      </c>
      <c r="AW124" s="432">
        <v>2022</v>
      </c>
      <c r="AX124" s="425">
        <v>8919</v>
      </c>
      <c r="AY124" s="433">
        <v>-0.35</v>
      </c>
      <c r="AZ124" s="425">
        <v>3097</v>
      </c>
      <c r="BA124" s="433">
        <v>64.849999999999994</v>
      </c>
      <c r="BB124" s="434">
        <v>0.21025459688826026</v>
      </c>
      <c r="BC124" s="431" t="s">
        <v>864</v>
      </c>
      <c r="BD124" s="435">
        <v>-0.13</v>
      </c>
      <c r="BE124" s="432">
        <v>2023</v>
      </c>
      <c r="BF124" s="425"/>
      <c r="BG124" s="433"/>
      <c r="BH124" s="425"/>
      <c r="BI124" s="433"/>
      <c r="BJ124" s="434"/>
      <c r="BK124" s="431"/>
      <c r="BL124" s="435"/>
      <c r="BM124" s="432">
        <v>2024</v>
      </c>
      <c r="BN124" s="425"/>
      <c r="BO124" s="433"/>
      <c r="BP124" s="425"/>
      <c r="BQ124" s="433"/>
      <c r="BR124" s="434"/>
      <c r="BS124" s="431"/>
      <c r="BT124" s="435"/>
      <c r="BU124" s="1805" t="s">
        <v>687</v>
      </c>
      <c r="BV124" s="1806" t="s">
        <v>728</v>
      </c>
      <c r="BW124" s="1807" t="s">
        <v>678</v>
      </c>
      <c r="BX124" s="1808" t="s">
        <v>4981</v>
      </c>
      <c r="BY124" s="1809">
        <v>2021</v>
      </c>
      <c r="BZ124" s="424"/>
      <c r="CA124" s="424"/>
      <c r="CB124" s="430"/>
      <c r="CC124" s="431"/>
      <c r="CD124" s="432">
        <v>2024</v>
      </c>
      <c r="CE124" s="425"/>
      <c r="CF124" s="433"/>
      <c r="CG124" s="425"/>
      <c r="CH124" s="433"/>
      <c r="CI124" s="434"/>
      <c r="CJ124" s="431"/>
      <c r="CK124" s="435"/>
      <c r="CL124" s="432">
        <v>2022</v>
      </c>
      <c r="CM124" s="425">
        <v>0</v>
      </c>
      <c r="CN124" s="433"/>
      <c r="CO124" s="425">
        <v>0</v>
      </c>
      <c r="CP124" s="433"/>
      <c r="CQ124" s="434"/>
      <c r="CR124" s="431"/>
      <c r="CS124" s="435">
        <v>0</v>
      </c>
      <c r="CT124" s="432">
        <v>2023</v>
      </c>
      <c r="CU124" s="425"/>
      <c r="CV124" s="433"/>
      <c r="CW124" s="425"/>
      <c r="CX124" s="433"/>
      <c r="CY124" s="434"/>
      <c r="CZ124" s="431"/>
      <c r="DA124" s="435"/>
      <c r="DB124" s="432">
        <v>2024</v>
      </c>
      <c r="DC124" s="425"/>
      <c r="DD124" s="433"/>
      <c r="DE124" s="425"/>
      <c r="DF124" s="433"/>
      <c r="DG124" s="434"/>
      <c r="DH124" s="431"/>
      <c r="DI124" s="435"/>
      <c r="DJ124" s="1805"/>
      <c r="DK124" s="1806"/>
      <c r="DL124" s="1807"/>
      <c r="DM124" s="1808"/>
      <c r="DN124" s="1810">
        <v>0</v>
      </c>
      <c r="DO124" s="1799">
        <v>0</v>
      </c>
      <c r="DP124" s="1800">
        <v>0</v>
      </c>
      <c r="DQ124" s="1799">
        <v>0</v>
      </c>
      <c r="DR124" s="1800">
        <v>0</v>
      </c>
      <c r="DS124" s="1799">
        <v>0</v>
      </c>
    </row>
    <row r="125" spans="1:123" ht="108">
      <c r="A125" s="1801" t="s">
        <v>1533</v>
      </c>
      <c r="B125" s="1788" t="s">
        <v>1534</v>
      </c>
      <c r="C125" s="426">
        <v>2022</v>
      </c>
      <c r="D125" s="417" t="s">
        <v>681</v>
      </c>
      <c r="E125" s="1802">
        <v>1029175</v>
      </c>
      <c r="F125" s="1803" t="s">
        <v>1534</v>
      </c>
      <c r="G125" s="419">
        <v>45138</v>
      </c>
      <c r="H125" s="1790" t="s">
        <v>1535</v>
      </c>
      <c r="I125" s="1791" t="s">
        <v>1534</v>
      </c>
      <c r="J125" s="1793" t="s">
        <v>1536</v>
      </c>
      <c r="K125" s="1788" t="s">
        <v>1534</v>
      </c>
      <c r="L125" s="1791" t="s">
        <v>1536</v>
      </c>
      <c r="M125" s="1793" t="s">
        <v>1535</v>
      </c>
      <c r="N125" s="1790" t="s">
        <v>12</v>
      </c>
      <c r="O125" s="1793" t="s">
        <v>33</v>
      </c>
      <c r="P125" s="420" t="s">
        <v>683</v>
      </c>
      <c r="Q125" s="421"/>
      <c r="R125" s="421"/>
      <c r="S125" s="422"/>
      <c r="T125" s="1794"/>
      <c r="U125" s="423">
        <v>25052.161199999999</v>
      </c>
      <c r="V125" s="424">
        <v>10</v>
      </c>
      <c r="W125" s="424">
        <v>5</v>
      </c>
      <c r="X125" s="425"/>
      <c r="Y125" s="426">
        <v>2022</v>
      </c>
      <c r="Z125" s="417">
        <v>2024</v>
      </c>
      <c r="AA125" s="1804">
        <v>2022</v>
      </c>
      <c r="AB125" s="427"/>
      <c r="AC125" s="1793"/>
      <c r="AD125" s="428" t="s">
        <v>5863</v>
      </c>
      <c r="AE125" s="1791" t="s">
        <v>1537</v>
      </c>
      <c r="AF125" s="1791" t="s">
        <v>1535</v>
      </c>
      <c r="AG125" s="1793" t="s">
        <v>1538</v>
      </c>
      <c r="AH125" s="428"/>
      <c r="AI125" s="1793"/>
      <c r="AJ125" s="429">
        <v>2021</v>
      </c>
      <c r="AK125" s="424">
        <v>47243</v>
      </c>
      <c r="AL125" s="424">
        <v>46823</v>
      </c>
      <c r="AM125" s="430"/>
      <c r="AN125" s="431"/>
      <c r="AO125" s="432">
        <v>2024</v>
      </c>
      <c r="AP125" s="425">
        <v>45826</v>
      </c>
      <c r="AQ125" s="433">
        <v>2.99</v>
      </c>
      <c r="AR125" s="425">
        <v>32562</v>
      </c>
      <c r="AS125" s="433">
        <v>30.45</v>
      </c>
      <c r="AT125" s="434"/>
      <c r="AU125" s="431"/>
      <c r="AV125" s="435"/>
      <c r="AW125" s="432">
        <v>2022</v>
      </c>
      <c r="AX125" s="425">
        <v>45377</v>
      </c>
      <c r="AY125" s="433">
        <v>3.94</v>
      </c>
      <c r="AZ125" s="425">
        <v>45279</v>
      </c>
      <c r="BA125" s="433">
        <v>3.29</v>
      </c>
      <c r="BB125" s="434"/>
      <c r="BC125" s="431"/>
      <c r="BD125" s="435"/>
      <c r="BE125" s="432">
        <v>2023</v>
      </c>
      <c r="BF125" s="425"/>
      <c r="BG125" s="433"/>
      <c r="BH125" s="425"/>
      <c r="BI125" s="433"/>
      <c r="BJ125" s="434"/>
      <c r="BK125" s="431"/>
      <c r="BL125" s="435"/>
      <c r="BM125" s="432">
        <v>2024</v>
      </c>
      <c r="BN125" s="425"/>
      <c r="BO125" s="433"/>
      <c r="BP125" s="425"/>
      <c r="BQ125" s="433"/>
      <c r="BR125" s="434"/>
      <c r="BS125" s="431"/>
      <c r="BT125" s="435"/>
      <c r="BU125" s="1805" t="s">
        <v>687</v>
      </c>
      <c r="BV125" s="1806" t="s">
        <v>728</v>
      </c>
      <c r="BW125" s="1807" t="s">
        <v>688</v>
      </c>
      <c r="BX125" s="1808"/>
      <c r="BY125" s="1809">
        <v>2021</v>
      </c>
      <c r="BZ125" s="424"/>
      <c r="CA125" s="424"/>
      <c r="CB125" s="430"/>
      <c r="CC125" s="431"/>
      <c r="CD125" s="432">
        <v>2024</v>
      </c>
      <c r="CE125" s="425"/>
      <c r="CF125" s="433"/>
      <c r="CG125" s="425"/>
      <c r="CH125" s="433"/>
      <c r="CI125" s="434"/>
      <c r="CJ125" s="431"/>
      <c r="CK125" s="435"/>
      <c r="CL125" s="432">
        <v>2022</v>
      </c>
      <c r="CM125" s="425">
        <v>0</v>
      </c>
      <c r="CN125" s="433"/>
      <c r="CO125" s="425">
        <v>0</v>
      </c>
      <c r="CP125" s="433"/>
      <c r="CQ125" s="434"/>
      <c r="CR125" s="431"/>
      <c r="CS125" s="435">
        <v>0</v>
      </c>
      <c r="CT125" s="432">
        <v>2023</v>
      </c>
      <c r="CU125" s="425"/>
      <c r="CV125" s="433"/>
      <c r="CW125" s="425"/>
      <c r="CX125" s="433"/>
      <c r="CY125" s="434"/>
      <c r="CZ125" s="431"/>
      <c r="DA125" s="435"/>
      <c r="DB125" s="432">
        <v>2024</v>
      </c>
      <c r="DC125" s="425"/>
      <c r="DD125" s="433"/>
      <c r="DE125" s="425"/>
      <c r="DF125" s="433"/>
      <c r="DG125" s="434"/>
      <c r="DH125" s="431"/>
      <c r="DI125" s="435"/>
      <c r="DJ125" s="1805"/>
      <c r="DK125" s="1806"/>
      <c r="DL125" s="1807"/>
      <c r="DM125" s="1808"/>
      <c r="DN125" s="1810">
        <v>0</v>
      </c>
      <c r="DO125" s="1799">
        <v>0</v>
      </c>
      <c r="DP125" s="1800">
        <v>0</v>
      </c>
      <c r="DQ125" s="1799">
        <v>0</v>
      </c>
      <c r="DR125" s="1800">
        <v>0</v>
      </c>
      <c r="DS125" s="1799">
        <v>0</v>
      </c>
    </row>
    <row r="126" spans="1:123" ht="81">
      <c r="A126" s="1801" t="s">
        <v>1539</v>
      </c>
      <c r="B126" s="1788" t="s">
        <v>1540</v>
      </c>
      <c r="C126" s="426">
        <v>2022</v>
      </c>
      <c r="D126" s="417" t="s">
        <v>681</v>
      </c>
      <c r="E126" s="1802">
        <v>1067176</v>
      </c>
      <c r="F126" s="1803" t="s">
        <v>1540</v>
      </c>
      <c r="G126" s="419">
        <v>45168</v>
      </c>
      <c r="H126" s="1790" t="s">
        <v>1541</v>
      </c>
      <c r="I126" s="1791" t="s">
        <v>1540</v>
      </c>
      <c r="J126" s="1793" t="s">
        <v>4982</v>
      </c>
      <c r="K126" s="1788" t="s">
        <v>1540</v>
      </c>
      <c r="L126" s="1791" t="s">
        <v>4982</v>
      </c>
      <c r="M126" s="1793" t="s">
        <v>1541</v>
      </c>
      <c r="N126" s="1790" t="s">
        <v>70</v>
      </c>
      <c r="O126" s="1793" t="s">
        <v>76</v>
      </c>
      <c r="P126" s="420" t="s">
        <v>683</v>
      </c>
      <c r="Q126" s="421"/>
      <c r="R126" s="421"/>
      <c r="S126" s="422"/>
      <c r="T126" s="1794"/>
      <c r="U126" s="423">
        <v>2241.4524000000001</v>
      </c>
      <c r="V126" s="424">
        <v>25</v>
      </c>
      <c r="W126" s="424">
        <v>1</v>
      </c>
      <c r="X126" s="425"/>
      <c r="Y126" s="426">
        <v>2022</v>
      </c>
      <c r="Z126" s="417">
        <v>2024</v>
      </c>
      <c r="AA126" s="1804">
        <v>2022</v>
      </c>
      <c r="AB126" s="427"/>
      <c r="AC126" s="1793"/>
      <c r="AD126" s="428" t="s">
        <v>5863</v>
      </c>
      <c r="AE126" s="1791" t="s">
        <v>1542</v>
      </c>
      <c r="AF126" s="1791" t="s">
        <v>1543</v>
      </c>
      <c r="AG126" s="1793" t="s">
        <v>1544</v>
      </c>
      <c r="AH126" s="428"/>
      <c r="AI126" s="1793"/>
      <c r="AJ126" s="429">
        <v>2021</v>
      </c>
      <c r="AK126" s="424">
        <v>4020</v>
      </c>
      <c r="AL126" s="424">
        <v>3989</v>
      </c>
      <c r="AM126" s="430">
        <v>52.05</v>
      </c>
      <c r="AN126" s="431" t="s">
        <v>727</v>
      </c>
      <c r="AO126" s="432">
        <v>2024</v>
      </c>
      <c r="AP126" s="425">
        <v>3901</v>
      </c>
      <c r="AQ126" s="433">
        <v>2.96</v>
      </c>
      <c r="AR126" s="425">
        <v>3871</v>
      </c>
      <c r="AS126" s="433">
        <v>2.95</v>
      </c>
      <c r="AT126" s="434">
        <v>50.5</v>
      </c>
      <c r="AU126" s="431" t="s">
        <v>727</v>
      </c>
      <c r="AV126" s="435">
        <v>2.97</v>
      </c>
      <c r="AW126" s="432">
        <v>2022</v>
      </c>
      <c r="AX126" s="425">
        <v>4053</v>
      </c>
      <c r="AY126" s="433">
        <v>-0.83</v>
      </c>
      <c r="AZ126" s="425">
        <v>3866</v>
      </c>
      <c r="BA126" s="433">
        <v>3.08</v>
      </c>
      <c r="BB126" s="434">
        <v>52.824845429002139</v>
      </c>
      <c r="BC126" s="431" t="s">
        <v>727</v>
      </c>
      <c r="BD126" s="435">
        <v>-1.49</v>
      </c>
      <c r="BE126" s="432">
        <v>2023</v>
      </c>
      <c r="BF126" s="425"/>
      <c r="BG126" s="433"/>
      <c r="BH126" s="425"/>
      <c r="BI126" s="433"/>
      <c r="BJ126" s="434"/>
      <c r="BK126" s="431"/>
      <c r="BL126" s="435"/>
      <c r="BM126" s="432">
        <v>2024</v>
      </c>
      <c r="BN126" s="425"/>
      <c r="BO126" s="433"/>
      <c r="BP126" s="425"/>
      <c r="BQ126" s="433"/>
      <c r="BR126" s="434"/>
      <c r="BS126" s="431"/>
      <c r="BT126" s="435"/>
      <c r="BU126" s="1805" t="s">
        <v>676</v>
      </c>
      <c r="BV126" s="1806" t="s">
        <v>728</v>
      </c>
      <c r="BW126" s="1807" t="s">
        <v>678</v>
      </c>
      <c r="BX126" s="1808" t="s">
        <v>4983</v>
      </c>
      <c r="BY126" s="1809">
        <v>2021</v>
      </c>
      <c r="BZ126" s="424"/>
      <c r="CA126" s="424"/>
      <c r="CB126" s="430"/>
      <c r="CC126" s="431"/>
      <c r="CD126" s="432">
        <v>2024</v>
      </c>
      <c r="CE126" s="425"/>
      <c r="CF126" s="433"/>
      <c r="CG126" s="425"/>
      <c r="CH126" s="433"/>
      <c r="CI126" s="434"/>
      <c r="CJ126" s="431"/>
      <c r="CK126" s="435"/>
      <c r="CL126" s="432">
        <v>2022</v>
      </c>
      <c r="CM126" s="425">
        <v>0</v>
      </c>
      <c r="CN126" s="433"/>
      <c r="CO126" s="425">
        <v>0</v>
      </c>
      <c r="CP126" s="433"/>
      <c r="CQ126" s="434"/>
      <c r="CR126" s="431"/>
      <c r="CS126" s="435">
        <v>0</v>
      </c>
      <c r="CT126" s="432">
        <v>2023</v>
      </c>
      <c r="CU126" s="425"/>
      <c r="CV126" s="433"/>
      <c r="CW126" s="425"/>
      <c r="CX126" s="433"/>
      <c r="CY126" s="434"/>
      <c r="CZ126" s="431"/>
      <c r="DA126" s="435"/>
      <c r="DB126" s="432">
        <v>2024</v>
      </c>
      <c r="DC126" s="425"/>
      <c r="DD126" s="433"/>
      <c r="DE126" s="425"/>
      <c r="DF126" s="433"/>
      <c r="DG126" s="434"/>
      <c r="DH126" s="431"/>
      <c r="DI126" s="435"/>
      <c r="DJ126" s="1805"/>
      <c r="DK126" s="1806"/>
      <c r="DL126" s="1807"/>
      <c r="DM126" s="1808"/>
      <c r="DN126" s="1810">
        <v>0</v>
      </c>
      <c r="DO126" s="1799">
        <v>4</v>
      </c>
      <c r="DP126" s="1800">
        <v>0</v>
      </c>
      <c r="DQ126" s="1799">
        <v>0</v>
      </c>
      <c r="DR126" s="1800">
        <v>0</v>
      </c>
      <c r="DS126" s="1799">
        <v>0</v>
      </c>
    </row>
    <row r="127" spans="1:123" ht="67.5">
      <c r="A127" s="1801" t="s">
        <v>1545</v>
      </c>
      <c r="B127" s="1788" t="s">
        <v>1546</v>
      </c>
      <c r="C127" s="426">
        <v>2022</v>
      </c>
      <c r="D127" s="417" t="s">
        <v>714</v>
      </c>
      <c r="E127" s="1802">
        <v>3043177</v>
      </c>
      <c r="F127" s="1803" t="s">
        <v>1546</v>
      </c>
      <c r="G127" s="419">
        <v>45138</v>
      </c>
      <c r="H127" s="1790" t="s">
        <v>1547</v>
      </c>
      <c r="I127" s="1791" t="s">
        <v>1546</v>
      </c>
      <c r="J127" s="1793" t="s">
        <v>4984</v>
      </c>
      <c r="K127" s="1788" t="s">
        <v>1546</v>
      </c>
      <c r="L127" s="1791" t="s">
        <v>4984</v>
      </c>
      <c r="M127" s="1793" t="s">
        <v>1547</v>
      </c>
      <c r="N127" s="1790" t="s">
        <v>48</v>
      </c>
      <c r="O127" s="1793" t="s">
        <v>50</v>
      </c>
      <c r="P127" s="420"/>
      <c r="Q127" s="421"/>
      <c r="R127" s="421" t="s">
        <v>717</v>
      </c>
      <c r="S127" s="422"/>
      <c r="T127" s="1794"/>
      <c r="U127" s="423"/>
      <c r="V127" s="424"/>
      <c r="W127" s="424"/>
      <c r="X127" s="425">
        <v>230</v>
      </c>
      <c r="Y127" s="426">
        <v>2022</v>
      </c>
      <c r="Z127" s="417">
        <v>2024</v>
      </c>
      <c r="AA127" s="1804">
        <v>2022</v>
      </c>
      <c r="AB127" s="427"/>
      <c r="AC127" s="1793"/>
      <c r="AD127" s="428" t="s">
        <v>5863</v>
      </c>
      <c r="AE127" s="1791" t="s">
        <v>1546</v>
      </c>
      <c r="AF127" s="1791" t="s">
        <v>1547</v>
      </c>
      <c r="AG127" s="1793" t="s">
        <v>1548</v>
      </c>
      <c r="AH127" s="428"/>
      <c r="AI127" s="1793"/>
      <c r="AJ127" s="429">
        <v>2021</v>
      </c>
      <c r="AK127" s="424">
        <v>0</v>
      </c>
      <c r="AL127" s="424"/>
      <c r="AM127" s="430"/>
      <c r="AN127" s="431"/>
      <c r="AO127" s="432">
        <v>2024</v>
      </c>
      <c r="AP127" s="425">
        <v>0</v>
      </c>
      <c r="AQ127" s="433"/>
      <c r="AR127" s="425">
        <v>0</v>
      </c>
      <c r="AS127" s="433"/>
      <c r="AT127" s="434"/>
      <c r="AU127" s="431"/>
      <c r="AV127" s="435"/>
      <c r="AW127" s="432">
        <v>2022</v>
      </c>
      <c r="AX127" s="425"/>
      <c r="AY127" s="433"/>
      <c r="AZ127" s="425"/>
      <c r="BA127" s="433"/>
      <c r="BB127" s="434"/>
      <c r="BC127" s="431"/>
      <c r="BD127" s="435"/>
      <c r="BE127" s="432">
        <v>2023</v>
      </c>
      <c r="BF127" s="425"/>
      <c r="BG127" s="433"/>
      <c r="BH127" s="425"/>
      <c r="BI127" s="433"/>
      <c r="BJ127" s="434"/>
      <c r="BK127" s="431"/>
      <c r="BL127" s="435"/>
      <c r="BM127" s="432">
        <v>2024</v>
      </c>
      <c r="BN127" s="425"/>
      <c r="BO127" s="433"/>
      <c r="BP127" s="425"/>
      <c r="BQ127" s="433"/>
      <c r="BR127" s="434"/>
      <c r="BS127" s="431"/>
      <c r="BT127" s="435"/>
      <c r="BU127" s="1805"/>
      <c r="BV127" s="1806"/>
      <c r="BW127" s="1807"/>
      <c r="BX127" s="1808"/>
      <c r="BY127" s="1809">
        <v>2021</v>
      </c>
      <c r="BZ127" s="424">
        <v>6673</v>
      </c>
      <c r="CA127" s="424">
        <v>6673</v>
      </c>
      <c r="CB127" s="430"/>
      <c r="CC127" s="431"/>
      <c r="CD127" s="432">
        <v>2024</v>
      </c>
      <c r="CE127" s="425">
        <v>6666.3270000000002</v>
      </c>
      <c r="CF127" s="433">
        <v>0.09</v>
      </c>
      <c r="CG127" s="425">
        <v>6666</v>
      </c>
      <c r="CH127" s="433">
        <v>0.1</v>
      </c>
      <c r="CI127" s="434"/>
      <c r="CJ127" s="431"/>
      <c r="CK127" s="435"/>
      <c r="CL127" s="432">
        <v>2022</v>
      </c>
      <c r="CM127" s="425">
        <v>6985.4403000000002</v>
      </c>
      <c r="CN127" s="433">
        <v>-4.6900000000000004</v>
      </c>
      <c r="CO127" s="425">
        <v>6985.4403000000002</v>
      </c>
      <c r="CP127" s="433">
        <v>-4.6900000000000004</v>
      </c>
      <c r="CQ127" s="434"/>
      <c r="CR127" s="431"/>
      <c r="CS127" s="435"/>
      <c r="CT127" s="432">
        <v>2023</v>
      </c>
      <c r="CU127" s="425"/>
      <c r="CV127" s="433"/>
      <c r="CW127" s="425"/>
      <c r="CX127" s="433"/>
      <c r="CY127" s="434"/>
      <c r="CZ127" s="431"/>
      <c r="DA127" s="435"/>
      <c r="DB127" s="432">
        <v>2024</v>
      </c>
      <c r="DC127" s="425"/>
      <c r="DD127" s="433"/>
      <c r="DE127" s="425"/>
      <c r="DF127" s="433"/>
      <c r="DG127" s="434"/>
      <c r="DH127" s="431"/>
      <c r="DI127" s="435"/>
      <c r="DJ127" s="1805" t="s">
        <v>676</v>
      </c>
      <c r="DK127" s="1806" t="s">
        <v>728</v>
      </c>
      <c r="DL127" s="1807" t="s">
        <v>678</v>
      </c>
      <c r="DM127" s="1808" t="s">
        <v>4985</v>
      </c>
      <c r="DN127" s="1810">
        <v>0</v>
      </c>
      <c r="DO127" s="1799">
        <v>0</v>
      </c>
      <c r="DP127" s="1800">
        <v>0</v>
      </c>
      <c r="DQ127" s="1799">
        <v>0</v>
      </c>
      <c r="DR127" s="1800">
        <v>0</v>
      </c>
      <c r="DS127" s="1799">
        <v>0</v>
      </c>
    </row>
    <row r="128" spans="1:123" ht="121.5">
      <c r="A128" s="1801" t="s">
        <v>1550</v>
      </c>
      <c r="B128" s="1788" t="s">
        <v>1551</v>
      </c>
      <c r="C128" s="426">
        <v>2022</v>
      </c>
      <c r="D128" s="417" t="s">
        <v>681</v>
      </c>
      <c r="E128" s="1802">
        <v>1016178</v>
      </c>
      <c r="F128" s="1803" t="s">
        <v>1551</v>
      </c>
      <c r="G128" s="419">
        <v>45125</v>
      </c>
      <c r="H128" s="1790" t="s">
        <v>1552</v>
      </c>
      <c r="I128" s="1791" t="s">
        <v>1551</v>
      </c>
      <c r="J128" s="1793" t="s">
        <v>4986</v>
      </c>
      <c r="K128" s="1788" t="s">
        <v>1551</v>
      </c>
      <c r="L128" s="1791" t="s">
        <v>4987</v>
      </c>
      <c r="M128" s="1793" t="s">
        <v>1553</v>
      </c>
      <c r="N128" s="1790" t="s">
        <v>12</v>
      </c>
      <c r="O128" s="1793" t="s">
        <v>20</v>
      </c>
      <c r="P128" s="420" t="s">
        <v>683</v>
      </c>
      <c r="Q128" s="421"/>
      <c r="R128" s="421"/>
      <c r="S128" s="422"/>
      <c r="T128" s="1794"/>
      <c r="U128" s="423">
        <v>11460.2052</v>
      </c>
      <c r="V128" s="424">
        <v>2</v>
      </c>
      <c r="W128" s="424">
        <v>2</v>
      </c>
      <c r="X128" s="425"/>
      <c r="Y128" s="426">
        <v>2022</v>
      </c>
      <c r="Z128" s="417">
        <v>2024</v>
      </c>
      <c r="AA128" s="1804">
        <v>2022</v>
      </c>
      <c r="AB128" s="427"/>
      <c r="AC128" s="1793"/>
      <c r="AD128" s="428" t="s">
        <v>5863</v>
      </c>
      <c r="AE128" s="1791" t="s">
        <v>1554</v>
      </c>
      <c r="AF128" s="1791" t="s">
        <v>1555</v>
      </c>
      <c r="AG128" s="1793" t="s">
        <v>1556</v>
      </c>
      <c r="AH128" s="428"/>
      <c r="AI128" s="1793"/>
      <c r="AJ128" s="429">
        <v>2021</v>
      </c>
      <c r="AK128" s="424">
        <v>16794</v>
      </c>
      <c r="AL128" s="424">
        <v>17183</v>
      </c>
      <c r="AM128" s="430"/>
      <c r="AN128" s="431"/>
      <c r="AO128" s="432">
        <v>2024</v>
      </c>
      <c r="AP128" s="425">
        <v>23593</v>
      </c>
      <c r="AQ128" s="433">
        <v>-40.49</v>
      </c>
      <c r="AR128" s="425">
        <v>24139</v>
      </c>
      <c r="AS128" s="433">
        <v>-40.49</v>
      </c>
      <c r="AT128" s="434"/>
      <c r="AU128" s="431"/>
      <c r="AV128" s="435"/>
      <c r="AW128" s="432">
        <v>2022</v>
      </c>
      <c r="AX128" s="425">
        <v>22269</v>
      </c>
      <c r="AY128" s="433">
        <v>-32.61</v>
      </c>
      <c r="AZ128" s="425">
        <v>22121</v>
      </c>
      <c r="BA128" s="433">
        <v>-28.74</v>
      </c>
      <c r="BB128" s="434"/>
      <c r="BC128" s="431"/>
      <c r="BD128" s="435"/>
      <c r="BE128" s="432">
        <v>2023</v>
      </c>
      <c r="BF128" s="425"/>
      <c r="BG128" s="433"/>
      <c r="BH128" s="425"/>
      <c r="BI128" s="433"/>
      <c r="BJ128" s="434"/>
      <c r="BK128" s="431"/>
      <c r="BL128" s="435"/>
      <c r="BM128" s="432">
        <v>2024</v>
      </c>
      <c r="BN128" s="425"/>
      <c r="BO128" s="433"/>
      <c r="BP128" s="425"/>
      <c r="BQ128" s="433"/>
      <c r="BR128" s="434"/>
      <c r="BS128" s="431"/>
      <c r="BT128" s="435"/>
      <c r="BU128" s="1805" t="s">
        <v>719</v>
      </c>
      <c r="BV128" s="1806" t="s">
        <v>728</v>
      </c>
      <c r="BW128" s="1807" t="s">
        <v>678</v>
      </c>
      <c r="BX128" s="1808" t="s">
        <v>4988</v>
      </c>
      <c r="BY128" s="1809">
        <v>2021</v>
      </c>
      <c r="BZ128" s="424"/>
      <c r="CA128" s="424"/>
      <c r="CB128" s="430"/>
      <c r="CC128" s="431"/>
      <c r="CD128" s="432">
        <v>2024</v>
      </c>
      <c r="CE128" s="425"/>
      <c r="CF128" s="433"/>
      <c r="CG128" s="425"/>
      <c r="CH128" s="433"/>
      <c r="CI128" s="434"/>
      <c r="CJ128" s="431"/>
      <c r="CK128" s="435"/>
      <c r="CL128" s="432">
        <v>2022</v>
      </c>
      <c r="CM128" s="425">
        <v>0</v>
      </c>
      <c r="CN128" s="433"/>
      <c r="CO128" s="425">
        <v>0</v>
      </c>
      <c r="CP128" s="433"/>
      <c r="CQ128" s="434"/>
      <c r="CR128" s="431"/>
      <c r="CS128" s="435"/>
      <c r="CT128" s="432">
        <v>2023</v>
      </c>
      <c r="CU128" s="425"/>
      <c r="CV128" s="433"/>
      <c r="CW128" s="425"/>
      <c r="CX128" s="433"/>
      <c r="CY128" s="434"/>
      <c r="CZ128" s="431"/>
      <c r="DA128" s="435"/>
      <c r="DB128" s="432">
        <v>2024</v>
      </c>
      <c r="DC128" s="425"/>
      <c r="DD128" s="433"/>
      <c r="DE128" s="425"/>
      <c r="DF128" s="433"/>
      <c r="DG128" s="434"/>
      <c r="DH128" s="431"/>
      <c r="DI128" s="435"/>
      <c r="DJ128" s="1805"/>
      <c r="DK128" s="1806"/>
      <c r="DL128" s="1807"/>
      <c r="DM128" s="1808"/>
      <c r="DN128" s="1810">
        <v>0</v>
      </c>
      <c r="DO128" s="1799">
        <v>0</v>
      </c>
      <c r="DP128" s="1800">
        <v>0</v>
      </c>
      <c r="DQ128" s="1799">
        <v>0</v>
      </c>
      <c r="DR128" s="1800">
        <v>0</v>
      </c>
      <c r="DS128" s="1799">
        <v>0</v>
      </c>
    </row>
    <row r="129" spans="1:123" ht="67.5">
      <c r="A129" s="1801" t="s">
        <v>1557</v>
      </c>
      <c r="B129" s="1788" t="s">
        <v>1558</v>
      </c>
      <c r="C129" s="426">
        <v>2022</v>
      </c>
      <c r="D129" s="417" t="s">
        <v>681</v>
      </c>
      <c r="E129" s="1802">
        <v>1009179</v>
      </c>
      <c r="F129" s="1803" t="s">
        <v>1558</v>
      </c>
      <c r="G129" s="419">
        <v>45155</v>
      </c>
      <c r="H129" s="1790" t="s">
        <v>1559</v>
      </c>
      <c r="I129" s="1791" t="s">
        <v>1558</v>
      </c>
      <c r="J129" s="1793" t="s">
        <v>1560</v>
      </c>
      <c r="K129" s="1788" t="s">
        <v>1558</v>
      </c>
      <c r="L129" s="1791" t="s">
        <v>1560</v>
      </c>
      <c r="M129" s="1793" t="s">
        <v>1559</v>
      </c>
      <c r="N129" s="1790" t="s">
        <v>12</v>
      </c>
      <c r="O129" s="1793" t="s">
        <v>13</v>
      </c>
      <c r="P129" s="420" t="s">
        <v>683</v>
      </c>
      <c r="Q129" s="421"/>
      <c r="R129" s="421"/>
      <c r="S129" s="422"/>
      <c r="T129" s="1794"/>
      <c r="U129" s="423">
        <v>43309.221599999997</v>
      </c>
      <c r="V129" s="424">
        <v>2</v>
      </c>
      <c r="W129" s="424">
        <v>1</v>
      </c>
      <c r="X129" s="425"/>
      <c r="Y129" s="426">
        <v>2022</v>
      </c>
      <c r="Z129" s="417">
        <v>2024</v>
      </c>
      <c r="AA129" s="1804">
        <v>2022</v>
      </c>
      <c r="AB129" s="427"/>
      <c r="AC129" s="1793"/>
      <c r="AD129" s="428" t="s">
        <v>5863</v>
      </c>
      <c r="AE129" s="1791" t="s">
        <v>1561</v>
      </c>
      <c r="AF129" s="1791" t="s">
        <v>1562</v>
      </c>
      <c r="AG129" s="1793" t="s">
        <v>1563</v>
      </c>
      <c r="AH129" s="428"/>
      <c r="AI129" s="1793"/>
      <c r="AJ129" s="429">
        <v>2021</v>
      </c>
      <c r="AK129" s="424">
        <v>68833</v>
      </c>
      <c r="AL129" s="424">
        <v>69109</v>
      </c>
      <c r="AM129" s="430"/>
      <c r="AN129" s="431"/>
      <c r="AO129" s="432">
        <v>2024</v>
      </c>
      <c r="AP129" s="425">
        <v>66768.009999999995</v>
      </c>
      <c r="AQ129" s="433">
        <v>3</v>
      </c>
      <c r="AR129" s="425">
        <v>67035.73</v>
      </c>
      <c r="AS129" s="433">
        <v>3</v>
      </c>
      <c r="AT129" s="434"/>
      <c r="AU129" s="431"/>
      <c r="AV129" s="435"/>
      <c r="AW129" s="432">
        <v>2022</v>
      </c>
      <c r="AX129" s="425">
        <v>68164</v>
      </c>
      <c r="AY129" s="433">
        <v>0.97</v>
      </c>
      <c r="AZ129" s="425">
        <v>68376</v>
      </c>
      <c r="BA129" s="433">
        <v>1.06</v>
      </c>
      <c r="BB129" s="434"/>
      <c r="BC129" s="431"/>
      <c r="BD129" s="435"/>
      <c r="BE129" s="432">
        <v>2023</v>
      </c>
      <c r="BF129" s="425"/>
      <c r="BG129" s="433"/>
      <c r="BH129" s="425"/>
      <c r="BI129" s="433"/>
      <c r="BJ129" s="434"/>
      <c r="BK129" s="431"/>
      <c r="BL129" s="435"/>
      <c r="BM129" s="432">
        <v>2024</v>
      </c>
      <c r="BN129" s="425"/>
      <c r="BO129" s="433"/>
      <c r="BP129" s="425"/>
      <c r="BQ129" s="433"/>
      <c r="BR129" s="434"/>
      <c r="BS129" s="431"/>
      <c r="BT129" s="435"/>
      <c r="BU129" s="1805" t="s">
        <v>719</v>
      </c>
      <c r="BV129" s="1806" t="s">
        <v>728</v>
      </c>
      <c r="BW129" s="1807" t="s">
        <v>678</v>
      </c>
      <c r="BX129" s="1808" t="s">
        <v>4989</v>
      </c>
      <c r="BY129" s="1809">
        <v>2021</v>
      </c>
      <c r="BZ129" s="424"/>
      <c r="CA129" s="424"/>
      <c r="CB129" s="430"/>
      <c r="CC129" s="431"/>
      <c r="CD129" s="432">
        <v>2024</v>
      </c>
      <c r="CE129" s="425"/>
      <c r="CF129" s="433"/>
      <c r="CG129" s="425"/>
      <c r="CH129" s="433"/>
      <c r="CI129" s="434"/>
      <c r="CJ129" s="431"/>
      <c r="CK129" s="435"/>
      <c r="CL129" s="432">
        <v>2022</v>
      </c>
      <c r="CM129" s="425">
        <v>0</v>
      </c>
      <c r="CN129" s="433"/>
      <c r="CO129" s="425">
        <v>0</v>
      </c>
      <c r="CP129" s="433"/>
      <c r="CQ129" s="434"/>
      <c r="CR129" s="431"/>
      <c r="CS129" s="435">
        <v>0</v>
      </c>
      <c r="CT129" s="432">
        <v>2023</v>
      </c>
      <c r="CU129" s="425"/>
      <c r="CV129" s="433"/>
      <c r="CW129" s="425"/>
      <c r="CX129" s="433"/>
      <c r="CY129" s="434"/>
      <c r="CZ129" s="431"/>
      <c r="DA129" s="435"/>
      <c r="DB129" s="432">
        <v>2024</v>
      </c>
      <c r="DC129" s="425"/>
      <c r="DD129" s="433"/>
      <c r="DE129" s="425"/>
      <c r="DF129" s="433"/>
      <c r="DG129" s="434"/>
      <c r="DH129" s="431"/>
      <c r="DI129" s="435"/>
      <c r="DJ129" s="1805"/>
      <c r="DK129" s="1806"/>
      <c r="DL129" s="1807"/>
      <c r="DM129" s="1808"/>
      <c r="DN129" s="1810">
        <v>0</v>
      </c>
      <c r="DO129" s="1799">
        <v>0</v>
      </c>
      <c r="DP129" s="1800">
        <v>0</v>
      </c>
      <c r="DQ129" s="1799">
        <v>0</v>
      </c>
      <c r="DR129" s="1800">
        <v>0</v>
      </c>
      <c r="DS129" s="1799">
        <v>0</v>
      </c>
    </row>
    <row r="130" spans="1:123" ht="67.5">
      <c r="A130" s="1801" t="s">
        <v>1564</v>
      </c>
      <c r="B130" s="1788" t="s">
        <v>1565</v>
      </c>
      <c r="C130" s="426">
        <v>2022</v>
      </c>
      <c r="D130" s="417" t="s">
        <v>681</v>
      </c>
      <c r="E130" s="1802">
        <v>1069181</v>
      </c>
      <c r="F130" s="1803" t="s">
        <v>1565</v>
      </c>
      <c r="G130" s="419">
        <v>45125</v>
      </c>
      <c r="H130" s="1790" t="s">
        <v>1566</v>
      </c>
      <c r="I130" s="1791" t="s">
        <v>1565</v>
      </c>
      <c r="J130" s="1793" t="s">
        <v>4990</v>
      </c>
      <c r="K130" s="1788" t="s">
        <v>1565</v>
      </c>
      <c r="L130" s="1791" t="s">
        <v>4990</v>
      </c>
      <c r="M130" s="1793" t="s">
        <v>1566</v>
      </c>
      <c r="N130" s="1790" t="s">
        <v>77</v>
      </c>
      <c r="O130" s="1793" t="s">
        <v>79</v>
      </c>
      <c r="P130" s="420" t="s">
        <v>683</v>
      </c>
      <c r="Q130" s="421"/>
      <c r="R130" s="421"/>
      <c r="S130" s="422"/>
      <c r="T130" s="1794"/>
      <c r="U130" s="423">
        <v>2866.8186000000001</v>
      </c>
      <c r="V130" s="424">
        <v>2</v>
      </c>
      <c r="W130" s="424">
        <v>2</v>
      </c>
      <c r="X130" s="425"/>
      <c r="Y130" s="426">
        <v>2022</v>
      </c>
      <c r="Z130" s="417">
        <v>2024</v>
      </c>
      <c r="AA130" s="1804">
        <v>2022</v>
      </c>
      <c r="AB130" s="427"/>
      <c r="AC130" s="1793"/>
      <c r="AD130" s="428" t="s">
        <v>5863</v>
      </c>
      <c r="AE130" s="1791" t="s">
        <v>1567</v>
      </c>
      <c r="AF130" s="1791" t="s">
        <v>1568</v>
      </c>
      <c r="AG130" s="1793" t="s">
        <v>1569</v>
      </c>
      <c r="AH130" s="428"/>
      <c r="AI130" s="1793"/>
      <c r="AJ130" s="429">
        <v>2021</v>
      </c>
      <c r="AK130" s="424">
        <v>5024</v>
      </c>
      <c r="AL130" s="424">
        <v>5021</v>
      </c>
      <c r="AM130" s="430"/>
      <c r="AN130" s="431"/>
      <c r="AO130" s="432">
        <v>2024</v>
      </c>
      <c r="AP130" s="425">
        <v>4973.76</v>
      </c>
      <c r="AQ130" s="433">
        <v>0.99</v>
      </c>
      <c r="AR130" s="425">
        <v>4970.79</v>
      </c>
      <c r="AS130" s="433">
        <v>1</v>
      </c>
      <c r="AT130" s="434"/>
      <c r="AU130" s="431"/>
      <c r="AV130" s="435"/>
      <c r="AW130" s="432">
        <v>2022</v>
      </c>
      <c r="AX130" s="425">
        <v>4629</v>
      </c>
      <c r="AY130" s="433">
        <v>7.86</v>
      </c>
      <c r="AZ130" s="425">
        <v>4674</v>
      </c>
      <c r="BA130" s="433">
        <v>6.91</v>
      </c>
      <c r="BB130" s="434"/>
      <c r="BC130" s="431"/>
      <c r="BD130" s="435"/>
      <c r="BE130" s="432">
        <v>2023</v>
      </c>
      <c r="BF130" s="425"/>
      <c r="BG130" s="433"/>
      <c r="BH130" s="425"/>
      <c r="BI130" s="433"/>
      <c r="BJ130" s="434"/>
      <c r="BK130" s="431"/>
      <c r="BL130" s="435"/>
      <c r="BM130" s="432">
        <v>2024</v>
      </c>
      <c r="BN130" s="425"/>
      <c r="BO130" s="433"/>
      <c r="BP130" s="425"/>
      <c r="BQ130" s="433"/>
      <c r="BR130" s="434"/>
      <c r="BS130" s="431"/>
      <c r="BT130" s="435"/>
      <c r="BU130" s="1805" t="s">
        <v>687</v>
      </c>
      <c r="BV130" s="1806" t="s">
        <v>728</v>
      </c>
      <c r="BW130" s="1807" t="s">
        <v>678</v>
      </c>
      <c r="BX130" s="1808"/>
      <c r="BY130" s="1809">
        <v>2021</v>
      </c>
      <c r="BZ130" s="424"/>
      <c r="CA130" s="424"/>
      <c r="CB130" s="430"/>
      <c r="CC130" s="431"/>
      <c r="CD130" s="432">
        <v>2024</v>
      </c>
      <c r="CE130" s="425"/>
      <c r="CF130" s="433"/>
      <c r="CG130" s="425"/>
      <c r="CH130" s="433"/>
      <c r="CI130" s="434"/>
      <c r="CJ130" s="431"/>
      <c r="CK130" s="435"/>
      <c r="CL130" s="432">
        <v>2022</v>
      </c>
      <c r="CM130" s="425">
        <v>0</v>
      </c>
      <c r="CN130" s="433"/>
      <c r="CO130" s="425">
        <v>0</v>
      </c>
      <c r="CP130" s="433"/>
      <c r="CQ130" s="434"/>
      <c r="CR130" s="431"/>
      <c r="CS130" s="435">
        <v>0</v>
      </c>
      <c r="CT130" s="432">
        <v>2023</v>
      </c>
      <c r="CU130" s="425"/>
      <c r="CV130" s="433"/>
      <c r="CW130" s="425"/>
      <c r="CX130" s="433"/>
      <c r="CY130" s="434"/>
      <c r="CZ130" s="431"/>
      <c r="DA130" s="435"/>
      <c r="DB130" s="432">
        <v>2024</v>
      </c>
      <c r="DC130" s="425"/>
      <c r="DD130" s="433"/>
      <c r="DE130" s="425"/>
      <c r="DF130" s="433"/>
      <c r="DG130" s="434"/>
      <c r="DH130" s="431"/>
      <c r="DI130" s="435"/>
      <c r="DJ130" s="1805"/>
      <c r="DK130" s="1806"/>
      <c r="DL130" s="1807"/>
      <c r="DM130" s="1808"/>
      <c r="DN130" s="1810">
        <v>0</v>
      </c>
      <c r="DO130" s="1799">
        <v>0</v>
      </c>
      <c r="DP130" s="1800">
        <v>0</v>
      </c>
      <c r="DQ130" s="1799">
        <v>0</v>
      </c>
      <c r="DR130" s="1800">
        <v>0</v>
      </c>
      <c r="DS130" s="1799">
        <v>0</v>
      </c>
    </row>
    <row r="131" spans="1:123" ht="54">
      <c r="A131" s="1801" t="s">
        <v>5713</v>
      </c>
      <c r="B131" s="1788" t="s">
        <v>5717</v>
      </c>
      <c r="C131" s="426">
        <v>2022</v>
      </c>
      <c r="D131" s="417" t="s">
        <v>681</v>
      </c>
      <c r="E131" s="1802">
        <v>1056183</v>
      </c>
      <c r="F131" s="1803" t="s">
        <v>5717</v>
      </c>
      <c r="G131" s="419">
        <v>45135</v>
      </c>
      <c r="H131" s="1790" t="s">
        <v>5715</v>
      </c>
      <c r="I131" s="1791" t="s">
        <v>5714</v>
      </c>
      <c r="J131" s="1793" t="s">
        <v>5716</v>
      </c>
      <c r="K131" s="1788" t="s">
        <v>5717</v>
      </c>
      <c r="L131" s="1791" t="s">
        <v>5718</v>
      </c>
      <c r="M131" s="1793" t="s">
        <v>847</v>
      </c>
      <c r="N131" s="1790" t="s">
        <v>57</v>
      </c>
      <c r="O131" s="1793" t="s">
        <v>64</v>
      </c>
      <c r="P131" s="420" t="s">
        <v>683</v>
      </c>
      <c r="Q131" s="421"/>
      <c r="R131" s="421"/>
      <c r="S131" s="422"/>
      <c r="T131" s="1794"/>
      <c r="U131" s="423">
        <v>3337.6170000000002</v>
      </c>
      <c r="V131" s="424">
        <v>9</v>
      </c>
      <c r="W131" s="424">
        <v>1</v>
      </c>
      <c r="X131" s="425"/>
      <c r="Y131" s="426">
        <v>2022</v>
      </c>
      <c r="Z131" s="417">
        <v>2024</v>
      </c>
      <c r="AA131" s="1804">
        <v>2022</v>
      </c>
      <c r="AB131" s="427"/>
      <c r="AC131" s="1793"/>
      <c r="AD131" s="428" t="s">
        <v>5863</v>
      </c>
      <c r="AE131" s="1791" t="s">
        <v>5719</v>
      </c>
      <c r="AF131" s="1791" t="s">
        <v>5720</v>
      </c>
      <c r="AG131" s="1793" t="s">
        <v>5721</v>
      </c>
      <c r="AH131" s="428"/>
      <c r="AI131" s="1793"/>
      <c r="AJ131" s="429">
        <v>2021</v>
      </c>
      <c r="AK131" s="424">
        <v>6142</v>
      </c>
      <c r="AL131" s="424">
        <v>6086</v>
      </c>
      <c r="AM131" s="430">
        <v>0.57999999999999996</v>
      </c>
      <c r="AN131" s="431" t="s">
        <v>5722</v>
      </c>
      <c r="AO131" s="432">
        <v>2024</v>
      </c>
      <c r="AP131" s="425">
        <v>5957.74</v>
      </c>
      <c r="AQ131" s="433">
        <v>3</v>
      </c>
      <c r="AR131" s="425">
        <v>5903.42</v>
      </c>
      <c r="AS131" s="433">
        <v>3</v>
      </c>
      <c r="AT131" s="434">
        <v>0.56259999999999999</v>
      </c>
      <c r="AU131" s="431" t="s">
        <v>5722</v>
      </c>
      <c r="AV131" s="435">
        <v>3</v>
      </c>
      <c r="AW131" s="432">
        <v>2022</v>
      </c>
      <c r="AX131" s="425">
        <v>6039</v>
      </c>
      <c r="AY131" s="433">
        <v>1.67</v>
      </c>
      <c r="AZ131" s="425">
        <v>6025</v>
      </c>
      <c r="BA131" s="433">
        <v>1</v>
      </c>
      <c r="BB131" s="434"/>
      <c r="BC131" s="431"/>
      <c r="BD131" s="435"/>
      <c r="BE131" s="432">
        <v>2023</v>
      </c>
      <c r="BF131" s="425"/>
      <c r="BG131" s="433"/>
      <c r="BH131" s="425"/>
      <c r="BI131" s="433"/>
      <c r="BJ131" s="434"/>
      <c r="BK131" s="431"/>
      <c r="BL131" s="435"/>
      <c r="BM131" s="432">
        <v>2024</v>
      </c>
      <c r="BN131" s="425"/>
      <c r="BO131" s="433"/>
      <c r="BP131" s="425"/>
      <c r="BQ131" s="433"/>
      <c r="BR131" s="434"/>
      <c r="BS131" s="431"/>
      <c r="BT131" s="435"/>
      <c r="BU131" s="1805" t="s">
        <v>719</v>
      </c>
      <c r="BV131" s="1806" t="s">
        <v>728</v>
      </c>
      <c r="BW131" s="1807" t="s">
        <v>688</v>
      </c>
      <c r="BX131" s="1808" t="s">
        <v>5723</v>
      </c>
      <c r="BY131" s="1809">
        <v>2021</v>
      </c>
      <c r="BZ131" s="424"/>
      <c r="CA131" s="424"/>
      <c r="CB131" s="430"/>
      <c r="CC131" s="431"/>
      <c r="CD131" s="432">
        <v>2024</v>
      </c>
      <c r="CE131" s="425"/>
      <c r="CF131" s="433"/>
      <c r="CG131" s="425"/>
      <c r="CH131" s="433"/>
      <c r="CI131" s="434"/>
      <c r="CJ131" s="431"/>
      <c r="CK131" s="435"/>
      <c r="CL131" s="432">
        <v>2022</v>
      </c>
      <c r="CM131" s="425">
        <v>0</v>
      </c>
      <c r="CN131" s="433"/>
      <c r="CO131" s="425">
        <v>0</v>
      </c>
      <c r="CP131" s="433"/>
      <c r="CQ131" s="434"/>
      <c r="CR131" s="431"/>
      <c r="CS131" s="435">
        <v>0</v>
      </c>
      <c r="CT131" s="432">
        <v>2023</v>
      </c>
      <c r="CU131" s="425"/>
      <c r="CV131" s="433"/>
      <c r="CW131" s="425"/>
      <c r="CX131" s="433"/>
      <c r="CY131" s="434"/>
      <c r="CZ131" s="431"/>
      <c r="DA131" s="435"/>
      <c r="DB131" s="432">
        <v>2024</v>
      </c>
      <c r="DC131" s="425"/>
      <c r="DD131" s="433"/>
      <c r="DE131" s="425"/>
      <c r="DF131" s="433"/>
      <c r="DG131" s="434"/>
      <c r="DH131" s="431"/>
      <c r="DI131" s="435"/>
      <c r="DJ131" s="1805"/>
      <c r="DK131" s="1806"/>
      <c r="DL131" s="1807"/>
      <c r="DM131" s="1808"/>
      <c r="DN131" s="1810">
        <v>0</v>
      </c>
      <c r="DO131" s="1799">
        <v>0</v>
      </c>
      <c r="DP131" s="1800">
        <v>0</v>
      </c>
      <c r="DQ131" s="1799">
        <v>0</v>
      </c>
      <c r="DR131" s="1800">
        <v>0</v>
      </c>
      <c r="DS131" s="1799">
        <v>0</v>
      </c>
    </row>
    <row r="132" spans="1:123" ht="54">
      <c r="A132" s="1801" t="s">
        <v>1570</v>
      </c>
      <c r="B132" s="1788" t="s">
        <v>1571</v>
      </c>
      <c r="C132" s="426">
        <v>2022</v>
      </c>
      <c r="D132" s="417" t="s">
        <v>681</v>
      </c>
      <c r="E132" s="1802">
        <v>1009184</v>
      </c>
      <c r="F132" s="1803" t="s">
        <v>1571</v>
      </c>
      <c r="G132" s="419">
        <v>45124</v>
      </c>
      <c r="H132" s="1790" t="s">
        <v>1572</v>
      </c>
      <c r="I132" s="1791" t="s">
        <v>1571</v>
      </c>
      <c r="J132" s="1793" t="s">
        <v>4991</v>
      </c>
      <c r="K132" s="1788" t="s">
        <v>1571</v>
      </c>
      <c r="L132" s="1791" t="s">
        <v>1573</v>
      </c>
      <c r="M132" s="1793" t="s">
        <v>1574</v>
      </c>
      <c r="N132" s="1790" t="s">
        <v>12</v>
      </c>
      <c r="O132" s="1793" t="s">
        <v>13</v>
      </c>
      <c r="P132" s="420" t="s">
        <v>683</v>
      </c>
      <c r="Q132" s="421"/>
      <c r="R132" s="421"/>
      <c r="S132" s="422"/>
      <c r="T132" s="1794"/>
      <c r="U132" s="423">
        <v>4164.3263999999999</v>
      </c>
      <c r="V132" s="424">
        <v>1</v>
      </c>
      <c r="W132" s="424">
        <v>1</v>
      </c>
      <c r="X132" s="425"/>
      <c r="Y132" s="426">
        <v>2022</v>
      </c>
      <c r="Z132" s="417">
        <v>2024</v>
      </c>
      <c r="AA132" s="1804">
        <v>2022</v>
      </c>
      <c r="AB132" s="427"/>
      <c r="AC132" s="1793"/>
      <c r="AD132" s="428" t="s">
        <v>5863</v>
      </c>
      <c r="AE132" s="1791" t="s">
        <v>1575</v>
      </c>
      <c r="AF132" s="1791" t="s">
        <v>1572</v>
      </c>
      <c r="AG132" s="1793" t="s">
        <v>1576</v>
      </c>
      <c r="AH132" s="428"/>
      <c r="AI132" s="1793"/>
      <c r="AJ132" s="429">
        <v>2021</v>
      </c>
      <c r="AK132" s="424">
        <v>7671</v>
      </c>
      <c r="AL132" s="424">
        <v>7634</v>
      </c>
      <c r="AM132" s="430">
        <v>0.77</v>
      </c>
      <c r="AN132" s="431" t="s">
        <v>1577</v>
      </c>
      <c r="AO132" s="432">
        <v>2024</v>
      </c>
      <c r="AP132" s="425">
        <v>7660</v>
      </c>
      <c r="AQ132" s="433">
        <v>0.14000000000000001</v>
      </c>
      <c r="AR132" s="425">
        <v>7630</v>
      </c>
      <c r="AS132" s="433">
        <v>0.05</v>
      </c>
      <c r="AT132" s="434">
        <v>0.76</v>
      </c>
      <c r="AU132" s="431" t="s">
        <v>1577</v>
      </c>
      <c r="AV132" s="435">
        <v>1.29</v>
      </c>
      <c r="AW132" s="432">
        <v>2022</v>
      </c>
      <c r="AX132" s="425">
        <v>7844</v>
      </c>
      <c r="AY132" s="433">
        <v>-2.2599999999999998</v>
      </c>
      <c r="AZ132" s="425">
        <v>7836</v>
      </c>
      <c r="BA132" s="433">
        <v>-2.65</v>
      </c>
      <c r="BB132" s="434">
        <v>0.69724444444444444</v>
      </c>
      <c r="BC132" s="431" t="s">
        <v>1577</v>
      </c>
      <c r="BD132" s="435">
        <v>9.44</v>
      </c>
      <c r="BE132" s="432">
        <v>2023</v>
      </c>
      <c r="BF132" s="425"/>
      <c r="BG132" s="433"/>
      <c r="BH132" s="425"/>
      <c r="BI132" s="433"/>
      <c r="BJ132" s="434"/>
      <c r="BK132" s="431"/>
      <c r="BL132" s="435"/>
      <c r="BM132" s="432">
        <v>2024</v>
      </c>
      <c r="BN132" s="425"/>
      <c r="BO132" s="433"/>
      <c r="BP132" s="425"/>
      <c r="BQ132" s="433"/>
      <c r="BR132" s="434"/>
      <c r="BS132" s="431"/>
      <c r="BT132" s="435"/>
      <c r="BU132" s="1805" t="s">
        <v>687</v>
      </c>
      <c r="BV132" s="1806" t="s">
        <v>728</v>
      </c>
      <c r="BW132" s="1807" t="s">
        <v>678</v>
      </c>
      <c r="BX132" s="1808" t="s">
        <v>4992</v>
      </c>
      <c r="BY132" s="1809">
        <v>2021</v>
      </c>
      <c r="BZ132" s="424"/>
      <c r="CA132" s="424"/>
      <c r="CB132" s="430"/>
      <c r="CC132" s="431"/>
      <c r="CD132" s="432">
        <v>2024</v>
      </c>
      <c r="CE132" s="425"/>
      <c r="CF132" s="433"/>
      <c r="CG132" s="425"/>
      <c r="CH132" s="433"/>
      <c r="CI132" s="434"/>
      <c r="CJ132" s="431"/>
      <c r="CK132" s="435"/>
      <c r="CL132" s="432">
        <v>2022</v>
      </c>
      <c r="CM132" s="425">
        <v>0</v>
      </c>
      <c r="CN132" s="433"/>
      <c r="CO132" s="425">
        <v>0</v>
      </c>
      <c r="CP132" s="433"/>
      <c r="CQ132" s="434"/>
      <c r="CR132" s="431"/>
      <c r="CS132" s="435"/>
      <c r="CT132" s="432">
        <v>2023</v>
      </c>
      <c r="CU132" s="425"/>
      <c r="CV132" s="433"/>
      <c r="CW132" s="425"/>
      <c r="CX132" s="433"/>
      <c r="CY132" s="434"/>
      <c r="CZ132" s="431"/>
      <c r="DA132" s="435"/>
      <c r="DB132" s="432">
        <v>2024</v>
      </c>
      <c r="DC132" s="425"/>
      <c r="DD132" s="433"/>
      <c r="DE132" s="425"/>
      <c r="DF132" s="433"/>
      <c r="DG132" s="434"/>
      <c r="DH132" s="431"/>
      <c r="DI132" s="435"/>
      <c r="DJ132" s="1805"/>
      <c r="DK132" s="1806"/>
      <c r="DL132" s="1807"/>
      <c r="DM132" s="1808"/>
      <c r="DN132" s="1810">
        <v>0</v>
      </c>
      <c r="DO132" s="1799">
        <v>0</v>
      </c>
      <c r="DP132" s="1800">
        <v>0</v>
      </c>
      <c r="DQ132" s="1799">
        <v>0</v>
      </c>
      <c r="DR132" s="1800">
        <v>0</v>
      </c>
      <c r="DS132" s="1799">
        <v>0</v>
      </c>
    </row>
    <row r="133" spans="1:123" ht="67.5">
      <c r="A133" s="1801" t="s">
        <v>1578</v>
      </c>
      <c r="B133" s="1788" t="s">
        <v>1579</v>
      </c>
      <c r="C133" s="426">
        <v>2022</v>
      </c>
      <c r="D133" s="417" t="s">
        <v>891</v>
      </c>
      <c r="E133" s="1802">
        <v>1309185</v>
      </c>
      <c r="F133" s="1803" t="s">
        <v>1579</v>
      </c>
      <c r="G133" s="419">
        <v>45138</v>
      </c>
      <c r="H133" s="1790" t="s">
        <v>1580</v>
      </c>
      <c r="I133" s="1791" t="s">
        <v>1579</v>
      </c>
      <c r="J133" s="1793" t="s">
        <v>1581</v>
      </c>
      <c r="K133" s="1788" t="s">
        <v>1579</v>
      </c>
      <c r="L133" s="1791" t="s">
        <v>1582</v>
      </c>
      <c r="M133" s="1793" t="s">
        <v>1580</v>
      </c>
      <c r="N133" s="1790" t="s">
        <v>12</v>
      </c>
      <c r="O133" s="1793" t="s">
        <v>13</v>
      </c>
      <c r="P133" s="420" t="s">
        <v>683</v>
      </c>
      <c r="Q133" s="421"/>
      <c r="R133" s="421" t="s">
        <v>717</v>
      </c>
      <c r="S133" s="422"/>
      <c r="T133" s="1794"/>
      <c r="U133" s="423">
        <v>17795.1888</v>
      </c>
      <c r="V133" s="424">
        <v>35</v>
      </c>
      <c r="W133" s="424">
        <v>2</v>
      </c>
      <c r="X133" s="425">
        <v>239</v>
      </c>
      <c r="Y133" s="426">
        <v>2022</v>
      </c>
      <c r="Z133" s="417">
        <v>2024</v>
      </c>
      <c r="AA133" s="1804">
        <v>2022</v>
      </c>
      <c r="AB133" s="427"/>
      <c r="AC133" s="1793"/>
      <c r="AD133" s="428" t="s">
        <v>5863</v>
      </c>
      <c r="AE133" s="1791" t="s">
        <v>1583</v>
      </c>
      <c r="AF133" s="1791" t="s">
        <v>1580</v>
      </c>
      <c r="AG133" s="1793" t="s">
        <v>919</v>
      </c>
      <c r="AH133" s="428"/>
      <c r="AI133" s="1793"/>
      <c r="AJ133" s="429">
        <v>2021</v>
      </c>
      <c r="AK133" s="424">
        <v>33803</v>
      </c>
      <c r="AL133" s="424">
        <v>33737</v>
      </c>
      <c r="AM133" s="430"/>
      <c r="AN133" s="431"/>
      <c r="AO133" s="432">
        <v>2024</v>
      </c>
      <c r="AP133" s="425">
        <v>32789</v>
      </c>
      <c r="AQ133" s="433">
        <v>2.99</v>
      </c>
      <c r="AR133" s="425">
        <v>32725</v>
      </c>
      <c r="AS133" s="433">
        <v>2.99</v>
      </c>
      <c r="AT133" s="434"/>
      <c r="AU133" s="431"/>
      <c r="AV133" s="435">
        <v>2.99</v>
      </c>
      <c r="AW133" s="432">
        <v>2022</v>
      </c>
      <c r="AX133" s="425">
        <v>33948</v>
      </c>
      <c r="AY133" s="433">
        <v>-0.43</v>
      </c>
      <c r="AZ133" s="425">
        <v>33932</v>
      </c>
      <c r="BA133" s="433">
        <v>-0.57999999999999996</v>
      </c>
      <c r="BB133" s="434"/>
      <c r="BC133" s="431"/>
      <c r="BD133" s="435">
        <v>5.5166219954881415</v>
      </c>
      <c r="BE133" s="432">
        <v>2023</v>
      </c>
      <c r="BF133" s="425"/>
      <c r="BG133" s="433"/>
      <c r="BH133" s="425"/>
      <c r="BI133" s="433"/>
      <c r="BJ133" s="434"/>
      <c r="BK133" s="431"/>
      <c r="BL133" s="435"/>
      <c r="BM133" s="432">
        <v>2024</v>
      </c>
      <c r="BN133" s="425"/>
      <c r="BO133" s="433"/>
      <c r="BP133" s="425"/>
      <c r="BQ133" s="433"/>
      <c r="BR133" s="434"/>
      <c r="BS133" s="431"/>
      <c r="BT133" s="435"/>
      <c r="BU133" s="1805" t="s">
        <v>687</v>
      </c>
      <c r="BV133" s="1806" t="s">
        <v>728</v>
      </c>
      <c r="BW133" s="1807" t="s">
        <v>688</v>
      </c>
      <c r="BX133" s="1808" t="s">
        <v>4993</v>
      </c>
      <c r="BY133" s="1809">
        <v>2021</v>
      </c>
      <c r="BZ133" s="424">
        <v>2606</v>
      </c>
      <c r="CA133" s="424">
        <v>2606</v>
      </c>
      <c r="CB133" s="430">
        <v>0.41</v>
      </c>
      <c r="CC133" s="431" t="s">
        <v>800</v>
      </c>
      <c r="CD133" s="432">
        <v>2024</v>
      </c>
      <c r="CE133" s="425">
        <v>2528</v>
      </c>
      <c r="CF133" s="433">
        <v>2.99</v>
      </c>
      <c r="CG133" s="425">
        <v>2528</v>
      </c>
      <c r="CH133" s="433">
        <v>2.99</v>
      </c>
      <c r="CI133" s="434">
        <v>0.3977</v>
      </c>
      <c r="CJ133" s="431" t="s">
        <v>800</v>
      </c>
      <c r="CK133" s="435">
        <v>2.99</v>
      </c>
      <c r="CL133" s="432">
        <v>2022</v>
      </c>
      <c r="CM133" s="425">
        <v>2183.8933400000001</v>
      </c>
      <c r="CN133" s="433">
        <v>16.190000000000001</v>
      </c>
      <c r="CO133" s="425">
        <v>2183.8933400000001</v>
      </c>
      <c r="CP133" s="433">
        <v>16.190000000000001</v>
      </c>
      <c r="CQ133" s="434">
        <v>0.34423425023805182</v>
      </c>
      <c r="CR133" s="431" t="s">
        <v>800</v>
      </c>
      <c r="CS133" s="435">
        <v>16.04</v>
      </c>
      <c r="CT133" s="432">
        <v>2023</v>
      </c>
      <c r="CU133" s="425"/>
      <c r="CV133" s="433"/>
      <c r="CW133" s="425"/>
      <c r="CX133" s="433"/>
      <c r="CY133" s="434"/>
      <c r="CZ133" s="431"/>
      <c r="DA133" s="435"/>
      <c r="DB133" s="432">
        <v>2024</v>
      </c>
      <c r="DC133" s="425"/>
      <c r="DD133" s="433"/>
      <c r="DE133" s="425"/>
      <c r="DF133" s="433"/>
      <c r="DG133" s="434"/>
      <c r="DH133" s="431"/>
      <c r="DI133" s="435"/>
      <c r="DJ133" s="1805" t="s">
        <v>687</v>
      </c>
      <c r="DK133" s="1806" t="s">
        <v>728</v>
      </c>
      <c r="DL133" s="1807" t="s">
        <v>688</v>
      </c>
      <c r="DM133" s="1808" t="s">
        <v>4994</v>
      </c>
      <c r="DN133" s="1810">
        <v>0</v>
      </c>
      <c r="DO133" s="1799">
        <v>0</v>
      </c>
      <c r="DP133" s="1800">
        <v>0</v>
      </c>
      <c r="DQ133" s="1799">
        <v>0</v>
      </c>
      <c r="DR133" s="1800">
        <v>0</v>
      </c>
      <c r="DS133" s="1799">
        <v>0</v>
      </c>
    </row>
    <row r="134" spans="1:123" ht="108">
      <c r="A134" s="1801" t="s">
        <v>1584</v>
      </c>
      <c r="B134" s="1788" t="s">
        <v>1585</v>
      </c>
      <c r="C134" s="426">
        <v>2022</v>
      </c>
      <c r="D134" s="417" t="s">
        <v>681</v>
      </c>
      <c r="E134" s="1802">
        <v>1056186</v>
      </c>
      <c r="F134" s="1803" t="s">
        <v>1585</v>
      </c>
      <c r="G134" s="419">
        <v>45137</v>
      </c>
      <c r="H134" s="1790" t="s">
        <v>1586</v>
      </c>
      <c r="I134" s="1791" t="s">
        <v>1585</v>
      </c>
      <c r="J134" s="1793" t="s">
        <v>1587</v>
      </c>
      <c r="K134" s="1788" t="s">
        <v>1585</v>
      </c>
      <c r="L134" s="1791" t="s">
        <v>1587</v>
      </c>
      <c r="M134" s="1793" t="s">
        <v>1588</v>
      </c>
      <c r="N134" s="1790" t="s">
        <v>57</v>
      </c>
      <c r="O134" s="1793" t="s">
        <v>64</v>
      </c>
      <c r="P134" s="420" t="s">
        <v>683</v>
      </c>
      <c r="Q134" s="421"/>
      <c r="R134" s="421"/>
      <c r="S134" s="422"/>
      <c r="T134" s="1794"/>
      <c r="U134" s="423">
        <v>10614.507000000001</v>
      </c>
      <c r="V134" s="424">
        <v>2</v>
      </c>
      <c r="W134" s="424">
        <v>2</v>
      </c>
      <c r="X134" s="425"/>
      <c r="Y134" s="426">
        <v>2022</v>
      </c>
      <c r="Z134" s="417">
        <v>2024</v>
      </c>
      <c r="AA134" s="1804">
        <v>2022</v>
      </c>
      <c r="AB134" s="427"/>
      <c r="AC134" s="1793"/>
      <c r="AD134" s="428" t="s">
        <v>5863</v>
      </c>
      <c r="AE134" s="1791" t="s">
        <v>1589</v>
      </c>
      <c r="AF134" s="1791" t="s">
        <v>1590</v>
      </c>
      <c r="AG134" s="1793" t="s">
        <v>1591</v>
      </c>
      <c r="AH134" s="428" t="s">
        <v>5863</v>
      </c>
      <c r="AI134" s="1793" t="s">
        <v>1592</v>
      </c>
      <c r="AJ134" s="429">
        <v>2021</v>
      </c>
      <c r="AK134" s="424">
        <v>16101</v>
      </c>
      <c r="AL134" s="424">
        <v>16032</v>
      </c>
      <c r="AM134" s="430"/>
      <c r="AN134" s="431"/>
      <c r="AO134" s="432">
        <v>2024</v>
      </c>
      <c r="AP134" s="425">
        <v>15617</v>
      </c>
      <c r="AQ134" s="433">
        <v>3</v>
      </c>
      <c r="AR134" s="425">
        <v>15551</v>
      </c>
      <c r="AS134" s="433">
        <v>3</v>
      </c>
      <c r="AT134" s="434"/>
      <c r="AU134" s="431"/>
      <c r="AV134" s="435"/>
      <c r="AW134" s="432">
        <v>2022</v>
      </c>
      <c r="AX134" s="425">
        <v>19612</v>
      </c>
      <c r="AY134" s="433">
        <v>-21.81</v>
      </c>
      <c r="AZ134" s="425">
        <v>19244</v>
      </c>
      <c r="BA134" s="433">
        <v>-20.04</v>
      </c>
      <c r="BB134" s="434"/>
      <c r="BC134" s="431"/>
      <c r="BD134" s="435"/>
      <c r="BE134" s="432">
        <v>2023</v>
      </c>
      <c r="BF134" s="425"/>
      <c r="BG134" s="433"/>
      <c r="BH134" s="425"/>
      <c r="BI134" s="433"/>
      <c r="BJ134" s="434"/>
      <c r="BK134" s="431"/>
      <c r="BL134" s="435"/>
      <c r="BM134" s="432">
        <v>2024</v>
      </c>
      <c r="BN134" s="425"/>
      <c r="BO134" s="433"/>
      <c r="BP134" s="425"/>
      <c r="BQ134" s="433"/>
      <c r="BR134" s="434"/>
      <c r="BS134" s="431"/>
      <c r="BT134" s="435"/>
      <c r="BU134" s="1805" t="s">
        <v>719</v>
      </c>
      <c r="BV134" s="1806" t="s">
        <v>728</v>
      </c>
      <c r="BW134" s="1807" t="s">
        <v>678</v>
      </c>
      <c r="BX134" s="1808"/>
      <c r="BY134" s="1809">
        <v>2021</v>
      </c>
      <c r="BZ134" s="424"/>
      <c r="CA134" s="424"/>
      <c r="CB134" s="430"/>
      <c r="CC134" s="431"/>
      <c r="CD134" s="432">
        <v>2024</v>
      </c>
      <c r="CE134" s="425"/>
      <c r="CF134" s="433"/>
      <c r="CG134" s="425"/>
      <c r="CH134" s="433"/>
      <c r="CI134" s="434"/>
      <c r="CJ134" s="431"/>
      <c r="CK134" s="435"/>
      <c r="CL134" s="432">
        <v>2022</v>
      </c>
      <c r="CM134" s="425">
        <v>0</v>
      </c>
      <c r="CN134" s="433"/>
      <c r="CO134" s="425">
        <v>0</v>
      </c>
      <c r="CP134" s="433"/>
      <c r="CQ134" s="434"/>
      <c r="CR134" s="431"/>
      <c r="CS134" s="435">
        <v>0</v>
      </c>
      <c r="CT134" s="432">
        <v>2023</v>
      </c>
      <c r="CU134" s="425"/>
      <c r="CV134" s="433"/>
      <c r="CW134" s="425"/>
      <c r="CX134" s="433"/>
      <c r="CY134" s="434"/>
      <c r="CZ134" s="431"/>
      <c r="DA134" s="435"/>
      <c r="DB134" s="432">
        <v>2024</v>
      </c>
      <c r="DC134" s="425"/>
      <c r="DD134" s="433"/>
      <c r="DE134" s="425"/>
      <c r="DF134" s="433"/>
      <c r="DG134" s="434"/>
      <c r="DH134" s="431"/>
      <c r="DI134" s="435"/>
      <c r="DJ134" s="1805"/>
      <c r="DK134" s="1806"/>
      <c r="DL134" s="1807"/>
      <c r="DM134" s="1808"/>
      <c r="DN134" s="1810">
        <v>0</v>
      </c>
      <c r="DO134" s="1799">
        <v>0</v>
      </c>
      <c r="DP134" s="1800">
        <v>0</v>
      </c>
      <c r="DQ134" s="1799">
        <v>0</v>
      </c>
      <c r="DR134" s="1800">
        <v>0</v>
      </c>
      <c r="DS134" s="1799">
        <v>0</v>
      </c>
    </row>
    <row r="135" spans="1:123" ht="67.5">
      <c r="A135" s="1801" t="s">
        <v>1593</v>
      </c>
      <c r="B135" s="1788" t="s">
        <v>1594</v>
      </c>
      <c r="C135" s="426">
        <v>2022</v>
      </c>
      <c r="D135" s="417" t="s">
        <v>681</v>
      </c>
      <c r="E135" s="1802">
        <v>1016187</v>
      </c>
      <c r="F135" s="1803" t="s">
        <v>1594</v>
      </c>
      <c r="G135" s="419">
        <v>45086</v>
      </c>
      <c r="H135" s="1790" t="s">
        <v>1595</v>
      </c>
      <c r="I135" s="1791" t="s">
        <v>1594</v>
      </c>
      <c r="J135" s="1793" t="s">
        <v>4995</v>
      </c>
      <c r="K135" s="1788" t="s">
        <v>1594</v>
      </c>
      <c r="L135" s="1791" t="s">
        <v>4996</v>
      </c>
      <c r="M135" s="1793" t="s">
        <v>1595</v>
      </c>
      <c r="N135" s="1790" t="s">
        <v>12</v>
      </c>
      <c r="O135" s="1793" t="s">
        <v>20</v>
      </c>
      <c r="P135" s="420" t="s">
        <v>683</v>
      </c>
      <c r="Q135" s="421"/>
      <c r="R135" s="421"/>
      <c r="S135" s="422"/>
      <c r="T135" s="1794"/>
      <c r="U135" s="423">
        <v>4061.5133999999998</v>
      </c>
      <c r="V135" s="424">
        <v>1</v>
      </c>
      <c r="W135" s="424">
        <v>1</v>
      </c>
      <c r="X135" s="425"/>
      <c r="Y135" s="426">
        <v>2022</v>
      </c>
      <c r="Z135" s="417">
        <v>2024</v>
      </c>
      <c r="AA135" s="1804">
        <v>2022</v>
      </c>
      <c r="AB135" s="427"/>
      <c r="AC135" s="1793"/>
      <c r="AD135" s="428" t="s">
        <v>5863</v>
      </c>
      <c r="AE135" s="1791" t="s">
        <v>1596</v>
      </c>
      <c r="AF135" s="1791" t="s">
        <v>1597</v>
      </c>
      <c r="AG135" s="1793" t="s">
        <v>765</v>
      </c>
      <c r="AH135" s="428"/>
      <c r="AI135" s="1793"/>
      <c r="AJ135" s="429">
        <v>2021</v>
      </c>
      <c r="AK135" s="424">
        <v>7869</v>
      </c>
      <c r="AL135" s="424">
        <v>7833</v>
      </c>
      <c r="AM135" s="430"/>
      <c r="AN135" s="431"/>
      <c r="AO135" s="432">
        <v>2024</v>
      </c>
      <c r="AP135" s="425">
        <v>7634</v>
      </c>
      <c r="AQ135" s="433">
        <v>2.98</v>
      </c>
      <c r="AR135" s="425">
        <v>6300</v>
      </c>
      <c r="AS135" s="433">
        <v>19.57</v>
      </c>
      <c r="AT135" s="434"/>
      <c r="AU135" s="431"/>
      <c r="AV135" s="435"/>
      <c r="AW135" s="432">
        <v>2022</v>
      </c>
      <c r="AX135" s="425">
        <v>7467</v>
      </c>
      <c r="AY135" s="433">
        <v>5.0999999999999996</v>
      </c>
      <c r="AZ135" s="425">
        <v>7170</v>
      </c>
      <c r="BA135" s="433">
        <v>8.4600000000000009</v>
      </c>
      <c r="BB135" s="434"/>
      <c r="BC135" s="431"/>
      <c r="BD135" s="435"/>
      <c r="BE135" s="432">
        <v>2023</v>
      </c>
      <c r="BF135" s="425"/>
      <c r="BG135" s="433"/>
      <c r="BH135" s="425"/>
      <c r="BI135" s="433"/>
      <c r="BJ135" s="434"/>
      <c r="BK135" s="431"/>
      <c r="BL135" s="435"/>
      <c r="BM135" s="432">
        <v>2024</v>
      </c>
      <c r="BN135" s="425"/>
      <c r="BO135" s="433"/>
      <c r="BP135" s="425"/>
      <c r="BQ135" s="433"/>
      <c r="BR135" s="434"/>
      <c r="BS135" s="431"/>
      <c r="BT135" s="435"/>
      <c r="BU135" s="1805" t="s">
        <v>687</v>
      </c>
      <c r="BV135" s="1806" t="s">
        <v>728</v>
      </c>
      <c r="BW135" s="1807" t="s">
        <v>688</v>
      </c>
      <c r="BX135" s="1808"/>
      <c r="BY135" s="1809">
        <v>2021</v>
      </c>
      <c r="BZ135" s="424"/>
      <c r="CA135" s="424"/>
      <c r="CB135" s="430"/>
      <c r="CC135" s="431"/>
      <c r="CD135" s="432">
        <v>2024</v>
      </c>
      <c r="CE135" s="425"/>
      <c r="CF135" s="433"/>
      <c r="CG135" s="425"/>
      <c r="CH135" s="433"/>
      <c r="CI135" s="434"/>
      <c r="CJ135" s="431"/>
      <c r="CK135" s="435"/>
      <c r="CL135" s="432">
        <v>2022</v>
      </c>
      <c r="CM135" s="425">
        <v>0</v>
      </c>
      <c r="CN135" s="433"/>
      <c r="CO135" s="425">
        <v>0</v>
      </c>
      <c r="CP135" s="433"/>
      <c r="CQ135" s="434"/>
      <c r="CR135" s="431"/>
      <c r="CS135" s="435">
        <v>0</v>
      </c>
      <c r="CT135" s="432">
        <v>2023</v>
      </c>
      <c r="CU135" s="425"/>
      <c r="CV135" s="433"/>
      <c r="CW135" s="425"/>
      <c r="CX135" s="433"/>
      <c r="CY135" s="434"/>
      <c r="CZ135" s="431"/>
      <c r="DA135" s="435"/>
      <c r="DB135" s="432">
        <v>2024</v>
      </c>
      <c r="DC135" s="425"/>
      <c r="DD135" s="433"/>
      <c r="DE135" s="425"/>
      <c r="DF135" s="433"/>
      <c r="DG135" s="434"/>
      <c r="DH135" s="431"/>
      <c r="DI135" s="435"/>
      <c r="DJ135" s="1805"/>
      <c r="DK135" s="1806"/>
      <c r="DL135" s="1807"/>
      <c r="DM135" s="1808"/>
      <c r="DN135" s="1810">
        <v>0</v>
      </c>
      <c r="DO135" s="1799">
        <v>0</v>
      </c>
      <c r="DP135" s="1800">
        <v>0</v>
      </c>
      <c r="DQ135" s="1799">
        <v>0</v>
      </c>
      <c r="DR135" s="1800">
        <v>0</v>
      </c>
      <c r="DS135" s="1799">
        <v>0</v>
      </c>
    </row>
    <row r="136" spans="1:123" ht="162">
      <c r="A136" s="1801" t="s">
        <v>1598</v>
      </c>
      <c r="B136" s="1788" t="s">
        <v>1599</v>
      </c>
      <c r="C136" s="426">
        <v>2022</v>
      </c>
      <c r="D136" s="417" t="s">
        <v>681</v>
      </c>
      <c r="E136" s="1802">
        <v>1081190</v>
      </c>
      <c r="F136" s="1803" t="s">
        <v>1599</v>
      </c>
      <c r="G136" s="419">
        <v>45138</v>
      </c>
      <c r="H136" s="1790" t="s">
        <v>1600</v>
      </c>
      <c r="I136" s="1791" t="s">
        <v>1599</v>
      </c>
      <c r="J136" s="1793" t="s">
        <v>1601</v>
      </c>
      <c r="K136" s="1788" t="s">
        <v>1599</v>
      </c>
      <c r="L136" s="1791" t="s">
        <v>1601</v>
      </c>
      <c r="M136" s="1793" t="s">
        <v>1600</v>
      </c>
      <c r="N136" s="1790" t="s">
        <v>93</v>
      </c>
      <c r="O136" s="1793" t="s">
        <v>94</v>
      </c>
      <c r="P136" s="420" t="s">
        <v>683</v>
      </c>
      <c r="Q136" s="421"/>
      <c r="R136" s="421"/>
      <c r="S136" s="422"/>
      <c r="T136" s="1794"/>
      <c r="U136" s="423">
        <v>41502.525000000001</v>
      </c>
      <c r="V136" s="424">
        <v>555</v>
      </c>
      <c r="W136" s="424">
        <v>2</v>
      </c>
      <c r="X136" s="425"/>
      <c r="Y136" s="426">
        <v>2022</v>
      </c>
      <c r="Z136" s="417">
        <v>2024</v>
      </c>
      <c r="AA136" s="1804">
        <v>2022</v>
      </c>
      <c r="AB136" s="427"/>
      <c r="AC136" s="1793"/>
      <c r="AD136" s="428" t="s">
        <v>5863</v>
      </c>
      <c r="AE136" s="1791" t="s">
        <v>1602</v>
      </c>
      <c r="AF136" s="1791" t="s">
        <v>1603</v>
      </c>
      <c r="AG136" s="1793" t="s">
        <v>1604</v>
      </c>
      <c r="AH136" s="428"/>
      <c r="AI136" s="1793"/>
      <c r="AJ136" s="429">
        <v>2021</v>
      </c>
      <c r="AK136" s="424">
        <v>73034</v>
      </c>
      <c r="AL136" s="424">
        <v>73017</v>
      </c>
      <c r="AM136" s="430"/>
      <c r="AN136" s="431"/>
      <c r="AO136" s="432">
        <v>2024</v>
      </c>
      <c r="AP136" s="425">
        <v>72303</v>
      </c>
      <c r="AQ136" s="433">
        <v>1</v>
      </c>
      <c r="AR136" s="425">
        <v>72286</v>
      </c>
      <c r="AS136" s="433">
        <v>1</v>
      </c>
      <c r="AT136" s="434"/>
      <c r="AU136" s="431"/>
      <c r="AV136" s="435"/>
      <c r="AW136" s="432">
        <v>2022</v>
      </c>
      <c r="AX136" s="425">
        <v>73861</v>
      </c>
      <c r="AY136" s="433">
        <v>-1.1399999999999999</v>
      </c>
      <c r="AZ136" s="425">
        <v>78506</v>
      </c>
      <c r="BA136" s="433">
        <v>-7.52</v>
      </c>
      <c r="BB136" s="434"/>
      <c r="BC136" s="431"/>
      <c r="BD136" s="435"/>
      <c r="BE136" s="432">
        <v>2023</v>
      </c>
      <c r="BF136" s="425"/>
      <c r="BG136" s="433"/>
      <c r="BH136" s="425"/>
      <c r="BI136" s="433"/>
      <c r="BJ136" s="434"/>
      <c r="BK136" s="431"/>
      <c r="BL136" s="435"/>
      <c r="BM136" s="432">
        <v>2024</v>
      </c>
      <c r="BN136" s="425"/>
      <c r="BO136" s="433"/>
      <c r="BP136" s="425"/>
      <c r="BQ136" s="433"/>
      <c r="BR136" s="434"/>
      <c r="BS136" s="431"/>
      <c r="BT136" s="435"/>
      <c r="BU136" s="1805" t="s">
        <v>676</v>
      </c>
      <c r="BV136" s="1806" t="s">
        <v>728</v>
      </c>
      <c r="BW136" s="1807" t="s">
        <v>688</v>
      </c>
      <c r="BX136" s="1808" t="s">
        <v>4997</v>
      </c>
      <c r="BY136" s="1809">
        <v>2021</v>
      </c>
      <c r="BZ136" s="424"/>
      <c r="CA136" s="424"/>
      <c r="CB136" s="430"/>
      <c r="CC136" s="431"/>
      <c r="CD136" s="432">
        <v>2024</v>
      </c>
      <c r="CE136" s="425"/>
      <c r="CF136" s="433"/>
      <c r="CG136" s="425"/>
      <c r="CH136" s="433"/>
      <c r="CI136" s="434"/>
      <c r="CJ136" s="431"/>
      <c r="CK136" s="435"/>
      <c r="CL136" s="432">
        <v>2022</v>
      </c>
      <c r="CM136" s="425">
        <v>0</v>
      </c>
      <c r="CN136" s="433"/>
      <c r="CO136" s="425">
        <v>0</v>
      </c>
      <c r="CP136" s="433"/>
      <c r="CQ136" s="434"/>
      <c r="CR136" s="431"/>
      <c r="CS136" s="435"/>
      <c r="CT136" s="432">
        <v>2023</v>
      </c>
      <c r="CU136" s="425"/>
      <c r="CV136" s="433"/>
      <c r="CW136" s="425"/>
      <c r="CX136" s="433"/>
      <c r="CY136" s="434"/>
      <c r="CZ136" s="431"/>
      <c r="DA136" s="435"/>
      <c r="DB136" s="432">
        <v>2024</v>
      </c>
      <c r="DC136" s="425"/>
      <c r="DD136" s="433"/>
      <c r="DE136" s="425"/>
      <c r="DF136" s="433"/>
      <c r="DG136" s="434"/>
      <c r="DH136" s="431"/>
      <c r="DI136" s="435"/>
      <c r="DJ136" s="1805"/>
      <c r="DK136" s="1806"/>
      <c r="DL136" s="1807"/>
      <c r="DM136" s="1808"/>
      <c r="DN136" s="1810">
        <v>0</v>
      </c>
      <c r="DO136" s="1799">
        <v>0</v>
      </c>
      <c r="DP136" s="1800">
        <v>0</v>
      </c>
      <c r="DQ136" s="1799">
        <v>0</v>
      </c>
      <c r="DR136" s="1800">
        <v>0</v>
      </c>
      <c r="DS136" s="1799">
        <v>0</v>
      </c>
    </row>
    <row r="137" spans="1:123" ht="162">
      <c r="A137" s="1801" t="s">
        <v>1605</v>
      </c>
      <c r="B137" s="1788" t="s">
        <v>1606</v>
      </c>
      <c r="C137" s="426">
        <v>2022</v>
      </c>
      <c r="D137" s="417" t="s">
        <v>891</v>
      </c>
      <c r="E137" s="1802">
        <v>1336191</v>
      </c>
      <c r="F137" s="1803" t="s">
        <v>1606</v>
      </c>
      <c r="G137" s="419">
        <v>45138</v>
      </c>
      <c r="H137" s="1790" t="s">
        <v>1471</v>
      </c>
      <c r="I137" s="1791" t="s">
        <v>1606</v>
      </c>
      <c r="J137" s="1793" t="s">
        <v>1607</v>
      </c>
      <c r="K137" s="1788" t="s">
        <v>1606</v>
      </c>
      <c r="L137" s="1791" t="s">
        <v>1607</v>
      </c>
      <c r="M137" s="1793" t="s">
        <v>1471</v>
      </c>
      <c r="N137" s="1790" t="s">
        <v>37</v>
      </c>
      <c r="O137" s="1793" t="s">
        <v>41</v>
      </c>
      <c r="P137" s="420" t="s">
        <v>683</v>
      </c>
      <c r="Q137" s="421"/>
      <c r="R137" s="421" t="s">
        <v>717</v>
      </c>
      <c r="S137" s="422"/>
      <c r="T137" s="1794"/>
      <c r="U137" s="423">
        <v>27221.4768</v>
      </c>
      <c r="V137" s="424">
        <v>90</v>
      </c>
      <c r="W137" s="424">
        <v>6</v>
      </c>
      <c r="X137" s="425">
        <v>213</v>
      </c>
      <c r="Y137" s="426">
        <v>2022</v>
      </c>
      <c r="Z137" s="417">
        <v>2024</v>
      </c>
      <c r="AA137" s="1804">
        <v>2022</v>
      </c>
      <c r="AB137" s="427"/>
      <c r="AC137" s="1793"/>
      <c r="AD137" s="428" t="s">
        <v>5863</v>
      </c>
      <c r="AE137" s="1791" t="s">
        <v>1608</v>
      </c>
      <c r="AF137" s="1791" t="s">
        <v>1609</v>
      </c>
      <c r="AG137" s="1793" t="s">
        <v>1610</v>
      </c>
      <c r="AH137" s="428"/>
      <c r="AI137" s="1793"/>
      <c r="AJ137" s="429">
        <v>2021</v>
      </c>
      <c r="AK137" s="424">
        <v>40273.25407260871</v>
      </c>
      <c r="AL137" s="424">
        <v>63553.525412507144</v>
      </c>
      <c r="AM137" s="430"/>
      <c r="AN137" s="431"/>
      <c r="AO137" s="432">
        <v>2024</v>
      </c>
      <c r="AP137" s="425">
        <v>39065</v>
      </c>
      <c r="AQ137" s="433">
        <v>3</v>
      </c>
      <c r="AR137" s="425">
        <v>61647</v>
      </c>
      <c r="AS137" s="433">
        <v>2.99</v>
      </c>
      <c r="AT137" s="434"/>
      <c r="AU137" s="431"/>
      <c r="AV137" s="435"/>
      <c r="AW137" s="432">
        <v>2022</v>
      </c>
      <c r="AX137" s="425">
        <v>49759</v>
      </c>
      <c r="AY137" s="433">
        <v>-23.56</v>
      </c>
      <c r="AZ137" s="425">
        <v>50465</v>
      </c>
      <c r="BA137" s="433">
        <v>20.59</v>
      </c>
      <c r="BB137" s="434"/>
      <c r="BC137" s="431"/>
      <c r="BD137" s="435"/>
      <c r="BE137" s="432">
        <v>2023</v>
      </c>
      <c r="BF137" s="425"/>
      <c r="BG137" s="433"/>
      <c r="BH137" s="425"/>
      <c r="BI137" s="433"/>
      <c r="BJ137" s="434"/>
      <c r="BK137" s="431"/>
      <c r="BL137" s="435"/>
      <c r="BM137" s="432">
        <v>2024</v>
      </c>
      <c r="BN137" s="425"/>
      <c r="BO137" s="433"/>
      <c r="BP137" s="425"/>
      <c r="BQ137" s="433"/>
      <c r="BR137" s="434"/>
      <c r="BS137" s="431"/>
      <c r="BT137" s="435"/>
      <c r="BU137" s="1805" t="s">
        <v>687</v>
      </c>
      <c r="BV137" s="1806" t="s">
        <v>728</v>
      </c>
      <c r="BW137" s="1807" t="s">
        <v>697</v>
      </c>
      <c r="BX137" s="1808"/>
      <c r="BY137" s="1809">
        <v>2021</v>
      </c>
      <c r="BZ137" s="424">
        <v>147</v>
      </c>
      <c r="CA137" s="424">
        <v>147</v>
      </c>
      <c r="CB137" s="430"/>
      <c r="CC137" s="431"/>
      <c r="CD137" s="432">
        <v>2024</v>
      </c>
      <c r="CE137" s="425">
        <v>143</v>
      </c>
      <c r="CF137" s="433">
        <v>2.72</v>
      </c>
      <c r="CG137" s="425">
        <v>143</v>
      </c>
      <c r="CH137" s="433">
        <v>2.72</v>
      </c>
      <c r="CI137" s="434"/>
      <c r="CJ137" s="431"/>
      <c r="CK137" s="435"/>
      <c r="CL137" s="432">
        <v>2022</v>
      </c>
      <c r="CM137" s="425">
        <v>194.48681999999997</v>
      </c>
      <c r="CN137" s="433">
        <v>-32.31</v>
      </c>
      <c r="CO137" s="425">
        <v>149.48681999999997</v>
      </c>
      <c r="CP137" s="433">
        <v>-1.7</v>
      </c>
      <c r="CQ137" s="434"/>
      <c r="CR137" s="431"/>
      <c r="CS137" s="435"/>
      <c r="CT137" s="432">
        <v>2023</v>
      </c>
      <c r="CU137" s="425"/>
      <c r="CV137" s="433"/>
      <c r="CW137" s="425"/>
      <c r="CX137" s="433"/>
      <c r="CY137" s="434"/>
      <c r="CZ137" s="431"/>
      <c r="DA137" s="435"/>
      <c r="DB137" s="432">
        <v>2024</v>
      </c>
      <c r="DC137" s="425"/>
      <c r="DD137" s="433"/>
      <c r="DE137" s="425"/>
      <c r="DF137" s="433"/>
      <c r="DG137" s="434"/>
      <c r="DH137" s="431"/>
      <c r="DI137" s="435"/>
      <c r="DJ137" s="1805" t="s">
        <v>676</v>
      </c>
      <c r="DK137" s="1806" t="s">
        <v>728</v>
      </c>
      <c r="DL137" s="1807" t="s">
        <v>697</v>
      </c>
      <c r="DM137" s="1808"/>
      <c r="DN137" s="1810">
        <v>0</v>
      </c>
      <c r="DO137" s="1799">
        <v>0</v>
      </c>
      <c r="DP137" s="1800">
        <v>0</v>
      </c>
      <c r="DQ137" s="1799">
        <v>0</v>
      </c>
      <c r="DR137" s="1800">
        <v>0</v>
      </c>
      <c r="DS137" s="1799">
        <v>0</v>
      </c>
    </row>
    <row r="138" spans="1:123" ht="162">
      <c r="A138" s="1801" t="s">
        <v>1611</v>
      </c>
      <c r="B138" s="1788" t="s">
        <v>1612</v>
      </c>
      <c r="C138" s="426">
        <v>2022</v>
      </c>
      <c r="D138" s="417" t="s">
        <v>681</v>
      </c>
      <c r="E138" s="1802">
        <v>1083192</v>
      </c>
      <c r="F138" s="1803" t="s">
        <v>1612</v>
      </c>
      <c r="G138" s="419">
        <v>45138</v>
      </c>
      <c r="H138" s="1790" t="s">
        <v>1600</v>
      </c>
      <c r="I138" s="1791" t="s">
        <v>1612</v>
      </c>
      <c r="J138" s="1793" t="s">
        <v>4998</v>
      </c>
      <c r="K138" s="1788" t="s">
        <v>1612</v>
      </c>
      <c r="L138" s="1791" t="s">
        <v>4998</v>
      </c>
      <c r="M138" s="1793" t="s">
        <v>1600</v>
      </c>
      <c r="N138" s="1790" t="s">
        <v>523</v>
      </c>
      <c r="O138" s="1793" t="s">
        <v>96</v>
      </c>
      <c r="P138" s="420" t="s">
        <v>683</v>
      </c>
      <c r="Q138" s="421"/>
      <c r="R138" s="421"/>
      <c r="S138" s="422"/>
      <c r="T138" s="1794"/>
      <c r="U138" s="423">
        <v>11803.887000000001</v>
      </c>
      <c r="V138" s="424">
        <v>5</v>
      </c>
      <c r="W138" s="424">
        <v>3</v>
      </c>
      <c r="X138" s="425"/>
      <c r="Y138" s="426">
        <v>2022</v>
      </c>
      <c r="Z138" s="417">
        <v>2024</v>
      </c>
      <c r="AA138" s="1804">
        <v>2022</v>
      </c>
      <c r="AB138" s="427"/>
      <c r="AC138" s="1793"/>
      <c r="AD138" s="428" t="s">
        <v>5863</v>
      </c>
      <c r="AE138" s="1791" t="s">
        <v>1613</v>
      </c>
      <c r="AF138" s="1791" t="s">
        <v>1614</v>
      </c>
      <c r="AG138" s="1793" t="s">
        <v>1615</v>
      </c>
      <c r="AH138" s="428"/>
      <c r="AI138" s="1793"/>
      <c r="AJ138" s="429">
        <v>2021</v>
      </c>
      <c r="AK138" s="424">
        <v>21695.586135700003</v>
      </c>
      <c r="AL138" s="424">
        <v>21757.911270700002</v>
      </c>
      <c r="AM138" s="430"/>
      <c r="AN138" s="431"/>
      <c r="AO138" s="432">
        <v>2024</v>
      </c>
      <c r="AP138" s="425">
        <v>21153</v>
      </c>
      <c r="AQ138" s="433">
        <v>2.5</v>
      </c>
      <c r="AR138" s="425">
        <v>21153</v>
      </c>
      <c r="AS138" s="433">
        <v>2.78</v>
      </c>
      <c r="AT138" s="434"/>
      <c r="AU138" s="431"/>
      <c r="AV138" s="435"/>
      <c r="AW138" s="432">
        <v>2022</v>
      </c>
      <c r="AX138" s="425">
        <v>21233</v>
      </c>
      <c r="AY138" s="433">
        <v>2.13</v>
      </c>
      <c r="AZ138" s="425">
        <v>21637</v>
      </c>
      <c r="BA138" s="433">
        <v>0.55000000000000004</v>
      </c>
      <c r="BB138" s="434"/>
      <c r="BC138" s="431"/>
      <c r="BD138" s="435"/>
      <c r="BE138" s="432">
        <v>2023</v>
      </c>
      <c r="BF138" s="425"/>
      <c r="BG138" s="433"/>
      <c r="BH138" s="425"/>
      <c r="BI138" s="433"/>
      <c r="BJ138" s="434"/>
      <c r="BK138" s="431"/>
      <c r="BL138" s="435"/>
      <c r="BM138" s="432">
        <v>2024</v>
      </c>
      <c r="BN138" s="425"/>
      <c r="BO138" s="433"/>
      <c r="BP138" s="425"/>
      <c r="BQ138" s="433"/>
      <c r="BR138" s="434"/>
      <c r="BS138" s="431"/>
      <c r="BT138" s="435"/>
      <c r="BU138" s="1805" t="s">
        <v>687</v>
      </c>
      <c r="BV138" s="1806" t="s">
        <v>728</v>
      </c>
      <c r="BW138" s="1807" t="s">
        <v>678</v>
      </c>
      <c r="BX138" s="1808" t="s">
        <v>4999</v>
      </c>
      <c r="BY138" s="1809">
        <v>2021</v>
      </c>
      <c r="BZ138" s="424"/>
      <c r="CA138" s="424"/>
      <c r="CB138" s="430"/>
      <c r="CC138" s="431"/>
      <c r="CD138" s="432">
        <v>2024</v>
      </c>
      <c r="CE138" s="425"/>
      <c r="CF138" s="433"/>
      <c r="CG138" s="425"/>
      <c r="CH138" s="433"/>
      <c r="CI138" s="434"/>
      <c r="CJ138" s="431"/>
      <c r="CK138" s="435"/>
      <c r="CL138" s="432">
        <v>2022</v>
      </c>
      <c r="CM138" s="425">
        <v>0</v>
      </c>
      <c r="CN138" s="433"/>
      <c r="CO138" s="425">
        <v>0</v>
      </c>
      <c r="CP138" s="433"/>
      <c r="CQ138" s="434"/>
      <c r="CR138" s="431"/>
      <c r="CS138" s="435">
        <v>0</v>
      </c>
      <c r="CT138" s="432">
        <v>2023</v>
      </c>
      <c r="CU138" s="425"/>
      <c r="CV138" s="433"/>
      <c r="CW138" s="425"/>
      <c r="CX138" s="433"/>
      <c r="CY138" s="434"/>
      <c r="CZ138" s="431"/>
      <c r="DA138" s="435"/>
      <c r="DB138" s="432">
        <v>2024</v>
      </c>
      <c r="DC138" s="425"/>
      <c r="DD138" s="433"/>
      <c r="DE138" s="425"/>
      <c r="DF138" s="433"/>
      <c r="DG138" s="434"/>
      <c r="DH138" s="431"/>
      <c r="DI138" s="435"/>
      <c r="DJ138" s="1805"/>
      <c r="DK138" s="1806"/>
      <c r="DL138" s="1807"/>
      <c r="DM138" s="1808"/>
      <c r="DN138" s="1810">
        <v>1</v>
      </c>
      <c r="DO138" s="1799">
        <v>1</v>
      </c>
      <c r="DP138" s="1800">
        <v>0</v>
      </c>
      <c r="DQ138" s="1799">
        <v>0</v>
      </c>
      <c r="DR138" s="1800">
        <v>0</v>
      </c>
      <c r="DS138" s="1799">
        <v>0</v>
      </c>
    </row>
    <row r="139" spans="1:123" ht="81">
      <c r="A139" s="1801" t="s">
        <v>1616</v>
      </c>
      <c r="B139" s="1788" t="s">
        <v>1617</v>
      </c>
      <c r="C139" s="426">
        <v>2022</v>
      </c>
      <c r="D139" s="417" t="s">
        <v>681</v>
      </c>
      <c r="E139" s="1802">
        <v>1069193</v>
      </c>
      <c r="F139" s="1803" t="s">
        <v>1617</v>
      </c>
      <c r="G139" s="419">
        <v>45138</v>
      </c>
      <c r="H139" s="1790" t="s">
        <v>1618</v>
      </c>
      <c r="I139" s="1791" t="s">
        <v>1617</v>
      </c>
      <c r="J139" s="1793" t="s">
        <v>5000</v>
      </c>
      <c r="K139" s="1788" t="s">
        <v>1617</v>
      </c>
      <c r="L139" s="1791" t="s">
        <v>5000</v>
      </c>
      <c r="M139" s="1793" t="s">
        <v>1618</v>
      </c>
      <c r="N139" s="1790" t="s">
        <v>77</v>
      </c>
      <c r="O139" s="1793" t="s">
        <v>79</v>
      </c>
      <c r="P139" s="420" t="s">
        <v>683</v>
      </c>
      <c r="Q139" s="421"/>
      <c r="R139" s="421"/>
      <c r="S139" s="422"/>
      <c r="T139" s="1794"/>
      <c r="U139" s="423">
        <v>7993.6398000000008</v>
      </c>
      <c r="V139" s="424">
        <v>12</v>
      </c>
      <c r="W139" s="424">
        <v>3</v>
      </c>
      <c r="X139" s="425"/>
      <c r="Y139" s="426">
        <v>2022</v>
      </c>
      <c r="Z139" s="417">
        <v>2024</v>
      </c>
      <c r="AA139" s="1804">
        <v>2022</v>
      </c>
      <c r="AB139" s="427" t="s">
        <v>5863</v>
      </c>
      <c r="AC139" s="1793" t="s">
        <v>1619</v>
      </c>
      <c r="AD139" s="428"/>
      <c r="AE139" s="1791"/>
      <c r="AF139" s="1791"/>
      <c r="AG139" s="1793"/>
      <c r="AH139" s="428"/>
      <c r="AI139" s="1793"/>
      <c r="AJ139" s="429">
        <v>2021</v>
      </c>
      <c r="AK139" s="424">
        <v>13519</v>
      </c>
      <c r="AL139" s="424">
        <v>11850</v>
      </c>
      <c r="AM139" s="430">
        <v>69.209999999999994</v>
      </c>
      <c r="AN139" s="431" t="s">
        <v>864</v>
      </c>
      <c r="AO139" s="432">
        <v>2024</v>
      </c>
      <c r="AP139" s="425">
        <v>13113.43</v>
      </c>
      <c r="AQ139" s="433">
        <v>3</v>
      </c>
      <c r="AR139" s="425">
        <v>11495</v>
      </c>
      <c r="AS139" s="433">
        <v>2.99</v>
      </c>
      <c r="AT139" s="434">
        <v>67.13</v>
      </c>
      <c r="AU139" s="431" t="s">
        <v>864</v>
      </c>
      <c r="AV139" s="435">
        <v>3</v>
      </c>
      <c r="AW139" s="432">
        <v>2022</v>
      </c>
      <c r="AX139" s="425">
        <v>14232</v>
      </c>
      <c r="AY139" s="433">
        <v>-5.28</v>
      </c>
      <c r="AZ139" s="425">
        <v>12549</v>
      </c>
      <c r="BA139" s="433">
        <v>-5.9</v>
      </c>
      <c r="BB139" s="434">
        <v>66.143174178489303</v>
      </c>
      <c r="BC139" s="431" t="s">
        <v>864</v>
      </c>
      <c r="BD139" s="435">
        <v>4.43</v>
      </c>
      <c r="BE139" s="432">
        <v>2023</v>
      </c>
      <c r="BF139" s="425"/>
      <c r="BG139" s="433"/>
      <c r="BH139" s="425"/>
      <c r="BI139" s="433"/>
      <c r="BJ139" s="434"/>
      <c r="BK139" s="431"/>
      <c r="BL139" s="435"/>
      <c r="BM139" s="432">
        <v>2024</v>
      </c>
      <c r="BN139" s="425"/>
      <c r="BO139" s="433"/>
      <c r="BP139" s="425"/>
      <c r="BQ139" s="433"/>
      <c r="BR139" s="434"/>
      <c r="BS139" s="431"/>
      <c r="BT139" s="435"/>
      <c r="BU139" s="1805" t="s">
        <v>687</v>
      </c>
      <c r="BV139" s="1806" t="s">
        <v>728</v>
      </c>
      <c r="BW139" s="1807" t="s">
        <v>678</v>
      </c>
      <c r="BX139" s="1808" t="s">
        <v>5001</v>
      </c>
      <c r="BY139" s="1809">
        <v>2021</v>
      </c>
      <c r="BZ139" s="424"/>
      <c r="CA139" s="424"/>
      <c r="CB139" s="430"/>
      <c r="CC139" s="431"/>
      <c r="CD139" s="432">
        <v>2024</v>
      </c>
      <c r="CE139" s="425"/>
      <c r="CF139" s="433"/>
      <c r="CG139" s="425"/>
      <c r="CH139" s="433"/>
      <c r="CI139" s="434"/>
      <c r="CJ139" s="431"/>
      <c r="CK139" s="435"/>
      <c r="CL139" s="432">
        <v>2022</v>
      </c>
      <c r="CM139" s="425">
        <v>0</v>
      </c>
      <c r="CN139" s="433"/>
      <c r="CO139" s="425">
        <v>0</v>
      </c>
      <c r="CP139" s="433"/>
      <c r="CQ139" s="434"/>
      <c r="CR139" s="431"/>
      <c r="CS139" s="435">
        <v>0</v>
      </c>
      <c r="CT139" s="432">
        <v>2023</v>
      </c>
      <c r="CU139" s="425"/>
      <c r="CV139" s="433"/>
      <c r="CW139" s="425"/>
      <c r="CX139" s="433"/>
      <c r="CY139" s="434"/>
      <c r="CZ139" s="431"/>
      <c r="DA139" s="435"/>
      <c r="DB139" s="432">
        <v>2024</v>
      </c>
      <c r="DC139" s="425"/>
      <c r="DD139" s="433"/>
      <c r="DE139" s="425"/>
      <c r="DF139" s="433"/>
      <c r="DG139" s="434"/>
      <c r="DH139" s="431"/>
      <c r="DI139" s="435"/>
      <c r="DJ139" s="1805"/>
      <c r="DK139" s="1806"/>
      <c r="DL139" s="1807"/>
      <c r="DM139" s="1808"/>
      <c r="DN139" s="1810">
        <v>0</v>
      </c>
      <c r="DO139" s="1799">
        <v>0</v>
      </c>
      <c r="DP139" s="1800">
        <v>0</v>
      </c>
      <c r="DQ139" s="1799">
        <v>0</v>
      </c>
      <c r="DR139" s="1800">
        <v>0</v>
      </c>
      <c r="DS139" s="1799">
        <v>0</v>
      </c>
    </row>
    <row r="140" spans="1:123" ht="81">
      <c r="A140" s="1801" t="s">
        <v>1620</v>
      </c>
      <c r="B140" s="1788" t="s">
        <v>1621</v>
      </c>
      <c r="C140" s="426">
        <v>2022</v>
      </c>
      <c r="D140" s="417" t="s">
        <v>681</v>
      </c>
      <c r="E140" s="1802">
        <v>1056194</v>
      </c>
      <c r="F140" s="1803" t="s">
        <v>1621</v>
      </c>
      <c r="G140" s="419">
        <v>45132</v>
      </c>
      <c r="H140" s="1790" t="s">
        <v>1622</v>
      </c>
      <c r="I140" s="1791" t="s">
        <v>1621</v>
      </c>
      <c r="J140" s="1793" t="s">
        <v>1623</v>
      </c>
      <c r="K140" s="1788" t="s">
        <v>1621</v>
      </c>
      <c r="L140" s="1791" t="s">
        <v>1624</v>
      </c>
      <c r="M140" s="1793" t="s">
        <v>1625</v>
      </c>
      <c r="N140" s="1790" t="s">
        <v>57</v>
      </c>
      <c r="O140" s="1793" t="s">
        <v>64</v>
      </c>
      <c r="P140" s="420" t="s">
        <v>683</v>
      </c>
      <c r="Q140" s="421"/>
      <c r="R140" s="421"/>
      <c r="S140" s="422"/>
      <c r="T140" s="1794"/>
      <c r="U140" s="423">
        <v>10403.849999999999</v>
      </c>
      <c r="V140" s="424">
        <v>9</v>
      </c>
      <c r="W140" s="424">
        <v>4</v>
      </c>
      <c r="X140" s="425"/>
      <c r="Y140" s="426">
        <v>2022</v>
      </c>
      <c r="Z140" s="417">
        <v>2024</v>
      </c>
      <c r="AA140" s="1804">
        <v>2022</v>
      </c>
      <c r="AB140" s="427"/>
      <c r="AC140" s="1793"/>
      <c r="AD140" s="428" t="s">
        <v>5863</v>
      </c>
      <c r="AE140" s="1791" t="s">
        <v>1626</v>
      </c>
      <c r="AF140" s="1791" t="s">
        <v>5002</v>
      </c>
      <c r="AG140" s="1793" t="s">
        <v>1627</v>
      </c>
      <c r="AH140" s="428"/>
      <c r="AI140" s="1793"/>
      <c r="AJ140" s="429">
        <v>2021</v>
      </c>
      <c r="AK140" s="424">
        <v>18956</v>
      </c>
      <c r="AL140" s="424">
        <v>19306</v>
      </c>
      <c r="AM140" s="430"/>
      <c r="AN140" s="431"/>
      <c r="AO140" s="432">
        <v>2024</v>
      </c>
      <c r="AP140" s="425">
        <v>18577</v>
      </c>
      <c r="AQ140" s="433">
        <v>1.99</v>
      </c>
      <c r="AR140" s="425">
        <v>18920</v>
      </c>
      <c r="AS140" s="433">
        <v>1.99</v>
      </c>
      <c r="AT140" s="434"/>
      <c r="AU140" s="431"/>
      <c r="AV140" s="435"/>
      <c r="AW140" s="432">
        <v>2022</v>
      </c>
      <c r="AX140" s="425">
        <v>18394</v>
      </c>
      <c r="AY140" s="433">
        <v>2.96</v>
      </c>
      <c r="AZ140" s="425">
        <v>17856</v>
      </c>
      <c r="BA140" s="433">
        <v>7.51</v>
      </c>
      <c r="BB140" s="434"/>
      <c r="BC140" s="431"/>
      <c r="BD140" s="435"/>
      <c r="BE140" s="432">
        <v>2023</v>
      </c>
      <c r="BF140" s="425"/>
      <c r="BG140" s="433"/>
      <c r="BH140" s="425"/>
      <c r="BI140" s="433"/>
      <c r="BJ140" s="434"/>
      <c r="BK140" s="431"/>
      <c r="BL140" s="435"/>
      <c r="BM140" s="432">
        <v>2024</v>
      </c>
      <c r="BN140" s="425"/>
      <c r="BO140" s="433"/>
      <c r="BP140" s="425"/>
      <c r="BQ140" s="433"/>
      <c r="BR140" s="434"/>
      <c r="BS140" s="431"/>
      <c r="BT140" s="435"/>
      <c r="BU140" s="1805" t="s">
        <v>687</v>
      </c>
      <c r="BV140" s="1806" t="s">
        <v>728</v>
      </c>
      <c r="BW140" s="1807" t="s">
        <v>688</v>
      </c>
      <c r="BX140" s="1808"/>
      <c r="BY140" s="1809">
        <v>2021</v>
      </c>
      <c r="BZ140" s="424"/>
      <c r="CA140" s="424"/>
      <c r="CB140" s="430"/>
      <c r="CC140" s="431"/>
      <c r="CD140" s="432">
        <v>2024</v>
      </c>
      <c r="CE140" s="425"/>
      <c r="CF140" s="433"/>
      <c r="CG140" s="425"/>
      <c r="CH140" s="433"/>
      <c r="CI140" s="434"/>
      <c r="CJ140" s="431"/>
      <c r="CK140" s="435"/>
      <c r="CL140" s="432">
        <v>2022</v>
      </c>
      <c r="CM140" s="425">
        <v>0</v>
      </c>
      <c r="CN140" s="433"/>
      <c r="CO140" s="425">
        <v>0</v>
      </c>
      <c r="CP140" s="433"/>
      <c r="CQ140" s="434"/>
      <c r="CR140" s="431"/>
      <c r="CS140" s="435"/>
      <c r="CT140" s="432">
        <v>2023</v>
      </c>
      <c r="CU140" s="425"/>
      <c r="CV140" s="433"/>
      <c r="CW140" s="425"/>
      <c r="CX140" s="433"/>
      <c r="CY140" s="434"/>
      <c r="CZ140" s="431"/>
      <c r="DA140" s="435"/>
      <c r="DB140" s="432">
        <v>2024</v>
      </c>
      <c r="DC140" s="425"/>
      <c r="DD140" s="433"/>
      <c r="DE140" s="425"/>
      <c r="DF140" s="433"/>
      <c r="DG140" s="434"/>
      <c r="DH140" s="431"/>
      <c r="DI140" s="435"/>
      <c r="DJ140" s="1805"/>
      <c r="DK140" s="1806"/>
      <c r="DL140" s="1807"/>
      <c r="DM140" s="1808"/>
      <c r="DN140" s="1810">
        <v>0</v>
      </c>
      <c r="DO140" s="1799">
        <v>0</v>
      </c>
      <c r="DP140" s="1800">
        <v>0</v>
      </c>
      <c r="DQ140" s="1799">
        <v>0</v>
      </c>
      <c r="DR140" s="1800">
        <v>0</v>
      </c>
      <c r="DS140" s="1799">
        <v>0</v>
      </c>
    </row>
    <row r="141" spans="1:123" ht="108">
      <c r="A141" s="1801" t="s">
        <v>1628</v>
      </c>
      <c r="B141" s="1788" t="s">
        <v>1629</v>
      </c>
      <c r="C141" s="426">
        <v>2022</v>
      </c>
      <c r="D141" s="417" t="s">
        <v>891</v>
      </c>
      <c r="E141" s="1802">
        <v>1344196</v>
      </c>
      <c r="F141" s="1803" t="s">
        <v>1629</v>
      </c>
      <c r="G141" s="419">
        <v>45134</v>
      </c>
      <c r="H141" s="1790" t="s">
        <v>1630</v>
      </c>
      <c r="I141" s="1791" t="s">
        <v>1629</v>
      </c>
      <c r="J141" s="1793" t="s">
        <v>1631</v>
      </c>
      <c r="K141" s="1788" t="s">
        <v>1629</v>
      </c>
      <c r="L141" s="1791" t="s">
        <v>1632</v>
      </c>
      <c r="M141" s="1793" t="s">
        <v>1633</v>
      </c>
      <c r="N141" s="1790" t="s">
        <v>48</v>
      </c>
      <c r="O141" s="1793" t="s">
        <v>51</v>
      </c>
      <c r="P141" s="420" t="s">
        <v>683</v>
      </c>
      <c r="Q141" s="421"/>
      <c r="R141" s="421" t="s">
        <v>717</v>
      </c>
      <c r="S141" s="422"/>
      <c r="T141" s="1794"/>
      <c r="U141" s="423">
        <v>6102.4998000000005</v>
      </c>
      <c r="V141" s="424">
        <v>105</v>
      </c>
      <c r="W141" s="424">
        <v>2</v>
      </c>
      <c r="X141" s="425">
        <v>1625</v>
      </c>
      <c r="Y141" s="426">
        <v>2022</v>
      </c>
      <c r="Z141" s="417">
        <v>2024</v>
      </c>
      <c r="AA141" s="1804">
        <v>2022</v>
      </c>
      <c r="AB141" s="427"/>
      <c r="AC141" s="1793"/>
      <c r="AD141" s="428" t="s">
        <v>5863</v>
      </c>
      <c r="AE141" s="1791" t="s">
        <v>1634</v>
      </c>
      <c r="AF141" s="1791" t="s">
        <v>1635</v>
      </c>
      <c r="AG141" s="1793" t="s">
        <v>1636</v>
      </c>
      <c r="AH141" s="428"/>
      <c r="AI141" s="1793"/>
      <c r="AJ141" s="429">
        <v>2021</v>
      </c>
      <c r="AK141" s="424">
        <v>10821</v>
      </c>
      <c r="AL141" s="424">
        <v>10732</v>
      </c>
      <c r="AM141" s="430"/>
      <c r="AN141" s="431"/>
      <c r="AO141" s="432">
        <v>2024</v>
      </c>
      <c r="AP141" s="425">
        <v>10500</v>
      </c>
      <c r="AQ141" s="433">
        <v>2.96</v>
      </c>
      <c r="AR141" s="425">
        <v>10410</v>
      </c>
      <c r="AS141" s="433">
        <v>3</v>
      </c>
      <c r="AT141" s="434"/>
      <c r="AU141" s="431"/>
      <c r="AV141" s="435"/>
      <c r="AW141" s="432">
        <v>2022</v>
      </c>
      <c r="AX141" s="425">
        <v>11165</v>
      </c>
      <c r="AY141" s="433">
        <v>-3.18</v>
      </c>
      <c r="AZ141" s="425">
        <v>9143</v>
      </c>
      <c r="BA141" s="433">
        <v>14.8</v>
      </c>
      <c r="BB141" s="434"/>
      <c r="BC141" s="431"/>
      <c r="BD141" s="435"/>
      <c r="BE141" s="432">
        <v>2023</v>
      </c>
      <c r="BF141" s="425"/>
      <c r="BG141" s="433"/>
      <c r="BH141" s="425"/>
      <c r="BI141" s="433"/>
      <c r="BJ141" s="434"/>
      <c r="BK141" s="431"/>
      <c r="BL141" s="435"/>
      <c r="BM141" s="432">
        <v>2024</v>
      </c>
      <c r="BN141" s="425"/>
      <c r="BO141" s="433"/>
      <c r="BP141" s="425"/>
      <c r="BQ141" s="433"/>
      <c r="BR141" s="434"/>
      <c r="BS141" s="431"/>
      <c r="BT141" s="435"/>
      <c r="BU141" s="1805" t="s">
        <v>687</v>
      </c>
      <c r="BV141" s="1806" t="s">
        <v>728</v>
      </c>
      <c r="BW141" s="1807" t="s">
        <v>678</v>
      </c>
      <c r="BX141" s="1808" t="s">
        <v>5003</v>
      </c>
      <c r="BY141" s="1809">
        <v>2021</v>
      </c>
      <c r="BZ141" s="424">
        <v>14128</v>
      </c>
      <c r="CA141" s="424">
        <v>14128</v>
      </c>
      <c r="CB141" s="430"/>
      <c r="CC141" s="431"/>
      <c r="CD141" s="432">
        <v>2024</v>
      </c>
      <c r="CE141" s="425">
        <v>13708</v>
      </c>
      <c r="CF141" s="433">
        <v>2.97</v>
      </c>
      <c r="CG141" s="425">
        <v>13708</v>
      </c>
      <c r="CH141" s="433">
        <v>2.97</v>
      </c>
      <c r="CI141" s="434"/>
      <c r="CJ141" s="431"/>
      <c r="CK141" s="435"/>
      <c r="CL141" s="432">
        <v>2022</v>
      </c>
      <c r="CM141" s="425">
        <v>14314.578880000001</v>
      </c>
      <c r="CN141" s="433">
        <v>-1.33</v>
      </c>
      <c r="CO141" s="425">
        <v>14314.578880000001</v>
      </c>
      <c r="CP141" s="433">
        <v>-1.33</v>
      </c>
      <c r="CQ141" s="434"/>
      <c r="CR141" s="431"/>
      <c r="CS141" s="435"/>
      <c r="CT141" s="432">
        <v>2023</v>
      </c>
      <c r="CU141" s="425"/>
      <c r="CV141" s="433"/>
      <c r="CW141" s="425"/>
      <c r="CX141" s="433"/>
      <c r="CY141" s="434"/>
      <c r="CZ141" s="431"/>
      <c r="DA141" s="435"/>
      <c r="DB141" s="432">
        <v>2024</v>
      </c>
      <c r="DC141" s="425"/>
      <c r="DD141" s="433"/>
      <c r="DE141" s="425"/>
      <c r="DF141" s="433"/>
      <c r="DG141" s="434"/>
      <c r="DH141" s="431"/>
      <c r="DI141" s="435"/>
      <c r="DJ141" s="1805" t="s">
        <v>687</v>
      </c>
      <c r="DK141" s="1806" t="s">
        <v>728</v>
      </c>
      <c r="DL141" s="1807" t="s">
        <v>678</v>
      </c>
      <c r="DM141" s="1808" t="s">
        <v>5004</v>
      </c>
      <c r="DN141" s="1810">
        <v>27</v>
      </c>
      <c r="DO141" s="1799">
        <v>66</v>
      </c>
      <c r="DP141" s="1800">
        <v>0</v>
      </c>
      <c r="DQ141" s="1799">
        <v>0</v>
      </c>
      <c r="DR141" s="1800">
        <v>0</v>
      </c>
      <c r="DS141" s="1799">
        <v>0</v>
      </c>
    </row>
    <row r="142" spans="1:123" ht="54">
      <c r="A142" s="1801" t="s">
        <v>1637</v>
      </c>
      <c r="B142" s="1788" t="s">
        <v>1638</v>
      </c>
      <c r="C142" s="426">
        <v>2022</v>
      </c>
      <c r="D142" s="417" t="s">
        <v>714</v>
      </c>
      <c r="E142" s="1802">
        <v>3060200</v>
      </c>
      <c r="F142" s="1803" t="s">
        <v>1638</v>
      </c>
      <c r="G142" s="419">
        <v>45134</v>
      </c>
      <c r="H142" s="1790" t="s">
        <v>1639</v>
      </c>
      <c r="I142" s="1791" t="s">
        <v>1638</v>
      </c>
      <c r="J142" s="1793" t="s">
        <v>5005</v>
      </c>
      <c r="K142" s="1788" t="s">
        <v>1638</v>
      </c>
      <c r="L142" s="1791" t="s">
        <v>5005</v>
      </c>
      <c r="M142" s="1793" t="s">
        <v>1639</v>
      </c>
      <c r="N142" s="1790" t="s">
        <v>57</v>
      </c>
      <c r="O142" s="1793" t="s">
        <v>68</v>
      </c>
      <c r="P142" s="420"/>
      <c r="Q142" s="421"/>
      <c r="R142" s="421" t="s">
        <v>717</v>
      </c>
      <c r="S142" s="422"/>
      <c r="T142" s="1794"/>
      <c r="U142" s="423"/>
      <c r="V142" s="424"/>
      <c r="W142" s="424"/>
      <c r="X142" s="425">
        <v>238</v>
      </c>
      <c r="Y142" s="426">
        <v>2022</v>
      </c>
      <c r="Z142" s="417">
        <v>2024</v>
      </c>
      <c r="AA142" s="1804">
        <v>2022</v>
      </c>
      <c r="AB142" s="427"/>
      <c r="AC142" s="1793"/>
      <c r="AD142" s="428" t="s">
        <v>5863</v>
      </c>
      <c r="AE142" s="1791" t="s">
        <v>1640</v>
      </c>
      <c r="AF142" s="1791" t="s">
        <v>1641</v>
      </c>
      <c r="AG142" s="1793" t="s">
        <v>1642</v>
      </c>
      <c r="AH142" s="428"/>
      <c r="AI142" s="1793"/>
      <c r="AJ142" s="429">
        <v>2021</v>
      </c>
      <c r="AK142" s="424">
        <v>0</v>
      </c>
      <c r="AL142" s="424"/>
      <c r="AM142" s="430"/>
      <c r="AN142" s="431"/>
      <c r="AO142" s="432">
        <v>2024</v>
      </c>
      <c r="AP142" s="425">
        <v>0</v>
      </c>
      <c r="AQ142" s="433"/>
      <c r="AR142" s="425">
        <v>0</v>
      </c>
      <c r="AS142" s="433"/>
      <c r="AT142" s="434"/>
      <c r="AU142" s="431"/>
      <c r="AV142" s="435"/>
      <c r="AW142" s="432">
        <v>2022</v>
      </c>
      <c r="AX142" s="425"/>
      <c r="AY142" s="433"/>
      <c r="AZ142" s="425"/>
      <c r="BA142" s="433"/>
      <c r="BB142" s="434"/>
      <c r="BC142" s="431"/>
      <c r="BD142" s="435"/>
      <c r="BE142" s="432">
        <v>2023</v>
      </c>
      <c r="BF142" s="425"/>
      <c r="BG142" s="433"/>
      <c r="BH142" s="425"/>
      <c r="BI142" s="433"/>
      <c r="BJ142" s="434"/>
      <c r="BK142" s="431"/>
      <c r="BL142" s="435"/>
      <c r="BM142" s="432">
        <v>2024</v>
      </c>
      <c r="BN142" s="425"/>
      <c r="BO142" s="433"/>
      <c r="BP142" s="425"/>
      <c r="BQ142" s="433"/>
      <c r="BR142" s="434"/>
      <c r="BS142" s="431"/>
      <c r="BT142" s="435"/>
      <c r="BU142" s="1805"/>
      <c r="BV142" s="1806"/>
      <c r="BW142" s="1807"/>
      <c r="BX142" s="1808"/>
      <c r="BY142" s="1809">
        <v>2021</v>
      </c>
      <c r="BZ142" s="424">
        <v>363</v>
      </c>
      <c r="CA142" s="424">
        <v>363</v>
      </c>
      <c r="CB142" s="430"/>
      <c r="CC142" s="431"/>
      <c r="CD142" s="432">
        <v>2024</v>
      </c>
      <c r="CE142" s="425">
        <v>352</v>
      </c>
      <c r="CF142" s="433">
        <v>3.03</v>
      </c>
      <c r="CG142" s="425">
        <v>352</v>
      </c>
      <c r="CH142" s="433">
        <v>3.03</v>
      </c>
      <c r="CI142" s="434"/>
      <c r="CJ142" s="431"/>
      <c r="CK142" s="435"/>
      <c r="CL142" s="432">
        <v>2022</v>
      </c>
      <c r="CM142" s="425">
        <v>359.35737999999992</v>
      </c>
      <c r="CN142" s="433">
        <v>1</v>
      </c>
      <c r="CO142" s="425">
        <v>359.35737999999992</v>
      </c>
      <c r="CP142" s="433">
        <v>1</v>
      </c>
      <c r="CQ142" s="434"/>
      <c r="CR142" s="431"/>
      <c r="CS142" s="435"/>
      <c r="CT142" s="432">
        <v>2023</v>
      </c>
      <c r="CU142" s="425"/>
      <c r="CV142" s="433"/>
      <c r="CW142" s="425"/>
      <c r="CX142" s="433"/>
      <c r="CY142" s="434"/>
      <c r="CZ142" s="431"/>
      <c r="DA142" s="435"/>
      <c r="DB142" s="432">
        <v>2024</v>
      </c>
      <c r="DC142" s="425"/>
      <c r="DD142" s="433"/>
      <c r="DE142" s="425"/>
      <c r="DF142" s="433"/>
      <c r="DG142" s="434"/>
      <c r="DH142" s="431"/>
      <c r="DI142" s="435"/>
      <c r="DJ142" s="1805" t="s">
        <v>687</v>
      </c>
      <c r="DK142" s="1806" t="s">
        <v>728</v>
      </c>
      <c r="DL142" s="1807" t="s">
        <v>688</v>
      </c>
      <c r="DM142" s="1808" t="s">
        <v>1643</v>
      </c>
      <c r="DN142" s="1810">
        <v>0</v>
      </c>
      <c r="DO142" s="1799">
        <v>0</v>
      </c>
      <c r="DP142" s="1800">
        <v>0</v>
      </c>
      <c r="DQ142" s="1799">
        <v>0</v>
      </c>
      <c r="DR142" s="1800">
        <v>0</v>
      </c>
      <c r="DS142" s="1799">
        <v>0</v>
      </c>
    </row>
    <row r="143" spans="1:123" ht="81">
      <c r="A143" s="1801" t="s">
        <v>1644</v>
      </c>
      <c r="B143" s="1788" t="s">
        <v>1645</v>
      </c>
      <c r="C143" s="426">
        <v>2022</v>
      </c>
      <c r="D143" s="417" t="s">
        <v>681</v>
      </c>
      <c r="E143" s="1802">
        <v>1069202</v>
      </c>
      <c r="F143" s="1803" t="s">
        <v>1645</v>
      </c>
      <c r="G143" s="419">
        <v>45135</v>
      </c>
      <c r="H143" s="1790" t="s">
        <v>1646</v>
      </c>
      <c r="I143" s="1791" t="s">
        <v>1645</v>
      </c>
      <c r="J143" s="1793" t="s">
        <v>1647</v>
      </c>
      <c r="K143" s="1788" t="s">
        <v>1645</v>
      </c>
      <c r="L143" s="1791" t="s">
        <v>1647</v>
      </c>
      <c r="M143" s="1793" t="s">
        <v>1648</v>
      </c>
      <c r="N143" s="1790" t="s">
        <v>77</v>
      </c>
      <c r="O143" s="1793" t="s">
        <v>79</v>
      </c>
      <c r="P143" s="420" t="s">
        <v>683</v>
      </c>
      <c r="Q143" s="421"/>
      <c r="R143" s="421"/>
      <c r="S143" s="422"/>
      <c r="T143" s="1794"/>
      <c r="U143" s="423">
        <v>10343.968199999999</v>
      </c>
      <c r="V143" s="424">
        <v>29</v>
      </c>
      <c r="W143" s="424">
        <v>3</v>
      </c>
      <c r="X143" s="425"/>
      <c r="Y143" s="426">
        <v>2022</v>
      </c>
      <c r="Z143" s="417">
        <v>2024</v>
      </c>
      <c r="AA143" s="1804">
        <v>2022</v>
      </c>
      <c r="AB143" s="427"/>
      <c r="AC143" s="1793"/>
      <c r="AD143" s="428" t="s">
        <v>5863</v>
      </c>
      <c r="AE143" s="1791" t="s">
        <v>1649</v>
      </c>
      <c r="AF143" s="1791" t="s">
        <v>1650</v>
      </c>
      <c r="AG143" s="1793" t="s">
        <v>1651</v>
      </c>
      <c r="AH143" s="428"/>
      <c r="AI143" s="1793"/>
      <c r="AJ143" s="429">
        <v>2021</v>
      </c>
      <c r="AK143" s="424">
        <v>19816</v>
      </c>
      <c r="AL143" s="424">
        <v>22393</v>
      </c>
      <c r="AM143" s="430">
        <v>56.85</v>
      </c>
      <c r="AN143" s="431" t="s">
        <v>1652</v>
      </c>
      <c r="AO143" s="432">
        <v>2024</v>
      </c>
      <c r="AP143" s="425">
        <v>19581</v>
      </c>
      <c r="AQ143" s="433">
        <v>1.18</v>
      </c>
      <c r="AR143" s="425">
        <v>14388</v>
      </c>
      <c r="AS143" s="433">
        <v>35.74</v>
      </c>
      <c r="AT143" s="434">
        <v>74.53</v>
      </c>
      <c r="AU143" s="431" t="s">
        <v>1652</v>
      </c>
      <c r="AV143" s="435">
        <v>-31.1</v>
      </c>
      <c r="AW143" s="432">
        <v>2022</v>
      </c>
      <c r="AX143" s="425">
        <v>15980</v>
      </c>
      <c r="AY143" s="433">
        <v>19.350000000000001</v>
      </c>
      <c r="AZ143" s="425">
        <v>13923</v>
      </c>
      <c r="BA143" s="433">
        <v>37.82</v>
      </c>
      <c r="BB143" s="434">
        <v>67.365401766771356</v>
      </c>
      <c r="BC143" s="431" t="s">
        <v>1652</v>
      </c>
      <c r="BD143" s="435">
        <v>-18.5</v>
      </c>
      <c r="BE143" s="432">
        <v>2023</v>
      </c>
      <c r="BF143" s="425"/>
      <c r="BG143" s="433"/>
      <c r="BH143" s="425"/>
      <c r="BI143" s="433"/>
      <c r="BJ143" s="434"/>
      <c r="BK143" s="431"/>
      <c r="BL143" s="435"/>
      <c r="BM143" s="432">
        <v>2024</v>
      </c>
      <c r="BN143" s="425"/>
      <c r="BO143" s="433"/>
      <c r="BP143" s="425"/>
      <c r="BQ143" s="433"/>
      <c r="BR143" s="434"/>
      <c r="BS143" s="431"/>
      <c r="BT143" s="435"/>
      <c r="BU143" s="1805" t="s">
        <v>687</v>
      </c>
      <c r="BV143" s="1806" t="s">
        <v>728</v>
      </c>
      <c r="BW143" s="1807" t="s">
        <v>688</v>
      </c>
      <c r="BX143" s="1808" t="s">
        <v>5006</v>
      </c>
      <c r="BY143" s="1809">
        <v>2021</v>
      </c>
      <c r="BZ143" s="424"/>
      <c r="CA143" s="424"/>
      <c r="CB143" s="430"/>
      <c r="CC143" s="431"/>
      <c r="CD143" s="432">
        <v>2024</v>
      </c>
      <c r="CE143" s="425"/>
      <c r="CF143" s="433"/>
      <c r="CG143" s="425"/>
      <c r="CH143" s="433"/>
      <c r="CI143" s="434"/>
      <c r="CJ143" s="431"/>
      <c r="CK143" s="435"/>
      <c r="CL143" s="432">
        <v>2022</v>
      </c>
      <c r="CM143" s="425">
        <v>0</v>
      </c>
      <c r="CN143" s="433"/>
      <c r="CO143" s="425">
        <v>0</v>
      </c>
      <c r="CP143" s="433"/>
      <c r="CQ143" s="434"/>
      <c r="CR143" s="431"/>
      <c r="CS143" s="435">
        <v>0</v>
      </c>
      <c r="CT143" s="432">
        <v>2023</v>
      </c>
      <c r="CU143" s="425"/>
      <c r="CV143" s="433"/>
      <c r="CW143" s="425"/>
      <c r="CX143" s="433"/>
      <c r="CY143" s="434"/>
      <c r="CZ143" s="431"/>
      <c r="DA143" s="435"/>
      <c r="DB143" s="432">
        <v>2024</v>
      </c>
      <c r="DC143" s="425"/>
      <c r="DD143" s="433"/>
      <c r="DE143" s="425"/>
      <c r="DF143" s="433"/>
      <c r="DG143" s="434"/>
      <c r="DH143" s="431"/>
      <c r="DI143" s="435"/>
      <c r="DJ143" s="1805"/>
      <c r="DK143" s="1806"/>
      <c r="DL143" s="1807"/>
      <c r="DM143" s="1808"/>
      <c r="DN143" s="1810">
        <v>0</v>
      </c>
      <c r="DO143" s="1799">
        <v>0</v>
      </c>
      <c r="DP143" s="1800">
        <v>0</v>
      </c>
      <c r="DQ143" s="1799">
        <v>0</v>
      </c>
      <c r="DR143" s="1800">
        <v>0</v>
      </c>
      <c r="DS143" s="1799">
        <v>0</v>
      </c>
    </row>
    <row r="144" spans="1:123" ht="175.5">
      <c r="A144" s="1801" t="s">
        <v>1653</v>
      </c>
      <c r="B144" s="1788" t="s">
        <v>1654</v>
      </c>
      <c r="C144" s="426">
        <v>2022</v>
      </c>
      <c r="D144" s="417" t="s">
        <v>891</v>
      </c>
      <c r="E144" s="1802">
        <v>1331203</v>
      </c>
      <c r="F144" s="1803" t="s">
        <v>1654</v>
      </c>
      <c r="G144" s="419">
        <v>45134</v>
      </c>
      <c r="H144" s="1790" t="s">
        <v>1655</v>
      </c>
      <c r="I144" s="1791" t="s">
        <v>1654</v>
      </c>
      <c r="J144" s="1793" t="s">
        <v>1656</v>
      </c>
      <c r="K144" s="1788" t="s">
        <v>1654</v>
      </c>
      <c r="L144" s="1791" t="s">
        <v>1657</v>
      </c>
      <c r="M144" s="1793" t="s">
        <v>1658</v>
      </c>
      <c r="N144" s="1790" t="s">
        <v>12</v>
      </c>
      <c r="O144" s="1793" t="s">
        <v>35</v>
      </c>
      <c r="P144" s="420" t="s">
        <v>683</v>
      </c>
      <c r="Q144" s="421"/>
      <c r="R144" s="421" t="s">
        <v>717</v>
      </c>
      <c r="S144" s="422"/>
      <c r="T144" s="1794"/>
      <c r="U144" s="423">
        <v>56739.360000000001</v>
      </c>
      <c r="V144" s="424">
        <v>6</v>
      </c>
      <c r="W144" s="424">
        <v>4</v>
      </c>
      <c r="X144" s="425">
        <v>214</v>
      </c>
      <c r="Y144" s="426">
        <v>2022</v>
      </c>
      <c r="Z144" s="417">
        <v>2024</v>
      </c>
      <c r="AA144" s="1804">
        <v>2022</v>
      </c>
      <c r="AB144" s="427"/>
      <c r="AC144" s="1793"/>
      <c r="AD144" s="428" t="s">
        <v>5863</v>
      </c>
      <c r="AE144" s="1791" t="s">
        <v>1659</v>
      </c>
      <c r="AF144" s="1791" t="s">
        <v>1660</v>
      </c>
      <c r="AG144" s="1793" t="s">
        <v>1661</v>
      </c>
      <c r="AH144" s="428"/>
      <c r="AI144" s="1793"/>
      <c r="AJ144" s="429">
        <v>2021</v>
      </c>
      <c r="AK144" s="424">
        <v>113550</v>
      </c>
      <c r="AL144" s="424">
        <v>111908</v>
      </c>
      <c r="AM144" s="430"/>
      <c r="AN144" s="431"/>
      <c r="AO144" s="432">
        <v>2024</v>
      </c>
      <c r="AP144" s="425">
        <v>110143</v>
      </c>
      <c r="AQ144" s="433">
        <v>3</v>
      </c>
      <c r="AR144" s="425">
        <v>108551</v>
      </c>
      <c r="AS144" s="433">
        <v>2.99</v>
      </c>
      <c r="AT144" s="434"/>
      <c r="AU144" s="431"/>
      <c r="AV144" s="435"/>
      <c r="AW144" s="432">
        <v>2022</v>
      </c>
      <c r="AX144" s="425">
        <v>106910</v>
      </c>
      <c r="AY144" s="433">
        <v>5.84</v>
      </c>
      <c r="AZ144" s="425">
        <v>106439</v>
      </c>
      <c r="BA144" s="433">
        <v>4.88</v>
      </c>
      <c r="BB144" s="434"/>
      <c r="BC144" s="431"/>
      <c r="BD144" s="435"/>
      <c r="BE144" s="432">
        <v>2023</v>
      </c>
      <c r="BF144" s="425"/>
      <c r="BG144" s="433"/>
      <c r="BH144" s="425"/>
      <c r="BI144" s="433"/>
      <c r="BJ144" s="434"/>
      <c r="BK144" s="431"/>
      <c r="BL144" s="435"/>
      <c r="BM144" s="432">
        <v>2024</v>
      </c>
      <c r="BN144" s="425"/>
      <c r="BO144" s="433"/>
      <c r="BP144" s="425"/>
      <c r="BQ144" s="433"/>
      <c r="BR144" s="434"/>
      <c r="BS144" s="431"/>
      <c r="BT144" s="435"/>
      <c r="BU144" s="1805" t="s">
        <v>687</v>
      </c>
      <c r="BV144" s="1806" t="s">
        <v>728</v>
      </c>
      <c r="BW144" s="1807" t="s">
        <v>688</v>
      </c>
      <c r="BX144" s="1808"/>
      <c r="BY144" s="1809">
        <v>2021</v>
      </c>
      <c r="BZ144" s="424">
        <v>238</v>
      </c>
      <c r="CA144" s="424">
        <v>238</v>
      </c>
      <c r="CB144" s="430">
        <v>0.13839969249681769</v>
      </c>
      <c r="CC144" s="431" t="s">
        <v>800</v>
      </c>
      <c r="CD144" s="432">
        <v>2024</v>
      </c>
      <c r="CE144" s="425">
        <v>230.85999999999999</v>
      </c>
      <c r="CF144" s="433">
        <v>3</v>
      </c>
      <c r="CG144" s="425">
        <v>230.85999999999999</v>
      </c>
      <c r="CH144" s="433">
        <v>3</v>
      </c>
      <c r="CI144" s="434">
        <v>0.13424770172191317</v>
      </c>
      <c r="CJ144" s="431" t="s">
        <v>800</v>
      </c>
      <c r="CK144" s="435">
        <v>2.99</v>
      </c>
      <c r="CL144" s="432">
        <v>2022</v>
      </c>
      <c r="CM144" s="425">
        <v>260.19634475593818</v>
      </c>
      <c r="CN144" s="433">
        <v>-9.33</v>
      </c>
      <c r="CO144" s="425">
        <v>260.19634475593818</v>
      </c>
      <c r="CP144" s="433">
        <v>-9.33</v>
      </c>
      <c r="CQ144" s="434">
        <v>0.14970797028119151</v>
      </c>
      <c r="CR144" s="431" t="s">
        <v>800</v>
      </c>
      <c r="CS144" s="435">
        <v>-8.18</v>
      </c>
      <c r="CT144" s="432">
        <v>2023</v>
      </c>
      <c r="CU144" s="425"/>
      <c r="CV144" s="433"/>
      <c r="CW144" s="425"/>
      <c r="CX144" s="433"/>
      <c r="CY144" s="434"/>
      <c r="CZ144" s="431"/>
      <c r="DA144" s="435"/>
      <c r="DB144" s="432">
        <v>2024</v>
      </c>
      <c r="DC144" s="425"/>
      <c r="DD144" s="433"/>
      <c r="DE144" s="425"/>
      <c r="DF144" s="433"/>
      <c r="DG144" s="434"/>
      <c r="DH144" s="431"/>
      <c r="DI144" s="435"/>
      <c r="DJ144" s="1805" t="s">
        <v>676</v>
      </c>
      <c r="DK144" s="1806" t="s">
        <v>728</v>
      </c>
      <c r="DL144" s="1807" t="s">
        <v>688</v>
      </c>
      <c r="DM144" s="1808"/>
      <c r="DN144" s="1810">
        <v>18</v>
      </c>
      <c r="DO144" s="1799">
        <v>40</v>
      </c>
      <c r="DP144" s="1800">
        <v>0</v>
      </c>
      <c r="DQ144" s="1799">
        <v>0</v>
      </c>
      <c r="DR144" s="1800">
        <v>0</v>
      </c>
      <c r="DS144" s="1799">
        <v>0</v>
      </c>
    </row>
    <row r="145" spans="1:123" ht="67.5">
      <c r="A145" s="1801" t="s">
        <v>1662</v>
      </c>
      <c r="B145" s="1788" t="s">
        <v>1663</v>
      </c>
      <c r="C145" s="426">
        <v>2022</v>
      </c>
      <c r="D145" s="417" t="s">
        <v>714</v>
      </c>
      <c r="E145" s="1802">
        <v>3055204</v>
      </c>
      <c r="F145" s="1803" t="s">
        <v>1663</v>
      </c>
      <c r="G145" s="419">
        <v>45126</v>
      </c>
      <c r="H145" s="1790" t="s">
        <v>5007</v>
      </c>
      <c r="I145" s="1791" t="s">
        <v>1663</v>
      </c>
      <c r="J145" s="1793" t="s">
        <v>1664</v>
      </c>
      <c r="K145" s="1788" t="s">
        <v>1663</v>
      </c>
      <c r="L145" s="1791" t="s">
        <v>1664</v>
      </c>
      <c r="M145" s="1793" t="s">
        <v>5007</v>
      </c>
      <c r="N145" s="1790" t="s">
        <v>57</v>
      </c>
      <c r="O145" s="1793" t="s">
        <v>63</v>
      </c>
      <c r="P145" s="420"/>
      <c r="Q145" s="421"/>
      <c r="R145" s="421" t="s">
        <v>717</v>
      </c>
      <c r="S145" s="422"/>
      <c r="T145" s="1794"/>
      <c r="U145" s="423"/>
      <c r="V145" s="424"/>
      <c r="W145" s="424"/>
      <c r="X145" s="425">
        <v>181</v>
      </c>
      <c r="Y145" s="426">
        <v>2022</v>
      </c>
      <c r="Z145" s="417">
        <v>2024</v>
      </c>
      <c r="AA145" s="1804">
        <v>2022</v>
      </c>
      <c r="AB145" s="427"/>
      <c r="AC145" s="1793"/>
      <c r="AD145" s="428" t="s">
        <v>5863</v>
      </c>
      <c r="AE145" s="1791" t="s">
        <v>1665</v>
      </c>
      <c r="AF145" s="1791" t="s">
        <v>5008</v>
      </c>
      <c r="AG145" s="1793" t="s">
        <v>1666</v>
      </c>
      <c r="AH145" s="428"/>
      <c r="AI145" s="1793"/>
      <c r="AJ145" s="429">
        <v>2021</v>
      </c>
      <c r="AK145" s="424">
        <v>0</v>
      </c>
      <c r="AL145" s="424"/>
      <c r="AM145" s="430"/>
      <c r="AN145" s="431"/>
      <c r="AO145" s="432">
        <v>2024</v>
      </c>
      <c r="AP145" s="425">
        <v>0</v>
      </c>
      <c r="AQ145" s="433"/>
      <c r="AR145" s="425">
        <v>0</v>
      </c>
      <c r="AS145" s="433"/>
      <c r="AT145" s="434"/>
      <c r="AU145" s="431"/>
      <c r="AV145" s="435"/>
      <c r="AW145" s="432">
        <v>2022</v>
      </c>
      <c r="AX145" s="425"/>
      <c r="AY145" s="433"/>
      <c r="AZ145" s="425"/>
      <c r="BA145" s="433"/>
      <c r="BB145" s="434"/>
      <c r="BC145" s="431"/>
      <c r="BD145" s="435"/>
      <c r="BE145" s="432">
        <v>2023</v>
      </c>
      <c r="BF145" s="425"/>
      <c r="BG145" s="433"/>
      <c r="BH145" s="425"/>
      <c r="BI145" s="433"/>
      <c r="BJ145" s="434"/>
      <c r="BK145" s="431"/>
      <c r="BL145" s="435"/>
      <c r="BM145" s="432">
        <v>2024</v>
      </c>
      <c r="BN145" s="425"/>
      <c r="BO145" s="433"/>
      <c r="BP145" s="425"/>
      <c r="BQ145" s="433"/>
      <c r="BR145" s="434"/>
      <c r="BS145" s="431"/>
      <c r="BT145" s="435"/>
      <c r="BU145" s="1805"/>
      <c r="BV145" s="1806"/>
      <c r="BW145" s="1807"/>
      <c r="BX145" s="1808"/>
      <c r="BY145" s="1809">
        <v>2021</v>
      </c>
      <c r="BZ145" s="424">
        <v>800</v>
      </c>
      <c r="CA145" s="424">
        <v>800</v>
      </c>
      <c r="CB145" s="430">
        <v>1.05</v>
      </c>
      <c r="CC145" s="431" t="s">
        <v>912</v>
      </c>
      <c r="CD145" s="432">
        <v>2024</v>
      </c>
      <c r="CE145" s="425">
        <v>776</v>
      </c>
      <c r="CF145" s="433">
        <v>3</v>
      </c>
      <c r="CG145" s="425">
        <v>776</v>
      </c>
      <c r="CH145" s="433">
        <v>3</v>
      </c>
      <c r="CI145" s="434">
        <v>1.0189999999999999</v>
      </c>
      <c r="CJ145" s="431" t="s">
        <v>912</v>
      </c>
      <c r="CK145" s="435">
        <v>2.95</v>
      </c>
      <c r="CL145" s="432">
        <v>2022</v>
      </c>
      <c r="CM145" s="425">
        <v>807.48022000000003</v>
      </c>
      <c r="CN145" s="433">
        <v>-0.94</v>
      </c>
      <c r="CO145" s="425">
        <v>807.48022000000003</v>
      </c>
      <c r="CP145" s="433">
        <v>-0.94</v>
      </c>
      <c r="CQ145" s="434">
        <v>1.0658257150776784</v>
      </c>
      <c r="CR145" s="431" t="s">
        <v>912</v>
      </c>
      <c r="CS145" s="435">
        <v>-1.51</v>
      </c>
      <c r="CT145" s="432">
        <v>2023</v>
      </c>
      <c r="CU145" s="425"/>
      <c r="CV145" s="433"/>
      <c r="CW145" s="425"/>
      <c r="CX145" s="433"/>
      <c r="CY145" s="434"/>
      <c r="CZ145" s="431"/>
      <c r="DA145" s="435"/>
      <c r="DB145" s="432">
        <v>2024</v>
      </c>
      <c r="DC145" s="425"/>
      <c r="DD145" s="433"/>
      <c r="DE145" s="425"/>
      <c r="DF145" s="433"/>
      <c r="DG145" s="434"/>
      <c r="DH145" s="431"/>
      <c r="DI145" s="435"/>
      <c r="DJ145" s="1805" t="s">
        <v>676</v>
      </c>
      <c r="DK145" s="1806" t="s">
        <v>728</v>
      </c>
      <c r="DL145" s="1807" t="s">
        <v>678</v>
      </c>
      <c r="DM145" s="1808"/>
      <c r="DN145" s="1810">
        <v>0</v>
      </c>
      <c r="DO145" s="1799">
        <v>0</v>
      </c>
      <c r="DP145" s="1800">
        <v>0</v>
      </c>
      <c r="DQ145" s="1799">
        <v>0</v>
      </c>
      <c r="DR145" s="1800">
        <v>0</v>
      </c>
      <c r="DS145" s="1799">
        <v>0</v>
      </c>
    </row>
    <row r="146" spans="1:123" ht="81">
      <c r="A146" s="1801" t="s">
        <v>1667</v>
      </c>
      <c r="B146" s="1788" t="s">
        <v>1668</v>
      </c>
      <c r="C146" s="426">
        <v>2022</v>
      </c>
      <c r="D146" s="417" t="s">
        <v>5724</v>
      </c>
      <c r="E146" s="1802">
        <v>1343205</v>
      </c>
      <c r="F146" s="1803" t="s">
        <v>1668</v>
      </c>
      <c r="G146" s="419">
        <v>45134</v>
      </c>
      <c r="H146" s="1790" t="s">
        <v>1669</v>
      </c>
      <c r="I146" s="1791" t="s">
        <v>1668</v>
      </c>
      <c r="J146" s="1793" t="s">
        <v>5009</v>
      </c>
      <c r="K146" s="1788" t="s">
        <v>1668</v>
      </c>
      <c r="L146" s="1791" t="s">
        <v>5009</v>
      </c>
      <c r="M146" s="1793" t="s">
        <v>1669</v>
      </c>
      <c r="N146" s="1790" t="s">
        <v>48</v>
      </c>
      <c r="O146" s="1793" t="s">
        <v>50</v>
      </c>
      <c r="P146" s="420"/>
      <c r="Q146" s="421"/>
      <c r="R146" s="421" t="s">
        <v>717</v>
      </c>
      <c r="S146" s="422" t="s">
        <v>5865</v>
      </c>
      <c r="T146" s="1794"/>
      <c r="U146" s="423">
        <v>987.21119999999996</v>
      </c>
      <c r="V146" s="424">
        <v>47</v>
      </c>
      <c r="W146" s="424">
        <v>0</v>
      </c>
      <c r="X146" s="425">
        <v>532</v>
      </c>
      <c r="Y146" s="426">
        <v>2022</v>
      </c>
      <c r="Z146" s="417">
        <v>2024</v>
      </c>
      <c r="AA146" s="1804">
        <v>2022</v>
      </c>
      <c r="AB146" s="427" t="s">
        <v>5863</v>
      </c>
      <c r="AC146" s="1793" t="s">
        <v>1670</v>
      </c>
      <c r="AD146" s="428"/>
      <c r="AE146" s="1791"/>
      <c r="AF146" s="1791"/>
      <c r="AG146" s="1793"/>
      <c r="AH146" s="428"/>
      <c r="AI146" s="1793"/>
      <c r="AJ146" s="429">
        <v>2021</v>
      </c>
      <c r="AK146" s="424">
        <v>1927</v>
      </c>
      <c r="AL146" s="424">
        <v>1960</v>
      </c>
      <c r="AM146" s="430"/>
      <c r="AN146" s="431"/>
      <c r="AO146" s="432">
        <v>2024</v>
      </c>
      <c r="AP146" s="425">
        <v>1870</v>
      </c>
      <c r="AQ146" s="433">
        <v>2.95</v>
      </c>
      <c r="AR146" s="425">
        <v>1902</v>
      </c>
      <c r="AS146" s="433">
        <v>2.95</v>
      </c>
      <c r="AT146" s="434"/>
      <c r="AU146" s="431"/>
      <c r="AV146" s="435"/>
      <c r="AW146" s="432">
        <v>2022</v>
      </c>
      <c r="AX146" s="425">
        <v>1759</v>
      </c>
      <c r="AY146" s="433">
        <v>8.7100000000000009</v>
      </c>
      <c r="AZ146" s="425">
        <v>1847</v>
      </c>
      <c r="BA146" s="433">
        <v>5.76</v>
      </c>
      <c r="BB146" s="434"/>
      <c r="BC146" s="431"/>
      <c r="BD146" s="435"/>
      <c r="BE146" s="432">
        <v>2023</v>
      </c>
      <c r="BF146" s="425"/>
      <c r="BG146" s="433"/>
      <c r="BH146" s="425"/>
      <c r="BI146" s="433"/>
      <c r="BJ146" s="434"/>
      <c r="BK146" s="431"/>
      <c r="BL146" s="435"/>
      <c r="BM146" s="432">
        <v>2024</v>
      </c>
      <c r="BN146" s="425"/>
      <c r="BO146" s="433"/>
      <c r="BP146" s="425"/>
      <c r="BQ146" s="433"/>
      <c r="BR146" s="434"/>
      <c r="BS146" s="431"/>
      <c r="BT146" s="435"/>
      <c r="BU146" s="1805" t="s">
        <v>687</v>
      </c>
      <c r="BV146" s="1806" t="s">
        <v>728</v>
      </c>
      <c r="BW146" s="1807" t="s">
        <v>688</v>
      </c>
      <c r="BX146" s="1808" t="s">
        <v>5010</v>
      </c>
      <c r="BY146" s="1809">
        <v>2021</v>
      </c>
      <c r="BZ146" s="424">
        <v>21875</v>
      </c>
      <c r="CA146" s="424">
        <v>21875</v>
      </c>
      <c r="CB146" s="430"/>
      <c r="CC146" s="431"/>
      <c r="CD146" s="432">
        <v>2024</v>
      </c>
      <c r="CE146" s="425">
        <v>21219</v>
      </c>
      <c r="CF146" s="433">
        <v>2.99</v>
      </c>
      <c r="CG146" s="425">
        <v>21219</v>
      </c>
      <c r="CH146" s="433">
        <v>2.99</v>
      </c>
      <c r="CI146" s="434"/>
      <c r="CJ146" s="431"/>
      <c r="CK146" s="435"/>
      <c r="CL146" s="432">
        <v>2022</v>
      </c>
      <c r="CM146" s="425">
        <v>22012.51614</v>
      </c>
      <c r="CN146" s="433">
        <v>-0.63</v>
      </c>
      <c r="CO146" s="425">
        <v>22012.51614</v>
      </c>
      <c r="CP146" s="433">
        <v>-0.63</v>
      </c>
      <c r="CQ146" s="434"/>
      <c r="CR146" s="431"/>
      <c r="CS146" s="435"/>
      <c r="CT146" s="432">
        <v>2023</v>
      </c>
      <c r="CU146" s="425"/>
      <c r="CV146" s="433"/>
      <c r="CW146" s="425"/>
      <c r="CX146" s="433"/>
      <c r="CY146" s="434"/>
      <c r="CZ146" s="431"/>
      <c r="DA146" s="435"/>
      <c r="DB146" s="432">
        <v>2024</v>
      </c>
      <c r="DC146" s="425"/>
      <c r="DD146" s="433"/>
      <c r="DE146" s="425"/>
      <c r="DF146" s="433"/>
      <c r="DG146" s="434"/>
      <c r="DH146" s="431"/>
      <c r="DI146" s="435"/>
      <c r="DJ146" s="1805" t="s">
        <v>676</v>
      </c>
      <c r="DK146" s="1806" t="s">
        <v>728</v>
      </c>
      <c r="DL146" s="1807" t="s">
        <v>688</v>
      </c>
      <c r="DM146" s="1808" t="s">
        <v>5011</v>
      </c>
      <c r="DN146" s="1810">
        <v>0</v>
      </c>
      <c r="DO146" s="1799">
        <v>0</v>
      </c>
      <c r="DP146" s="1800">
        <v>0</v>
      </c>
      <c r="DQ146" s="1799">
        <v>0</v>
      </c>
      <c r="DR146" s="1800">
        <v>0</v>
      </c>
      <c r="DS146" s="1799">
        <v>0</v>
      </c>
    </row>
    <row r="147" spans="1:123" ht="108">
      <c r="A147" s="1801" t="s">
        <v>1671</v>
      </c>
      <c r="B147" s="1788" t="s">
        <v>1672</v>
      </c>
      <c r="C147" s="426">
        <v>2022</v>
      </c>
      <c r="D147" s="417" t="s">
        <v>681</v>
      </c>
      <c r="E147" s="1802">
        <v>1060206</v>
      </c>
      <c r="F147" s="1803" t="s">
        <v>1672</v>
      </c>
      <c r="G147" s="419">
        <v>45138</v>
      </c>
      <c r="H147" s="1790" t="s">
        <v>1673</v>
      </c>
      <c r="I147" s="1791" t="s">
        <v>1672</v>
      </c>
      <c r="J147" s="1793" t="s">
        <v>1674</v>
      </c>
      <c r="K147" s="1788" t="s">
        <v>1672</v>
      </c>
      <c r="L147" s="1791" t="s">
        <v>1675</v>
      </c>
      <c r="M147" s="1793" t="s">
        <v>1676</v>
      </c>
      <c r="N147" s="1790" t="s">
        <v>57</v>
      </c>
      <c r="O147" s="1793" t="s">
        <v>68</v>
      </c>
      <c r="P147" s="420" t="s">
        <v>683</v>
      </c>
      <c r="Q147" s="421"/>
      <c r="R147" s="421"/>
      <c r="S147" s="422"/>
      <c r="T147" s="1794"/>
      <c r="U147" s="423">
        <v>2142.819</v>
      </c>
      <c r="V147" s="424">
        <v>20</v>
      </c>
      <c r="W147" s="424">
        <v>1</v>
      </c>
      <c r="X147" s="425"/>
      <c r="Y147" s="426">
        <v>2022</v>
      </c>
      <c r="Z147" s="417">
        <v>2024</v>
      </c>
      <c r="AA147" s="1804">
        <v>2022</v>
      </c>
      <c r="AB147" s="427" t="s">
        <v>5863</v>
      </c>
      <c r="AC147" s="1793" t="s">
        <v>5725</v>
      </c>
      <c r="AD147" s="428"/>
      <c r="AE147" s="1791"/>
      <c r="AF147" s="1791"/>
      <c r="AG147" s="1793"/>
      <c r="AH147" s="428"/>
      <c r="AI147" s="1793"/>
      <c r="AJ147" s="429">
        <v>2021</v>
      </c>
      <c r="AK147" s="424">
        <v>4076</v>
      </c>
      <c r="AL147" s="424">
        <v>4051</v>
      </c>
      <c r="AM147" s="430">
        <v>51.42</v>
      </c>
      <c r="AN147" s="431" t="s">
        <v>727</v>
      </c>
      <c r="AO147" s="432">
        <v>2024</v>
      </c>
      <c r="AP147" s="425">
        <v>3953</v>
      </c>
      <c r="AQ147" s="433">
        <v>3.01</v>
      </c>
      <c r="AR147" s="425">
        <v>3939</v>
      </c>
      <c r="AS147" s="433">
        <v>2.76</v>
      </c>
      <c r="AT147" s="434">
        <v>49.87</v>
      </c>
      <c r="AU147" s="431" t="s">
        <v>727</v>
      </c>
      <c r="AV147" s="435">
        <v>3.01</v>
      </c>
      <c r="AW147" s="432">
        <v>2022</v>
      </c>
      <c r="AX147" s="425">
        <v>3796</v>
      </c>
      <c r="AY147" s="433">
        <v>6.86</v>
      </c>
      <c r="AZ147" s="425">
        <v>3794</v>
      </c>
      <c r="BA147" s="433">
        <v>6.34</v>
      </c>
      <c r="BB147" s="434">
        <v>46.980198019801982</v>
      </c>
      <c r="BC147" s="431" t="s">
        <v>727</v>
      </c>
      <c r="BD147" s="435">
        <v>8.6300000000000008</v>
      </c>
      <c r="BE147" s="432">
        <v>2023</v>
      </c>
      <c r="BF147" s="425"/>
      <c r="BG147" s="433"/>
      <c r="BH147" s="425"/>
      <c r="BI147" s="433"/>
      <c r="BJ147" s="434"/>
      <c r="BK147" s="431"/>
      <c r="BL147" s="435"/>
      <c r="BM147" s="432">
        <v>2024</v>
      </c>
      <c r="BN147" s="425"/>
      <c r="BO147" s="433"/>
      <c r="BP147" s="425"/>
      <c r="BQ147" s="433"/>
      <c r="BR147" s="434"/>
      <c r="BS147" s="431"/>
      <c r="BT147" s="435"/>
      <c r="BU147" s="1805" t="s">
        <v>687</v>
      </c>
      <c r="BV147" s="1806" t="s">
        <v>728</v>
      </c>
      <c r="BW147" s="1807" t="s">
        <v>678</v>
      </c>
      <c r="BX147" s="1808" t="s">
        <v>5012</v>
      </c>
      <c r="BY147" s="1809">
        <v>2021</v>
      </c>
      <c r="BZ147" s="424"/>
      <c r="CA147" s="424"/>
      <c r="CB147" s="430"/>
      <c r="CC147" s="431"/>
      <c r="CD147" s="432">
        <v>2024</v>
      </c>
      <c r="CE147" s="425"/>
      <c r="CF147" s="433"/>
      <c r="CG147" s="425"/>
      <c r="CH147" s="433"/>
      <c r="CI147" s="434"/>
      <c r="CJ147" s="431"/>
      <c r="CK147" s="435"/>
      <c r="CL147" s="432">
        <v>2022</v>
      </c>
      <c r="CM147" s="425">
        <v>0</v>
      </c>
      <c r="CN147" s="433"/>
      <c r="CO147" s="425">
        <v>0</v>
      </c>
      <c r="CP147" s="433"/>
      <c r="CQ147" s="434"/>
      <c r="CR147" s="431"/>
      <c r="CS147" s="435">
        <v>0</v>
      </c>
      <c r="CT147" s="432">
        <v>2023</v>
      </c>
      <c r="CU147" s="425"/>
      <c r="CV147" s="433"/>
      <c r="CW147" s="425"/>
      <c r="CX147" s="433"/>
      <c r="CY147" s="434"/>
      <c r="CZ147" s="431"/>
      <c r="DA147" s="435"/>
      <c r="DB147" s="432">
        <v>2024</v>
      </c>
      <c r="DC147" s="425"/>
      <c r="DD147" s="433"/>
      <c r="DE147" s="425"/>
      <c r="DF147" s="433"/>
      <c r="DG147" s="434"/>
      <c r="DH147" s="431"/>
      <c r="DI147" s="435"/>
      <c r="DJ147" s="1805"/>
      <c r="DK147" s="1806"/>
      <c r="DL147" s="1807"/>
      <c r="DM147" s="1808"/>
      <c r="DN147" s="1810">
        <v>0</v>
      </c>
      <c r="DO147" s="1799">
        <v>0</v>
      </c>
      <c r="DP147" s="1800">
        <v>0</v>
      </c>
      <c r="DQ147" s="1799">
        <v>0</v>
      </c>
      <c r="DR147" s="1800">
        <v>0</v>
      </c>
      <c r="DS147" s="1799">
        <v>0</v>
      </c>
    </row>
    <row r="148" spans="1:123" ht="67.5">
      <c r="A148" s="1801" t="s">
        <v>1677</v>
      </c>
      <c r="B148" s="1788" t="s">
        <v>1678</v>
      </c>
      <c r="C148" s="426">
        <v>2022</v>
      </c>
      <c r="D148" s="417" t="s">
        <v>681</v>
      </c>
      <c r="E148" s="1802">
        <v>1029207</v>
      </c>
      <c r="F148" s="1803" t="s">
        <v>1678</v>
      </c>
      <c r="G148" s="419">
        <v>45121</v>
      </c>
      <c r="H148" s="1790" t="s">
        <v>1679</v>
      </c>
      <c r="I148" s="1791" t="s">
        <v>1678</v>
      </c>
      <c r="J148" s="1793" t="s">
        <v>1680</v>
      </c>
      <c r="K148" s="1788" t="s">
        <v>1678</v>
      </c>
      <c r="L148" s="1791" t="s">
        <v>1681</v>
      </c>
      <c r="M148" s="1793" t="s">
        <v>1679</v>
      </c>
      <c r="N148" s="1790" t="s">
        <v>12</v>
      </c>
      <c r="O148" s="1793" t="s">
        <v>33</v>
      </c>
      <c r="P148" s="420" t="s">
        <v>683</v>
      </c>
      <c r="Q148" s="421"/>
      <c r="R148" s="421"/>
      <c r="S148" s="422"/>
      <c r="T148" s="1794"/>
      <c r="U148" s="423">
        <v>1859.6382000000001</v>
      </c>
      <c r="V148" s="424">
        <v>4</v>
      </c>
      <c r="W148" s="424">
        <v>1</v>
      </c>
      <c r="X148" s="425"/>
      <c r="Y148" s="426">
        <v>2022</v>
      </c>
      <c r="Z148" s="417">
        <v>2024</v>
      </c>
      <c r="AA148" s="1804">
        <v>2022</v>
      </c>
      <c r="AB148" s="427"/>
      <c r="AC148" s="1793"/>
      <c r="AD148" s="428" t="s">
        <v>5863</v>
      </c>
      <c r="AE148" s="1791" t="s">
        <v>1682</v>
      </c>
      <c r="AF148" s="1791" t="s">
        <v>1683</v>
      </c>
      <c r="AG148" s="1793" t="s">
        <v>1684</v>
      </c>
      <c r="AH148" s="428"/>
      <c r="AI148" s="1793"/>
      <c r="AJ148" s="429">
        <v>2021</v>
      </c>
      <c r="AK148" s="424">
        <v>3379</v>
      </c>
      <c r="AL148" s="424">
        <v>3345</v>
      </c>
      <c r="AM148" s="430"/>
      <c r="AN148" s="431"/>
      <c r="AO148" s="432">
        <v>2024</v>
      </c>
      <c r="AP148" s="425">
        <v>3377</v>
      </c>
      <c r="AQ148" s="433">
        <v>0.05</v>
      </c>
      <c r="AR148" s="425">
        <v>3342</v>
      </c>
      <c r="AS148" s="433">
        <v>0.08</v>
      </c>
      <c r="AT148" s="434"/>
      <c r="AU148" s="431"/>
      <c r="AV148" s="435"/>
      <c r="AW148" s="432">
        <v>2022</v>
      </c>
      <c r="AX148" s="425">
        <v>3420</v>
      </c>
      <c r="AY148" s="433">
        <v>-1.22</v>
      </c>
      <c r="AZ148" s="425">
        <v>3414</v>
      </c>
      <c r="BA148" s="433">
        <v>-2.0699999999999998</v>
      </c>
      <c r="BB148" s="434"/>
      <c r="BC148" s="431"/>
      <c r="BD148" s="435"/>
      <c r="BE148" s="432">
        <v>2023</v>
      </c>
      <c r="BF148" s="425"/>
      <c r="BG148" s="433"/>
      <c r="BH148" s="425"/>
      <c r="BI148" s="433"/>
      <c r="BJ148" s="434"/>
      <c r="BK148" s="431"/>
      <c r="BL148" s="435"/>
      <c r="BM148" s="432">
        <v>2024</v>
      </c>
      <c r="BN148" s="425"/>
      <c r="BO148" s="433"/>
      <c r="BP148" s="425"/>
      <c r="BQ148" s="433"/>
      <c r="BR148" s="434"/>
      <c r="BS148" s="431"/>
      <c r="BT148" s="435"/>
      <c r="BU148" s="1805" t="s">
        <v>676</v>
      </c>
      <c r="BV148" s="1806" t="s">
        <v>728</v>
      </c>
      <c r="BW148" s="1807" t="s">
        <v>688</v>
      </c>
      <c r="BX148" s="1808" t="s">
        <v>5013</v>
      </c>
      <c r="BY148" s="1809">
        <v>2021</v>
      </c>
      <c r="BZ148" s="424"/>
      <c r="CA148" s="424"/>
      <c r="CB148" s="430"/>
      <c r="CC148" s="431"/>
      <c r="CD148" s="432">
        <v>2024</v>
      </c>
      <c r="CE148" s="425"/>
      <c r="CF148" s="433"/>
      <c r="CG148" s="425"/>
      <c r="CH148" s="433"/>
      <c r="CI148" s="434"/>
      <c r="CJ148" s="431"/>
      <c r="CK148" s="435"/>
      <c r="CL148" s="432">
        <v>2022</v>
      </c>
      <c r="CM148" s="425">
        <v>0</v>
      </c>
      <c r="CN148" s="433"/>
      <c r="CO148" s="425">
        <v>0</v>
      </c>
      <c r="CP148" s="433"/>
      <c r="CQ148" s="434"/>
      <c r="CR148" s="431"/>
      <c r="CS148" s="435">
        <v>0</v>
      </c>
      <c r="CT148" s="432">
        <v>2023</v>
      </c>
      <c r="CU148" s="425"/>
      <c r="CV148" s="433"/>
      <c r="CW148" s="425"/>
      <c r="CX148" s="433"/>
      <c r="CY148" s="434"/>
      <c r="CZ148" s="431"/>
      <c r="DA148" s="435"/>
      <c r="DB148" s="432">
        <v>2024</v>
      </c>
      <c r="DC148" s="425"/>
      <c r="DD148" s="433"/>
      <c r="DE148" s="425"/>
      <c r="DF148" s="433"/>
      <c r="DG148" s="434"/>
      <c r="DH148" s="431"/>
      <c r="DI148" s="435"/>
      <c r="DJ148" s="1805"/>
      <c r="DK148" s="1806"/>
      <c r="DL148" s="1807"/>
      <c r="DM148" s="1808"/>
      <c r="DN148" s="1810">
        <v>0</v>
      </c>
      <c r="DO148" s="1799">
        <v>0</v>
      </c>
      <c r="DP148" s="1800">
        <v>0</v>
      </c>
      <c r="DQ148" s="1799">
        <v>0</v>
      </c>
      <c r="DR148" s="1800">
        <v>0</v>
      </c>
      <c r="DS148" s="1799">
        <v>0</v>
      </c>
    </row>
    <row r="149" spans="1:123" ht="67.5">
      <c r="A149" s="1801" t="s">
        <v>1685</v>
      </c>
      <c r="B149" s="1788" t="s">
        <v>1686</v>
      </c>
      <c r="C149" s="426">
        <v>2022</v>
      </c>
      <c r="D149" s="417" t="s">
        <v>681</v>
      </c>
      <c r="E149" s="1802">
        <v>1031208</v>
      </c>
      <c r="F149" s="1803" t="s">
        <v>1686</v>
      </c>
      <c r="G149" s="419">
        <v>45138</v>
      </c>
      <c r="H149" s="1790" t="s">
        <v>1687</v>
      </c>
      <c r="I149" s="1791" t="s">
        <v>1686</v>
      </c>
      <c r="J149" s="1793" t="s">
        <v>1688</v>
      </c>
      <c r="K149" s="1788" t="s">
        <v>1686</v>
      </c>
      <c r="L149" s="1791" t="s">
        <v>1688</v>
      </c>
      <c r="M149" s="1793" t="s">
        <v>1687</v>
      </c>
      <c r="N149" s="1790" t="s">
        <v>12</v>
      </c>
      <c r="O149" s="1793" t="s">
        <v>35</v>
      </c>
      <c r="P149" s="420" t="s">
        <v>683</v>
      </c>
      <c r="Q149" s="421"/>
      <c r="R149" s="421"/>
      <c r="S149" s="422"/>
      <c r="T149" s="1794"/>
      <c r="U149" s="423">
        <v>4856.1276000000007</v>
      </c>
      <c r="V149" s="424">
        <v>2</v>
      </c>
      <c r="W149" s="424">
        <v>1</v>
      </c>
      <c r="X149" s="425"/>
      <c r="Y149" s="426">
        <v>2022</v>
      </c>
      <c r="Z149" s="417">
        <v>2024</v>
      </c>
      <c r="AA149" s="1804">
        <v>2022</v>
      </c>
      <c r="AB149" s="427" t="s">
        <v>5863</v>
      </c>
      <c r="AC149" s="1793" t="s">
        <v>1689</v>
      </c>
      <c r="AD149" s="428"/>
      <c r="AE149" s="1791"/>
      <c r="AF149" s="1791"/>
      <c r="AG149" s="1793"/>
      <c r="AH149" s="428"/>
      <c r="AI149" s="1793"/>
      <c r="AJ149" s="429">
        <v>2021</v>
      </c>
      <c r="AK149" s="424">
        <v>8477</v>
      </c>
      <c r="AL149" s="424">
        <v>8417</v>
      </c>
      <c r="AM149" s="430"/>
      <c r="AN149" s="431"/>
      <c r="AO149" s="432">
        <v>2024</v>
      </c>
      <c r="AP149" s="425">
        <v>10000</v>
      </c>
      <c r="AQ149" s="433">
        <v>-17.97</v>
      </c>
      <c r="AR149" s="425">
        <v>9800</v>
      </c>
      <c r="AS149" s="433">
        <v>-16.440000000000001</v>
      </c>
      <c r="AT149" s="434"/>
      <c r="AU149" s="431"/>
      <c r="AV149" s="435">
        <v>3</v>
      </c>
      <c r="AW149" s="432">
        <v>2022</v>
      </c>
      <c r="AX149" s="425">
        <v>8972</v>
      </c>
      <c r="AY149" s="433">
        <v>-5.84</v>
      </c>
      <c r="AZ149" s="425">
        <v>8955</v>
      </c>
      <c r="BA149" s="433">
        <v>-6.4</v>
      </c>
      <c r="BB149" s="434"/>
      <c r="BC149" s="431"/>
      <c r="BD149" s="435">
        <v>-5.1182737493002044</v>
      </c>
      <c r="BE149" s="432">
        <v>2023</v>
      </c>
      <c r="BF149" s="425"/>
      <c r="BG149" s="433"/>
      <c r="BH149" s="425"/>
      <c r="BI149" s="433"/>
      <c r="BJ149" s="434"/>
      <c r="BK149" s="431"/>
      <c r="BL149" s="435"/>
      <c r="BM149" s="432">
        <v>2024</v>
      </c>
      <c r="BN149" s="425"/>
      <c r="BO149" s="433"/>
      <c r="BP149" s="425"/>
      <c r="BQ149" s="433"/>
      <c r="BR149" s="434"/>
      <c r="BS149" s="431"/>
      <c r="BT149" s="435"/>
      <c r="BU149" s="1805" t="s">
        <v>676</v>
      </c>
      <c r="BV149" s="1806" t="s">
        <v>728</v>
      </c>
      <c r="BW149" s="1807" t="s">
        <v>678</v>
      </c>
      <c r="BX149" s="1808" t="s">
        <v>5014</v>
      </c>
      <c r="BY149" s="1809">
        <v>2021</v>
      </c>
      <c r="BZ149" s="424"/>
      <c r="CA149" s="424"/>
      <c r="CB149" s="430"/>
      <c r="CC149" s="431"/>
      <c r="CD149" s="432">
        <v>2024</v>
      </c>
      <c r="CE149" s="425"/>
      <c r="CF149" s="433"/>
      <c r="CG149" s="425"/>
      <c r="CH149" s="433"/>
      <c r="CI149" s="434"/>
      <c r="CJ149" s="431"/>
      <c r="CK149" s="435"/>
      <c r="CL149" s="432">
        <v>2022</v>
      </c>
      <c r="CM149" s="425">
        <v>0</v>
      </c>
      <c r="CN149" s="433"/>
      <c r="CO149" s="425">
        <v>0</v>
      </c>
      <c r="CP149" s="433"/>
      <c r="CQ149" s="434"/>
      <c r="CR149" s="431"/>
      <c r="CS149" s="435"/>
      <c r="CT149" s="432">
        <v>2023</v>
      </c>
      <c r="CU149" s="425"/>
      <c r="CV149" s="433"/>
      <c r="CW149" s="425"/>
      <c r="CX149" s="433"/>
      <c r="CY149" s="434"/>
      <c r="CZ149" s="431"/>
      <c r="DA149" s="435"/>
      <c r="DB149" s="432">
        <v>2024</v>
      </c>
      <c r="DC149" s="425"/>
      <c r="DD149" s="433"/>
      <c r="DE149" s="425"/>
      <c r="DF149" s="433"/>
      <c r="DG149" s="434"/>
      <c r="DH149" s="431"/>
      <c r="DI149" s="435"/>
      <c r="DJ149" s="1805"/>
      <c r="DK149" s="1806"/>
      <c r="DL149" s="1807"/>
      <c r="DM149" s="1808"/>
      <c r="DN149" s="1810"/>
      <c r="DO149" s="1799"/>
      <c r="DP149" s="1800"/>
      <c r="DQ149" s="1799"/>
      <c r="DR149" s="1800"/>
      <c r="DS149" s="1799"/>
    </row>
    <row r="150" spans="1:123" ht="54">
      <c r="A150" s="1801" t="s">
        <v>1690</v>
      </c>
      <c r="B150" s="1788" t="s">
        <v>1691</v>
      </c>
      <c r="C150" s="426">
        <v>2022</v>
      </c>
      <c r="D150" s="417" t="s">
        <v>681</v>
      </c>
      <c r="E150" s="1802">
        <v>1047209</v>
      </c>
      <c r="F150" s="1803" t="s">
        <v>1691</v>
      </c>
      <c r="G150" s="419">
        <v>45125</v>
      </c>
      <c r="H150" s="1790" t="s">
        <v>1692</v>
      </c>
      <c r="I150" s="1791" t="s">
        <v>1691</v>
      </c>
      <c r="J150" s="1793" t="s">
        <v>1693</v>
      </c>
      <c r="K150" s="1788" t="s">
        <v>1691</v>
      </c>
      <c r="L150" s="1791" t="s">
        <v>1693</v>
      </c>
      <c r="M150" s="1793" t="s">
        <v>1692</v>
      </c>
      <c r="N150" s="1790" t="s">
        <v>48</v>
      </c>
      <c r="O150" s="1793" t="s">
        <v>54</v>
      </c>
      <c r="P150" s="420" t="s">
        <v>683</v>
      </c>
      <c r="Q150" s="421"/>
      <c r="R150" s="421"/>
      <c r="S150" s="422"/>
      <c r="T150" s="1794"/>
      <c r="U150" s="423">
        <v>1696.1178</v>
      </c>
      <c r="V150" s="424">
        <v>2</v>
      </c>
      <c r="W150" s="424">
        <v>1</v>
      </c>
      <c r="X150" s="425"/>
      <c r="Y150" s="426">
        <v>2022</v>
      </c>
      <c r="Z150" s="417">
        <v>2024</v>
      </c>
      <c r="AA150" s="1804">
        <v>2022</v>
      </c>
      <c r="AB150" s="427" t="s">
        <v>5863</v>
      </c>
      <c r="AC150" s="1793" t="s">
        <v>5015</v>
      </c>
      <c r="AD150" s="428"/>
      <c r="AE150" s="1791"/>
      <c r="AF150" s="1791"/>
      <c r="AG150" s="1793"/>
      <c r="AH150" s="428"/>
      <c r="AI150" s="1793"/>
      <c r="AJ150" s="429">
        <v>2021</v>
      </c>
      <c r="AK150" s="424">
        <v>3272</v>
      </c>
      <c r="AL150" s="424">
        <v>3249</v>
      </c>
      <c r="AM150" s="430">
        <v>58.5</v>
      </c>
      <c r="AN150" s="431" t="s">
        <v>897</v>
      </c>
      <c r="AO150" s="432">
        <v>2024</v>
      </c>
      <c r="AP150" s="425">
        <v>3174</v>
      </c>
      <c r="AQ150" s="433">
        <v>2.99</v>
      </c>
      <c r="AR150" s="425">
        <v>3152</v>
      </c>
      <c r="AS150" s="433">
        <v>2.98</v>
      </c>
      <c r="AT150" s="434">
        <v>56.74</v>
      </c>
      <c r="AU150" s="431" t="s">
        <v>897</v>
      </c>
      <c r="AV150" s="435">
        <v>3</v>
      </c>
      <c r="AW150" s="432">
        <v>2022</v>
      </c>
      <c r="AX150" s="425">
        <v>3226</v>
      </c>
      <c r="AY150" s="433">
        <v>1.4</v>
      </c>
      <c r="AZ150" s="425">
        <v>3261</v>
      </c>
      <c r="BA150" s="433">
        <v>-0.37</v>
      </c>
      <c r="BB150" s="434">
        <v>57.679241909529772</v>
      </c>
      <c r="BC150" s="431" t="s">
        <v>897</v>
      </c>
      <c r="BD150" s="435">
        <v>1.4</v>
      </c>
      <c r="BE150" s="432">
        <v>2023</v>
      </c>
      <c r="BF150" s="425"/>
      <c r="BG150" s="433"/>
      <c r="BH150" s="425"/>
      <c r="BI150" s="433"/>
      <c r="BJ150" s="434"/>
      <c r="BK150" s="431"/>
      <c r="BL150" s="435"/>
      <c r="BM150" s="432">
        <v>2024</v>
      </c>
      <c r="BN150" s="425"/>
      <c r="BO150" s="433"/>
      <c r="BP150" s="425"/>
      <c r="BQ150" s="433"/>
      <c r="BR150" s="434"/>
      <c r="BS150" s="431"/>
      <c r="BT150" s="435"/>
      <c r="BU150" s="1805" t="s">
        <v>687</v>
      </c>
      <c r="BV150" s="1806" t="s">
        <v>728</v>
      </c>
      <c r="BW150" s="1807" t="s">
        <v>678</v>
      </c>
      <c r="BX150" s="1808" t="s">
        <v>5016</v>
      </c>
      <c r="BY150" s="1809">
        <v>2021</v>
      </c>
      <c r="BZ150" s="424"/>
      <c r="CA150" s="424"/>
      <c r="CB150" s="430"/>
      <c r="CC150" s="431"/>
      <c r="CD150" s="432">
        <v>2024</v>
      </c>
      <c r="CE150" s="425"/>
      <c r="CF150" s="433"/>
      <c r="CG150" s="425"/>
      <c r="CH150" s="433"/>
      <c r="CI150" s="434"/>
      <c r="CJ150" s="431"/>
      <c r="CK150" s="435"/>
      <c r="CL150" s="432">
        <v>2022</v>
      </c>
      <c r="CM150" s="425">
        <v>0</v>
      </c>
      <c r="CN150" s="433"/>
      <c r="CO150" s="425">
        <v>0</v>
      </c>
      <c r="CP150" s="433"/>
      <c r="CQ150" s="434"/>
      <c r="CR150" s="431"/>
      <c r="CS150" s="435">
        <v>0</v>
      </c>
      <c r="CT150" s="432">
        <v>2023</v>
      </c>
      <c r="CU150" s="425"/>
      <c r="CV150" s="433"/>
      <c r="CW150" s="425"/>
      <c r="CX150" s="433"/>
      <c r="CY150" s="434"/>
      <c r="CZ150" s="431"/>
      <c r="DA150" s="435"/>
      <c r="DB150" s="432">
        <v>2024</v>
      </c>
      <c r="DC150" s="425"/>
      <c r="DD150" s="433"/>
      <c r="DE150" s="425"/>
      <c r="DF150" s="433"/>
      <c r="DG150" s="434"/>
      <c r="DH150" s="431"/>
      <c r="DI150" s="435"/>
      <c r="DJ150" s="1805"/>
      <c r="DK150" s="1806"/>
      <c r="DL150" s="1807"/>
      <c r="DM150" s="1808"/>
      <c r="DN150" s="1810">
        <v>0</v>
      </c>
      <c r="DO150" s="1799">
        <v>0</v>
      </c>
      <c r="DP150" s="1800">
        <v>0</v>
      </c>
      <c r="DQ150" s="1799">
        <v>0</v>
      </c>
      <c r="DR150" s="1800">
        <v>0</v>
      </c>
      <c r="DS150" s="1799">
        <v>0</v>
      </c>
    </row>
    <row r="151" spans="1:123" ht="81">
      <c r="A151" s="1801" t="s">
        <v>1694</v>
      </c>
      <c r="B151" s="1788" t="s">
        <v>1695</v>
      </c>
      <c r="C151" s="426">
        <v>2022</v>
      </c>
      <c r="D151" s="417" t="s">
        <v>681</v>
      </c>
      <c r="E151" s="1802">
        <v>1078213</v>
      </c>
      <c r="F151" s="1803" t="s">
        <v>1695</v>
      </c>
      <c r="G151" s="419">
        <v>45129</v>
      </c>
      <c r="H151" s="1790" t="s">
        <v>1696</v>
      </c>
      <c r="I151" s="1791" t="s">
        <v>1695</v>
      </c>
      <c r="J151" s="1793" t="s">
        <v>1697</v>
      </c>
      <c r="K151" s="1788" t="s">
        <v>1695</v>
      </c>
      <c r="L151" s="1791" t="s">
        <v>1698</v>
      </c>
      <c r="M151" s="1793" t="s">
        <v>1696</v>
      </c>
      <c r="N151" s="1790" t="s">
        <v>86</v>
      </c>
      <c r="O151" s="1793" t="s">
        <v>88</v>
      </c>
      <c r="P151" s="420" t="s">
        <v>683</v>
      </c>
      <c r="Q151" s="421"/>
      <c r="R151" s="421"/>
      <c r="S151" s="422"/>
      <c r="T151" s="1794"/>
      <c r="U151" s="423">
        <v>8452.2090000000007</v>
      </c>
      <c r="V151" s="424">
        <v>155</v>
      </c>
      <c r="W151" s="424">
        <v>0</v>
      </c>
      <c r="X151" s="425"/>
      <c r="Y151" s="426">
        <v>2022</v>
      </c>
      <c r="Z151" s="417">
        <v>2024</v>
      </c>
      <c r="AA151" s="1804">
        <v>2022</v>
      </c>
      <c r="AB151" s="427"/>
      <c r="AC151" s="1793"/>
      <c r="AD151" s="428" t="s">
        <v>5863</v>
      </c>
      <c r="AE151" s="1791" t="s">
        <v>1699</v>
      </c>
      <c r="AF151" s="1791" t="s">
        <v>1696</v>
      </c>
      <c r="AG151" s="1793" t="s">
        <v>1700</v>
      </c>
      <c r="AH151" s="428"/>
      <c r="AI151" s="1793"/>
      <c r="AJ151" s="429">
        <v>2021</v>
      </c>
      <c r="AK151" s="424">
        <v>13923</v>
      </c>
      <c r="AL151" s="424">
        <v>12755</v>
      </c>
      <c r="AM151" s="430">
        <v>9</v>
      </c>
      <c r="AN151" s="431" t="s">
        <v>2069</v>
      </c>
      <c r="AO151" s="432">
        <v>2024</v>
      </c>
      <c r="AP151" s="425">
        <v>13505</v>
      </c>
      <c r="AQ151" s="433">
        <v>3</v>
      </c>
      <c r="AR151" s="425">
        <v>12372</v>
      </c>
      <c r="AS151" s="433">
        <v>3</v>
      </c>
      <c r="AT151" s="434">
        <v>8.6999999999999993</v>
      </c>
      <c r="AU151" s="431" t="s">
        <v>2069</v>
      </c>
      <c r="AV151" s="435">
        <v>3.33</v>
      </c>
      <c r="AW151" s="432">
        <v>2022</v>
      </c>
      <c r="AX151" s="425">
        <v>14870</v>
      </c>
      <c r="AY151" s="433">
        <v>-6.81</v>
      </c>
      <c r="AZ151" s="425">
        <v>13420</v>
      </c>
      <c r="BA151" s="433">
        <v>-5.22</v>
      </c>
      <c r="BB151" s="434">
        <v>7.9011689691817217</v>
      </c>
      <c r="BC151" s="431" t="s">
        <v>2069</v>
      </c>
      <c r="BD151" s="435">
        <v>12.2</v>
      </c>
      <c r="BE151" s="432">
        <v>2023</v>
      </c>
      <c r="BF151" s="425"/>
      <c r="BG151" s="433"/>
      <c r="BH151" s="425"/>
      <c r="BI151" s="433"/>
      <c r="BJ151" s="434"/>
      <c r="BK151" s="431"/>
      <c r="BL151" s="435"/>
      <c r="BM151" s="432">
        <v>2024</v>
      </c>
      <c r="BN151" s="425"/>
      <c r="BO151" s="433"/>
      <c r="BP151" s="425"/>
      <c r="BQ151" s="433"/>
      <c r="BR151" s="434"/>
      <c r="BS151" s="431"/>
      <c r="BT151" s="435"/>
      <c r="BU151" s="1805" t="s">
        <v>687</v>
      </c>
      <c r="BV151" s="1806" t="s">
        <v>728</v>
      </c>
      <c r="BW151" s="1807" t="s">
        <v>678</v>
      </c>
      <c r="BX151" s="1808"/>
      <c r="BY151" s="1809">
        <v>2021</v>
      </c>
      <c r="BZ151" s="424"/>
      <c r="CA151" s="424"/>
      <c r="CB151" s="430"/>
      <c r="CC151" s="431"/>
      <c r="CD151" s="432">
        <v>2024</v>
      </c>
      <c r="CE151" s="425"/>
      <c r="CF151" s="433"/>
      <c r="CG151" s="425"/>
      <c r="CH151" s="433"/>
      <c r="CI151" s="434"/>
      <c r="CJ151" s="431"/>
      <c r="CK151" s="435"/>
      <c r="CL151" s="432">
        <v>2022</v>
      </c>
      <c r="CM151" s="425">
        <v>0</v>
      </c>
      <c r="CN151" s="433"/>
      <c r="CO151" s="425">
        <v>0</v>
      </c>
      <c r="CP151" s="433"/>
      <c r="CQ151" s="434">
        <v>0</v>
      </c>
      <c r="CR151" s="431"/>
      <c r="CS151" s="435"/>
      <c r="CT151" s="432">
        <v>2023</v>
      </c>
      <c r="CU151" s="425"/>
      <c r="CV151" s="433"/>
      <c r="CW151" s="425"/>
      <c r="CX151" s="433"/>
      <c r="CY151" s="434"/>
      <c r="CZ151" s="431"/>
      <c r="DA151" s="435"/>
      <c r="DB151" s="432">
        <v>2024</v>
      </c>
      <c r="DC151" s="425"/>
      <c r="DD151" s="433"/>
      <c r="DE151" s="425"/>
      <c r="DF151" s="433"/>
      <c r="DG151" s="434"/>
      <c r="DH151" s="431"/>
      <c r="DI151" s="435"/>
      <c r="DJ151" s="1805"/>
      <c r="DK151" s="1806"/>
      <c r="DL151" s="1807"/>
      <c r="DM151" s="1808"/>
      <c r="DN151" s="1810">
        <v>0</v>
      </c>
      <c r="DO151" s="1799">
        <v>0</v>
      </c>
      <c r="DP151" s="1800">
        <v>0</v>
      </c>
      <c r="DQ151" s="1799">
        <v>0</v>
      </c>
      <c r="DR151" s="1800">
        <v>0</v>
      </c>
      <c r="DS151" s="1799">
        <v>0</v>
      </c>
    </row>
    <row r="152" spans="1:123" ht="81">
      <c r="A152" s="1801" t="s">
        <v>1701</v>
      </c>
      <c r="B152" s="1788" t="s">
        <v>1702</v>
      </c>
      <c r="C152" s="426">
        <v>2022</v>
      </c>
      <c r="D152" s="417" t="s">
        <v>681</v>
      </c>
      <c r="E152" s="1802">
        <v>1080214</v>
      </c>
      <c r="F152" s="1803" t="s">
        <v>1702</v>
      </c>
      <c r="G152" s="419">
        <v>45135</v>
      </c>
      <c r="H152" s="1790" t="s">
        <v>1703</v>
      </c>
      <c r="I152" s="1791" t="s">
        <v>1702</v>
      </c>
      <c r="J152" s="1793" t="s">
        <v>1704</v>
      </c>
      <c r="K152" s="1788" t="s">
        <v>1702</v>
      </c>
      <c r="L152" s="1791" t="s">
        <v>1704</v>
      </c>
      <c r="M152" s="1793" t="s">
        <v>1705</v>
      </c>
      <c r="N152" s="1790" t="s">
        <v>90</v>
      </c>
      <c r="O152" s="1793" t="s">
        <v>92</v>
      </c>
      <c r="P152" s="420" t="s">
        <v>683</v>
      </c>
      <c r="Q152" s="421"/>
      <c r="R152" s="421"/>
      <c r="S152" s="422"/>
      <c r="T152" s="1794"/>
      <c r="U152" s="423">
        <v>2470.2726000000002</v>
      </c>
      <c r="V152" s="424">
        <v>7</v>
      </c>
      <c r="W152" s="424">
        <v>2</v>
      </c>
      <c r="X152" s="425"/>
      <c r="Y152" s="426">
        <v>2022</v>
      </c>
      <c r="Z152" s="417">
        <v>2024</v>
      </c>
      <c r="AA152" s="1804">
        <v>2022</v>
      </c>
      <c r="AB152" s="427"/>
      <c r="AC152" s="1793"/>
      <c r="AD152" s="428" t="s">
        <v>5863</v>
      </c>
      <c r="AE152" s="1791" t="s">
        <v>1706</v>
      </c>
      <c r="AF152" s="1791" t="s">
        <v>1705</v>
      </c>
      <c r="AG152" s="1793" t="s">
        <v>1707</v>
      </c>
      <c r="AH152" s="428"/>
      <c r="AI152" s="1793"/>
      <c r="AJ152" s="429">
        <v>2021</v>
      </c>
      <c r="AK152" s="424">
        <v>4821</v>
      </c>
      <c r="AL152" s="424">
        <v>5142</v>
      </c>
      <c r="AM152" s="430">
        <v>24.05</v>
      </c>
      <c r="AN152" s="431" t="s">
        <v>880</v>
      </c>
      <c r="AO152" s="432">
        <v>2024</v>
      </c>
      <c r="AP152" s="425">
        <v>4773</v>
      </c>
      <c r="AQ152" s="433">
        <v>0.99</v>
      </c>
      <c r="AR152" s="425">
        <v>5091</v>
      </c>
      <c r="AS152" s="433">
        <v>0.99</v>
      </c>
      <c r="AT152" s="434">
        <v>23.81</v>
      </c>
      <c r="AU152" s="431" t="s">
        <v>880</v>
      </c>
      <c r="AV152" s="435">
        <v>0.99</v>
      </c>
      <c r="AW152" s="432">
        <v>2022</v>
      </c>
      <c r="AX152" s="425">
        <v>4014</v>
      </c>
      <c r="AY152" s="433">
        <v>16.73</v>
      </c>
      <c r="AZ152" s="425">
        <v>4115</v>
      </c>
      <c r="BA152" s="433">
        <v>19.97</v>
      </c>
      <c r="BB152" s="434">
        <v>20.022946076719712</v>
      </c>
      <c r="BC152" s="431" t="s">
        <v>880</v>
      </c>
      <c r="BD152" s="435">
        <v>16.739999999999998</v>
      </c>
      <c r="BE152" s="432">
        <v>2023</v>
      </c>
      <c r="BF152" s="425"/>
      <c r="BG152" s="433"/>
      <c r="BH152" s="425"/>
      <c r="BI152" s="433"/>
      <c r="BJ152" s="434"/>
      <c r="BK152" s="431"/>
      <c r="BL152" s="435"/>
      <c r="BM152" s="432">
        <v>2024</v>
      </c>
      <c r="BN152" s="425"/>
      <c r="BO152" s="433"/>
      <c r="BP152" s="425"/>
      <c r="BQ152" s="433"/>
      <c r="BR152" s="434"/>
      <c r="BS152" s="431"/>
      <c r="BT152" s="435"/>
      <c r="BU152" s="1805" t="s">
        <v>687</v>
      </c>
      <c r="BV152" s="1806" t="s">
        <v>728</v>
      </c>
      <c r="BW152" s="1807" t="s">
        <v>697</v>
      </c>
      <c r="BX152" s="1808" t="s">
        <v>5017</v>
      </c>
      <c r="BY152" s="1809">
        <v>2021</v>
      </c>
      <c r="BZ152" s="424"/>
      <c r="CA152" s="424"/>
      <c r="CB152" s="430"/>
      <c r="CC152" s="431"/>
      <c r="CD152" s="432">
        <v>2024</v>
      </c>
      <c r="CE152" s="425"/>
      <c r="CF152" s="433"/>
      <c r="CG152" s="425"/>
      <c r="CH152" s="433"/>
      <c r="CI152" s="434"/>
      <c r="CJ152" s="431"/>
      <c r="CK152" s="435"/>
      <c r="CL152" s="432">
        <v>2022</v>
      </c>
      <c r="CM152" s="425">
        <v>0</v>
      </c>
      <c r="CN152" s="433"/>
      <c r="CO152" s="425">
        <v>0</v>
      </c>
      <c r="CP152" s="433"/>
      <c r="CQ152" s="434"/>
      <c r="CR152" s="431"/>
      <c r="CS152" s="435"/>
      <c r="CT152" s="432">
        <v>2023</v>
      </c>
      <c r="CU152" s="425"/>
      <c r="CV152" s="433"/>
      <c r="CW152" s="425"/>
      <c r="CX152" s="433"/>
      <c r="CY152" s="434"/>
      <c r="CZ152" s="431"/>
      <c r="DA152" s="435"/>
      <c r="DB152" s="432">
        <v>2024</v>
      </c>
      <c r="DC152" s="425"/>
      <c r="DD152" s="433"/>
      <c r="DE152" s="425"/>
      <c r="DF152" s="433"/>
      <c r="DG152" s="434"/>
      <c r="DH152" s="431"/>
      <c r="DI152" s="435"/>
      <c r="DJ152" s="1805"/>
      <c r="DK152" s="1806"/>
      <c r="DL152" s="1807"/>
      <c r="DM152" s="1808"/>
      <c r="DN152" s="1810">
        <v>0</v>
      </c>
      <c r="DO152" s="1799">
        <v>0</v>
      </c>
      <c r="DP152" s="1800">
        <v>0</v>
      </c>
      <c r="DQ152" s="1799">
        <v>0</v>
      </c>
      <c r="DR152" s="1800">
        <v>0</v>
      </c>
      <c r="DS152" s="1799">
        <v>0</v>
      </c>
    </row>
    <row r="153" spans="1:123" ht="121.5">
      <c r="A153" s="1801" t="s">
        <v>1708</v>
      </c>
      <c r="B153" s="1788" t="s">
        <v>1709</v>
      </c>
      <c r="C153" s="426">
        <v>2022</v>
      </c>
      <c r="D153" s="417" t="s">
        <v>668</v>
      </c>
      <c r="E153" s="1802">
        <v>2058215</v>
      </c>
      <c r="F153" s="1803" t="s">
        <v>1709</v>
      </c>
      <c r="G153" s="419">
        <v>45132</v>
      </c>
      <c r="H153" s="1790" t="s">
        <v>1710</v>
      </c>
      <c r="I153" s="1791" t="s">
        <v>1709</v>
      </c>
      <c r="J153" s="1793" t="s">
        <v>1711</v>
      </c>
      <c r="K153" s="1788" t="s">
        <v>1709</v>
      </c>
      <c r="L153" s="1791" t="s">
        <v>1711</v>
      </c>
      <c r="M153" s="1793" t="s">
        <v>1712</v>
      </c>
      <c r="N153" s="1790" t="s">
        <v>57</v>
      </c>
      <c r="O153" s="1793" t="s">
        <v>66</v>
      </c>
      <c r="P153" s="420"/>
      <c r="Q153" s="421" t="s">
        <v>5862</v>
      </c>
      <c r="R153" s="421"/>
      <c r="S153" s="422"/>
      <c r="T153" s="1794"/>
      <c r="U153" s="423">
        <v>16792.729800000001</v>
      </c>
      <c r="V153" s="424">
        <v>424</v>
      </c>
      <c r="W153" s="424">
        <v>0</v>
      </c>
      <c r="X153" s="425"/>
      <c r="Y153" s="426">
        <v>2022</v>
      </c>
      <c r="Z153" s="417">
        <v>2024</v>
      </c>
      <c r="AA153" s="1804">
        <v>2022</v>
      </c>
      <c r="AB153" s="427"/>
      <c r="AC153" s="1793"/>
      <c r="AD153" s="428" t="s">
        <v>5863</v>
      </c>
      <c r="AE153" s="1791" t="s">
        <v>1713</v>
      </c>
      <c r="AF153" s="1791" t="s">
        <v>1710</v>
      </c>
      <c r="AG153" s="1793" t="s">
        <v>751</v>
      </c>
      <c r="AH153" s="428"/>
      <c r="AI153" s="1793"/>
      <c r="AJ153" s="429">
        <v>2021</v>
      </c>
      <c r="AK153" s="424">
        <v>29442</v>
      </c>
      <c r="AL153" s="424">
        <v>29178</v>
      </c>
      <c r="AM153" s="430">
        <v>69.77</v>
      </c>
      <c r="AN153" s="431" t="s">
        <v>1714</v>
      </c>
      <c r="AO153" s="432">
        <v>2024</v>
      </c>
      <c r="AP153" s="425">
        <v>28967</v>
      </c>
      <c r="AQ153" s="433">
        <v>1.61</v>
      </c>
      <c r="AR153" s="425">
        <v>28706</v>
      </c>
      <c r="AS153" s="433">
        <v>1.61</v>
      </c>
      <c r="AT153" s="434">
        <v>67.680000000000007</v>
      </c>
      <c r="AU153" s="431" t="s">
        <v>1714</v>
      </c>
      <c r="AV153" s="435">
        <v>2.99</v>
      </c>
      <c r="AW153" s="432">
        <v>2022</v>
      </c>
      <c r="AX153" s="425">
        <v>29835</v>
      </c>
      <c r="AY153" s="433">
        <v>-1.34</v>
      </c>
      <c r="AZ153" s="425">
        <v>29770</v>
      </c>
      <c r="BA153" s="433">
        <v>-2.0299999999999998</v>
      </c>
      <c r="BB153" s="434">
        <v>71.035714285714292</v>
      </c>
      <c r="BC153" s="431" t="s">
        <v>1714</v>
      </c>
      <c r="BD153" s="435">
        <v>-1.82</v>
      </c>
      <c r="BE153" s="432">
        <v>2023</v>
      </c>
      <c r="BF153" s="425"/>
      <c r="BG153" s="433"/>
      <c r="BH153" s="425"/>
      <c r="BI153" s="433"/>
      <c r="BJ153" s="434"/>
      <c r="BK153" s="431"/>
      <c r="BL153" s="435"/>
      <c r="BM153" s="432">
        <v>2024</v>
      </c>
      <c r="BN153" s="425"/>
      <c r="BO153" s="433"/>
      <c r="BP153" s="425"/>
      <c r="BQ153" s="433"/>
      <c r="BR153" s="434"/>
      <c r="BS153" s="431"/>
      <c r="BT153" s="435"/>
      <c r="BU153" s="1805" t="s">
        <v>676</v>
      </c>
      <c r="BV153" s="1806" t="s">
        <v>728</v>
      </c>
      <c r="BW153" s="1807" t="s">
        <v>678</v>
      </c>
      <c r="BX153" s="1808"/>
      <c r="BY153" s="1809">
        <v>2021</v>
      </c>
      <c r="BZ153" s="424"/>
      <c r="CA153" s="424"/>
      <c r="CB153" s="430"/>
      <c r="CC153" s="431"/>
      <c r="CD153" s="432">
        <v>2024</v>
      </c>
      <c r="CE153" s="425"/>
      <c r="CF153" s="433"/>
      <c r="CG153" s="425"/>
      <c r="CH153" s="433"/>
      <c r="CI153" s="434"/>
      <c r="CJ153" s="431"/>
      <c r="CK153" s="435"/>
      <c r="CL153" s="432">
        <v>2022</v>
      </c>
      <c r="CM153" s="425">
        <v>0</v>
      </c>
      <c r="CN153" s="433"/>
      <c r="CO153" s="425">
        <v>0</v>
      </c>
      <c r="CP153" s="433"/>
      <c r="CQ153" s="434"/>
      <c r="CR153" s="431"/>
      <c r="CS153" s="435"/>
      <c r="CT153" s="432">
        <v>2023</v>
      </c>
      <c r="CU153" s="425"/>
      <c r="CV153" s="433"/>
      <c r="CW153" s="425"/>
      <c r="CX153" s="433"/>
      <c r="CY153" s="434"/>
      <c r="CZ153" s="431"/>
      <c r="DA153" s="435"/>
      <c r="DB153" s="432">
        <v>2024</v>
      </c>
      <c r="DC153" s="425"/>
      <c r="DD153" s="433"/>
      <c r="DE153" s="425"/>
      <c r="DF153" s="433"/>
      <c r="DG153" s="434"/>
      <c r="DH153" s="431"/>
      <c r="DI153" s="435"/>
      <c r="DJ153" s="1805"/>
      <c r="DK153" s="1806"/>
      <c r="DL153" s="1807"/>
      <c r="DM153" s="1808"/>
      <c r="DN153" s="1810">
        <v>0</v>
      </c>
      <c r="DO153" s="1799">
        <v>0</v>
      </c>
      <c r="DP153" s="1800">
        <v>9</v>
      </c>
      <c r="DQ153" s="1799">
        <v>20</v>
      </c>
      <c r="DR153" s="1800">
        <v>0</v>
      </c>
      <c r="DS153" s="1799">
        <v>0</v>
      </c>
    </row>
    <row r="154" spans="1:123" ht="54">
      <c r="A154" s="1801" t="s">
        <v>1715</v>
      </c>
      <c r="B154" s="1788" t="s">
        <v>1716</v>
      </c>
      <c r="C154" s="426">
        <v>2022</v>
      </c>
      <c r="D154" s="417" t="s">
        <v>681</v>
      </c>
      <c r="E154" s="1802">
        <v>1060216</v>
      </c>
      <c r="F154" s="1803" t="s">
        <v>1716</v>
      </c>
      <c r="G154" s="419">
        <v>45131</v>
      </c>
      <c r="H154" s="1790" t="s">
        <v>1717</v>
      </c>
      <c r="I154" s="1791" t="s">
        <v>1716</v>
      </c>
      <c r="J154" s="1793" t="s">
        <v>1718</v>
      </c>
      <c r="K154" s="1788" t="s">
        <v>1716</v>
      </c>
      <c r="L154" s="1791" t="s">
        <v>1718</v>
      </c>
      <c r="M154" s="1793" t="s">
        <v>1717</v>
      </c>
      <c r="N154" s="1790" t="s">
        <v>57</v>
      </c>
      <c r="O154" s="1793" t="s">
        <v>68</v>
      </c>
      <c r="P154" s="420" t="s">
        <v>683</v>
      </c>
      <c r="Q154" s="421"/>
      <c r="R154" s="421"/>
      <c r="S154" s="422"/>
      <c r="T154" s="1794"/>
      <c r="U154" s="423">
        <v>6685.2960000000003</v>
      </c>
      <c r="V154" s="424">
        <v>143</v>
      </c>
      <c r="W154" s="424">
        <v>0</v>
      </c>
      <c r="X154" s="425"/>
      <c r="Y154" s="426">
        <v>2022</v>
      </c>
      <c r="Z154" s="417">
        <v>2024</v>
      </c>
      <c r="AA154" s="1804">
        <v>2022</v>
      </c>
      <c r="AB154" s="427"/>
      <c r="AC154" s="1793"/>
      <c r="AD154" s="428" t="s">
        <v>5863</v>
      </c>
      <c r="AE154" s="1791" t="s">
        <v>1719</v>
      </c>
      <c r="AF154" s="1791" t="s">
        <v>1720</v>
      </c>
      <c r="AG154" s="1793" t="s">
        <v>919</v>
      </c>
      <c r="AH154" s="428"/>
      <c r="AI154" s="1793"/>
      <c r="AJ154" s="429">
        <v>2021</v>
      </c>
      <c r="AK154" s="424">
        <v>11840</v>
      </c>
      <c r="AL154" s="424">
        <v>11733</v>
      </c>
      <c r="AM154" s="430">
        <v>137.99</v>
      </c>
      <c r="AN154" s="431" t="s">
        <v>686</v>
      </c>
      <c r="AO154" s="432">
        <v>2024</v>
      </c>
      <c r="AP154" s="425">
        <v>11480</v>
      </c>
      <c r="AQ154" s="433">
        <v>3.04</v>
      </c>
      <c r="AR154" s="425">
        <v>11380</v>
      </c>
      <c r="AS154" s="433">
        <v>3</v>
      </c>
      <c r="AT154" s="434">
        <v>133.9</v>
      </c>
      <c r="AU154" s="431" t="s">
        <v>686</v>
      </c>
      <c r="AV154" s="435">
        <v>2.96</v>
      </c>
      <c r="AW154" s="432">
        <v>2022</v>
      </c>
      <c r="AX154" s="425">
        <v>11877</v>
      </c>
      <c r="AY154" s="433">
        <v>-0.32</v>
      </c>
      <c r="AZ154" s="425">
        <v>11851</v>
      </c>
      <c r="BA154" s="433">
        <v>-1.01</v>
      </c>
      <c r="BB154" s="434">
        <v>125.25838430710822</v>
      </c>
      <c r="BC154" s="431" t="s">
        <v>686</v>
      </c>
      <c r="BD154" s="435">
        <v>9.2200000000000006</v>
      </c>
      <c r="BE154" s="432">
        <v>2023</v>
      </c>
      <c r="BF154" s="425"/>
      <c r="BG154" s="433"/>
      <c r="BH154" s="425"/>
      <c r="BI154" s="433"/>
      <c r="BJ154" s="434"/>
      <c r="BK154" s="431"/>
      <c r="BL154" s="435"/>
      <c r="BM154" s="432">
        <v>2024</v>
      </c>
      <c r="BN154" s="425"/>
      <c r="BO154" s="433"/>
      <c r="BP154" s="425"/>
      <c r="BQ154" s="433"/>
      <c r="BR154" s="434"/>
      <c r="BS154" s="431"/>
      <c r="BT154" s="435"/>
      <c r="BU154" s="1805" t="s">
        <v>687</v>
      </c>
      <c r="BV154" s="1806" t="s">
        <v>728</v>
      </c>
      <c r="BW154" s="1807" t="s">
        <v>688</v>
      </c>
      <c r="BX154" s="1808" t="s">
        <v>5018</v>
      </c>
      <c r="BY154" s="1809">
        <v>2021</v>
      </c>
      <c r="BZ154" s="424"/>
      <c r="CA154" s="424"/>
      <c r="CB154" s="430"/>
      <c r="CC154" s="431"/>
      <c r="CD154" s="432">
        <v>2024</v>
      </c>
      <c r="CE154" s="425"/>
      <c r="CF154" s="433"/>
      <c r="CG154" s="425"/>
      <c r="CH154" s="433"/>
      <c r="CI154" s="434"/>
      <c r="CJ154" s="431"/>
      <c r="CK154" s="435"/>
      <c r="CL154" s="432">
        <v>2022</v>
      </c>
      <c r="CM154" s="425">
        <v>0</v>
      </c>
      <c r="CN154" s="433"/>
      <c r="CO154" s="425">
        <v>0</v>
      </c>
      <c r="CP154" s="433"/>
      <c r="CQ154" s="434"/>
      <c r="CR154" s="431"/>
      <c r="CS154" s="435">
        <v>0</v>
      </c>
      <c r="CT154" s="432">
        <v>2023</v>
      </c>
      <c r="CU154" s="425"/>
      <c r="CV154" s="433"/>
      <c r="CW154" s="425"/>
      <c r="CX154" s="433"/>
      <c r="CY154" s="434"/>
      <c r="CZ154" s="431"/>
      <c r="DA154" s="435"/>
      <c r="DB154" s="432">
        <v>2024</v>
      </c>
      <c r="DC154" s="425"/>
      <c r="DD154" s="433"/>
      <c r="DE154" s="425"/>
      <c r="DF154" s="433"/>
      <c r="DG154" s="434"/>
      <c r="DH154" s="431"/>
      <c r="DI154" s="435"/>
      <c r="DJ154" s="1805"/>
      <c r="DK154" s="1806"/>
      <c r="DL154" s="1807"/>
      <c r="DM154" s="1808"/>
      <c r="DN154" s="1810">
        <v>0</v>
      </c>
      <c r="DO154" s="1799">
        <v>0</v>
      </c>
      <c r="DP154" s="1800">
        <v>0</v>
      </c>
      <c r="DQ154" s="1799">
        <v>0</v>
      </c>
      <c r="DR154" s="1800">
        <v>0</v>
      </c>
      <c r="DS154" s="1799">
        <v>0</v>
      </c>
    </row>
    <row r="155" spans="1:123" ht="81">
      <c r="A155" s="1801" t="s">
        <v>1721</v>
      </c>
      <c r="B155" s="1788" t="s">
        <v>1722</v>
      </c>
      <c r="C155" s="426">
        <v>2022</v>
      </c>
      <c r="D155" s="417" t="s">
        <v>681</v>
      </c>
      <c r="E155" s="1802">
        <v>1065218</v>
      </c>
      <c r="F155" s="1803" t="s">
        <v>1722</v>
      </c>
      <c r="G155" s="419">
        <v>45133</v>
      </c>
      <c r="H155" s="1790" t="s">
        <v>1723</v>
      </c>
      <c r="I155" s="1791" t="s">
        <v>1722</v>
      </c>
      <c r="J155" s="1793" t="s">
        <v>1724</v>
      </c>
      <c r="K155" s="1788" t="s">
        <v>1722</v>
      </c>
      <c r="L155" s="1791" t="s">
        <v>1724</v>
      </c>
      <c r="M155" s="1793" t="s">
        <v>1725</v>
      </c>
      <c r="N155" s="1790" t="s">
        <v>523</v>
      </c>
      <c r="O155" s="1793" t="s">
        <v>98</v>
      </c>
      <c r="P155" s="420" t="s">
        <v>683</v>
      </c>
      <c r="Q155" s="421"/>
      <c r="R155" s="421"/>
      <c r="S155" s="422"/>
      <c r="T155" s="1794"/>
      <c r="U155" s="423">
        <v>5735.2883999999995</v>
      </c>
      <c r="V155" s="424">
        <v>3</v>
      </c>
      <c r="W155" s="424">
        <v>2</v>
      </c>
      <c r="X155" s="425"/>
      <c r="Y155" s="426">
        <v>2022</v>
      </c>
      <c r="Z155" s="417">
        <v>2024</v>
      </c>
      <c r="AA155" s="1804">
        <v>2022</v>
      </c>
      <c r="AB155" s="427"/>
      <c r="AC155" s="1793"/>
      <c r="AD155" s="428" t="s">
        <v>5863</v>
      </c>
      <c r="AE155" s="1791" t="s">
        <v>1726</v>
      </c>
      <c r="AF155" s="1791" t="s">
        <v>1727</v>
      </c>
      <c r="AG155" s="1793" t="s">
        <v>1728</v>
      </c>
      <c r="AH155" s="428"/>
      <c r="AI155" s="1793"/>
      <c r="AJ155" s="429">
        <v>2021</v>
      </c>
      <c r="AK155" s="424">
        <v>10169</v>
      </c>
      <c r="AL155" s="424">
        <v>10207</v>
      </c>
      <c r="AM155" s="430">
        <v>119.26</v>
      </c>
      <c r="AN155" s="431" t="s">
        <v>727</v>
      </c>
      <c r="AO155" s="432">
        <v>2024</v>
      </c>
      <c r="AP155" s="425">
        <v>10063</v>
      </c>
      <c r="AQ155" s="433">
        <v>1.04</v>
      </c>
      <c r="AR155" s="425">
        <v>10101</v>
      </c>
      <c r="AS155" s="433">
        <v>1.03</v>
      </c>
      <c r="AT155" s="434">
        <v>118.1</v>
      </c>
      <c r="AU155" s="431" t="s">
        <v>727</v>
      </c>
      <c r="AV155" s="435">
        <v>0.97</v>
      </c>
      <c r="AW155" s="432">
        <v>2022</v>
      </c>
      <c r="AX155" s="425">
        <v>10325</v>
      </c>
      <c r="AY155" s="433">
        <v>-1.54</v>
      </c>
      <c r="AZ155" s="425">
        <v>10337</v>
      </c>
      <c r="BA155" s="433">
        <v>-1.28</v>
      </c>
      <c r="BB155" s="434">
        <v>121.08738228430026</v>
      </c>
      <c r="BC155" s="431" t="s">
        <v>727</v>
      </c>
      <c r="BD155" s="435">
        <v>-1.54</v>
      </c>
      <c r="BE155" s="432">
        <v>2023</v>
      </c>
      <c r="BF155" s="425"/>
      <c r="BG155" s="433"/>
      <c r="BH155" s="425"/>
      <c r="BI155" s="433"/>
      <c r="BJ155" s="434"/>
      <c r="BK155" s="431"/>
      <c r="BL155" s="435"/>
      <c r="BM155" s="432">
        <v>2024</v>
      </c>
      <c r="BN155" s="425"/>
      <c r="BO155" s="433"/>
      <c r="BP155" s="425"/>
      <c r="BQ155" s="433"/>
      <c r="BR155" s="434"/>
      <c r="BS155" s="431"/>
      <c r="BT155" s="435"/>
      <c r="BU155" s="1805" t="s">
        <v>676</v>
      </c>
      <c r="BV155" s="1806" t="s">
        <v>728</v>
      </c>
      <c r="BW155" s="1807" t="s">
        <v>688</v>
      </c>
      <c r="BX155" s="1808" t="s">
        <v>5019</v>
      </c>
      <c r="BY155" s="1809">
        <v>2021</v>
      </c>
      <c r="BZ155" s="424"/>
      <c r="CA155" s="424"/>
      <c r="CB155" s="430"/>
      <c r="CC155" s="431"/>
      <c r="CD155" s="432">
        <v>2024</v>
      </c>
      <c r="CE155" s="425"/>
      <c r="CF155" s="433"/>
      <c r="CG155" s="425"/>
      <c r="CH155" s="433"/>
      <c r="CI155" s="434"/>
      <c r="CJ155" s="431"/>
      <c r="CK155" s="435"/>
      <c r="CL155" s="432">
        <v>2022</v>
      </c>
      <c r="CM155" s="425">
        <v>0</v>
      </c>
      <c r="CN155" s="433"/>
      <c r="CO155" s="425">
        <v>0</v>
      </c>
      <c r="CP155" s="433"/>
      <c r="CQ155" s="434"/>
      <c r="CR155" s="431"/>
      <c r="CS155" s="435">
        <v>0</v>
      </c>
      <c r="CT155" s="432">
        <v>2023</v>
      </c>
      <c r="CU155" s="425"/>
      <c r="CV155" s="433"/>
      <c r="CW155" s="425"/>
      <c r="CX155" s="433"/>
      <c r="CY155" s="434"/>
      <c r="CZ155" s="431"/>
      <c r="DA155" s="435"/>
      <c r="DB155" s="432">
        <v>2024</v>
      </c>
      <c r="DC155" s="425"/>
      <c r="DD155" s="433"/>
      <c r="DE155" s="425"/>
      <c r="DF155" s="433"/>
      <c r="DG155" s="434"/>
      <c r="DH155" s="431"/>
      <c r="DI155" s="435"/>
      <c r="DJ155" s="1805"/>
      <c r="DK155" s="1806"/>
      <c r="DL155" s="1807"/>
      <c r="DM155" s="1808"/>
      <c r="DN155" s="1810">
        <v>0</v>
      </c>
      <c r="DO155" s="1799">
        <v>0</v>
      </c>
      <c r="DP155" s="1800">
        <v>0</v>
      </c>
      <c r="DQ155" s="1799">
        <v>0</v>
      </c>
      <c r="DR155" s="1800">
        <v>0</v>
      </c>
      <c r="DS155" s="1799">
        <v>0</v>
      </c>
    </row>
    <row r="156" spans="1:123" ht="54">
      <c r="A156" s="1801" t="s">
        <v>5726</v>
      </c>
      <c r="B156" s="1788" t="s">
        <v>5727</v>
      </c>
      <c r="C156" s="426">
        <v>2022</v>
      </c>
      <c r="D156" s="417" t="s">
        <v>891</v>
      </c>
      <c r="E156" s="1802">
        <v>3059220</v>
      </c>
      <c r="F156" s="1803" t="s">
        <v>5727</v>
      </c>
      <c r="G156" s="419">
        <v>45138</v>
      </c>
      <c r="H156" s="1790" t="s">
        <v>5728</v>
      </c>
      <c r="I156" s="1791" t="s">
        <v>5727</v>
      </c>
      <c r="J156" s="1793" t="s">
        <v>5729</v>
      </c>
      <c r="K156" s="1788" t="s">
        <v>5727</v>
      </c>
      <c r="L156" s="1791" t="s">
        <v>5729</v>
      </c>
      <c r="M156" s="1793" t="s">
        <v>5728</v>
      </c>
      <c r="N156" s="1790" t="s">
        <v>57</v>
      </c>
      <c r="O156" s="1793" t="s">
        <v>67</v>
      </c>
      <c r="P156" s="420" t="s">
        <v>683</v>
      </c>
      <c r="Q156" s="421"/>
      <c r="R156" s="421" t="s">
        <v>717</v>
      </c>
      <c r="S156" s="422"/>
      <c r="T156" s="1794"/>
      <c r="U156" s="423">
        <v>2078.1125999999999</v>
      </c>
      <c r="V156" s="424">
        <v>39</v>
      </c>
      <c r="W156" s="424">
        <v>0</v>
      </c>
      <c r="X156" s="425">
        <v>342</v>
      </c>
      <c r="Y156" s="426">
        <v>2022</v>
      </c>
      <c r="Z156" s="417">
        <v>2024</v>
      </c>
      <c r="AA156" s="1804">
        <v>2022</v>
      </c>
      <c r="AB156" s="427"/>
      <c r="AC156" s="1793"/>
      <c r="AD156" s="428" t="s">
        <v>5863</v>
      </c>
      <c r="AE156" s="1791" t="s">
        <v>5730</v>
      </c>
      <c r="AF156" s="1791" t="s">
        <v>5731</v>
      </c>
      <c r="AG156" s="1793" t="s">
        <v>5732</v>
      </c>
      <c r="AH156" s="428"/>
      <c r="AI156" s="1793"/>
      <c r="AJ156" s="429">
        <v>2021</v>
      </c>
      <c r="AK156" s="424">
        <v>4342</v>
      </c>
      <c r="AL156" s="424">
        <v>4757</v>
      </c>
      <c r="AM156" s="430"/>
      <c r="AN156" s="431"/>
      <c r="AO156" s="432">
        <v>2024</v>
      </c>
      <c r="AP156" s="425">
        <v>4212</v>
      </c>
      <c r="AQ156" s="433">
        <v>2.99</v>
      </c>
      <c r="AR156" s="425">
        <v>4614</v>
      </c>
      <c r="AS156" s="433">
        <v>3</v>
      </c>
      <c r="AT156" s="434"/>
      <c r="AU156" s="431"/>
      <c r="AV156" s="435"/>
      <c r="AW156" s="432">
        <v>2022</v>
      </c>
      <c r="AX156" s="425">
        <v>3735</v>
      </c>
      <c r="AY156" s="433">
        <v>13.97</v>
      </c>
      <c r="AZ156" s="425">
        <v>4213</v>
      </c>
      <c r="BA156" s="433">
        <v>11.43</v>
      </c>
      <c r="BB156" s="434"/>
      <c r="BC156" s="431"/>
      <c r="BD156" s="435"/>
      <c r="BE156" s="432">
        <v>2023</v>
      </c>
      <c r="BF156" s="425"/>
      <c r="BG156" s="433"/>
      <c r="BH156" s="425"/>
      <c r="BI156" s="433"/>
      <c r="BJ156" s="434"/>
      <c r="BK156" s="431"/>
      <c r="BL156" s="435"/>
      <c r="BM156" s="432">
        <v>2024</v>
      </c>
      <c r="BN156" s="425"/>
      <c r="BO156" s="433"/>
      <c r="BP156" s="425"/>
      <c r="BQ156" s="433"/>
      <c r="BR156" s="434"/>
      <c r="BS156" s="431"/>
      <c r="BT156" s="435"/>
      <c r="BU156" s="1805" t="s">
        <v>687</v>
      </c>
      <c r="BV156" s="1806" t="s">
        <v>728</v>
      </c>
      <c r="BW156" s="1807" t="s">
        <v>688</v>
      </c>
      <c r="BX156" s="1808"/>
      <c r="BY156" s="1809">
        <v>2021</v>
      </c>
      <c r="BZ156" s="424">
        <v>206</v>
      </c>
      <c r="CA156" s="424">
        <v>206</v>
      </c>
      <c r="CB156" s="430"/>
      <c r="CC156" s="431"/>
      <c r="CD156" s="432">
        <v>2024</v>
      </c>
      <c r="CE156" s="425">
        <v>185</v>
      </c>
      <c r="CF156" s="433">
        <v>10.19</v>
      </c>
      <c r="CG156" s="425">
        <v>185</v>
      </c>
      <c r="CH156" s="433">
        <v>10.19</v>
      </c>
      <c r="CI156" s="434"/>
      <c r="CJ156" s="431"/>
      <c r="CK156" s="435"/>
      <c r="CL156" s="432">
        <v>2022</v>
      </c>
      <c r="CM156" s="425">
        <v>547.40863999999999</v>
      </c>
      <c r="CN156" s="433">
        <v>-165.74</v>
      </c>
      <c r="CO156" s="425">
        <v>547.40863999999999</v>
      </c>
      <c r="CP156" s="433">
        <v>-165.74</v>
      </c>
      <c r="CQ156" s="434"/>
      <c r="CR156" s="431"/>
      <c r="CS156" s="435"/>
      <c r="CT156" s="432">
        <v>2023</v>
      </c>
      <c r="CU156" s="425"/>
      <c r="CV156" s="433"/>
      <c r="CW156" s="425"/>
      <c r="CX156" s="433"/>
      <c r="CY156" s="434"/>
      <c r="CZ156" s="431"/>
      <c r="DA156" s="435"/>
      <c r="DB156" s="432">
        <v>2024</v>
      </c>
      <c r="DC156" s="425"/>
      <c r="DD156" s="433"/>
      <c r="DE156" s="425"/>
      <c r="DF156" s="433"/>
      <c r="DG156" s="434"/>
      <c r="DH156" s="431"/>
      <c r="DI156" s="435"/>
      <c r="DJ156" s="1805" t="s">
        <v>676</v>
      </c>
      <c r="DK156" s="1806" t="s">
        <v>728</v>
      </c>
      <c r="DL156" s="1807" t="s">
        <v>678</v>
      </c>
      <c r="DM156" s="1808" t="s">
        <v>6009</v>
      </c>
      <c r="DN156" s="1810">
        <v>74</v>
      </c>
      <c r="DO156" s="1799">
        <v>138</v>
      </c>
      <c r="DP156" s="1800">
        <v>0</v>
      </c>
      <c r="DQ156" s="1799">
        <v>0</v>
      </c>
      <c r="DR156" s="1800">
        <v>0</v>
      </c>
      <c r="DS156" s="1799">
        <v>0</v>
      </c>
    </row>
    <row r="157" spans="1:123" ht="81">
      <c r="A157" s="1801" t="s">
        <v>1729</v>
      </c>
      <c r="B157" s="1788" t="s">
        <v>1730</v>
      </c>
      <c r="C157" s="426">
        <v>2022</v>
      </c>
      <c r="D157" s="417" t="s">
        <v>681</v>
      </c>
      <c r="E157" s="1802">
        <v>1042221</v>
      </c>
      <c r="F157" s="1803" t="s">
        <v>1730</v>
      </c>
      <c r="G157" s="419">
        <v>45138</v>
      </c>
      <c r="H157" s="1790" t="s">
        <v>1731</v>
      </c>
      <c r="I157" s="1791" t="s">
        <v>1730</v>
      </c>
      <c r="J157" s="1793" t="s">
        <v>1732</v>
      </c>
      <c r="K157" s="1788" t="s">
        <v>1730</v>
      </c>
      <c r="L157" s="1791" t="s">
        <v>1732</v>
      </c>
      <c r="M157" s="1793" t="s">
        <v>1731</v>
      </c>
      <c r="N157" s="1790" t="s">
        <v>77</v>
      </c>
      <c r="O157" s="1793" t="s">
        <v>79</v>
      </c>
      <c r="P157" s="420" t="s">
        <v>683</v>
      </c>
      <c r="Q157" s="421"/>
      <c r="R157" s="421"/>
      <c r="S157" s="422"/>
      <c r="T157" s="1794"/>
      <c r="U157" s="423">
        <v>4904.2188000000006</v>
      </c>
      <c r="V157" s="424">
        <v>17</v>
      </c>
      <c r="W157" s="424">
        <v>3</v>
      </c>
      <c r="X157" s="425"/>
      <c r="Y157" s="426">
        <v>2022</v>
      </c>
      <c r="Z157" s="417">
        <v>2024</v>
      </c>
      <c r="AA157" s="1804">
        <v>2022</v>
      </c>
      <c r="AB157" s="427" t="s">
        <v>5863</v>
      </c>
      <c r="AC157" s="1793" t="s">
        <v>1733</v>
      </c>
      <c r="AD157" s="428"/>
      <c r="AE157" s="1791"/>
      <c r="AF157" s="1791"/>
      <c r="AG157" s="1793"/>
      <c r="AH157" s="428"/>
      <c r="AI157" s="1793"/>
      <c r="AJ157" s="429">
        <v>2021</v>
      </c>
      <c r="AK157" s="424">
        <v>8513</v>
      </c>
      <c r="AL157" s="424">
        <v>8141</v>
      </c>
      <c r="AM157" s="430">
        <v>55.46</v>
      </c>
      <c r="AN157" s="431" t="s">
        <v>727</v>
      </c>
      <c r="AO157" s="432">
        <v>2024</v>
      </c>
      <c r="AP157" s="425">
        <v>7067</v>
      </c>
      <c r="AQ157" s="433">
        <v>16.98</v>
      </c>
      <c r="AR157" s="425">
        <v>7067</v>
      </c>
      <c r="AS157" s="433">
        <v>13.19</v>
      </c>
      <c r="AT157" s="434">
        <v>46.3</v>
      </c>
      <c r="AU157" s="431" t="s">
        <v>727</v>
      </c>
      <c r="AV157" s="435">
        <v>16.510000000000002</v>
      </c>
      <c r="AW157" s="432">
        <v>2022</v>
      </c>
      <c r="AX157" s="425">
        <v>8830</v>
      </c>
      <c r="AY157" s="433">
        <v>-3.73</v>
      </c>
      <c r="AZ157" s="425">
        <v>7845</v>
      </c>
      <c r="BA157" s="433">
        <v>3.63</v>
      </c>
      <c r="BB157" s="434">
        <v>57.525179481165885</v>
      </c>
      <c r="BC157" s="431" t="s">
        <v>727</v>
      </c>
      <c r="BD157" s="435">
        <v>-3.73</v>
      </c>
      <c r="BE157" s="432">
        <v>2023</v>
      </c>
      <c r="BF157" s="425"/>
      <c r="BG157" s="433"/>
      <c r="BH157" s="425"/>
      <c r="BI157" s="433"/>
      <c r="BJ157" s="434"/>
      <c r="BK157" s="431"/>
      <c r="BL157" s="435"/>
      <c r="BM157" s="432">
        <v>2024</v>
      </c>
      <c r="BN157" s="425"/>
      <c r="BO157" s="433"/>
      <c r="BP157" s="425"/>
      <c r="BQ157" s="433"/>
      <c r="BR157" s="434"/>
      <c r="BS157" s="431"/>
      <c r="BT157" s="435"/>
      <c r="BU157" s="1805" t="s">
        <v>676</v>
      </c>
      <c r="BV157" s="1806" t="s">
        <v>728</v>
      </c>
      <c r="BW157" s="1807" t="s">
        <v>678</v>
      </c>
      <c r="BX157" s="1808" t="s">
        <v>5020</v>
      </c>
      <c r="BY157" s="1809">
        <v>2021</v>
      </c>
      <c r="BZ157" s="424"/>
      <c r="CA157" s="424"/>
      <c r="CB157" s="430"/>
      <c r="CC157" s="431"/>
      <c r="CD157" s="432">
        <v>2024</v>
      </c>
      <c r="CE157" s="425"/>
      <c r="CF157" s="433"/>
      <c r="CG157" s="425"/>
      <c r="CH157" s="433"/>
      <c r="CI157" s="434"/>
      <c r="CJ157" s="431"/>
      <c r="CK157" s="435"/>
      <c r="CL157" s="432">
        <v>2022</v>
      </c>
      <c r="CM157" s="425">
        <v>0</v>
      </c>
      <c r="CN157" s="433"/>
      <c r="CO157" s="425">
        <v>0</v>
      </c>
      <c r="CP157" s="433"/>
      <c r="CQ157" s="434"/>
      <c r="CR157" s="431"/>
      <c r="CS157" s="435">
        <v>0</v>
      </c>
      <c r="CT157" s="432">
        <v>2023</v>
      </c>
      <c r="CU157" s="425"/>
      <c r="CV157" s="433"/>
      <c r="CW157" s="425"/>
      <c r="CX157" s="433"/>
      <c r="CY157" s="434"/>
      <c r="CZ157" s="431"/>
      <c r="DA157" s="435"/>
      <c r="DB157" s="432">
        <v>2024</v>
      </c>
      <c r="DC157" s="425"/>
      <c r="DD157" s="433"/>
      <c r="DE157" s="425"/>
      <c r="DF157" s="433"/>
      <c r="DG157" s="434"/>
      <c r="DH157" s="431"/>
      <c r="DI157" s="435"/>
      <c r="DJ157" s="1805"/>
      <c r="DK157" s="1806"/>
      <c r="DL157" s="1807"/>
      <c r="DM157" s="1808"/>
      <c r="DN157" s="1810">
        <v>0</v>
      </c>
      <c r="DO157" s="1799">
        <v>0</v>
      </c>
      <c r="DP157" s="1800">
        <v>0</v>
      </c>
      <c r="DQ157" s="1799">
        <v>0</v>
      </c>
      <c r="DR157" s="1800">
        <v>0</v>
      </c>
      <c r="DS157" s="1799">
        <v>0</v>
      </c>
    </row>
    <row r="158" spans="1:123" ht="81">
      <c r="A158" s="1801" t="s">
        <v>1734</v>
      </c>
      <c r="B158" s="1788" t="s">
        <v>1735</v>
      </c>
      <c r="C158" s="426">
        <v>2022</v>
      </c>
      <c r="D158" s="417" t="s">
        <v>681</v>
      </c>
      <c r="E158" s="1802">
        <v>1037222</v>
      </c>
      <c r="F158" s="1803" t="s">
        <v>1735</v>
      </c>
      <c r="G158" s="419">
        <v>45134</v>
      </c>
      <c r="H158" s="1790" t="s">
        <v>1736</v>
      </c>
      <c r="I158" s="1791" t="s">
        <v>1735</v>
      </c>
      <c r="J158" s="1793" t="s">
        <v>1737</v>
      </c>
      <c r="K158" s="1788" t="s">
        <v>1735</v>
      </c>
      <c r="L158" s="1791" t="s">
        <v>1737</v>
      </c>
      <c r="M158" s="1793" t="s">
        <v>1736</v>
      </c>
      <c r="N158" s="1790" t="s">
        <v>42</v>
      </c>
      <c r="O158" s="1793" t="s">
        <v>43</v>
      </c>
      <c r="P158" s="420" t="s">
        <v>683</v>
      </c>
      <c r="Q158" s="421"/>
      <c r="R158" s="421"/>
      <c r="S158" s="422"/>
      <c r="T158" s="1794"/>
      <c r="U158" s="423">
        <v>24266.499599999999</v>
      </c>
      <c r="V158" s="424">
        <v>3</v>
      </c>
      <c r="W158" s="424">
        <v>3</v>
      </c>
      <c r="X158" s="425"/>
      <c r="Y158" s="426">
        <v>2022</v>
      </c>
      <c r="Z158" s="417">
        <v>2024</v>
      </c>
      <c r="AA158" s="1804">
        <v>2022</v>
      </c>
      <c r="AB158" s="427" t="s">
        <v>5863</v>
      </c>
      <c r="AC158" s="1793" t="s">
        <v>1738</v>
      </c>
      <c r="AD158" s="428"/>
      <c r="AE158" s="1791"/>
      <c r="AF158" s="1791"/>
      <c r="AG158" s="1793"/>
      <c r="AH158" s="428"/>
      <c r="AI158" s="1793"/>
      <c r="AJ158" s="429">
        <v>2021</v>
      </c>
      <c r="AK158" s="424">
        <v>43669</v>
      </c>
      <c r="AL158" s="424">
        <v>43278</v>
      </c>
      <c r="AM158" s="430"/>
      <c r="AN158" s="431"/>
      <c r="AO158" s="432">
        <v>2024</v>
      </c>
      <c r="AP158" s="425">
        <v>43233</v>
      </c>
      <c r="AQ158" s="433">
        <v>0.99</v>
      </c>
      <c r="AR158" s="425">
        <v>42846</v>
      </c>
      <c r="AS158" s="433">
        <v>0.99</v>
      </c>
      <c r="AT158" s="434"/>
      <c r="AU158" s="431"/>
      <c r="AV158" s="435"/>
      <c r="AW158" s="432">
        <v>2022</v>
      </c>
      <c r="AX158" s="425">
        <v>40457</v>
      </c>
      <c r="AY158" s="433">
        <v>7.35</v>
      </c>
      <c r="AZ158" s="425">
        <v>9709</v>
      </c>
      <c r="BA158" s="433">
        <v>77.56</v>
      </c>
      <c r="BB158" s="434"/>
      <c r="BC158" s="431"/>
      <c r="BD158" s="435"/>
      <c r="BE158" s="432">
        <v>2023</v>
      </c>
      <c r="BF158" s="425"/>
      <c r="BG158" s="433"/>
      <c r="BH158" s="425"/>
      <c r="BI158" s="433"/>
      <c r="BJ158" s="434"/>
      <c r="BK158" s="431"/>
      <c r="BL158" s="435"/>
      <c r="BM158" s="432">
        <v>2024</v>
      </c>
      <c r="BN158" s="425"/>
      <c r="BO158" s="433"/>
      <c r="BP158" s="425"/>
      <c r="BQ158" s="433"/>
      <c r="BR158" s="434"/>
      <c r="BS158" s="431"/>
      <c r="BT158" s="435"/>
      <c r="BU158" s="1805" t="s">
        <v>687</v>
      </c>
      <c r="BV158" s="1806" t="s">
        <v>728</v>
      </c>
      <c r="BW158" s="1807" t="s">
        <v>688</v>
      </c>
      <c r="BX158" s="1808" t="s">
        <v>5021</v>
      </c>
      <c r="BY158" s="1809">
        <v>2021</v>
      </c>
      <c r="BZ158" s="424"/>
      <c r="CA158" s="424"/>
      <c r="CB158" s="430"/>
      <c r="CC158" s="431"/>
      <c r="CD158" s="432">
        <v>2024</v>
      </c>
      <c r="CE158" s="425"/>
      <c r="CF158" s="433"/>
      <c r="CG158" s="425"/>
      <c r="CH158" s="433"/>
      <c r="CI158" s="434"/>
      <c r="CJ158" s="431"/>
      <c r="CK158" s="435"/>
      <c r="CL158" s="432">
        <v>2022</v>
      </c>
      <c r="CM158" s="425">
        <v>0</v>
      </c>
      <c r="CN158" s="433"/>
      <c r="CO158" s="425">
        <v>0</v>
      </c>
      <c r="CP158" s="433"/>
      <c r="CQ158" s="434"/>
      <c r="CR158" s="431"/>
      <c r="CS158" s="435">
        <v>0</v>
      </c>
      <c r="CT158" s="432">
        <v>2023</v>
      </c>
      <c r="CU158" s="425"/>
      <c r="CV158" s="433"/>
      <c r="CW158" s="425"/>
      <c r="CX158" s="433"/>
      <c r="CY158" s="434"/>
      <c r="CZ158" s="431"/>
      <c r="DA158" s="435"/>
      <c r="DB158" s="432">
        <v>2024</v>
      </c>
      <c r="DC158" s="425"/>
      <c r="DD158" s="433"/>
      <c r="DE158" s="425"/>
      <c r="DF158" s="433"/>
      <c r="DG158" s="434"/>
      <c r="DH158" s="431"/>
      <c r="DI158" s="435"/>
      <c r="DJ158" s="1805"/>
      <c r="DK158" s="1806"/>
      <c r="DL158" s="1807"/>
      <c r="DM158" s="1808"/>
      <c r="DN158" s="1810">
        <v>0</v>
      </c>
      <c r="DO158" s="1799">
        <v>0</v>
      </c>
      <c r="DP158" s="1800">
        <v>0</v>
      </c>
      <c r="DQ158" s="1799">
        <v>0</v>
      </c>
      <c r="DR158" s="1800">
        <v>0</v>
      </c>
      <c r="DS158" s="1799">
        <v>0</v>
      </c>
    </row>
    <row r="159" spans="1:123" ht="202.5">
      <c r="A159" s="1801" t="s">
        <v>1739</v>
      </c>
      <c r="B159" s="1788" t="s">
        <v>1740</v>
      </c>
      <c r="C159" s="426">
        <v>2022</v>
      </c>
      <c r="D159" s="417" t="s">
        <v>681</v>
      </c>
      <c r="E159" s="1802">
        <v>1036223</v>
      </c>
      <c r="F159" s="1803" t="s">
        <v>1740</v>
      </c>
      <c r="G159" s="419">
        <v>45126</v>
      </c>
      <c r="H159" s="1790" t="s">
        <v>1741</v>
      </c>
      <c r="I159" s="1791" t="s">
        <v>1740</v>
      </c>
      <c r="J159" s="1793" t="s">
        <v>1742</v>
      </c>
      <c r="K159" s="1788" t="s">
        <v>1740</v>
      </c>
      <c r="L159" s="1791" t="s">
        <v>1743</v>
      </c>
      <c r="M159" s="1793" t="s">
        <v>1741</v>
      </c>
      <c r="N159" s="1790" t="s">
        <v>37</v>
      </c>
      <c r="O159" s="1793" t="s">
        <v>41</v>
      </c>
      <c r="P159" s="420" t="s">
        <v>683</v>
      </c>
      <c r="Q159" s="421"/>
      <c r="R159" s="421"/>
      <c r="S159" s="422"/>
      <c r="T159" s="1794"/>
      <c r="U159" s="423">
        <v>2180.0742</v>
      </c>
      <c r="V159" s="424">
        <v>30</v>
      </c>
      <c r="W159" s="424">
        <v>1</v>
      </c>
      <c r="X159" s="425"/>
      <c r="Y159" s="426">
        <v>2022</v>
      </c>
      <c r="Z159" s="417">
        <v>2024</v>
      </c>
      <c r="AA159" s="1804">
        <v>2022</v>
      </c>
      <c r="AB159" s="427"/>
      <c r="AC159" s="1793"/>
      <c r="AD159" s="428" t="s">
        <v>5863</v>
      </c>
      <c r="AE159" s="1791" t="s">
        <v>1744</v>
      </c>
      <c r="AF159" s="1791" t="s">
        <v>1741</v>
      </c>
      <c r="AG159" s="1793" t="s">
        <v>1745</v>
      </c>
      <c r="AH159" s="428"/>
      <c r="AI159" s="1793" t="s">
        <v>1746</v>
      </c>
      <c r="AJ159" s="429">
        <v>2021</v>
      </c>
      <c r="AK159" s="424">
        <v>3814</v>
      </c>
      <c r="AL159" s="424">
        <v>3763</v>
      </c>
      <c r="AM159" s="430"/>
      <c r="AN159" s="431"/>
      <c r="AO159" s="432">
        <v>2024</v>
      </c>
      <c r="AP159" s="425">
        <v>3700</v>
      </c>
      <c r="AQ159" s="433">
        <v>2.98</v>
      </c>
      <c r="AR159" s="425">
        <v>3650</v>
      </c>
      <c r="AS159" s="433">
        <v>3</v>
      </c>
      <c r="AT159" s="434"/>
      <c r="AU159" s="431"/>
      <c r="AV159" s="435"/>
      <c r="AW159" s="432">
        <v>2022</v>
      </c>
      <c r="AX159" s="425">
        <v>3973</v>
      </c>
      <c r="AY159" s="433">
        <v>-4.17</v>
      </c>
      <c r="AZ159" s="425">
        <v>3915</v>
      </c>
      <c r="BA159" s="433">
        <v>-4.04</v>
      </c>
      <c r="BB159" s="434"/>
      <c r="BC159" s="431"/>
      <c r="BD159" s="435"/>
      <c r="BE159" s="432">
        <v>2023</v>
      </c>
      <c r="BF159" s="425"/>
      <c r="BG159" s="433"/>
      <c r="BH159" s="425"/>
      <c r="BI159" s="433"/>
      <c r="BJ159" s="434"/>
      <c r="BK159" s="431"/>
      <c r="BL159" s="435"/>
      <c r="BM159" s="432">
        <v>2024</v>
      </c>
      <c r="BN159" s="425"/>
      <c r="BO159" s="433"/>
      <c r="BP159" s="425"/>
      <c r="BQ159" s="433"/>
      <c r="BR159" s="434"/>
      <c r="BS159" s="431"/>
      <c r="BT159" s="435"/>
      <c r="BU159" s="1805" t="s">
        <v>676</v>
      </c>
      <c r="BV159" s="1806" t="s">
        <v>728</v>
      </c>
      <c r="BW159" s="1807" t="s">
        <v>688</v>
      </c>
      <c r="BX159" s="1808" t="s">
        <v>5022</v>
      </c>
      <c r="BY159" s="1809">
        <v>2021</v>
      </c>
      <c r="BZ159" s="424"/>
      <c r="CA159" s="424"/>
      <c r="CB159" s="430"/>
      <c r="CC159" s="431"/>
      <c r="CD159" s="432">
        <v>2024</v>
      </c>
      <c r="CE159" s="425"/>
      <c r="CF159" s="433"/>
      <c r="CG159" s="425"/>
      <c r="CH159" s="433"/>
      <c r="CI159" s="434"/>
      <c r="CJ159" s="431"/>
      <c r="CK159" s="435"/>
      <c r="CL159" s="432">
        <v>2022</v>
      </c>
      <c r="CM159" s="425">
        <v>0</v>
      </c>
      <c r="CN159" s="433"/>
      <c r="CO159" s="425">
        <v>0</v>
      </c>
      <c r="CP159" s="433"/>
      <c r="CQ159" s="434"/>
      <c r="CR159" s="431"/>
      <c r="CS159" s="435">
        <v>0</v>
      </c>
      <c r="CT159" s="432">
        <v>2023</v>
      </c>
      <c r="CU159" s="425"/>
      <c r="CV159" s="433"/>
      <c r="CW159" s="425"/>
      <c r="CX159" s="433"/>
      <c r="CY159" s="434"/>
      <c r="CZ159" s="431"/>
      <c r="DA159" s="435"/>
      <c r="DB159" s="432">
        <v>2024</v>
      </c>
      <c r="DC159" s="425"/>
      <c r="DD159" s="433"/>
      <c r="DE159" s="425"/>
      <c r="DF159" s="433"/>
      <c r="DG159" s="434"/>
      <c r="DH159" s="431"/>
      <c r="DI159" s="435"/>
      <c r="DJ159" s="1805"/>
      <c r="DK159" s="1806"/>
      <c r="DL159" s="1807"/>
      <c r="DM159" s="1808"/>
      <c r="DN159" s="1810">
        <v>0</v>
      </c>
      <c r="DO159" s="1799">
        <v>0</v>
      </c>
      <c r="DP159" s="1800">
        <v>0</v>
      </c>
      <c r="DQ159" s="1799">
        <v>0</v>
      </c>
      <c r="DR159" s="1800">
        <v>0</v>
      </c>
      <c r="DS159" s="1799">
        <v>0</v>
      </c>
    </row>
    <row r="160" spans="1:123" ht="94.5">
      <c r="A160" s="1801" t="s">
        <v>1747</v>
      </c>
      <c r="B160" s="1788" t="s">
        <v>1748</v>
      </c>
      <c r="C160" s="426">
        <v>2022</v>
      </c>
      <c r="D160" s="417" t="s">
        <v>681</v>
      </c>
      <c r="E160" s="1802">
        <v>1010224</v>
      </c>
      <c r="F160" s="1803" t="s">
        <v>1748</v>
      </c>
      <c r="G160" s="419">
        <v>45135</v>
      </c>
      <c r="H160" s="1790" t="s">
        <v>1749</v>
      </c>
      <c r="I160" s="1791" t="s">
        <v>1748</v>
      </c>
      <c r="J160" s="1793" t="s">
        <v>5023</v>
      </c>
      <c r="K160" s="1788" t="s">
        <v>1748</v>
      </c>
      <c r="L160" s="1791" t="s">
        <v>1750</v>
      </c>
      <c r="M160" s="1793" t="s">
        <v>1751</v>
      </c>
      <c r="N160" s="1790" t="s">
        <v>12</v>
      </c>
      <c r="O160" s="1793" t="s">
        <v>14</v>
      </c>
      <c r="P160" s="420" t="s">
        <v>683</v>
      </c>
      <c r="Q160" s="421"/>
      <c r="R160" s="421"/>
      <c r="S160" s="422"/>
      <c r="T160" s="1794"/>
      <c r="U160" s="423">
        <v>26461.021799999999</v>
      </c>
      <c r="V160" s="424">
        <v>2</v>
      </c>
      <c r="W160" s="424">
        <v>1</v>
      </c>
      <c r="X160" s="425"/>
      <c r="Y160" s="426">
        <v>2022</v>
      </c>
      <c r="Z160" s="417">
        <v>2024</v>
      </c>
      <c r="AA160" s="1804">
        <v>2022</v>
      </c>
      <c r="AB160" s="427"/>
      <c r="AC160" s="1793"/>
      <c r="AD160" s="428" t="s">
        <v>5863</v>
      </c>
      <c r="AE160" s="1791" t="s">
        <v>1752</v>
      </c>
      <c r="AF160" s="1791" t="s">
        <v>1749</v>
      </c>
      <c r="AG160" s="1793" t="s">
        <v>1753</v>
      </c>
      <c r="AH160" s="428"/>
      <c r="AI160" s="1793"/>
      <c r="AJ160" s="429">
        <v>2021</v>
      </c>
      <c r="AK160" s="424">
        <v>23959</v>
      </c>
      <c r="AL160" s="424">
        <v>23890</v>
      </c>
      <c r="AM160" s="430">
        <v>84.13</v>
      </c>
      <c r="AN160" s="431" t="s">
        <v>1754</v>
      </c>
      <c r="AO160" s="432">
        <v>2024</v>
      </c>
      <c r="AP160" s="425">
        <v>23247</v>
      </c>
      <c r="AQ160" s="433">
        <v>2.97</v>
      </c>
      <c r="AR160" s="425">
        <v>23173</v>
      </c>
      <c r="AS160" s="433">
        <v>3</v>
      </c>
      <c r="AT160" s="434">
        <v>81.599999999999994</v>
      </c>
      <c r="AU160" s="431" t="s">
        <v>1754</v>
      </c>
      <c r="AV160" s="435">
        <v>3</v>
      </c>
      <c r="AW160" s="432">
        <v>2022</v>
      </c>
      <c r="AX160" s="425">
        <v>27071</v>
      </c>
      <c r="AY160" s="433">
        <v>-12.99</v>
      </c>
      <c r="AZ160" s="425">
        <v>27022</v>
      </c>
      <c r="BA160" s="433">
        <v>-13.12</v>
      </c>
      <c r="BB160" s="434">
        <v>91.291708785863818</v>
      </c>
      <c r="BC160" s="431" t="s">
        <v>1754</v>
      </c>
      <c r="BD160" s="435">
        <v>-8.52</v>
      </c>
      <c r="BE160" s="432">
        <v>2023</v>
      </c>
      <c r="BF160" s="425"/>
      <c r="BG160" s="433"/>
      <c r="BH160" s="425"/>
      <c r="BI160" s="433"/>
      <c r="BJ160" s="434"/>
      <c r="BK160" s="431"/>
      <c r="BL160" s="435"/>
      <c r="BM160" s="432">
        <v>2024</v>
      </c>
      <c r="BN160" s="425"/>
      <c r="BO160" s="433"/>
      <c r="BP160" s="425"/>
      <c r="BQ160" s="433"/>
      <c r="BR160" s="434"/>
      <c r="BS160" s="431"/>
      <c r="BT160" s="435"/>
      <c r="BU160" s="1805" t="s">
        <v>676</v>
      </c>
      <c r="BV160" s="1806" t="s">
        <v>728</v>
      </c>
      <c r="BW160" s="1807" t="s">
        <v>697</v>
      </c>
      <c r="BX160" s="1808" t="s">
        <v>5024</v>
      </c>
      <c r="BY160" s="1809">
        <v>2021</v>
      </c>
      <c r="BZ160" s="424"/>
      <c r="CA160" s="424"/>
      <c r="CB160" s="430"/>
      <c r="CC160" s="431"/>
      <c r="CD160" s="432">
        <v>2024</v>
      </c>
      <c r="CE160" s="425"/>
      <c r="CF160" s="433"/>
      <c r="CG160" s="425"/>
      <c r="CH160" s="433"/>
      <c r="CI160" s="434"/>
      <c r="CJ160" s="431"/>
      <c r="CK160" s="435"/>
      <c r="CL160" s="432">
        <v>2022</v>
      </c>
      <c r="CM160" s="425">
        <v>0</v>
      </c>
      <c r="CN160" s="433"/>
      <c r="CO160" s="425">
        <v>0</v>
      </c>
      <c r="CP160" s="433"/>
      <c r="CQ160" s="434"/>
      <c r="CR160" s="431"/>
      <c r="CS160" s="435">
        <v>0</v>
      </c>
      <c r="CT160" s="432">
        <v>2023</v>
      </c>
      <c r="CU160" s="425"/>
      <c r="CV160" s="433"/>
      <c r="CW160" s="425"/>
      <c r="CX160" s="433"/>
      <c r="CY160" s="434"/>
      <c r="CZ160" s="431"/>
      <c r="DA160" s="435"/>
      <c r="DB160" s="432">
        <v>2024</v>
      </c>
      <c r="DC160" s="425"/>
      <c r="DD160" s="433"/>
      <c r="DE160" s="425"/>
      <c r="DF160" s="433"/>
      <c r="DG160" s="434"/>
      <c r="DH160" s="431"/>
      <c r="DI160" s="435"/>
      <c r="DJ160" s="1805"/>
      <c r="DK160" s="1806"/>
      <c r="DL160" s="1807"/>
      <c r="DM160" s="1808"/>
      <c r="DN160" s="1810">
        <v>0</v>
      </c>
      <c r="DO160" s="1799">
        <v>0</v>
      </c>
      <c r="DP160" s="1800">
        <v>0</v>
      </c>
      <c r="DQ160" s="1799">
        <v>0</v>
      </c>
      <c r="DR160" s="1800">
        <v>0</v>
      </c>
      <c r="DS160" s="1799">
        <v>0</v>
      </c>
    </row>
    <row r="161" spans="1:123" ht="54">
      <c r="A161" s="1801" t="s">
        <v>1758</v>
      </c>
      <c r="B161" s="1788" t="s">
        <v>1759</v>
      </c>
      <c r="C161" s="426">
        <v>2022</v>
      </c>
      <c r="D161" s="417" t="s">
        <v>681</v>
      </c>
      <c r="E161" s="1802">
        <v>1078227</v>
      </c>
      <c r="F161" s="1803" t="s">
        <v>1759</v>
      </c>
      <c r="G161" s="419">
        <v>45132</v>
      </c>
      <c r="H161" s="1790" t="s">
        <v>1760</v>
      </c>
      <c r="I161" s="1791" t="s">
        <v>1759</v>
      </c>
      <c r="J161" s="1793" t="s">
        <v>1761</v>
      </c>
      <c r="K161" s="1788" t="s">
        <v>1759</v>
      </c>
      <c r="L161" s="1791" t="s">
        <v>1761</v>
      </c>
      <c r="M161" s="1793" t="s">
        <v>1762</v>
      </c>
      <c r="N161" s="1790" t="s">
        <v>90</v>
      </c>
      <c r="O161" s="1793" t="s">
        <v>1763</v>
      </c>
      <c r="P161" s="420" t="s">
        <v>683</v>
      </c>
      <c r="Q161" s="421"/>
      <c r="R161" s="421"/>
      <c r="S161" s="422"/>
      <c r="T161" s="1794"/>
      <c r="U161" s="423">
        <v>1999.9386</v>
      </c>
      <c r="V161" s="424">
        <v>1</v>
      </c>
      <c r="W161" s="424">
        <v>1</v>
      </c>
      <c r="X161" s="425"/>
      <c r="Y161" s="426">
        <v>2022</v>
      </c>
      <c r="Z161" s="417">
        <v>2024</v>
      </c>
      <c r="AA161" s="1804">
        <v>2022</v>
      </c>
      <c r="AB161" s="427"/>
      <c r="AC161" s="1793"/>
      <c r="AD161" s="428" t="s">
        <v>5863</v>
      </c>
      <c r="AE161" s="1791" t="s">
        <v>1764</v>
      </c>
      <c r="AF161" s="1791" t="s">
        <v>1762</v>
      </c>
      <c r="AG161" s="1793" t="s">
        <v>1765</v>
      </c>
      <c r="AH161" s="428"/>
      <c r="AI161" s="1793"/>
      <c r="AJ161" s="429">
        <v>2021</v>
      </c>
      <c r="AK161" s="424">
        <v>3405</v>
      </c>
      <c r="AL161" s="424">
        <v>3394</v>
      </c>
      <c r="AM161" s="430">
        <v>11.2</v>
      </c>
      <c r="AN161" s="431" t="s">
        <v>1389</v>
      </c>
      <c r="AO161" s="432">
        <v>2024</v>
      </c>
      <c r="AP161" s="425">
        <v>3303</v>
      </c>
      <c r="AQ161" s="433">
        <v>2.99</v>
      </c>
      <c r="AR161" s="425">
        <v>3292</v>
      </c>
      <c r="AS161" s="433">
        <v>3</v>
      </c>
      <c r="AT161" s="434">
        <v>10.86</v>
      </c>
      <c r="AU161" s="431" t="s">
        <v>1389</v>
      </c>
      <c r="AV161" s="435">
        <v>3.03</v>
      </c>
      <c r="AW161" s="432">
        <v>2022</v>
      </c>
      <c r="AX161" s="425">
        <v>3708</v>
      </c>
      <c r="AY161" s="433">
        <v>-8.9</v>
      </c>
      <c r="AZ161" s="425">
        <v>3708</v>
      </c>
      <c r="BA161" s="433">
        <v>-9.26</v>
      </c>
      <c r="BB161" s="434">
        <v>8.4464692482915726</v>
      </c>
      <c r="BC161" s="431" t="s">
        <v>1389</v>
      </c>
      <c r="BD161" s="435">
        <v>24.58</v>
      </c>
      <c r="BE161" s="432">
        <v>2023</v>
      </c>
      <c r="BF161" s="425"/>
      <c r="BG161" s="433"/>
      <c r="BH161" s="425"/>
      <c r="BI161" s="433"/>
      <c r="BJ161" s="434"/>
      <c r="BK161" s="431"/>
      <c r="BL161" s="435"/>
      <c r="BM161" s="432">
        <v>2024</v>
      </c>
      <c r="BN161" s="425"/>
      <c r="BO161" s="433"/>
      <c r="BP161" s="425"/>
      <c r="BQ161" s="433"/>
      <c r="BR161" s="434"/>
      <c r="BS161" s="431"/>
      <c r="BT161" s="435"/>
      <c r="BU161" s="1805" t="s">
        <v>687</v>
      </c>
      <c r="BV161" s="1806" t="s">
        <v>728</v>
      </c>
      <c r="BW161" s="1807" t="s">
        <v>678</v>
      </c>
      <c r="BX161" s="1808" t="s">
        <v>5025</v>
      </c>
      <c r="BY161" s="1809">
        <v>2021</v>
      </c>
      <c r="BZ161" s="424"/>
      <c r="CA161" s="424"/>
      <c r="CB161" s="430"/>
      <c r="CC161" s="431"/>
      <c r="CD161" s="432">
        <v>2024</v>
      </c>
      <c r="CE161" s="425"/>
      <c r="CF161" s="433"/>
      <c r="CG161" s="425"/>
      <c r="CH161" s="433"/>
      <c r="CI161" s="434"/>
      <c r="CJ161" s="431"/>
      <c r="CK161" s="435"/>
      <c r="CL161" s="432">
        <v>2022</v>
      </c>
      <c r="CM161" s="425">
        <v>0</v>
      </c>
      <c r="CN161" s="433"/>
      <c r="CO161" s="425">
        <v>0</v>
      </c>
      <c r="CP161" s="433"/>
      <c r="CQ161" s="434"/>
      <c r="CR161" s="431"/>
      <c r="CS161" s="435">
        <v>0</v>
      </c>
      <c r="CT161" s="432">
        <v>2023</v>
      </c>
      <c r="CU161" s="425"/>
      <c r="CV161" s="433"/>
      <c r="CW161" s="425"/>
      <c r="CX161" s="433"/>
      <c r="CY161" s="434"/>
      <c r="CZ161" s="431"/>
      <c r="DA161" s="435"/>
      <c r="DB161" s="432">
        <v>2024</v>
      </c>
      <c r="DC161" s="425"/>
      <c r="DD161" s="433"/>
      <c r="DE161" s="425"/>
      <c r="DF161" s="433"/>
      <c r="DG161" s="434"/>
      <c r="DH161" s="431"/>
      <c r="DI161" s="435"/>
      <c r="DJ161" s="1805"/>
      <c r="DK161" s="1806"/>
      <c r="DL161" s="1807"/>
      <c r="DM161" s="1808"/>
      <c r="DN161" s="1810">
        <v>0</v>
      </c>
      <c r="DO161" s="1799">
        <v>0</v>
      </c>
      <c r="DP161" s="1800">
        <v>0</v>
      </c>
      <c r="DQ161" s="1799">
        <v>0</v>
      </c>
      <c r="DR161" s="1800">
        <v>0</v>
      </c>
      <c r="DS161" s="1799">
        <v>0</v>
      </c>
    </row>
    <row r="162" spans="1:123" ht="54">
      <c r="A162" s="1801" t="s">
        <v>1766</v>
      </c>
      <c r="B162" s="1788" t="s">
        <v>1767</v>
      </c>
      <c r="C162" s="426">
        <v>2020</v>
      </c>
      <c r="D162" s="417" t="s">
        <v>681</v>
      </c>
      <c r="E162" s="1802">
        <v>1017228</v>
      </c>
      <c r="F162" s="1803" t="s">
        <v>1767</v>
      </c>
      <c r="G162" s="419">
        <v>45119</v>
      </c>
      <c r="H162" s="1790" t="s">
        <v>1768</v>
      </c>
      <c r="I162" s="1791" t="s">
        <v>1767</v>
      </c>
      <c r="J162" s="1793" t="s">
        <v>1769</v>
      </c>
      <c r="K162" s="1788" t="s">
        <v>1767</v>
      </c>
      <c r="L162" s="1791" t="s">
        <v>1770</v>
      </c>
      <c r="M162" s="1793" t="s">
        <v>1771</v>
      </c>
      <c r="N162" s="1790" t="s">
        <v>12</v>
      </c>
      <c r="O162" s="1793" t="s">
        <v>21</v>
      </c>
      <c r="P162" s="420" t="s">
        <v>683</v>
      </c>
      <c r="Q162" s="421"/>
      <c r="R162" s="421"/>
      <c r="S162" s="422"/>
      <c r="T162" s="1794"/>
      <c r="U162" s="423">
        <v>1703.9867999999999</v>
      </c>
      <c r="V162" s="424">
        <v>1</v>
      </c>
      <c r="W162" s="424">
        <v>1</v>
      </c>
      <c r="X162" s="425"/>
      <c r="Y162" s="426">
        <v>2020</v>
      </c>
      <c r="Z162" s="417">
        <v>2022</v>
      </c>
      <c r="AA162" s="1804">
        <v>2022</v>
      </c>
      <c r="AB162" s="427"/>
      <c r="AC162" s="1793" t="s">
        <v>1772</v>
      </c>
      <c r="AD162" s="428" t="s">
        <v>5863</v>
      </c>
      <c r="AE162" s="1791" t="s">
        <v>1773</v>
      </c>
      <c r="AF162" s="1791" t="s">
        <v>1768</v>
      </c>
      <c r="AG162" s="1793" t="s">
        <v>1774</v>
      </c>
      <c r="AH162" s="428"/>
      <c r="AI162" s="1793"/>
      <c r="AJ162" s="429">
        <v>2019</v>
      </c>
      <c r="AK162" s="424">
        <v>4218</v>
      </c>
      <c r="AL162" s="424">
        <v>4169</v>
      </c>
      <c r="AM162" s="430"/>
      <c r="AN162" s="431"/>
      <c r="AO162" s="432">
        <v>2022</v>
      </c>
      <c r="AP162" s="425">
        <v>4176</v>
      </c>
      <c r="AQ162" s="433">
        <v>0.99</v>
      </c>
      <c r="AR162" s="425">
        <v>4126</v>
      </c>
      <c r="AS162" s="433">
        <v>1.03</v>
      </c>
      <c r="AT162" s="434"/>
      <c r="AU162" s="431"/>
      <c r="AV162" s="435"/>
      <c r="AW162" s="432">
        <v>2020</v>
      </c>
      <c r="AX162" s="425">
        <v>3734</v>
      </c>
      <c r="AY162" s="433">
        <v>11.47</v>
      </c>
      <c r="AZ162" s="425">
        <v>1803</v>
      </c>
      <c r="BA162" s="433">
        <v>56.75</v>
      </c>
      <c r="BB162" s="434"/>
      <c r="BC162" s="431"/>
      <c r="BD162" s="435"/>
      <c r="BE162" s="432">
        <v>2021</v>
      </c>
      <c r="BF162" s="425">
        <v>3398</v>
      </c>
      <c r="BG162" s="433">
        <v>19.440000000000001</v>
      </c>
      <c r="BH162" s="425">
        <v>1383</v>
      </c>
      <c r="BI162" s="433">
        <v>66.819999999999993</v>
      </c>
      <c r="BJ162" s="434"/>
      <c r="BK162" s="431"/>
      <c r="BL162" s="435"/>
      <c r="BM162" s="432">
        <v>2022</v>
      </c>
      <c r="BN162" s="425">
        <v>3311</v>
      </c>
      <c r="BO162" s="433">
        <v>21.5</v>
      </c>
      <c r="BP162" s="425">
        <v>1108</v>
      </c>
      <c r="BQ162" s="433">
        <v>73.42</v>
      </c>
      <c r="BR162" s="434"/>
      <c r="BS162" s="431"/>
      <c r="BT162" s="435"/>
      <c r="BU162" s="1805" t="s">
        <v>687</v>
      </c>
      <c r="BV162" s="1806" t="s">
        <v>728</v>
      </c>
      <c r="BW162" s="1807"/>
      <c r="BX162" s="1808" t="s">
        <v>1775</v>
      </c>
      <c r="BY162" s="1809">
        <v>2019</v>
      </c>
      <c r="BZ162" s="424"/>
      <c r="CA162" s="424"/>
      <c r="CB162" s="430"/>
      <c r="CC162" s="431"/>
      <c r="CD162" s="432">
        <v>2022</v>
      </c>
      <c r="CE162" s="425"/>
      <c r="CF162" s="433"/>
      <c r="CG162" s="425"/>
      <c r="CH162" s="433"/>
      <c r="CI162" s="434"/>
      <c r="CJ162" s="431"/>
      <c r="CK162" s="435"/>
      <c r="CL162" s="432">
        <v>2020</v>
      </c>
      <c r="CM162" s="425"/>
      <c r="CN162" s="433"/>
      <c r="CO162" s="425"/>
      <c r="CP162" s="433"/>
      <c r="CQ162" s="434"/>
      <c r="CR162" s="431"/>
      <c r="CS162" s="435"/>
      <c r="CT162" s="432">
        <v>2021</v>
      </c>
      <c r="CU162" s="425"/>
      <c r="CV162" s="433"/>
      <c r="CW162" s="425"/>
      <c r="CX162" s="433"/>
      <c r="CY162" s="434"/>
      <c r="CZ162" s="431"/>
      <c r="DA162" s="435"/>
      <c r="DB162" s="432">
        <v>2022</v>
      </c>
      <c r="DC162" s="425">
        <v>0</v>
      </c>
      <c r="DD162" s="433"/>
      <c r="DE162" s="425">
        <v>-1899</v>
      </c>
      <c r="DF162" s="433"/>
      <c r="DG162" s="434"/>
      <c r="DH162" s="431"/>
      <c r="DI162" s="435">
        <v>0</v>
      </c>
      <c r="DJ162" s="1805"/>
      <c r="DK162" s="1806"/>
      <c r="DL162" s="1807"/>
      <c r="DM162" s="1808"/>
      <c r="DN162" s="1810">
        <v>0</v>
      </c>
      <c r="DO162" s="1799">
        <v>0</v>
      </c>
      <c r="DP162" s="1800">
        <v>0</v>
      </c>
      <c r="DQ162" s="1799">
        <v>0</v>
      </c>
      <c r="DR162" s="1800">
        <v>0</v>
      </c>
      <c r="DS162" s="1799">
        <v>0</v>
      </c>
    </row>
    <row r="163" spans="1:123" ht="94.5">
      <c r="A163" s="1801" t="s">
        <v>1776</v>
      </c>
      <c r="B163" s="1788" t="s">
        <v>1777</v>
      </c>
      <c r="C163" s="426">
        <v>2022</v>
      </c>
      <c r="D163" s="417" t="s">
        <v>681</v>
      </c>
      <c r="E163" s="1802">
        <v>1062230</v>
      </c>
      <c r="F163" s="1803" t="s">
        <v>1777</v>
      </c>
      <c r="G163" s="419">
        <v>45135</v>
      </c>
      <c r="H163" s="1790" t="s">
        <v>1778</v>
      </c>
      <c r="I163" s="1791" t="s">
        <v>1777</v>
      </c>
      <c r="J163" s="1793" t="s">
        <v>1779</v>
      </c>
      <c r="K163" s="1788" t="s">
        <v>1777</v>
      </c>
      <c r="L163" s="1791" t="s">
        <v>1779</v>
      </c>
      <c r="M163" s="1793" t="s">
        <v>1778</v>
      </c>
      <c r="N163" s="1790" t="s">
        <v>70</v>
      </c>
      <c r="O163" s="1793" t="s">
        <v>71</v>
      </c>
      <c r="P163" s="420" t="s">
        <v>683</v>
      </c>
      <c r="Q163" s="421"/>
      <c r="R163" s="421"/>
      <c r="S163" s="422"/>
      <c r="T163" s="1794"/>
      <c r="U163" s="423">
        <v>7230.7080000000005</v>
      </c>
      <c r="V163" s="424">
        <v>103</v>
      </c>
      <c r="W163" s="424">
        <v>2</v>
      </c>
      <c r="X163" s="425"/>
      <c r="Y163" s="426">
        <v>2022</v>
      </c>
      <c r="Z163" s="417">
        <v>2024</v>
      </c>
      <c r="AA163" s="1804">
        <v>2022</v>
      </c>
      <c r="AB163" s="427"/>
      <c r="AC163" s="1793"/>
      <c r="AD163" s="428"/>
      <c r="AE163" s="1791"/>
      <c r="AF163" s="1791"/>
      <c r="AG163" s="1793"/>
      <c r="AH163" s="428" t="s">
        <v>5863</v>
      </c>
      <c r="AI163" s="1793" t="s">
        <v>1780</v>
      </c>
      <c r="AJ163" s="429">
        <v>2021</v>
      </c>
      <c r="AK163" s="424">
        <v>12823.375857999999</v>
      </c>
      <c r="AL163" s="424">
        <v>10214</v>
      </c>
      <c r="AM163" s="430">
        <v>62.75</v>
      </c>
      <c r="AN163" s="431" t="s">
        <v>727</v>
      </c>
      <c r="AO163" s="432">
        <v>2024</v>
      </c>
      <c r="AP163" s="425">
        <v>12439</v>
      </c>
      <c r="AQ163" s="433">
        <v>2.99</v>
      </c>
      <c r="AR163" s="425">
        <v>9906</v>
      </c>
      <c r="AS163" s="433">
        <v>3.01</v>
      </c>
      <c r="AT163" s="434">
        <v>60.87</v>
      </c>
      <c r="AU163" s="431" t="s">
        <v>727</v>
      </c>
      <c r="AV163" s="435">
        <v>2.99</v>
      </c>
      <c r="AW163" s="432">
        <v>2022</v>
      </c>
      <c r="AX163" s="425">
        <v>12954</v>
      </c>
      <c r="AY163" s="433">
        <v>-1.02</v>
      </c>
      <c r="AZ163" s="425">
        <v>4380</v>
      </c>
      <c r="BA163" s="433">
        <v>57.11</v>
      </c>
      <c r="BB163" s="434">
        <v>64.447761194029852</v>
      </c>
      <c r="BC163" s="431" t="s">
        <v>727</v>
      </c>
      <c r="BD163" s="435">
        <v>-2.71</v>
      </c>
      <c r="BE163" s="432">
        <v>2023</v>
      </c>
      <c r="BF163" s="425"/>
      <c r="BG163" s="433"/>
      <c r="BH163" s="425"/>
      <c r="BI163" s="433"/>
      <c r="BJ163" s="434"/>
      <c r="BK163" s="431"/>
      <c r="BL163" s="435"/>
      <c r="BM163" s="432">
        <v>2024</v>
      </c>
      <c r="BN163" s="425"/>
      <c r="BO163" s="433"/>
      <c r="BP163" s="425"/>
      <c r="BQ163" s="433"/>
      <c r="BR163" s="434"/>
      <c r="BS163" s="431"/>
      <c r="BT163" s="435"/>
      <c r="BU163" s="1805" t="s">
        <v>676</v>
      </c>
      <c r="BV163" s="1806" t="s">
        <v>728</v>
      </c>
      <c r="BW163" s="1807" t="s">
        <v>697</v>
      </c>
      <c r="BX163" s="1808" t="s">
        <v>5026</v>
      </c>
      <c r="BY163" s="1809">
        <v>2021</v>
      </c>
      <c r="BZ163" s="424"/>
      <c r="CA163" s="424"/>
      <c r="CB163" s="430"/>
      <c r="CC163" s="431"/>
      <c r="CD163" s="432">
        <v>2024</v>
      </c>
      <c r="CE163" s="425"/>
      <c r="CF163" s="433"/>
      <c r="CG163" s="425"/>
      <c r="CH163" s="433"/>
      <c r="CI163" s="434"/>
      <c r="CJ163" s="431"/>
      <c r="CK163" s="435"/>
      <c r="CL163" s="432">
        <v>2022</v>
      </c>
      <c r="CM163" s="425">
        <v>0</v>
      </c>
      <c r="CN163" s="433"/>
      <c r="CO163" s="425">
        <v>0</v>
      </c>
      <c r="CP163" s="433"/>
      <c r="CQ163" s="434"/>
      <c r="CR163" s="431"/>
      <c r="CS163" s="435">
        <v>0</v>
      </c>
      <c r="CT163" s="432">
        <v>2023</v>
      </c>
      <c r="CU163" s="425"/>
      <c r="CV163" s="433"/>
      <c r="CW163" s="425"/>
      <c r="CX163" s="433"/>
      <c r="CY163" s="434"/>
      <c r="CZ163" s="431"/>
      <c r="DA163" s="435"/>
      <c r="DB163" s="432">
        <v>2024</v>
      </c>
      <c r="DC163" s="425"/>
      <c r="DD163" s="433"/>
      <c r="DE163" s="425"/>
      <c r="DF163" s="433"/>
      <c r="DG163" s="434"/>
      <c r="DH163" s="431"/>
      <c r="DI163" s="435"/>
      <c r="DJ163" s="1805"/>
      <c r="DK163" s="1806"/>
      <c r="DL163" s="1807"/>
      <c r="DM163" s="1808"/>
      <c r="DN163" s="1810">
        <v>0</v>
      </c>
      <c r="DO163" s="1799">
        <v>2</v>
      </c>
      <c r="DP163" s="1800">
        <v>0</v>
      </c>
      <c r="DQ163" s="1799">
        <v>0</v>
      </c>
      <c r="DR163" s="1800">
        <v>0</v>
      </c>
      <c r="DS163" s="1799">
        <v>1</v>
      </c>
    </row>
    <row r="164" spans="1:123" ht="67.5">
      <c r="A164" s="1801" t="s">
        <v>1781</v>
      </c>
      <c r="B164" s="1788" t="s">
        <v>1782</v>
      </c>
      <c r="C164" s="426">
        <v>2022</v>
      </c>
      <c r="D164" s="417" t="s">
        <v>681</v>
      </c>
      <c r="E164" s="1802">
        <v>1069231</v>
      </c>
      <c r="F164" s="1803" t="s">
        <v>1782</v>
      </c>
      <c r="G164" s="419">
        <v>45135</v>
      </c>
      <c r="H164" s="1790" t="s">
        <v>1783</v>
      </c>
      <c r="I164" s="1791" t="s">
        <v>1782</v>
      </c>
      <c r="J164" s="1793" t="s">
        <v>1784</v>
      </c>
      <c r="K164" s="1788" t="s">
        <v>1782</v>
      </c>
      <c r="L164" s="1791" t="s">
        <v>1784</v>
      </c>
      <c r="M164" s="1793" t="s">
        <v>1785</v>
      </c>
      <c r="N164" s="1790" t="s">
        <v>77</v>
      </c>
      <c r="O164" s="1793" t="s">
        <v>79</v>
      </c>
      <c r="P164" s="420" t="s">
        <v>683</v>
      </c>
      <c r="Q164" s="421"/>
      <c r="R164" s="421"/>
      <c r="S164" s="422"/>
      <c r="T164" s="1794"/>
      <c r="U164" s="423">
        <v>2129.79</v>
      </c>
      <c r="V164" s="424">
        <v>1</v>
      </c>
      <c r="W164" s="424">
        <v>1</v>
      </c>
      <c r="X164" s="425"/>
      <c r="Y164" s="426">
        <v>2022</v>
      </c>
      <c r="Z164" s="417">
        <v>2024</v>
      </c>
      <c r="AA164" s="1804">
        <v>2022</v>
      </c>
      <c r="AB164" s="427"/>
      <c r="AC164" s="1793"/>
      <c r="AD164" s="428" t="s">
        <v>5863</v>
      </c>
      <c r="AE164" s="1791" t="s">
        <v>1786</v>
      </c>
      <c r="AF164" s="1791" t="s">
        <v>1787</v>
      </c>
      <c r="AG164" s="1793" t="s">
        <v>1788</v>
      </c>
      <c r="AH164" s="428"/>
      <c r="AI164" s="1793"/>
      <c r="AJ164" s="429">
        <v>2021</v>
      </c>
      <c r="AK164" s="424">
        <v>4055</v>
      </c>
      <c r="AL164" s="424">
        <v>4021</v>
      </c>
      <c r="AM164" s="430">
        <v>9.65</v>
      </c>
      <c r="AN164" s="431" t="s">
        <v>2602</v>
      </c>
      <c r="AO164" s="432">
        <v>2024</v>
      </c>
      <c r="AP164" s="425">
        <v>3994</v>
      </c>
      <c r="AQ164" s="433">
        <v>1.5</v>
      </c>
      <c r="AR164" s="425">
        <v>3960.6849999999999</v>
      </c>
      <c r="AS164" s="433">
        <v>1.5</v>
      </c>
      <c r="AT164" s="434">
        <v>9.51</v>
      </c>
      <c r="AU164" s="431" t="s">
        <v>2602</v>
      </c>
      <c r="AV164" s="435">
        <v>1.45</v>
      </c>
      <c r="AW164" s="432">
        <v>2022</v>
      </c>
      <c r="AX164" s="425">
        <v>3803</v>
      </c>
      <c r="AY164" s="433">
        <v>6.21</v>
      </c>
      <c r="AZ164" s="425">
        <v>3796</v>
      </c>
      <c r="BA164" s="433">
        <v>5.59</v>
      </c>
      <c r="BB164" s="434">
        <v>9.0499352726165103</v>
      </c>
      <c r="BC164" s="431" t="s">
        <v>2602</v>
      </c>
      <c r="BD164" s="435">
        <v>6.21</v>
      </c>
      <c r="BE164" s="432">
        <v>2023</v>
      </c>
      <c r="BF164" s="425"/>
      <c r="BG164" s="433"/>
      <c r="BH164" s="425"/>
      <c r="BI164" s="433"/>
      <c r="BJ164" s="434"/>
      <c r="BK164" s="431"/>
      <c r="BL164" s="435"/>
      <c r="BM164" s="432">
        <v>2024</v>
      </c>
      <c r="BN164" s="425"/>
      <c r="BO164" s="433"/>
      <c r="BP164" s="425"/>
      <c r="BQ164" s="433"/>
      <c r="BR164" s="434"/>
      <c r="BS164" s="431"/>
      <c r="BT164" s="435"/>
      <c r="BU164" s="1805" t="s">
        <v>719</v>
      </c>
      <c r="BV164" s="1806" t="s">
        <v>728</v>
      </c>
      <c r="BW164" s="1807" t="s">
        <v>688</v>
      </c>
      <c r="BX164" s="1808"/>
      <c r="BY164" s="1809">
        <v>2021</v>
      </c>
      <c r="BZ164" s="424"/>
      <c r="CA164" s="424"/>
      <c r="CB164" s="430"/>
      <c r="CC164" s="431"/>
      <c r="CD164" s="432">
        <v>2024</v>
      </c>
      <c r="CE164" s="425"/>
      <c r="CF164" s="433"/>
      <c r="CG164" s="425"/>
      <c r="CH164" s="433"/>
      <c r="CI164" s="434"/>
      <c r="CJ164" s="431"/>
      <c r="CK164" s="435"/>
      <c r="CL164" s="432">
        <v>2022</v>
      </c>
      <c r="CM164" s="425">
        <v>0</v>
      </c>
      <c r="CN164" s="433"/>
      <c r="CO164" s="425">
        <v>0</v>
      </c>
      <c r="CP164" s="433"/>
      <c r="CQ164" s="434"/>
      <c r="CR164" s="431"/>
      <c r="CS164" s="435">
        <v>0</v>
      </c>
      <c r="CT164" s="432">
        <v>2023</v>
      </c>
      <c r="CU164" s="425"/>
      <c r="CV164" s="433"/>
      <c r="CW164" s="425"/>
      <c r="CX164" s="433"/>
      <c r="CY164" s="434"/>
      <c r="CZ164" s="431"/>
      <c r="DA164" s="435"/>
      <c r="DB164" s="432">
        <v>2024</v>
      </c>
      <c r="DC164" s="425"/>
      <c r="DD164" s="433"/>
      <c r="DE164" s="425"/>
      <c r="DF164" s="433"/>
      <c r="DG164" s="434"/>
      <c r="DH164" s="431"/>
      <c r="DI164" s="435"/>
      <c r="DJ164" s="1805"/>
      <c r="DK164" s="1806"/>
      <c r="DL164" s="1807"/>
      <c r="DM164" s="1808"/>
      <c r="DN164" s="1810">
        <v>0</v>
      </c>
      <c r="DO164" s="1799">
        <v>0</v>
      </c>
      <c r="DP164" s="1800">
        <v>0</v>
      </c>
      <c r="DQ164" s="1799">
        <v>0</v>
      </c>
      <c r="DR164" s="1800">
        <v>0</v>
      </c>
      <c r="DS164" s="1799">
        <v>0</v>
      </c>
    </row>
    <row r="165" spans="1:123" ht="175.5">
      <c r="A165" s="1801" t="s">
        <v>5733</v>
      </c>
      <c r="B165" s="1788" t="s">
        <v>5734</v>
      </c>
      <c r="C165" s="426">
        <v>2022</v>
      </c>
      <c r="D165" s="417" t="s">
        <v>891</v>
      </c>
      <c r="E165" s="1802">
        <v>1398233</v>
      </c>
      <c r="F165" s="1803" t="s">
        <v>5734</v>
      </c>
      <c r="G165" s="419">
        <v>45138</v>
      </c>
      <c r="H165" s="1790" t="s">
        <v>1600</v>
      </c>
      <c r="I165" s="1791" t="s">
        <v>5734</v>
      </c>
      <c r="J165" s="1793" t="s">
        <v>5735</v>
      </c>
      <c r="K165" s="1788" t="s">
        <v>5734</v>
      </c>
      <c r="L165" s="1791" t="s">
        <v>5735</v>
      </c>
      <c r="M165" s="1793" t="s">
        <v>1600</v>
      </c>
      <c r="N165" s="1790" t="s">
        <v>112</v>
      </c>
      <c r="O165" s="1793" t="s">
        <v>114</v>
      </c>
      <c r="P165" s="420" t="s">
        <v>683</v>
      </c>
      <c r="Q165" s="421"/>
      <c r="R165" s="421" t="s">
        <v>717</v>
      </c>
      <c r="S165" s="422"/>
      <c r="T165" s="1794"/>
      <c r="U165" s="423">
        <v>117811.59780000003</v>
      </c>
      <c r="V165" s="424">
        <v>4254</v>
      </c>
      <c r="W165" s="424">
        <v>34</v>
      </c>
      <c r="X165" s="425">
        <v>1823</v>
      </c>
      <c r="Y165" s="426">
        <v>2022</v>
      </c>
      <c r="Z165" s="417">
        <v>2024</v>
      </c>
      <c r="AA165" s="1804">
        <v>2022</v>
      </c>
      <c r="AB165" s="427" t="s">
        <v>5863</v>
      </c>
      <c r="AC165" s="1793" t="s">
        <v>5736</v>
      </c>
      <c r="AD165" s="428"/>
      <c r="AE165" s="1791"/>
      <c r="AF165" s="1791"/>
      <c r="AG165" s="1793"/>
      <c r="AH165" s="428"/>
      <c r="AI165" s="1793"/>
      <c r="AJ165" s="429">
        <v>2021</v>
      </c>
      <c r="AK165" s="424">
        <v>192636.39882591239</v>
      </c>
      <c r="AL165" s="424">
        <v>238859.68969079075</v>
      </c>
      <c r="AM165" s="430"/>
      <c r="AN165" s="431"/>
      <c r="AO165" s="432">
        <v>2024</v>
      </c>
      <c r="AP165" s="425">
        <v>183559</v>
      </c>
      <c r="AQ165" s="433">
        <v>4.71</v>
      </c>
      <c r="AR165" s="425">
        <v>224221</v>
      </c>
      <c r="AS165" s="433">
        <v>6.12</v>
      </c>
      <c r="AT165" s="434"/>
      <c r="AU165" s="431"/>
      <c r="AV165" s="435"/>
      <c r="AW165" s="432">
        <v>2022</v>
      </c>
      <c r="AX165" s="425">
        <v>214531</v>
      </c>
      <c r="AY165" s="433">
        <v>-11.37</v>
      </c>
      <c r="AZ165" s="425">
        <v>190953</v>
      </c>
      <c r="BA165" s="433">
        <v>20.05</v>
      </c>
      <c r="BB165" s="434"/>
      <c r="BC165" s="431"/>
      <c r="BD165" s="435"/>
      <c r="BE165" s="432">
        <v>2023</v>
      </c>
      <c r="BF165" s="425"/>
      <c r="BG165" s="433"/>
      <c r="BH165" s="425"/>
      <c r="BI165" s="433"/>
      <c r="BJ165" s="434"/>
      <c r="BK165" s="431"/>
      <c r="BL165" s="435"/>
      <c r="BM165" s="432">
        <v>2024</v>
      </c>
      <c r="BN165" s="425"/>
      <c r="BO165" s="433"/>
      <c r="BP165" s="425"/>
      <c r="BQ165" s="433"/>
      <c r="BR165" s="434"/>
      <c r="BS165" s="431"/>
      <c r="BT165" s="435"/>
      <c r="BU165" s="1805" t="s">
        <v>719</v>
      </c>
      <c r="BV165" s="1806" t="s">
        <v>728</v>
      </c>
      <c r="BW165" s="1807" t="s">
        <v>688</v>
      </c>
      <c r="BX165" s="1808" t="s">
        <v>5737</v>
      </c>
      <c r="BY165" s="1809">
        <v>2021</v>
      </c>
      <c r="BZ165" s="424">
        <v>8321</v>
      </c>
      <c r="CA165" s="424">
        <v>8321</v>
      </c>
      <c r="CB165" s="430"/>
      <c r="CC165" s="431"/>
      <c r="CD165" s="432">
        <v>2024</v>
      </c>
      <c r="CE165" s="425">
        <v>8238</v>
      </c>
      <c r="CF165" s="433">
        <v>0.99</v>
      </c>
      <c r="CG165" s="425">
        <v>8238</v>
      </c>
      <c r="CH165" s="433">
        <v>0.99</v>
      </c>
      <c r="CI165" s="434"/>
      <c r="CJ165" s="431"/>
      <c r="CK165" s="435"/>
      <c r="CL165" s="432">
        <v>2022</v>
      </c>
      <c r="CM165" s="425">
        <v>8604.4393</v>
      </c>
      <c r="CN165" s="433">
        <v>-3.41</v>
      </c>
      <c r="CO165" s="425">
        <v>8604.4393</v>
      </c>
      <c r="CP165" s="433">
        <v>-3.41</v>
      </c>
      <c r="CQ165" s="434"/>
      <c r="CR165" s="431"/>
      <c r="CS165" s="435"/>
      <c r="CT165" s="432">
        <v>2023</v>
      </c>
      <c r="CU165" s="425"/>
      <c r="CV165" s="433"/>
      <c r="CW165" s="425"/>
      <c r="CX165" s="433"/>
      <c r="CY165" s="434"/>
      <c r="CZ165" s="431"/>
      <c r="DA165" s="435"/>
      <c r="DB165" s="432">
        <v>2024</v>
      </c>
      <c r="DC165" s="425"/>
      <c r="DD165" s="433"/>
      <c r="DE165" s="425"/>
      <c r="DF165" s="433"/>
      <c r="DG165" s="434"/>
      <c r="DH165" s="431"/>
      <c r="DI165" s="435"/>
      <c r="DJ165" s="1805" t="s">
        <v>676</v>
      </c>
      <c r="DK165" s="1806" t="s">
        <v>728</v>
      </c>
      <c r="DL165" s="1807" t="s">
        <v>678</v>
      </c>
      <c r="DM165" s="1808" t="s">
        <v>5738</v>
      </c>
      <c r="DN165" s="1810">
        <v>5</v>
      </c>
      <c r="DO165" s="1799">
        <v>41</v>
      </c>
      <c r="DP165" s="1800">
        <v>3</v>
      </c>
      <c r="DQ165" s="1799">
        <v>19</v>
      </c>
      <c r="DR165" s="1800">
        <v>1</v>
      </c>
      <c r="DS165" s="1799">
        <v>23</v>
      </c>
    </row>
    <row r="166" spans="1:123" ht="81">
      <c r="A166" s="1801" t="s">
        <v>1789</v>
      </c>
      <c r="B166" s="1788" t="s">
        <v>1790</v>
      </c>
      <c r="C166" s="426">
        <v>2022</v>
      </c>
      <c r="D166" s="417" t="s">
        <v>681</v>
      </c>
      <c r="E166" s="1802">
        <v>1030234</v>
      </c>
      <c r="F166" s="1803" t="s">
        <v>1790</v>
      </c>
      <c r="G166" s="419">
        <v>45132</v>
      </c>
      <c r="H166" s="1790" t="s">
        <v>1791</v>
      </c>
      <c r="I166" s="1791" t="s">
        <v>1790</v>
      </c>
      <c r="J166" s="1793" t="s">
        <v>1792</v>
      </c>
      <c r="K166" s="1788" t="s">
        <v>1790</v>
      </c>
      <c r="L166" s="1791" t="s">
        <v>1792</v>
      </c>
      <c r="M166" s="1793" t="s">
        <v>1791</v>
      </c>
      <c r="N166" s="1790" t="s">
        <v>12</v>
      </c>
      <c r="O166" s="1793" t="s">
        <v>34</v>
      </c>
      <c r="P166" s="420" t="s">
        <v>683</v>
      </c>
      <c r="Q166" s="421"/>
      <c r="R166" s="421"/>
      <c r="S166" s="422"/>
      <c r="T166" s="1794"/>
      <c r="U166" s="423">
        <v>1438.221</v>
      </c>
      <c r="V166" s="424">
        <v>2</v>
      </c>
      <c r="W166" s="424">
        <v>2</v>
      </c>
      <c r="X166" s="425"/>
      <c r="Y166" s="426">
        <v>2022</v>
      </c>
      <c r="Z166" s="417">
        <v>2024</v>
      </c>
      <c r="AA166" s="1804">
        <v>2022</v>
      </c>
      <c r="AB166" s="427"/>
      <c r="AC166" s="1793"/>
      <c r="AD166" s="428" t="s">
        <v>5863</v>
      </c>
      <c r="AE166" s="1791" t="s">
        <v>1793</v>
      </c>
      <c r="AF166" s="1791" t="s">
        <v>1791</v>
      </c>
      <c r="AG166" s="1793" t="s">
        <v>1794</v>
      </c>
      <c r="AH166" s="428"/>
      <c r="AI166" s="1793"/>
      <c r="AJ166" s="429">
        <v>2021</v>
      </c>
      <c r="AK166" s="424">
        <v>3873</v>
      </c>
      <c r="AL166" s="424">
        <v>3839</v>
      </c>
      <c r="AM166" s="430">
        <v>67.290000000000006</v>
      </c>
      <c r="AN166" s="431" t="s">
        <v>727</v>
      </c>
      <c r="AO166" s="432">
        <v>2024</v>
      </c>
      <c r="AP166" s="425">
        <v>3757</v>
      </c>
      <c r="AQ166" s="433">
        <v>2.99</v>
      </c>
      <c r="AR166" s="425">
        <v>3724</v>
      </c>
      <c r="AS166" s="433">
        <v>2.99</v>
      </c>
      <c r="AT166" s="434">
        <v>65.27</v>
      </c>
      <c r="AU166" s="431" t="s">
        <v>727</v>
      </c>
      <c r="AV166" s="435">
        <v>3</v>
      </c>
      <c r="AW166" s="432">
        <v>2022</v>
      </c>
      <c r="AX166" s="425">
        <v>2602</v>
      </c>
      <c r="AY166" s="433">
        <v>32.81</v>
      </c>
      <c r="AZ166" s="425">
        <v>2602</v>
      </c>
      <c r="BA166" s="433">
        <v>32.22</v>
      </c>
      <c r="BB166" s="434">
        <v>54.805484761042187</v>
      </c>
      <c r="BC166" s="431" t="s">
        <v>727</v>
      </c>
      <c r="BD166" s="435">
        <v>18.55</v>
      </c>
      <c r="BE166" s="432">
        <v>2023</v>
      </c>
      <c r="BF166" s="425"/>
      <c r="BG166" s="433"/>
      <c r="BH166" s="425"/>
      <c r="BI166" s="433"/>
      <c r="BJ166" s="434"/>
      <c r="BK166" s="431"/>
      <c r="BL166" s="435"/>
      <c r="BM166" s="432">
        <v>2024</v>
      </c>
      <c r="BN166" s="425"/>
      <c r="BO166" s="433"/>
      <c r="BP166" s="425"/>
      <c r="BQ166" s="433"/>
      <c r="BR166" s="434"/>
      <c r="BS166" s="431"/>
      <c r="BT166" s="435"/>
      <c r="BU166" s="1805" t="s">
        <v>687</v>
      </c>
      <c r="BV166" s="1806" t="s">
        <v>728</v>
      </c>
      <c r="BW166" s="1807" t="s">
        <v>678</v>
      </c>
      <c r="BX166" s="1808" t="s">
        <v>5027</v>
      </c>
      <c r="BY166" s="1809">
        <v>2021</v>
      </c>
      <c r="BZ166" s="424"/>
      <c r="CA166" s="424"/>
      <c r="CB166" s="430"/>
      <c r="CC166" s="431"/>
      <c r="CD166" s="432">
        <v>2024</v>
      </c>
      <c r="CE166" s="425"/>
      <c r="CF166" s="433"/>
      <c r="CG166" s="425"/>
      <c r="CH166" s="433"/>
      <c r="CI166" s="434"/>
      <c r="CJ166" s="431"/>
      <c r="CK166" s="435"/>
      <c r="CL166" s="432">
        <v>2022</v>
      </c>
      <c r="CM166" s="425">
        <v>0</v>
      </c>
      <c r="CN166" s="433"/>
      <c r="CO166" s="425">
        <v>0</v>
      </c>
      <c r="CP166" s="433"/>
      <c r="CQ166" s="434"/>
      <c r="CR166" s="431"/>
      <c r="CS166" s="435">
        <v>0</v>
      </c>
      <c r="CT166" s="432">
        <v>2023</v>
      </c>
      <c r="CU166" s="425"/>
      <c r="CV166" s="433"/>
      <c r="CW166" s="425"/>
      <c r="CX166" s="433"/>
      <c r="CY166" s="434"/>
      <c r="CZ166" s="431"/>
      <c r="DA166" s="435"/>
      <c r="DB166" s="432">
        <v>2024</v>
      </c>
      <c r="DC166" s="425"/>
      <c r="DD166" s="433"/>
      <c r="DE166" s="425"/>
      <c r="DF166" s="433"/>
      <c r="DG166" s="434"/>
      <c r="DH166" s="431"/>
      <c r="DI166" s="435"/>
      <c r="DJ166" s="1805"/>
      <c r="DK166" s="1806"/>
      <c r="DL166" s="1807"/>
      <c r="DM166" s="1808"/>
      <c r="DN166" s="1810">
        <v>0</v>
      </c>
      <c r="DO166" s="1799">
        <v>0</v>
      </c>
      <c r="DP166" s="1800">
        <v>0</v>
      </c>
      <c r="DQ166" s="1799">
        <v>0</v>
      </c>
      <c r="DR166" s="1800">
        <v>0</v>
      </c>
      <c r="DS166" s="1799">
        <v>0</v>
      </c>
    </row>
    <row r="167" spans="1:123" ht="94.5">
      <c r="A167" s="1801" t="s">
        <v>1795</v>
      </c>
      <c r="B167" s="1788" t="s">
        <v>1796</v>
      </c>
      <c r="C167" s="426">
        <v>2022</v>
      </c>
      <c r="D167" s="417" t="s">
        <v>681</v>
      </c>
      <c r="E167" s="1802">
        <v>1071235</v>
      </c>
      <c r="F167" s="1803" t="s">
        <v>1796</v>
      </c>
      <c r="G167" s="419">
        <v>45138</v>
      </c>
      <c r="H167" s="1790" t="s">
        <v>1797</v>
      </c>
      <c r="I167" s="1791" t="s">
        <v>1796</v>
      </c>
      <c r="J167" s="1793" t="s">
        <v>1798</v>
      </c>
      <c r="K167" s="1788" t="s">
        <v>1796</v>
      </c>
      <c r="L167" s="1791" t="s">
        <v>1799</v>
      </c>
      <c r="M167" s="1793" t="s">
        <v>1800</v>
      </c>
      <c r="N167" s="1790" t="s">
        <v>81</v>
      </c>
      <c r="O167" s="1793" t="s">
        <v>82</v>
      </c>
      <c r="P167" s="420" t="s">
        <v>683</v>
      </c>
      <c r="Q167" s="421"/>
      <c r="R167" s="421"/>
      <c r="S167" s="422"/>
      <c r="T167" s="1794"/>
      <c r="U167" s="423">
        <v>8660.492400000001</v>
      </c>
      <c r="V167" s="424">
        <v>3</v>
      </c>
      <c r="W167" s="424">
        <v>1</v>
      </c>
      <c r="X167" s="425"/>
      <c r="Y167" s="426">
        <v>2022</v>
      </c>
      <c r="Z167" s="417">
        <v>2024</v>
      </c>
      <c r="AA167" s="1804">
        <v>2022</v>
      </c>
      <c r="AB167" s="427"/>
      <c r="AC167" s="1793"/>
      <c r="AD167" s="428" t="s">
        <v>5863</v>
      </c>
      <c r="AE167" s="1791" t="s">
        <v>1801</v>
      </c>
      <c r="AF167" s="1791" t="s">
        <v>1802</v>
      </c>
      <c r="AG167" s="1793" t="s">
        <v>1155</v>
      </c>
      <c r="AH167" s="428"/>
      <c r="AI167" s="1793"/>
      <c r="AJ167" s="429">
        <v>2021</v>
      </c>
      <c r="AK167" s="424">
        <v>15593</v>
      </c>
      <c r="AL167" s="424">
        <v>15490</v>
      </c>
      <c r="AM167" s="430"/>
      <c r="AN167" s="431"/>
      <c r="AO167" s="432">
        <v>2024</v>
      </c>
      <c r="AP167" s="425">
        <v>15546.221</v>
      </c>
      <c r="AQ167" s="433">
        <v>0.3</v>
      </c>
      <c r="AR167" s="425">
        <v>15443.53</v>
      </c>
      <c r="AS167" s="433">
        <v>0.28999999999999998</v>
      </c>
      <c r="AT167" s="434"/>
      <c r="AU167" s="431"/>
      <c r="AV167" s="435"/>
      <c r="AW167" s="432">
        <v>2022</v>
      </c>
      <c r="AX167" s="425">
        <v>16019</v>
      </c>
      <c r="AY167" s="433">
        <v>-2.74</v>
      </c>
      <c r="AZ167" s="425">
        <v>15998</v>
      </c>
      <c r="BA167" s="433">
        <v>-3.28</v>
      </c>
      <c r="BB167" s="434"/>
      <c r="BC167" s="431"/>
      <c r="BD167" s="435"/>
      <c r="BE167" s="432">
        <v>2023</v>
      </c>
      <c r="BF167" s="425"/>
      <c r="BG167" s="433"/>
      <c r="BH167" s="425"/>
      <c r="BI167" s="433"/>
      <c r="BJ167" s="434"/>
      <c r="BK167" s="431"/>
      <c r="BL167" s="435"/>
      <c r="BM167" s="432">
        <v>2024</v>
      </c>
      <c r="BN167" s="425"/>
      <c r="BO167" s="433"/>
      <c r="BP167" s="425"/>
      <c r="BQ167" s="433"/>
      <c r="BR167" s="434"/>
      <c r="BS167" s="431"/>
      <c r="BT167" s="435"/>
      <c r="BU167" s="1805" t="s">
        <v>719</v>
      </c>
      <c r="BV167" s="1806" t="s">
        <v>728</v>
      </c>
      <c r="BW167" s="1807" t="s">
        <v>688</v>
      </c>
      <c r="BX167" s="1808" t="s">
        <v>5028</v>
      </c>
      <c r="BY167" s="1809">
        <v>2021</v>
      </c>
      <c r="BZ167" s="424"/>
      <c r="CA167" s="424"/>
      <c r="CB167" s="430"/>
      <c r="CC167" s="431"/>
      <c r="CD167" s="432">
        <v>2024</v>
      </c>
      <c r="CE167" s="425"/>
      <c r="CF167" s="433"/>
      <c r="CG167" s="425"/>
      <c r="CH167" s="433"/>
      <c r="CI167" s="434"/>
      <c r="CJ167" s="431"/>
      <c r="CK167" s="435"/>
      <c r="CL167" s="432">
        <v>2022</v>
      </c>
      <c r="CM167" s="425">
        <v>0</v>
      </c>
      <c r="CN167" s="433"/>
      <c r="CO167" s="425">
        <v>0</v>
      </c>
      <c r="CP167" s="433"/>
      <c r="CQ167" s="434"/>
      <c r="CR167" s="431"/>
      <c r="CS167" s="435"/>
      <c r="CT167" s="432">
        <v>2023</v>
      </c>
      <c r="CU167" s="425"/>
      <c r="CV167" s="433"/>
      <c r="CW167" s="425"/>
      <c r="CX167" s="433"/>
      <c r="CY167" s="434"/>
      <c r="CZ167" s="431"/>
      <c r="DA167" s="435"/>
      <c r="DB167" s="432">
        <v>2024</v>
      </c>
      <c r="DC167" s="425"/>
      <c r="DD167" s="433"/>
      <c r="DE167" s="425"/>
      <c r="DF167" s="433"/>
      <c r="DG167" s="434"/>
      <c r="DH167" s="431"/>
      <c r="DI167" s="435"/>
      <c r="DJ167" s="1805"/>
      <c r="DK167" s="1806"/>
      <c r="DL167" s="1807"/>
      <c r="DM167" s="1808"/>
      <c r="DN167" s="1810">
        <v>0</v>
      </c>
      <c r="DO167" s="1799">
        <v>0</v>
      </c>
      <c r="DP167" s="1800">
        <v>0</v>
      </c>
      <c r="DQ167" s="1799">
        <v>0</v>
      </c>
      <c r="DR167" s="1800">
        <v>0</v>
      </c>
      <c r="DS167" s="1799">
        <v>0</v>
      </c>
    </row>
    <row r="168" spans="1:123" ht="121.5">
      <c r="A168" s="1801" t="s">
        <v>1803</v>
      </c>
      <c r="B168" s="1788" t="s">
        <v>1804</v>
      </c>
      <c r="C168" s="426">
        <v>2022</v>
      </c>
      <c r="D168" s="417" t="s">
        <v>714</v>
      </c>
      <c r="E168" s="1802">
        <v>3008236</v>
      </c>
      <c r="F168" s="1803" t="s">
        <v>1804</v>
      </c>
      <c r="G168" s="419">
        <v>45126</v>
      </c>
      <c r="H168" s="1790" t="s">
        <v>1805</v>
      </c>
      <c r="I168" s="1791" t="s">
        <v>1806</v>
      </c>
      <c r="J168" s="1793" t="s">
        <v>5029</v>
      </c>
      <c r="K168" s="1788" t="s">
        <v>1804</v>
      </c>
      <c r="L168" s="1791" t="s">
        <v>1807</v>
      </c>
      <c r="M168" s="1793" t="s">
        <v>1805</v>
      </c>
      <c r="N168" s="1790" t="s">
        <v>8</v>
      </c>
      <c r="O168" s="1793" t="s">
        <v>11</v>
      </c>
      <c r="P168" s="420"/>
      <c r="Q168" s="421"/>
      <c r="R168" s="421" t="s">
        <v>717</v>
      </c>
      <c r="S168" s="422"/>
      <c r="T168" s="1794"/>
      <c r="U168" s="423"/>
      <c r="V168" s="424"/>
      <c r="W168" s="424"/>
      <c r="X168" s="425">
        <v>132</v>
      </c>
      <c r="Y168" s="426">
        <v>2022</v>
      </c>
      <c r="Z168" s="417">
        <v>2024</v>
      </c>
      <c r="AA168" s="1804">
        <v>2022</v>
      </c>
      <c r="AB168" s="427"/>
      <c r="AC168" s="1793"/>
      <c r="AD168" s="428" t="s">
        <v>5863</v>
      </c>
      <c r="AE168" s="1791" t="s">
        <v>1808</v>
      </c>
      <c r="AF168" s="1791" t="s">
        <v>1809</v>
      </c>
      <c r="AG168" s="1793" t="s">
        <v>1810</v>
      </c>
      <c r="AH168" s="428"/>
      <c r="AI168" s="1793"/>
      <c r="AJ168" s="429">
        <v>2021</v>
      </c>
      <c r="AK168" s="424">
        <v>0</v>
      </c>
      <c r="AL168" s="424"/>
      <c r="AM168" s="430"/>
      <c r="AN168" s="431"/>
      <c r="AO168" s="432">
        <v>2024</v>
      </c>
      <c r="AP168" s="425">
        <v>0</v>
      </c>
      <c r="AQ168" s="433"/>
      <c r="AR168" s="425">
        <v>0</v>
      </c>
      <c r="AS168" s="433"/>
      <c r="AT168" s="434"/>
      <c r="AU168" s="431"/>
      <c r="AV168" s="435"/>
      <c r="AW168" s="432">
        <v>2022</v>
      </c>
      <c r="AX168" s="425"/>
      <c r="AY168" s="433"/>
      <c r="AZ168" s="425"/>
      <c r="BA168" s="433"/>
      <c r="BB168" s="434"/>
      <c r="BC168" s="431"/>
      <c r="BD168" s="435"/>
      <c r="BE168" s="432">
        <v>2023</v>
      </c>
      <c r="BF168" s="425"/>
      <c r="BG168" s="433"/>
      <c r="BH168" s="425"/>
      <c r="BI168" s="433"/>
      <c r="BJ168" s="434"/>
      <c r="BK168" s="431"/>
      <c r="BL168" s="435"/>
      <c r="BM168" s="432">
        <v>2024</v>
      </c>
      <c r="BN168" s="425"/>
      <c r="BO168" s="433"/>
      <c r="BP168" s="425"/>
      <c r="BQ168" s="433"/>
      <c r="BR168" s="434"/>
      <c r="BS168" s="431"/>
      <c r="BT168" s="435"/>
      <c r="BU168" s="1805"/>
      <c r="BV168" s="1806"/>
      <c r="BW168" s="1807"/>
      <c r="BX168" s="1808"/>
      <c r="BY168" s="1809">
        <v>2021</v>
      </c>
      <c r="BZ168" s="424">
        <v>211</v>
      </c>
      <c r="CA168" s="424">
        <v>211</v>
      </c>
      <c r="CB168" s="430">
        <v>1.5</v>
      </c>
      <c r="CC168" s="431" t="s">
        <v>1128</v>
      </c>
      <c r="CD168" s="432">
        <v>2024</v>
      </c>
      <c r="CE168" s="425">
        <v>208.8</v>
      </c>
      <c r="CF168" s="433">
        <v>1.04</v>
      </c>
      <c r="CG168" s="425">
        <v>208.8</v>
      </c>
      <c r="CH168" s="433">
        <v>1.04</v>
      </c>
      <c r="CI168" s="434">
        <v>1.4850000000000001</v>
      </c>
      <c r="CJ168" s="431" t="s">
        <v>1128</v>
      </c>
      <c r="CK168" s="435">
        <v>0.99</v>
      </c>
      <c r="CL168" s="432">
        <v>2022</v>
      </c>
      <c r="CM168" s="425">
        <v>199.61268000000001</v>
      </c>
      <c r="CN168" s="433">
        <v>5.39</v>
      </c>
      <c r="CO168" s="425">
        <v>199.61268000000001</v>
      </c>
      <c r="CP168" s="433">
        <v>5.39</v>
      </c>
      <c r="CQ168" s="434">
        <v>1.3487343243243244</v>
      </c>
      <c r="CR168" s="431" t="s">
        <v>1128</v>
      </c>
      <c r="CS168" s="435">
        <v>10.08</v>
      </c>
      <c r="CT168" s="432">
        <v>2023</v>
      </c>
      <c r="CU168" s="425"/>
      <c r="CV168" s="433"/>
      <c r="CW168" s="425"/>
      <c r="CX168" s="433"/>
      <c r="CY168" s="434"/>
      <c r="CZ168" s="431"/>
      <c r="DA168" s="435"/>
      <c r="DB168" s="432">
        <v>2024</v>
      </c>
      <c r="DC168" s="425"/>
      <c r="DD168" s="433"/>
      <c r="DE168" s="425"/>
      <c r="DF168" s="433"/>
      <c r="DG168" s="434"/>
      <c r="DH168" s="431"/>
      <c r="DI168" s="435"/>
      <c r="DJ168" s="1805" t="s">
        <v>687</v>
      </c>
      <c r="DK168" s="1806" t="s">
        <v>728</v>
      </c>
      <c r="DL168" s="1807" t="s">
        <v>688</v>
      </c>
      <c r="DM168" s="1808"/>
      <c r="DN168" s="1810">
        <v>5</v>
      </c>
      <c r="DO168" s="1799">
        <v>5</v>
      </c>
      <c r="DP168" s="1800">
        <v>0</v>
      </c>
      <c r="DQ168" s="1799">
        <v>0</v>
      </c>
      <c r="DR168" s="1800">
        <v>0</v>
      </c>
      <c r="DS168" s="1799">
        <v>0</v>
      </c>
    </row>
    <row r="169" spans="1:123" ht="94.5">
      <c r="A169" s="1801" t="s">
        <v>1811</v>
      </c>
      <c r="B169" s="1788" t="s">
        <v>1812</v>
      </c>
      <c r="C169" s="426">
        <v>2022</v>
      </c>
      <c r="D169" s="417" t="s">
        <v>681</v>
      </c>
      <c r="E169" s="1802">
        <v>1098237</v>
      </c>
      <c r="F169" s="1803" t="s">
        <v>1812</v>
      </c>
      <c r="G169" s="419">
        <v>45138</v>
      </c>
      <c r="H169" s="1790" t="s">
        <v>1813</v>
      </c>
      <c r="I169" s="1791" t="s">
        <v>1812</v>
      </c>
      <c r="J169" s="1793" t="s">
        <v>1814</v>
      </c>
      <c r="K169" s="1788" t="s">
        <v>1812</v>
      </c>
      <c r="L169" s="1791" t="s">
        <v>1814</v>
      </c>
      <c r="M169" s="1793" t="s">
        <v>1813</v>
      </c>
      <c r="N169" s="1790" t="s">
        <v>112</v>
      </c>
      <c r="O169" s="1793" t="s">
        <v>114</v>
      </c>
      <c r="P169" s="420" t="s">
        <v>683</v>
      </c>
      <c r="Q169" s="421"/>
      <c r="R169" s="421"/>
      <c r="S169" s="422"/>
      <c r="T169" s="1794"/>
      <c r="U169" s="423">
        <v>7426.7622000000001</v>
      </c>
      <c r="V169" s="424">
        <v>45</v>
      </c>
      <c r="W169" s="424">
        <v>3</v>
      </c>
      <c r="X169" s="425"/>
      <c r="Y169" s="426">
        <v>2022</v>
      </c>
      <c r="Z169" s="417">
        <v>2024</v>
      </c>
      <c r="AA169" s="1804">
        <v>2022</v>
      </c>
      <c r="AB169" s="427"/>
      <c r="AC169" s="1793"/>
      <c r="AD169" s="428" t="s">
        <v>5863</v>
      </c>
      <c r="AE169" s="1791" t="s">
        <v>5030</v>
      </c>
      <c r="AF169" s="1791" t="s">
        <v>1813</v>
      </c>
      <c r="AG169" s="1793" t="s">
        <v>1815</v>
      </c>
      <c r="AH169" s="428"/>
      <c r="AI169" s="1793"/>
      <c r="AJ169" s="429">
        <v>2021</v>
      </c>
      <c r="AK169" s="424">
        <v>14567</v>
      </c>
      <c r="AL169" s="424">
        <v>14894</v>
      </c>
      <c r="AM169" s="430">
        <v>37.369999999999997</v>
      </c>
      <c r="AN169" s="431" t="s">
        <v>727</v>
      </c>
      <c r="AO169" s="432">
        <v>2024</v>
      </c>
      <c r="AP169" s="425">
        <v>14137</v>
      </c>
      <c r="AQ169" s="433">
        <v>2.95</v>
      </c>
      <c r="AR169" s="425">
        <v>14440</v>
      </c>
      <c r="AS169" s="433">
        <v>3.04</v>
      </c>
      <c r="AT169" s="434">
        <v>36.26</v>
      </c>
      <c r="AU169" s="431" t="s">
        <v>727</v>
      </c>
      <c r="AV169" s="435">
        <v>2.97</v>
      </c>
      <c r="AW169" s="432">
        <v>2022</v>
      </c>
      <c r="AX169" s="425">
        <v>10427</v>
      </c>
      <c r="AY169" s="433">
        <v>28.42</v>
      </c>
      <c r="AZ169" s="425">
        <v>10811</v>
      </c>
      <c r="BA169" s="433">
        <v>27.41</v>
      </c>
      <c r="BB169" s="434">
        <v>28.229758340056641</v>
      </c>
      <c r="BC169" s="431" t="s">
        <v>727</v>
      </c>
      <c r="BD169" s="435">
        <v>24.45</v>
      </c>
      <c r="BE169" s="432">
        <v>2023</v>
      </c>
      <c r="BF169" s="425"/>
      <c r="BG169" s="433"/>
      <c r="BH169" s="425"/>
      <c r="BI169" s="433"/>
      <c r="BJ169" s="434"/>
      <c r="BK169" s="431"/>
      <c r="BL169" s="435"/>
      <c r="BM169" s="432">
        <v>2024</v>
      </c>
      <c r="BN169" s="425"/>
      <c r="BO169" s="433"/>
      <c r="BP169" s="425"/>
      <c r="BQ169" s="433"/>
      <c r="BR169" s="434"/>
      <c r="BS169" s="431"/>
      <c r="BT169" s="435"/>
      <c r="BU169" s="1805" t="s">
        <v>687</v>
      </c>
      <c r="BV169" s="1806" t="s">
        <v>728</v>
      </c>
      <c r="BW169" s="1807" t="s">
        <v>688</v>
      </c>
      <c r="BX169" s="1808"/>
      <c r="BY169" s="1809">
        <v>2021</v>
      </c>
      <c r="BZ169" s="424"/>
      <c r="CA169" s="424"/>
      <c r="CB169" s="430"/>
      <c r="CC169" s="431"/>
      <c r="CD169" s="432">
        <v>2024</v>
      </c>
      <c r="CE169" s="425"/>
      <c r="CF169" s="433"/>
      <c r="CG169" s="425"/>
      <c r="CH169" s="433"/>
      <c r="CI169" s="434"/>
      <c r="CJ169" s="431"/>
      <c r="CK169" s="435"/>
      <c r="CL169" s="432">
        <v>2022</v>
      </c>
      <c r="CM169" s="425">
        <v>0</v>
      </c>
      <c r="CN169" s="433"/>
      <c r="CO169" s="425">
        <v>0</v>
      </c>
      <c r="CP169" s="433"/>
      <c r="CQ169" s="434"/>
      <c r="CR169" s="431"/>
      <c r="CS169" s="435"/>
      <c r="CT169" s="432">
        <v>2023</v>
      </c>
      <c r="CU169" s="425"/>
      <c r="CV169" s="433"/>
      <c r="CW169" s="425"/>
      <c r="CX169" s="433"/>
      <c r="CY169" s="434"/>
      <c r="CZ169" s="431"/>
      <c r="DA169" s="435"/>
      <c r="DB169" s="432">
        <v>2024</v>
      </c>
      <c r="DC169" s="425"/>
      <c r="DD169" s="433"/>
      <c r="DE169" s="425"/>
      <c r="DF169" s="433"/>
      <c r="DG169" s="434"/>
      <c r="DH169" s="431"/>
      <c r="DI169" s="435"/>
      <c r="DJ169" s="1805"/>
      <c r="DK169" s="1806"/>
      <c r="DL169" s="1807"/>
      <c r="DM169" s="1808"/>
      <c r="DN169" s="1810">
        <v>1</v>
      </c>
      <c r="DO169" s="1799">
        <v>2</v>
      </c>
      <c r="DP169" s="1800">
        <v>1</v>
      </c>
      <c r="DQ169" s="1799">
        <v>1</v>
      </c>
      <c r="DR169" s="1800">
        <v>0</v>
      </c>
      <c r="DS169" s="1799">
        <v>3</v>
      </c>
    </row>
    <row r="170" spans="1:123" ht="67.5">
      <c r="A170" s="1801" t="s">
        <v>5739</v>
      </c>
      <c r="B170" s="1788" t="s">
        <v>5740</v>
      </c>
      <c r="C170" s="426">
        <v>2022</v>
      </c>
      <c r="D170" s="417" t="s">
        <v>681</v>
      </c>
      <c r="E170" s="1802">
        <v>1069239</v>
      </c>
      <c r="F170" s="1803" t="s">
        <v>5740</v>
      </c>
      <c r="G170" s="419">
        <v>45138</v>
      </c>
      <c r="H170" s="1790" t="s">
        <v>5741</v>
      </c>
      <c r="I170" s="1791" t="s">
        <v>5740</v>
      </c>
      <c r="J170" s="1793" t="s">
        <v>5742</v>
      </c>
      <c r="K170" s="1788" t="s">
        <v>5740</v>
      </c>
      <c r="L170" s="1791" t="s">
        <v>5742</v>
      </c>
      <c r="M170" s="1793" t="s">
        <v>5743</v>
      </c>
      <c r="N170" s="1790" t="s">
        <v>77</v>
      </c>
      <c r="O170" s="1793" t="s">
        <v>79</v>
      </c>
      <c r="P170" s="420" t="s">
        <v>683</v>
      </c>
      <c r="Q170" s="421"/>
      <c r="R170" s="421"/>
      <c r="S170" s="422"/>
      <c r="T170" s="1794"/>
      <c r="U170" s="423">
        <v>1866.0881999999999</v>
      </c>
      <c r="V170" s="424">
        <v>1</v>
      </c>
      <c r="W170" s="424">
        <v>1</v>
      </c>
      <c r="X170" s="425"/>
      <c r="Y170" s="426">
        <v>2022</v>
      </c>
      <c r="Z170" s="417">
        <v>2024</v>
      </c>
      <c r="AA170" s="1804">
        <v>2022</v>
      </c>
      <c r="AB170" s="427"/>
      <c r="AC170" s="1793"/>
      <c r="AD170" s="428" t="s">
        <v>5863</v>
      </c>
      <c r="AE170" s="1791" t="s">
        <v>5744</v>
      </c>
      <c r="AF170" s="1791" t="s">
        <v>5745</v>
      </c>
      <c r="AG170" s="1793" t="s">
        <v>5746</v>
      </c>
      <c r="AH170" s="428"/>
      <c r="AI170" s="1793"/>
      <c r="AJ170" s="429">
        <v>2021</v>
      </c>
      <c r="AK170" s="424">
        <v>3314</v>
      </c>
      <c r="AL170" s="424">
        <v>0</v>
      </c>
      <c r="AM170" s="430"/>
      <c r="AN170" s="431"/>
      <c r="AO170" s="432">
        <v>2024</v>
      </c>
      <c r="AP170" s="425">
        <v>3215</v>
      </c>
      <c r="AQ170" s="433">
        <v>2.98</v>
      </c>
      <c r="AR170" s="425">
        <v>0</v>
      </c>
      <c r="AS170" s="433"/>
      <c r="AT170" s="434"/>
      <c r="AU170" s="431"/>
      <c r="AV170" s="435"/>
      <c r="AW170" s="432">
        <v>2022</v>
      </c>
      <c r="AX170" s="425">
        <v>3352</v>
      </c>
      <c r="AY170" s="433">
        <v>-1.1499999999999999</v>
      </c>
      <c r="AZ170" s="425">
        <v>447</v>
      </c>
      <c r="BA170" s="433"/>
      <c r="BB170" s="434"/>
      <c r="BC170" s="431"/>
      <c r="BD170" s="435"/>
      <c r="BE170" s="432">
        <v>2023</v>
      </c>
      <c r="BF170" s="425"/>
      <c r="BG170" s="433"/>
      <c r="BH170" s="425"/>
      <c r="BI170" s="433"/>
      <c r="BJ170" s="434"/>
      <c r="BK170" s="431"/>
      <c r="BL170" s="435"/>
      <c r="BM170" s="432">
        <v>2024</v>
      </c>
      <c r="BN170" s="425"/>
      <c r="BO170" s="433"/>
      <c r="BP170" s="425"/>
      <c r="BQ170" s="433"/>
      <c r="BR170" s="434"/>
      <c r="BS170" s="431"/>
      <c r="BT170" s="435"/>
      <c r="BU170" s="1805" t="s">
        <v>719</v>
      </c>
      <c r="BV170" s="1806" t="s">
        <v>728</v>
      </c>
      <c r="BW170" s="1807" t="s">
        <v>688</v>
      </c>
      <c r="BX170" s="1808" t="s">
        <v>5747</v>
      </c>
      <c r="BY170" s="1809">
        <v>2021</v>
      </c>
      <c r="BZ170" s="424"/>
      <c r="CA170" s="424"/>
      <c r="CB170" s="430"/>
      <c r="CC170" s="431"/>
      <c r="CD170" s="432">
        <v>2024</v>
      </c>
      <c r="CE170" s="425"/>
      <c r="CF170" s="433"/>
      <c r="CG170" s="425"/>
      <c r="CH170" s="433"/>
      <c r="CI170" s="434"/>
      <c r="CJ170" s="431"/>
      <c r="CK170" s="435"/>
      <c r="CL170" s="432">
        <v>2022</v>
      </c>
      <c r="CM170" s="425">
        <v>0</v>
      </c>
      <c r="CN170" s="433"/>
      <c r="CO170" s="425">
        <v>-2898</v>
      </c>
      <c r="CP170" s="433"/>
      <c r="CQ170" s="434"/>
      <c r="CR170" s="431"/>
      <c r="CS170" s="435">
        <v>0</v>
      </c>
      <c r="CT170" s="432">
        <v>2023</v>
      </c>
      <c r="CU170" s="425"/>
      <c r="CV170" s="433"/>
      <c r="CW170" s="425"/>
      <c r="CX170" s="433"/>
      <c r="CY170" s="434"/>
      <c r="CZ170" s="431"/>
      <c r="DA170" s="435"/>
      <c r="DB170" s="432">
        <v>2024</v>
      </c>
      <c r="DC170" s="425"/>
      <c r="DD170" s="433"/>
      <c r="DE170" s="425"/>
      <c r="DF170" s="433"/>
      <c r="DG170" s="434"/>
      <c r="DH170" s="431"/>
      <c r="DI170" s="435"/>
      <c r="DJ170" s="1805"/>
      <c r="DK170" s="1806"/>
      <c r="DL170" s="1807"/>
      <c r="DM170" s="1808"/>
      <c r="DN170" s="1810">
        <v>0</v>
      </c>
      <c r="DO170" s="1799">
        <v>1</v>
      </c>
      <c r="DP170" s="1800">
        <v>0</v>
      </c>
      <c r="DQ170" s="1799">
        <v>0</v>
      </c>
      <c r="DR170" s="1800">
        <v>0</v>
      </c>
      <c r="DS170" s="1799">
        <v>0</v>
      </c>
    </row>
    <row r="171" spans="1:123" ht="94.5">
      <c r="A171" s="1801" t="s">
        <v>1817</v>
      </c>
      <c r="B171" s="1788" t="s">
        <v>1818</v>
      </c>
      <c r="C171" s="426">
        <v>2022</v>
      </c>
      <c r="D171" s="417" t="s">
        <v>681</v>
      </c>
      <c r="E171" s="1802">
        <v>1056240</v>
      </c>
      <c r="F171" s="1803" t="s">
        <v>1818</v>
      </c>
      <c r="G171" s="419">
        <v>45138</v>
      </c>
      <c r="H171" s="1790" t="s">
        <v>1819</v>
      </c>
      <c r="I171" s="1791" t="s">
        <v>1818</v>
      </c>
      <c r="J171" s="1793" t="s">
        <v>1820</v>
      </c>
      <c r="K171" s="1788" t="s">
        <v>1818</v>
      </c>
      <c r="L171" s="1791" t="s">
        <v>1820</v>
      </c>
      <c r="M171" s="1793" t="s">
        <v>1819</v>
      </c>
      <c r="N171" s="1790" t="s">
        <v>57</v>
      </c>
      <c r="O171" s="1793" t="s">
        <v>64</v>
      </c>
      <c r="P171" s="420" t="s">
        <v>683</v>
      </c>
      <c r="Q171" s="421"/>
      <c r="R171" s="421"/>
      <c r="S171" s="422"/>
      <c r="T171" s="1794"/>
      <c r="U171" s="423">
        <v>1370.3154</v>
      </c>
      <c r="V171" s="424">
        <v>5</v>
      </c>
      <c r="W171" s="424">
        <v>1</v>
      </c>
      <c r="X171" s="425"/>
      <c r="Y171" s="426">
        <v>2022</v>
      </c>
      <c r="Z171" s="417">
        <v>2024</v>
      </c>
      <c r="AA171" s="1804">
        <v>2022</v>
      </c>
      <c r="AB171" s="427" t="s">
        <v>5863</v>
      </c>
      <c r="AC171" s="1793" t="s">
        <v>1821</v>
      </c>
      <c r="AD171" s="428"/>
      <c r="AE171" s="1791"/>
      <c r="AF171" s="1791"/>
      <c r="AG171" s="1793"/>
      <c r="AH171" s="428"/>
      <c r="AI171" s="1793"/>
      <c r="AJ171" s="429">
        <v>2021</v>
      </c>
      <c r="AK171" s="424">
        <v>3231</v>
      </c>
      <c r="AL171" s="424">
        <v>1840</v>
      </c>
      <c r="AM171" s="430">
        <v>23.43</v>
      </c>
      <c r="AN171" s="431" t="s">
        <v>864</v>
      </c>
      <c r="AO171" s="432">
        <v>2024</v>
      </c>
      <c r="AP171" s="425">
        <v>3198.69</v>
      </c>
      <c r="AQ171" s="433">
        <v>0.99</v>
      </c>
      <c r="AR171" s="425">
        <v>1821.6</v>
      </c>
      <c r="AS171" s="433">
        <v>1</v>
      </c>
      <c r="AT171" s="434">
        <v>23.195699999999999</v>
      </c>
      <c r="AU171" s="431" t="s">
        <v>864</v>
      </c>
      <c r="AV171" s="435">
        <v>1</v>
      </c>
      <c r="AW171" s="432">
        <v>2022</v>
      </c>
      <c r="AX171" s="425">
        <v>2483</v>
      </c>
      <c r="AY171" s="433">
        <v>23.15</v>
      </c>
      <c r="AZ171" s="425">
        <v>1128</v>
      </c>
      <c r="BA171" s="433">
        <v>38.69</v>
      </c>
      <c r="BB171" s="434">
        <v>18.007133232479852</v>
      </c>
      <c r="BC171" s="431" t="s">
        <v>864</v>
      </c>
      <c r="BD171" s="435">
        <v>23.14</v>
      </c>
      <c r="BE171" s="432">
        <v>2023</v>
      </c>
      <c r="BF171" s="425"/>
      <c r="BG171" s="433"/>
      <c r="BH171" s="425"/>
      <c r="BI171" s="433"/>
      <c r="BJ171" s="434"/>
      <c r="BK171" s="431"/>
      <c r="BL171" s="435"/>
      <c r="BM171" s="432">
        <v>2024</v>
      </c>
      <c r="BN171" s="425"/>
      <c r="BO171" s="433"/>
      <c r="BP171" s="425"/>
      <c r="BQ171" s="433"/>
      <c r="BR171" s="434"/>
      <c r="BS171" s="431"/>
      <c r="BT171" s="435"/>
      <c r="BU171" s="1805" t="s">
        <v>687</v>
      </c>
      <c r="BV171" s="1806" t="s">
        <v>728</v>
      </c>
      <c r="BW171" s="1807" t="s">
        <v>697</v>
      </c>
      <c r="BX171" s="1808" t="s">
        <v>1822</v>
      </c>
      <c r="BY171" s="1809">
        <v>2021</v>
      </c>
      <c r="BZ171" s="424"/>
      <c r="CA171" s="424"/>
      <c r="CB171" s="430"/>
      <c r="CC171" s="431"/>
      <c r="CD171" s="432">
        <v>2024</v>
      </c>
      <c r="CE171" s="425"/>
      <c r="CF171" s="433"/>
      <c r="CG171" s="425"/>
      <c r="CH171" s="433"/>
      <c r="CI171" s="434"/>
      <c r="CJ171" s="431"/>
      <c r="CK171" s="435"/>
      <c r="CL171" s="432">
        <v>2022</v>
      </c>
      <c r="CM171" s="425">
        <v>0</v>
      </c>
      <c r="CN171" s="433"/>
      <c r="CO171" s="425">
        <v>0</v>
      </c>
      <c r="CP171" s="433"/>
      <c r="CQ171" s="434"/>
      <c r="CR171" s="431"/>
      <c r="CS171" s="435">
        <v>0</v>
      </c>
      <c r="CT171" s="432">
        <v>2023</v>
      </c>
      <c r="CU171" s="425"/>
      <c r="CV171" s="433"/>
      <c r="CW171" s="425"/>
      <c r="CX171" s="433"/>
      <c r="CY171" s="434"/>
      <c r="CZ171" s="431"/>
      <c r="DA171" s="435"/>
      <c r="DB171" s="432">
        <v>2024</v>
      </c>
      <c r="DC171" s="425"/>
      <c r="DD171" s="433"/>
      <c r="DE171" s="425"/>
      <c r="DF171" s="433"/>
      <c r="DG171" s="434"/>
      <c r="DH171" s="431"/>
      <c r="DI171" s="435"/>
      <c r="DJ171" s="1805"/>
      <c r="DK171" s="1806"/>
      <c r="DL171" s="1807"/>
      <c r="DM171" s="1808"/>
      <c r="DN171" s="1810">
        <v>0</v>
      </c>
      <c r="DO171" s="1799">
        <v>0</v>
      </c>
      <c r="DP171" s="1800">
        <v>0</v>
      </c>
      <c r="DQ171" s="1799">
        <v>0</v>
      </c>
      <c r="DR171" s="1800">
        <v>0</v>
      </c>
      <c r="DS171" s="1799">
        <v>0</v>
      </c>
    </row>
    <row r="172" spans="1:123" ht="94.5">
      <c r="A172" s="1801" t="s">
        <v>1823</v>
      </c>
      <c r="B172" s="1788" t="s">
        <v>1824</v>
      </c>
      <c r="C172" s="426">
        <v>2022</v>
      </c>
      <c r="D172" s="417" t="s">
        <v>681</v>
      </c>
      <c r="E172" s="1802">
        <v>1009241</v>
      </c>
      <c r="F172" s="1803" t="s">
        <v>1824</v>
      </c>
      <c r="G172" s="419">
        <v>45127</v>
      </c>
      <c r="H172" s="1790" t="s">
        <v>1825</v>
      </c>
      <c r="I172" s="1791" t="s">
        <v>1824</v>
      </c>
      <c r="J172" s="1793" t="s">
        <v>5031</v>
      </c>
      <c r="K172" s="1788" t="s">
        <v>1824</v>
      </c>
      <c r="L172" s="1791" t="s">
        <v>1826</v>
      </c>
      <c r="M172" s="1793" t="s">
        <v>1825</v>
      </c>
      <c r="N172" s="1790" t="s">
        <v>12</v>
      </c>
      <c r="O172" s="1793" t="s">
        <v>13</v>
      </c>
      <c r="P172" s="420" t="s">
        <v>683</v>
      </c>
      <c r="Q172" s="421"/>
      <c r="R172" s="421"/>
      <c r="S172" s="422"/>
      <c r="T172" s="1794"/>
      <c r="U172" s="423">
        <v>2522.1563999999998</v>
      </c>
      <c r="V172" s="424">
        <v>1</v>
      </c>
      <c r="W172" s="424">
        <v>1</v>
      </c>
      <c r="X172" s="425"/>
      <c r="Y172" s="426">
        <v>2022</v>
      </c>
      <c r="Z172" s="417">
        <v>2024</v>
      </c>
      <c r="AA172" s="1804">
        <v>2022</v>
      </c>
      <c r="AB172" s="427"/>
      <c r="AC172" s="1793"/>
      <c r="AD172" s="428" t="s">
        <v>5863</v>
      </c>
      <c r="AE172" s="1791" t="s">
        <v>1827</v>
      </c>
      <c r="AF172" s="1791" t="s">
        <v>5032</v>
      </c>
      <c r="AG172" s="1793" t="s">
        <v>1828</v>
      </c>
      <c r="AH172" s="428"/>
      <c r="AI172" s="1793"/>
      <c r="AJ172" s="429">
        <v>2021</v>
      </c>
      <c r="AK172" s="424">
        <v>4457</v>
      </c>
      <c r="AL172" s="424">
        <v>4441</v>
      </c>
      <c r="AM172" s="430"/>
      <c r="AN172" s="431"/>
      <c r="AO172" s="432">
        <v>2024</v>
      </c>
      <c r="AP172" s="425">
        <v>3922</v>
      </c>
      <c r="AQ172" s="433">
        <v>12</v>
      </c>
      <c r="AR172" s="425">
        <v>3908</v>
      </c>
      <c r="AS172" s="433">
        <v>12</v>
      </c>
      <c r="AT172" s="434"/>
      <c r="AU172" s="431"/>
      <c r="AV172" s="435"/>
      <c r="AW172" s="432">
        <v>2022</v>
      </c>
      <c r="AX172" s="425">
        <v>4734</v>
      </c>
      <c r="AY172" s="433">
        <v>-6.22</v>
      </c>
      <c r="AZ172" s="425">
        <v>4733</v>
      </c>
      <c r="BA172" s="433">
        <v>-6.58</v>
      </c>
      <c r="BB172" s="434"/>
      <c r="BC172" s="431"/>
      <c r="BD172" s="435"/>
      <c r="BE172" s="432">
        <v>2023</v>
      </c>
      <c r="BF172" s="425"/>
      <c r="BG172" s="433"/>
      <c r="BH172" s="425"/>
      <c r="BI172" s="433"/>
      <c r="BJ172" s="434"/>
      <c r="BK172" s="431"/>
      <c r="BL172" s="435"/>
      <c r="BM172" s="432">
        <v>2024</v>
      </c>
      <c r="BN172" s="425"/>
      <c r="BO172" s="433"/>
      <c r="BP172" s="425"/>
      <c r="BQ172" s="433"/>
      <c r="BR172" s="434"/>
      <c r="BS172" s="431"/>
      <c r="BT172" s="435"/>
      <c r="BU172" s="1805" t="s">
        <v>676</v>
      </c>
      <c r="BV172" s="1806" t="s">
        <v>728</v>
      </c>
      <c r="BW172" s="1807" t="s">
        <v>678</v>
      </c>
      <c r="BX172" s="1808" t="s">
        <v>5033</v>
      </c>
      <c r="BY172" s="1809">
        <v>2021</v>
      </c>
      <c r="BZ172" s="424"/>
      <c r="CA172" s="424"/>
      <c r="CB172" s="430"/>
      <c r="CC172" s="431"/>
      <c r="CD172" s="432">
        <v>2024</v>
      </c>
      <c r="CE172" s="425"/>
      <c r="CF172" s="433"/>
      <c r="CG172" s="425"/>
      <c r="CH172" s="433"/>
      <c r="CI172" s="434"/>
      <c r="CJ172" s="431"/>
      <c r="CK172" s="435"/>
      <c r="CL172" s="432">
        <v>2022</v>
      </c>
      <c r="CM172" s="425">
        <v>0</v>
      </c>
      <c r="CN172" s="433"/>
      <c r="CO172" s="425">
        <v>0</v>
      </c>
      <c r="CP172" s="433"/>
      <c r="CQ172" s="434"/>
      <c r="CR172" s="431"/>
      <c r="CS172" s="435">
        <v>0</v>
      </c>
      <c r="CT172" s="432">
        <v>2023</v>
      </c>
      <c r="CU172" s="425"/>
      <c r="CV172" s="433"/>
      <c r="CW172" s="425"/>
      <c r="CX172" s="433"/>
      <c r="CY172" s="434"/>
      <c r="CZ172" s="431"/>
      <c r="DA172" s="435"/>
      <c r="DB172" s="432">
        <v>2024</v>
      </c>
      <c r="DC172" s="425"/>
      <c r="DD172" s="433"/>
      <c r="DE172" s="425"/>
      <c r="DF172" s="433"/>
      <c r="DG172" s="434"/>
      <c r="DH172" s="431"/>
      <c r="DI172" s="435"/>
      <c r="DJ172" s="1805"/>
      <c r="DK172" s="1806"/>
      <c r="DL172" s="1807"/>
      <c r="DM172" s="1808"/>
      <c r="DN172" s="1810">
        <v>0</v>
      </c>
      <c r="DO172" s="1799">
        <v>0</v>
      </c>
      <c r="DP172" s="1800">
        <v>0</v>
      </c>
      <c r="DQ172" s="1799">
        <v>3</v>
      </c>
      <c r="DR172" s="1800">
        <v>0</v>
      </c>
      <c r="DS172" s="1799">
        <v>0</v>
      </c>
    </row>
    <row r="173" spans="1:123" ht="81">
      <c r="A173" s="1801" t="s">
        <v>1829</v>
      </c>
      <c r="B173" s="1788" t="s">
        <v>1830</v>
      </c>
      <c r="C173" s="426">
        <v>2022</v>
      </c>
      <c r="D173" s="417" t="s">
        <v>681</v>
      </c>
      <c r="E173" s="1802">
        <v>1069242</v>
      </c>
      <c r="F173" s="1803" t="s">
        <v>1830</v>
      </c>
      <c r="G173" s="419">
        <v>45124</v>
      </c>
      <c r="H173" s="1790" t="s">
        <v>1831</v>
      </c>
      <c r="I173" s="1791" t="s">
        <v>1830</v>
      </c>
      <c r="J173" s="1793" t="s">
        <v>1832</v>
      </c>
      <c r="K173" s="1788" t="s">
        <v>1830</v>
      </c>
      <c r="L173" s="1791" t="s">
        <v>1832</v>
      </c>
      <c r="M173" s="1793" t="s">
        <v>1831</v>
      </c>
      <c r="N173" s="1790" t="s">
        <v>77</v>
      </c>
      <c r="O173" s="1793" t="s">
        <v>79</v>
      </c>
      <c r="P173" s="420" t="s">
        <v>683</v>
      </c>
      <c r="Q173" s="421"/>
      <c r="R173" s="421"/>
      <c r="S173" s="422"/>
      <c r="T173" s="1794"/>
      <c r="U173" s="423">
        <v>5615.4989999999998</v>
      </c>
      <c r="V173" s="424">
        <v>1</v>
      </c>
      <c r="W173" s="424">
        <v>1</v>
      </c>
      <c r="X173" s="425"/>
      <c r="Y173" s="426">
        <v>2022</v>
      </c>
      <c r="Z173" s="417">
        <v>2024</v>
      </c>
      <c r="AA173" s="1804">
        <v>2022</v>
      </c>
      <c r="AB173" s="427"/>
      <c r="AC173" s="1793"/>
      <c r="AD173" s="428" t="s">
        <v>5863</v>
      </c>
      <c r="AE173" s="1791" t="s">
        <v>1833</v>
      </c>
      <c r="AF173" s="1791" t="s">
        <v>1834</v>
      </c>
      <c r="AG173" s="1793" t="s">
        <v>1835</v>
      </c>
      <c r="AH173" s="428"/>
      <c r="AI173" s="1793"/>
      <c r="AJ173" s="429">
        <v>2021</v>
      </c>
      <c r="AK173" s="424">
        <v>10344</v>
      </c>
      <c r="AL173" s="424">
        <v>10272</v>
      </c>
      <c r="AM173" s="430"/>
      <c r="AN173" s="431"/>
      <c r="AO173" s="432">
        <v>2024</v>
      </c>
      <c r="AP173" s="425">
        <v>10038</v>
      </c>
      <c r="AQ173" s="433">
        <v>2.95</v>
      </c>
      <c r="AR173" s="425">
        <v>9968</v>
      </c>
      <c r="AS173" s="433">
        <v>2.95</v>
      </c>
      <c r="AT173" s="434"/>
      <c r="AU173" s="431"/>
      <c r="AV173" s="435"/>
      <c r="AW173" s="432">
        <v>2022</v>
      </c>
      <c r="AX173" s="425">
        <v>10142</v>
      </c>
      <c r="AY173" s="433">
        <v>1.95</v>
      </c>
      <c r="AZ173" s="425">
        <v>10124</v>
      </c>
      <c r="BA173" s="433">
        <v>1.44</v>
      </c>
      <c r="BB173" s="434"/>
      <c r="BC173" s="431"/>
      <c r="BD173" s="435"/>
      <c r="BE173" s="432">
        <v>2023</v>
      </c>
      <c r="BF173" s="425"/>
      <c r="BG173" s="433"/>
      <c r="BH173" s="425"/>
      <c r="BI173" s="433"/>
      <c r="BJ173" s="434"/>
      <c r="BK173" s="431"/>
      <c r="BL173" s="435"/>
      <c r="BM173" s="432">
        <v>2024</v>
      </c>
      <c r="BN173" s="425"/>
      <c r="BO173" s="433"/>
      <c r="BP173" s="425"/>
      <c r="BQ173" s="433"/>
      <c r="BR173" s="434"/>
      <c r="BS173" s="431"/>
      <c r="BT173" s="435"/>
      <c r="BU173" s="1805" t="s">
        <v>719</v>
      </c>
      <c r="BV173" s="1806" t="s">
        <v>728</v>
      </c>
      <c r="BW173" s="1807" t="s">
        <v>688</v>
      </c>
      <c r="BX173" s="1808" t="s">
        <v>5034</v>
      </c>
      <c r="BY173" s="1809">
        <v>2021</v>
      </c>
      <c r="BZ173" s="424"/>
      <c r="CA173" s="424"/>
      <c r="CB173" s="430"/>
      <c r="CC173" s="431"/>
      <c r="CD173" s="432">
        <v>2024</v>
      </c>
      <c r="CE173" s="425"/>
      <c r="CF173" s="433"/>
      <c r="CG173" s="425"/>
      <c r="CH173" s="433"/>
      <c r="CI173" s="434"/>
      <c r="CJ173" s="431"/>
      <c r="CK173" s="435"/>
      <c r="CL173" s="432">
        <v>2022</v>
      </c>
      <c r="CM173" s="425">
        <v>0</v>
      </c>
      <c r="CN173" s="433"/>
      <c r="CO173" s="425">
        <v>0</v>
      </c>
      <c r="CP173" s="433"/>
      <c r="CQ173" s="434"/>
      <c r="CR173" s="431"/>
      <c r="CS173" s="435"/>
      <c r="CT173" s="432">
        <v>2023</v>
      </c>
      <c r="CU173" s="425"/>
      <c r="CV173" s="433"/>
      <c r="CW173" s="425"/>
      <c r="CX173" s="433"/>
      <c r="CY173" s="434"/>
      <c r="CZ173" s="431"/>
      <c r="DA173" s="435"/>
      <c r="DB173" s="432">
        <v>2024</v>
      </c>
      <c r="DC173" s="425"/>
      <c r="DD173" s="433"/>
      <c r="DE173" s="425"/>
      <c r="DF173" s="433"/>
      <c r="DG173" s="434"/>
      <c r="DH173" s="431"/>
      <c r="DI173" s="435"/>
      <c r="DJ173" s="1805"/>
      <c r="DK173" s="1806"/>
      <c r="DL173" s="1807"/>
      <c r="DM173" s="1808"/>
      <c r="DN173" s="1810">
        <v>0</v>
      </c>
      <c r="DO173" s="1799">
        <v>0</v>
      </c>
      <c r="DP173" s="1800">
        <v>0</v>
      </c>
      <c r="DQ173" s="1799">
        <v>0</v>
      </c>
      <c r="DR173" s="1800">
        <v>0</v>
      </c>
      <c r="DS173" s="1799">
        <v>0</v>
      </c>
    </row>
    <row r="174" spans="1:123" ht="54">
      <c r="A174" s="1801" t="s">
        <v>1836</v>
      </c>
      <c r="B174" s="1788" t="s">
        <v>1837</v>
      </c>
      <c r="C174" s="426">
        <v>2022</v>
      </c>
      <c r="D174" s="417" t="s">
        <v>681</v>
      </c>
      <c r="E174" s="1802">
        <v>1056244</v>
      </c>
      <c r="F174" s="1803" t="s">
        <v>1837</v>
      </c>
      <c r="G174" s="419">
        <v>45131</v>
      </c>
      <c r="H174" s="1790" t="s">
        <v>1838</v>
      </c>
      <c r="I174" s="1791" t="s">
        <v>1837</v>
      </c>
      <c r="J174" s="1793" t="s">
        <v>1839</v>
      </c>
      <c r="K174" s="1788" t="s">
        <v>1837</v>
      </c>
      <c r="L174" s="1791" t="s">
        <v>1839</v>
      </c>
      <c r="M174" s="1793" t="s">
        <v>1838</v>
      </c>
      <c r="N174" s="1790" t="s">
        <v>57</v>
      </c>
      <c r="O174" s="1793" t="s">
        <v>64</v>
      </c>
      <c r="P174" s="420" t="s">
        <v>683</v>
      </c>
      <c r="Q174" s="421"/>
      <c r="R174" s="421"/>
      <c r="S174" s="422"/>
      <c r="T174" s="1794"/>
      <c r="U174" s="423">
        <v>3233.4881999999998</v>
      </c>
      <c r="V174" s="424">
        <v>2</v>
      </c>
      <c r="W174" s="424">
        <v>2</v>
      </c>
      <c r="X174" s="425"/>
      <c r="Y174" s="426">
        <v>2022</v>
      </c>
      <c r="Z174" s="417">
        <v>2024</v>
      </c>
      <c r="AA174" s="1804">
        <v>2022</v>
      </c>
      <c r="AB174" s="427"/>
      <c r="AC174" s="1793"/>
      <c r="AD174" s="428" t="s">
        <v>5863</v>
      </c>
      <c r="AE174" s="1791" t="s">
        <v>1840</v>
      </c>
      <c r="AF174" s="1791" t="s">
        <v>1841</v>
      </c>
      <c r="AG174" s="1793" t="s">
        <v>1842</v>
      </c>
      <c r="AH174" s="428"/>
      <c r="AI174" s="1793"/>
      <c r="AJ174" s="429">
        <v>2021</v>
      </c>
      <c r="AK174" s="424">
        <v>5986</v>
      </c>
      <c r="AL174" s="424">
        <v>5944</v>
      </c>
      <c r="AM174" s="430"/>
      <c r="AN174" s="431"/>
      <c r="AO174" s="432">
        <v>2024</v>
      </c>
      <c r="AP174" s="425">
        <v>5806</v>
      </c>
      <c r="AQ174" s="433">
        <v>3</v>
      </c>
      <c r="AR174" s="425">
        <v>5766</v>
      </c>
      <c r="AS174" s="433">
        <v>2.99</v>
      </c>
      <c r="AT174" s="434"/>
      <c r="AU174" s="431"/>
      <c r="AV174" s="435"/>
      <c r="AW174" s="432">
        <v>2022</v>
      </c>
      <c r="AX174" s="425">
        <v>5720</v>
      </c>
      <c r="AY174" s="433">
        <v>4.4400000000000004</v>
      </c>
      <c r="AZ174" s="425">
        <v>3334</v>
      </c>
      <c r="BA174" s="433">
        <v>43.9</v>
      </c>
      <c r="BB174" s="434"/>
      <c r="BC174" s="431"/>
      <c r="BD174" s="435"/>
      <c r="BE174" s="432">
        <v>2023</v>
      </c>
      <c r="BF174" s="425"/>
      <c r="BG174" s="433"/>
      <c r="BH174" s="425"/>
      <c r="BI174" s="433"/>
      <c r="BJ174" s="434"/>
      <c r="BK174" s="431"/>
      <c r="BL174" s="435"/>
      <c r="BM174" s="432">
        <v>2024</v>
      </c>
      <c r="BN174" s="425"/>
      <c r="BO174" s="433"/>
      <c r="BP174" s="425"/>
      <c r="BQ174" s="433"/>
      <c r="BR174" s="434"/>
      <c r="BS174" s="431"/>
      <c r="BT174" s="435"/>
      <c r="BU174" s="1805" t="s">
        <v>687</v>
      </c>
      <c r="BV174" s="1806" t="s">
        <v>728</v>
      </c>
      <c r="BW174" s="1807" t="s">
        <v>688</v>
      </c>
      <c r="BX174" s="1808" t="s">
        <v>5035</v>
      </c>
      <c r="BY174" s="1809">
        <v>2021</v>
      </c>
      <c r="BZ174" s="424"/>
      <c r="CA174" s="424"/>
      <c r="CB174" s="430"/>
      <c r="CC174" s="431"/>
      <c r="CD174" s="432">
        <v>2024</v>
      </c>
      <c r="CE174" s="425"/>
      <c r="CF174" s="433"/>
      <c r="CG174" s="425"/>
      <c r="CH174" s="433"/>
      <c r="CI174" s="434"/>
      <c r="CJ174" s="431"/>
      <c r="CK174" s="435"/>
      <c r="CL174" s="432">
        <v>2022</v>
      </c>
      <c r="CM174" s="425">
        <v>0</v>
      </c>
      <c r="CN174" s="433"/>
      <c r="CO174" s="425">
        <v>0</v>
      </c>
      <c r="CP174" s="433"/>
      <c r="CQ174" s="434"/>
      <c r="CR174" s="431"/>
      <c r="CS174" s="435">
        <v>0</v>
      </c>
      <c r="CT174" s="432">
        <v>2023</v>
      </c>
      <c r="CU174" s="425"/>
      <c r="CV174" s="433"/>
      <c r="CW174" s="425"/>
      <c r="CX174" s="433"/>
      <c r="CY174" s="434"/>
      <c r="CZ174" s="431"/>
      <c r="DA174" s="435"/>
      <c r="DB174" s="432">
        <v>2024</v>
      </c>
      <c r="DC174" s="425"/>
      <c r="DD174" s="433"/>
      <c r="DE174" s="425"/>
      <c r="DF174" s="433"/>
      <c r="DG174" s="434"/>
      <c r="DH174" s="431"/>
      <c r="DI174" s="435"/>
      <c r="DJ174" s="1805"/>
      <c r="DK174" s="1806"/>
      <c r="DL174" s="1807"/>
      <c r="DM174" s="1808"/>
      <c r="DN174" s="1810">
        <v>0</v>
      </c>
      <c r="DO174" s="1799">
        <v>0</v>
      </c>
      <c r="DP174" s="1800">
        <v>0</v>
      </c>
      <c r="DQ174" s="1799">
        <v>0</v>
      </c>
      <c r="DR174" s="1800">
        <v>0</v>
      </c>
      <c r="DS174" s="1799">
        <v>0</v>
      </c>
    </row>
    <row r="175" spans="1:123" ht="54">
      <c r="A175" s="1801" t="s">
        <v>1843</v>
      </c>
      <c r="B175" s="1788" t="s">
        <v>1844</v>
      </c>
      <c r="C175" s="426">
        <v>2022</v>
      </c>
      <c r="D175" s="417" t="s">
        <v>681</v>
      </c>
      <c r="E175" s="1802">
        <v>1058245</v>
      </c>
      <c r="F175" s="1803" t="s">
        <v>1844</v>
      </c>
      <c r="G175" s="419">
        <v>45132</v>
      </c>
      <c r="H175" s="1790" t="s">
        <v>1845</v>
      </c>
      <c r="I175" s="1791" t="s">
        <v>1844</v>
      </c>
      <c r="J175" s="1793" t="s">
        <v>1846</v>
      </c>
      <c r="K175" s="1788" t="s">
        <v>1844</v>
      </c>
      <c r="L175" s="1791" t="s">
        <v>1847</v>
      </c>
      <c r="M175" s="1793" t="s">
        <v>1848</v>
      </c>
      <c r="N175" s="1790" t="s">
        <v>57</v>
      </c>
      <c r="O175" s="1793" t="s">
        <v>66</v>
      </c>
      <c r="P175" s="420" t="s">
        <v>683</v>
      </c>
      <c r="Q175" s="421"/>
      <c r="R175" s="421"/>
      <c r="S175" s="422"/>
      <c r="T175" s="1794"/>
      <c r="U175" s="423">
        <v>5014.1268000000009</v>
      </c>
      <c r="V175" s="424">
        <v>10</v>
      </c>
      <c r="W175" s="424">
        <v>6</v>
      </c>
      <c r="X175" s="425"/>
      <c r="Y175" s="426">
        <v>2022</v>
      </c>
      <c r="Z175" s="417">
        <v>2024</v>
      </c>
      <c r="AA175" s="1804">
        <v>2022</v>
      </c>
      <c r="AB175" s="427"/>
      <c r="AC175" s="1793"/>
      <c r="AD175" s="428" t="s">
        <v>5863</v>
      </c>
      <c r="AE175" s="1791" t="s">
        <v>1849</v>
      </c>
      <c r="AF175" s="1791" t="s">
        <v>1848</v>
      </c>
      <c r="AG175" s="1793" t="s">
        <v>957</v>
      </c>
      <c r="AH175" s="428"/>
      <c r="AI175" s="1793"/>
      <c r="AJ175" s="429">
        <v>2021</v>
      </c>
      <c r="AK175" s="424">
        <v>8410</v>
      </c>
      <c r="AL175" s="424">
        <v>8394</v>
      </c>
      <c r="AM175" s="430">
        <v>54.18</v>
      </c>
      <c r="AN175" s="431" t="s">
        <v>2603</v>
      </c>
      <c r="AO175" s="432">
        <v>2024</v>
      </c>
      <c r="AP175" s="425">
        <v>8157.7</v>
      </c>
      <c r="AQ175" s="433">
        <v>3</v>
      </c>
      <c r="AR175" s="425">
        <v>8142.2</v>
      </c>
      <c r="AS175" s="433">
        <v>2.99</v>
      </c>
      <c r="AT175" s="434">
        <v>52.55</v>
      </c>
      <c r="AU175" s="431" t="s">
        <v>2603</v>
      </c>
      <c r="AV175" s="435">
        <v>3</v>
      </c>
      <c r="AW175" s="432">
        <v>2022</v>
      </c>
      <c r="AX175" s="425">
        <v>9084</v>
      </c>
      <c r="AY175" s="433">
        <v>-8.02</v>
      </c>
      <c r="AZ175" s="425">
        <v>9084</v>
      </c>
      <c r="BA175" s="433">
        <v>-8.23</v>
      </c>
      <c r="BB175" s="434">
        <v>55.610311537731633</v>
      </c>
      <c r="BC175" s="431" t="s">
        <v>2603</v>
      </c>
      <c r="BD175" s="435">
        <v>-2.64</v>
      </c>
      <c r="BE175" s="432">
        <v>2023</v>
      </c>
      <c r="BF175" s="425"/>
      <c r="BG175" s="433"/>
      <c r="BH175" s="425"/>
      <c r="BI175" s="433"/>
      <c r="BJ175" s="434"/>
      <c r="BK175" s="431"/>
      <c r="BL175" s="435"/>
      <c r="BM175" s="432">
        <v>2024</v>
      </c>
      <c r="BN175" s="425"/>
      <c r="BO175" s="433"/>
      <c r="BP175" s="425"/>
      <c r="BQ175" s="433"/>
      <c r="BR175" s="434"/>
      <c r="BS175" s="431"/>
      <c r="BT175" s="435"/>
      <c r="BU175" s="1805" t="s">
        <v>676</v>
      </c>
      <c r="BV175" s="1806" t="s">
        <v>728</v>
      </c>
      <c r="BW175" s="1807" t="s">
        <v>678</v>
      </c>
      <c r="BX175" s="1808" t="s">
        <v>5036</v>
      </c>
      <c r="BY175" s="1809">
        <v>2021</v>
      </c>
      <c r="BZ175" s="424"/>
      <c r="CA175" s="424"/>
      <c r="CB175" s="430"/>
      <c r="CC175" s="431"/>
      <c r="CD175" s="432">
        <v>2024</v>
      </c>
      <c r="CE175" s="425"/>
      <c r="CF175" s="433"/>
      <c r="CG175" s="425"/>
      <c r="CH175" s="433"/>
      <c r="CI175" s="434"/>
      <c r="CJ175" s="431"/>
      <c r="CK175" s="435"/>
      <c r="CL175" s="432">
        <v>2022</v>
      </c>
      <c r="CM175" s="425">
        <v>0</v>
      </c>
      <c r="CN175" s="433"/>
      <c r="CO175" s="425">
        <v>0</v>
      </c>
      <c r="CP175" s="433"/>
      <c r="CQ175" s="434"/>
      <c r="CR175" s="431"/>
      <c r="CS175" s="435">
        <v>0</v>
      </c>
      <c r="CT175" s="432">
        <v>2023</v>
      </c>
      <c r="CU175" s="425"/>
      <c r="CV175" s="433"/>
      <c r="CW175" s="425"/>
      <c r="CX175" s="433"/>
      <c r="CY175" s="434"/>
      <c r="CZ175" s="431"/>
      <c r="DA175" s="435"/>
      <c r="DB175" s="432">
        <v>2024</v>
      </c>
      <c r="DC175" s="425"/>
      <c r="DD175" s="433"/>
      <c r="DE175" s="425"/>
      <c r="DF175" s="433"/>
      <c r="DG175" s="434"/>
      <c r="DH175" s="431"/>
      <c r="DI175" s="435"/>
      <c r="DJ175" s="1805"/>
      <c r="DK175" s="1806"/>
      <c r="DL175" s="1807"/>
      <c r="DM175" s="1808"/>
      <c r="DN175" s="1810">
        <v>0</v>
      </c>
      <c r="DO175" s="1799">
        <v>0</v>
      </c>
      <c r="DP175" s="1800">
        <v>0</v>
      </c>
      <c r="DQ175" s="1799">
        <v>0</v>
      </c>
      <c r="DR175" s="1800">
        <v>0</v>
      </c>
      <c r="DS175" s="1799">
        <v>0</v>
      </c>
    </row>
    <row r="176" spans="1:123" ht="54">
      <c r="A176" s="1801" t="s">
        <v>1850</v>
      </c>
      <c r="B176" s="1788" t="s">
        <v>1851</v>
      </c>
      <c r="C176" s="426">
        <v>2022</v>
      </c>
      <c r="D176" s="417" t="s">
        <v>681</v>
      </c>
      <c r="E176" s="1802">
        <v>1009246</v>
      </c>
      <c r="F176" s="1803" t="s">
        <v>1851</v>
      </c>
      <c r="G176" s="419">
        <v>45138</v>
      </c>
      <c r="H176" s="1790" t="s">
        <v>1852</v>
      </c>
      <c r="I176" s="1791" t="s">
        <v>1851</v>
      </c>
      <c r="J176" s="1793" t="s">
        <v>1853</v>
      </c>
      <c r="K176" s="1788" t="s">
        <v>1851</v>
      </c>
      <c r="L176" s="1791" t="s">
        <v>1853</v>
      </c>
      <c r="M176" s="1793" t="s">
        <v>1852</v>
      </c>
      <c r="N176" s="1790" t="s">
        <v>12</v>
      </c>
      <c r="O176" s="1793" t="s">
        <v>13</v>
      </c>
      <c r="P176" s="420" t="s">
        <v>683</v>
      </c>
      <c r="Q176" s="421"/>
      <c r="R176" s="421"/>
      <c r="S176" s="422"/>
      <c r="T176" s="1794"/>
      <c r="U176" s="423">
        <v>3322.9884000000002</v>
      </c>
      <c r="V176" s="424">
        <v>1</v>
      </c>
      <c r="W176" s="424">
        <v>1</v>
      </c>
      <c r="X176" s="425"/>
      <c r="Y176" s="426">
        <v>2022</v>
      </c>
      <c r="Z176" s="417">
        <v>2024</v>
      </c>
      <c r="AA176" s="1804">
        <v>2022</v>
      </c>
      <c r="AB176" s="427"/>
      <c r="AC176" s="1793"/>
      <c r="AD176" s="428" t="s">
        <v>5863</v>
      </c>
      <c r="AE176" s="1791" t="s">
        <v>1854</v>
      </c>
      <c r="AF176" s="1791" t="s">
        <v>1855</v>
      </c>
      <c r="AG176" s="1793" t="s">
        <v>1856</v>
      </c>
      <c r="AH176" s="428"/>
      <c r="AI176" s="1793"/>
      <c r="AJ176" s="429">
        <v>2021</v>
      </c>
      <c r="AK176" s="424">
        <v>5771</v>
      </c>
      <c r="AL176" s="424">
        <v>5078</v>
      </c>
      <c r="AM176" s="430">
        <v>5.48</v>
      </c>
      <c r="AN176" s="431" t="s">
        <v>2604</v>
      </c>
      <c r="AO176" s="432">
        <v>2024</v>
      </c>
      <c r="AP176" s="425">
        <v>6348</v>
      </c>
      <c r="AQ176" s="433">
        <v>-10</v>
      </c>
      <c r="AR176" s="425">
        <v>5585.8</v>
      </c>
      <c r="AS176" s="433">
        <v>-10</v>
      </c>
      <c r="AT176" s="434">
        <v>5.38</v>
      </c>
      <c r="AU176" s="431" t="s">
        <v>2604</v>
      </c>
      <c r="AV176" s="435">
        <v>1.82</v>
      </c>
      <c r="AW176" s="432">
        <v>2022</v>
      </c>
      <c r="AX176" s="425">
        <v>6051</v>
      </c>
      <c r="AY176" s="433">
        <v>-4.8600000000000003</v>
      </c>
      <c r="AZ176" s="425">
        <v>6109</v>
      </c>
      <c r="BA176" s="433">
        <v>-20.309999999999999</v>
      </c>
      <c r="BB176" s="434">
        <v>6.047494871972205</v>
      </c>
      <c r="BC176" s="431" t="s">
        <v>2604</v>
      </c>
      <c r="BD176" s="435">
        <v>-10.36</v>
      </c>
      <c r="BE176" s="432">
        <v>2023</v>
      </c>
      <c r="BF176" s="425"/>
      <c r="BG176" s="433"/>
      <c r="BH176" s="425"/>
      <c r="BI176" s="433"/>
      <c r="BJ176" s="434"/>
      <c r="BK176" s="431"/>
      <c r="BL176" s="435"/>
      <c r="BM176" s="432">
        <v>2024</v>
      </c>
      <c r="BN176" s="425"/>
      <c r="BO176" s="433"/>
      <c r="BP176" s="425"/>
      <c r="BQ176" s="433"/>
      <c r="BR176" s="434"/>
      <c r="BS176" s="431"/>
      <c r="BT176" s="435"/>
      <c r="BU176" s="1805" t="s">
        <v>676</v>
      </c>
      <c r="BV176" s="1806" t="s">
        <v>728</v>
      </c>
      <c r="BW176" s="1807" t="s">
        <v>697</v>
      </c>
      <c r="BX176" s="1808" t="s">
        <v>5037</v>
      </c>
      <c r="BY176" s="1809">
        <v>2021</v>
      </c>
      <c r="BZ176" s="424"/>
      <c r="CA176" s="424"/>
      <c r="CB176" s="430"/>
      <c r="CC176" s="431"/>
      <c r="CD176" s="432">
        <v>2024</v>
      </c>
      <c r="CE176" s="425"/>
      <c r="CF176" s="433"/>
      <c r="CG176" s="425"/>
      <c r="CH176" s="433"/>
      <c r="CI176" s="434"/>
      <c r="CJ176" s="431"/>
      <c r="CK176" s="435"/>
      <c r="CL176" s="432">
        <v>2022</v>
      </c>
      <c r="CM176" s="425">
        <v>0</v>
      </c>
      <c r="CN176" s="433"/>
      <c r="CO176" s="425">
        <v>0</v>
      </c>
      <c r="CP176" s="433"/>
      <c r="CQ176" s="434"/>
      <c r="CR176" s="431"/>
      <c r="CS176" s="435">
        <v>0</v>
      </c>
      <c r="CT176" s="432">
        <v>2023</v>
      </c>
      <c r="CU176" s="425"/>
      <c r="CV176" s="433"/>
      <c r="CW176" s="425"/>
      <c r="CX176" s="433"/>
      <c r="CY176" s="434"/>
      <c r="CZ176" s="431"/>
      <c r="DA176" s="435"/>
      <c r="DB176" s="432">
        <v>2024</v>
      </c>
      <c r="DC176" s="425"/>
      <c r="DD176" s="433"/>
      <c r="DE176" s="425"/>
      <c r="DF176" s="433"/>
      <c r="DG176" s="434"/>
      <c r="DH176" s="431"/>
      <c r="DI176" s="435"/>
      <c r="DJ176" s="1805"/>
      <c r="DK176" s="1806"/>
      <c r="DL176" s="1807"/>
      <c r="DM176" s="1808"/>
      <c r="DN176" s="1810">
        <v>0</v>
      </c>
      <c r="DO176" s="1799">
        <v>0</v>
      </c>
      <c r="DP176" s="1800">
        <v>0</v>
      </c>
      <c r="DQ176" s="1799">
        <v>0</v>
      </c>
      <c r="DR176" s="1800">
        <v>0</v>
      </c>
      <c r="DS176" s="1799">
        <v>0</v>
      </c>
    </row>
    <row r="177" spans="1:123" ht="67.5">
      <c r="A177" s="1801" t="s">
        <v>1857</v>
      </c>
      <c r="B177" s="1788" t="s">
        <v>1858</v>
      </c>
      <c r="C177" s="426">
        <v>2022</v>
      </c>
      <c r="D177" s="417" t="s">
        <v>681</v>
      </c>
      <c r="E177" s="1802">
        <v>1056248</v>
      </c>
      <c r="F177" s="1803" t="s">
        <v>1858</v>
      </c>
      <c r="G177" s="419">
        <v>45134</v>
      </c>
      <c r="H177" s="1790" t="s">
        <v>1859</v>
      </c>
      <c r="I177" s="1791" t="s">
        <v>1858</v>
      </c>
      <c r="J177" s="1793" t="s">
        <v>1860</v>
      </c>
      <c r="K177" s="1788" t="s">
        <v>1858</v>
      </c>
      <c r="L177" s="1791" t="s">
        <v>1861</v>
      </c>
      <c r="M177" s="1793" t="s">
        <v>1859</v>
      </c>
      <c r="N177" s="1790" t="s">
        <v>57</v>
      </c>
      <c r="O177" s="1793" t="s">
        <v>64</v>
      </c>
      <c r="P177" s="420" t="s">
        <v>683</v>
      </c>
      <c r="Q177" s="421"/>
      <c r="R177" s="421"/>
      <c r="S177" s="422"/>
      <c r="T177" s="1794"/>
      <c r="U177" s="423">
        <v>2335.4933999999998</v>
      </c>
      <c r="V177" s="424">
        <v>3</v>
      </c>
      <c r="W177" s="424">
        <v>2</v>
      </c>
      <c r="X177" s="425"/>
      <c r="Y177" s="426">
        <v>2022</v>
      </c>
      <c r="Z177" s="417">
        <v>2024</v>
      </c>
      <c r="AA177" s="1804">
        <v>2022</v>
      </c>
      <c r="AB177" s="427"/>
      <c r="AC177" s="1793"/>
      <c r="AD177" s="428" t="s">
        <v>5863</v>
      </c>
      <c r="AE177" s="1791" t="s">
        <v>1862</v>
      </c>
      <c r="AF177" s="1791" t="s">
        <v>1863</v>
      </c>
      <c r="AG177" s="1793" t="s">
        <v>1864</v>
      </c>
      <c r="AH177" s="428"/>
      <c r="AI177" s="1793"/>
      <c r="AJ177" s="429">
        <v>2021</v>
      </c>
      <c r="AK177" s="424">
        <v>4129</v>
      </c>
      <c r="AL177" s="424">
        <v>4092</v>
      </c>
      <c r="AM177" s="430"/>
      <c r="AN177" s="431"/>
      <c r="AO177" s="432">
        <v>2024</v>
      </c>
      <c r="AP177" s="425">
        <v>4005</v>
      </c>
      <c r="AQ177" s="433">
        <v>3</v>
      </c>
      <c r="AR177" s="425">
        <v>3969</v>
      </c>
      <c r="AS177" s="433">
        <v>3</v>
      </c>
      <c r="AT177" s="434"/>
      <c r="AU177" s="431"/>
      <c r="AV177" s="435"/>
      <c r="AW177" s="432">
        <v>2022</v>
      </c>
      <c r="AX177" s="425">
        <v>4180</v>
      </c>
      <c r="AY177" s="433">
        <v>-1.24</v>
      </c>
      <c r="AZ177" s="425">
        <v>4171</v>
      </c>
      <c r="BA177" s="433">
        <v>-1.94</v>
      </c>
      <c r="BB177" s="434"/>
      <c r="BC177" s="431"/>
      <c r="BD177" s="435"/>
      <c r="BE177" s="432">
        <v>2023</v>
      </c>
      <c r="BF177" s="425"/>
      <c r="BG177" s="433"/>
      <c r="BH177" s="425"/>
      <c r="BI177" s="433"/>
      <c r="BJ177" s="434"/>
      <c r="BK177" s="431"/>
      <c r="BL177" s="435"/>
      <c r="BM177" s="432">
        <v>2024</v>
      </c>
      <c r="BN177" s="425"/>
      <c r="BO177" s="433"/>
      <c r="BP177" s="425"/>
      <c r="BQ177" s="433"/>
      <c r="BR177" s="434"/>
      <c r="BS177" s="431"/>
      <c r="BT177" s="435"/>
      <c r="BU177" s="1805" t="s">
        <v>676</v>
      </c>
      <c r="BV177" s="1806" t="s">
        <v>728</v>
      </c>
      <c r="BW177" s="1807" t="s">
        <v>688</v>
      </c>
      <c r="BX177" s="1808" t="s">
        <v>5038</v>
      </c>
      <c r="BY177" s="1809">
        <v>2021</v>
      </c>
      <c r="BZ177" s="424"/>
      <c r="CA177" s="424"/>
      <c r="CB177" s="430"/>
      <c r="CC177" s="431"/>
      <c r="CD177" s="432">
        <v>2024</v>
      </c>
      <c r="CE177" s="425"/>
      <c r="CF177" s="433"/>
      <c r="CG177" s="425"/>
      <c r="CH177" s="433"/>
      <c r="CI177" s="434"/>
      <c r="CJ177" s="431"/>
      <c r="CK177" s="435"/>
      <c r="CL177" s="432">
        <v>2022</v>
      </c>
      <c r="CM177" s="425">
        <v>0</v>
      </c>
      <c r="CN177" s="433"/>
      <c r="CO177" s="425">
        <v>0</v>
      </c>
      <c r="CP177" s="433"/>
      <c r="CQ177" s="434"/>
      <c r="CR177" s="431"/>
      <c r="CS177" s="435"/>
      <c r="CT177" s="432">
        <v>2023</v>
      </c>
      <c r="CU177" s="425"/>
      <c r="CV177" s="433"/>
      <c r="CW177" s="425"/>
      <c r="CX177" s="433"/>
      <c r="CY177" s="434"/>
      <c r="CZ177" s="431"/>
      <c r="DA177" s="435"/>
      <c r="DB177" s="432">
        <v>2024</v>
      </c>
      <c r="DC177" s="425"/>
      <c r="DD177" s="433"/>
      <c r="DE177" s="425"/>
      <c r="DF177" s="433"/>
      <c r="DG177" s="434"/>
      <c r="DH177" s="431"/>
      <c r="DI177" s="435"/>
      <c r="DJ177" s="1805"/>
      <c r="DK177" s="1806"/>
      <c r="DL177" s="1807"/>
      <c r="DM177" s="1808"/>
      <c r="DN177" s="1810">
        <v>0</v>
      </c>
      <c r="DO177" s="1799">
        <v>0</v>
      </c>
      <c r="DP177" s="1800">
        <v>0</v>
      </c>
      <c r="DQ177" s="1799">
        <v>0</v>
      </c>
      <c r="DR177" s="1800">
        <v>0</v>
      </c>
      <c r="DS177" s="1799">
        <v>0</v>
      </c>
    </row>
    <row r="178" spans="1:123" ht="175.5">
      <c r="A178" s="1801" t="s">
        <v>1865</v>
      </c>
      <c r="B178" s="1788" t="s">
        <v>1869</v>
      </c>
      <c r="C178" s="426">
        <v>2022</v>
      </c>
      <c r="D178" s="417" t="s">
        <v>714</v>
      </c>
      <c r="E178" s="1802">
        <v>3054249</v>
      </c>
      <c r="F178" s="1803" t="s">
        <v>1869</v>
      </c>
      <c r="G178" s="419">
        <v>45131</v>
      </c>
      <c r="H178" s="1790" t="s">
        <v>1866</v>
      </c>
      <c r="I178" s="1791" t="s">
        <v>1867</v>
      </c>
      <c r="J178" s="1793" t="s">
        <v>1868</v>
      </c>
      <c r="K178" s="1788" t="s">
        <v>1869</v>
      </c>
      <c r="L178" s="1791" t="s">
        <v>1868</v>
      </c>
      <c r="M178" s="1793" t="s">
        <v>1870</v>
      </c>
      <c r="N178" s="1790" t="s">
        <v>57</v>
      </c>
      <c r="O178" s="1793" t="s">
        <v>62</v>
      </c>
      <c r="P178" s="420"/>
      <c r="Q178" s="421"/>
      <c r="R178" s="421" t="s">
        <v>717</v>
      </c>
      <c r="S178" s="422"/>
      <c r="T178" s="1794"/>
      <c r="U178" s="423"/>
      <c r="V178" s="424"/>
      <c r="W178" s="424"/>
      <c r="X178" s="425">
        <v>112</v>
      </c>
      <c r="Y178" s="426">
        <v>2022</v>
      </c>
      <c r="Z178" s="417">
        <v>2024</v>
      </c>
      <c r="AA178" s="1804">
        <v>2022</v>
      </c>
      <c r="AB178" s="427"/>
      <c r="AC178" s="1793"/>
      <c r="AD178" s="428" t="s">
        <v>5863</v>
      </c>
      <c r="AE178" s="1791" t="s">
        <v>1871</v>
      </c>
      <c r="AF178" s="1791" t="s">
        <v>1872</v>
      </c>
      <c r="AG178" s="1793" t="s">
        <v>1873</v>
      </c>
      <c r="AH178" s="428"/>
      <c r="AI178" s="1793"/>
      <c r="AJ178" s="429">
        <v>2021</v>
      </c>
      <c r="AK178" s="424">
        <v>0</v>
      </c>
      <c r="AL178" s="424"/>
      <c r="AM178" s="430"/>
      <c r="AN178" s="431"/>
      <c r="AO178" s="432">
        <v>2024</v>
      </c>
      <c r="AP178" s="425">
        <v>0</v>
      </c>
      <c r="AQ178" s="433"/>
      <c r="AR178" s="425">
        <v>0</v>
      </c>
      <c r="AS178" s="433"/>
      <c r="AT178" s="434"/>
      <c r="AU178" s="431"/>
      <c r="AV178" s="435"/>
      <c r="AW178" s="432">
        <v>2022</v>
      </c>
      <c r="AX178" s="425"/>
      <c r="AY178" s="433"/>
      <c r="AZ178" s="425"/>
      <c r="BA178" s="433"/>
      <c r="BB178" s="434"/>
      <c r="BC178" s="431"/>
      <c r="BD178" s="435"/>
      <c r="BE178" s="432">
        <v>2023</v>
      </c>
      <c r="BF178" s="425"/>
      <c r="BG178" s="433"/>
      <c r="BH178" s="425"/>
      <c r="BI178" s="433"/>
      <c r="BJ178" s="434"/>
      <c r="BK178" s="431"/>
      <c r="BL178" s="435"/>
      <c r="BM178" s="432">
        <v>2024</v>
      </c>
      <c r="BN178" s="425"/>
      <c r="BO178" s="433"/>
      <c r="BP178" s="425"/>
      <c r="BQ178" s="433"/>
      <c r="BR178" s="434"/>
      <c r="BS178" s="431"/>
      <c r="BT178" s="435"/>
      <c r="BU178" s="1805"/>
      <c r="BV178" s="1806"/>
      <c r="BW178" s="1807"/>
      <c r="BX178" s="1808"/>
      <c r="BY178" s="1809">
        <v>2021</v>
      </c>
      <c r="BZ178" s="424">
        <v>179</v>
      </c>
      <c r="CA178" s="424">
        <v>179</v>
      </c>
      <c r="CB178" s="430"/>
      <c r="CC178" s="431"/>
      <c r="CD178" s="432">
        <v>2024</v>
      </c>
      <c r="CE178" s="425">
        <v>161</v>
      </c>
      <c r="CF178" s="433">
        <v>10.050000000000001</v>
      </c>
      <c r="CG178" s="425">
        <v>161</v>
      </c>
      <c r="CH178" s="433">
        <v>10.050000000000001</v>
      </c>
      <c r="CI178" s="434"/>
      <c r="CJ178" s="431"/>
      <c r="CK178" s="435"/>
      <c r="CL178" s="432">
        <v>2022</v>
      </c>
      <c r="CM178" s="425">
        <v>199.29572559999997</v>
      </c>
      <c r="CN178" s="433">
        <v>-11.34</v>
      </c>
      <c r="CO178" s="425">
        <v>199.29572559999997</v>
      </c>
      <c r="CP178" s="433">
        <v>-11.34</v>
      </c>
      <c r="CQ178" s="434"/>
      <c r="CR178" s="431"/>
      <c r="CS178" s="435"/>
      <c r="CT178" s="432">
        <v>2023</v>
      </c>
      <c r="CU178" s="425"/>
      <c r="CV178" s="433"/>
      <c r="CW178" s="425"/>
      <c r="CX178" s="433"/>
      <c r="CY178" s="434"/>
      <c r="CZ178" s="431"/>
      <c r="DA178" s="435"/>
      <c r="DB178" s="432">
        <v>2024</v>
      </c>
      <c r="DC178" s="425"/>
      <c r="DD178" s="433"/>
      <c r="DE178" s="425"/>
      <c r="DF178" s="433"/>
      <c r="DG178" s="434"/>
      <c r="DH178" s="431"/>
      <c r="DI178" s="435"/>
      <c r="DJ178" s="1805" t="s">
        <v>676</v>
      </c>
      <c r="DK178" s="1806" t="s">
        <v>728</v>
      </c>
      <c r="DL178" s="1807" t="s">
        <v>678</v>
      </c>
      <c r="DM178" s="1808" t="s">
        <v>5039</v>
      </c>
      <c r="DN178" s="1810">
        <v>0</v>
      </c>
      <c r="DO178" s="1799">
        <v>0</v>
      </c>
      <c r="DP178" s="1800">
        <v>0</v>
      </c>
      <c r="DQ178" s="1799">
        <v>0</v>
      </c>
      <c r="DR178" s="1800">
        <v>0</v>
      </c>
      <c r="DS178" s="1799">
        <v>0</v>
      </c>
    </row>
    <row r="179" spans="1:123" ht="148.5">
      <c r="A179" s="1801" t="s">
        <v>1874</v>
      </c>
      <c r="B179" s="1788" t="s">
        <v>1875</v>
      </c>
      <c r="C179" s="426">
        <v>2022</v>
      </c>
      <c r="D179" s="417" t="s">
        <v>681</v>
      </c>
      <c r="E179" s="1802">
        <v>1037254</v>
      </c>
      <c r="F179" s="1803" t="s">
        <v>1875</v>
      </c>
      <c r="G179" s="419">
        <v>45134</v>
      </c>
      <c r="H179" s="1790" t="s">
        <v>1876</v>
      </c>
      <c r="I179" s="1791" t="s">
        <v>1875</v>
      </c>
      <c r="J179" s="1793" t="s">
        <v>1877</v>
      </c>
      <c r="K179" s="1788" t="s">
        <v>1875</v>
      </c>
      <c r="L179" s="1791" t="s">
        <v>1877</v>
      </c>
      <c r="M179" s="1793" t="s">
        <v>1876</v>
      </c>
      <c r="N179" s="1790" t="s">
        <v>42</v>
      </c>
      <c r="O179" s="1793" t="s">
        <v>43</v>
      </c>
      <c r="P179" s="420" t="s">
        <v>683</v>
      </c>
      <c r="Q179" s="421"/>
      <c r="R179" s="421"/>
      <c r="S179" s="422"/>
      <c r="T179" s="1794"/>
      <c r="U179" s="423">
        <v>6956.2991999999995</v>
      </c>
      <c r="V179" s="424">
        <v>597</v>
      </c>
      <c r="W179" s="424">
        <v>1</v>
      </c>
      <c r="X179" s="425"/>
      <c r="Y179" s="426">
        <v>2022</v>
      </c>
      <c r="Z179" s="417">
        <v>2024</v>
      </c>
      <c r="AA179" s="1804">
        <v>2022</v>
      </c>
      <c r="AB179" s="427" t="s">
        <v>5863</v>
      </c>
      <c r="AC179" s="1793" t="s">
        <v>1878</v>
      </c>
      <c r="AD179" s="428"/>
      <c r="AE179" s="1791"/>
      <c r="AF179" s="1791"/>
      <c r="AG179" s="1793"/>
      <c r="AH179" s="428"/>
      <c r="AI179" s="1793"/>
      <c r="AJ179" s="429">
        <v>2021</v>
      </c>
      <c r="AK179" s="424">
        <v>10966</v>
      </c>
      <c r="AL179" s="424">
        <v>11024</v>
      </c>
      <c r="AM179" s="430"/>
      <c r="AN179" s="431"/>
      <c r="AO179" s="432">
        <v>2024</v>
      </c>
      <c r="AP179" s="425">
        <v>12599</v>
      </c>
      <c r="AQ179" s="433">
        <v>-14.9</v>
      </c>
      <c r="AR179" s="425">
        <v>12662</v>
      </c>
      <c r="AS179" s="433">
        <v>-14.86</v>
      </c>
      <c r="AT179" s="434"/>
      <c r="AU179" s="431"/>
      <c r="AV179" s="435">
        <v>3</v>
      </c>
      <c r="AW179" s="432">
        <v>2022</v>
      </c>
      <c r="AX179" s="425">
        <v>12362</v>
      </c>
      <c r="AY179" s="433">
        <v>-12.74</v>
      </c>
      <c r="AZ179" s="425">
        <v>12334</v>
      </c>
      <c r="BA179" s="433">
        <v>-11.89</v>
      </c>
      <c r="BB179" s="434"/>
      <c r="BC179" s="431"/>
      <c r="BD179" s="435">
        <v>-6.2374207532663553</v>
      </c>
      <c r="BE179" s="432">
        <v>2023</v>
      </c>
      <c r="BF179" s="425"/>
      <c r="BG179" s="433"/>
      <c r="BH179" s="425"/>
      <c r="BI179" s="433"/>
      <c r="BJ179" s="434"/>
      <c r="BK179" s="431"/>
      <c r="BL179" s="435"/>
      <c r="BM179" s="432">
        <v>2024</v>
      </c>
      <c r="BN179" s="425"/>
      <c r="BO179" s="433"/>
      <c r="BP179" s="425"/>
      <c r="BQ179" s="433"/>
      <c r="BR179" s="434"/>
      <c r="BS179" s="431"/>
      <c r="BT179" s="435"/>
      <c r="BU179" s="1805" t="s">
        <v>676</v>
      </c>
      <c r="BV179" s="1806" t="s">
        <v>728</v>
      </c>
      <c r="BW179" s="1807" t="s">
        <v>678</v>
      </c>
      <c r="BX179" s="1808" t="s">
        <v>5040</v>
      </c>
      <c r="BY179" s="1809">
        <v>2021</v>
      </c>
      <c r="BZ179" s="424"/>
      <c r="CA179" s="424"/>
      <c r="CB179" s="430"/>
      <c r="CC179" s="431"/>
      <c r="CD179" s="432">
        <v>2024</v>
      </c>
      <c r="CE179" s="425"/>
      <c r="CF179" s="433"/>
      <c r="CG179" s="425"/>
      <c r="CH179" s="433"/>
      <c r="CI179" s="434"/>
      <c r="CJ179" s="431"/>
      <c r="CK179" s="435"/>
      <c r="CL179" s="432">
        <v>2022</v>
      </c>
      <c r="CM179" s="425">
        <v>0</v>
      </c>
      <c r="CN179" s="433"/>
      <c r="CO179" s="425">
        <v>0</v>
      </c>
      <c r="CP179" s="433"/>
      <c r="CQ179" s="434"/>
      <c r="CR179" s="431"/>
      <c r="CS179" s="435">
        <v>0</v>
      </c>
      <c r="CT179" s="432">
        <v>2023</v>
      </c>
      <c r="CU179" s="425"/>
      <c r="CV179" s="433"/>
      <c r="CW179" s="425"/>
      <c r="CX179" s="433"/>
      <c r="CY179" s="434"/>
      <c r="CZ179" s="431"/>
      <c r="DA179" s="435"/>
      <c r="DB179" s="432">
        <v>2024</v>
      </c>
      <c r="DC179" s="425"/>
      <c r="DD179" s="433"/>
      <c r="DE179" s="425"/>
      <c r="DF179" s="433"/>
      <c r="DG179" s="434"/>
      <c r="DH179" s="431"/>
      <c r="DI179" s="435"/>
      <c r="DJ179" s="1805"/>
      <c r="DK179" s="1806"/>
      <c r="DL179" s="1807"/>
      <c r="DM179" s="1808"/>
      <c r="DN179" s="1810">
        <v>0</v>
      </c>
      <c r="DO179" s="1799">
        <v>0</v>
      </c>
      <c r="DP179" s="1800">
        <v>0</v>
      </c>
      <c r="DQ179" s="1799">
        <v>0</v>
      </c>
      <c r="DR179" s="1800">
        <v>0</v>
      </c>
      <c r="DS179" s="1799">
        <v>0</v>
      </c>
    </row>
    <row r="180" spans="1:123" ht="94.5">
      <c r="A180" s="1801" t="s">
        <v>1879</v>
      </c>
      <c r="B180" s="1788" t="s">
        <v>1880</v>
      </c>
      <c r="C180" s="426">
        <v>2022</v>
      </c>
      <c r="D180" s="417" t="s">
        <v>681</v>
      </c>
      <c r="E180" s="1802">
        <v>1017255</v>
      </c>
      <c r="F180" s="1803" t="s">
        <v>1880</v>
      </c>
      <c r="G180" s="419">
        <v>45138</v>
      </c>
      <c r="H180" s="1790" t="s">
        <v>1881</v>
      </c>
      <c r="I180" s="1791" t="s">
        <v>1880</v>
      </c>
      <c r="J180" s="1793" t="s">
        <v>1882</v>
      </c>
      <c r="K180" s="1788" t="s">
        <v>1880</v>
      </c>
      <c r="L180" s="1791" t="s">
        <v>1883</v>
      </c>
      <c r="M180" s="1793" t="s">
        <v>1881</v>
      </c>
      <c r="N180" s="1790" t="s">
        <v>12</v>
      </c>
      <c r="O180" s="1793" t="s">
        <v>21</v>
      </c>
      <c r="P180" s="420" t="s">
        <v>683</v>
      </c>
      <c r="Q180" s="421"/>
      <c r="R180" s="421"/>
      <c r="S180" s="422"/>
      <c r="T180" s="1794"/>
      <c r="U180" s="423">
        <v>1275203.7774</v>
      </c>
      <c r="V180" s="424">
        <v>5</v>
      </c>
      <c r="W180" s="424">
        <v>3</v>
      </c>
      <c r="X180" s="425"/>
      <c r="Y180" s="426">
        <v>2022</v>
      </c>
      <c r="Z180" s="417">
        <v>2024</v>
      </c>
      <c r="AA180" s="1804">
        <v>2022</v>
      </c>
      <c r="AB180" s="427" t="s">
        <v>5863</v>
      </c>
      <c r="AC180" s="1793" t="s">
        <v>1884</v>
      </c>
      <c r="AD180" s="428"/>
      <c r="AE180" s="1791"/>
      <c r="AF180" s="1791"/>
      <c r="AG180" s="1793"/>
      <c r="AH180" s="428"/>
      <c r="AI180" s="1793"/>
      <c r="AJ180" s="429">
        <v>2021</v>
      </c>
      <c r="AK180" s="424">
        <v>2236057</v>
      </c>
      <c r="AL180" s="424">
        <v>2235699</v>
      </c>
      <c r="AM180" s="430"/>
      <c r="AN180" s="431"/>
      <c r="AO180" s="432">
        <v>2024</v>
      </c>
      <c r="AP180" s="425">
        <v>2168975.29</v>
      </c>
      <c r="AQ180" s="433">
        <v>3</v>
      </c>
      <c r="AR180" s="425">
        <v>2168628.0299999998</v>
      </c>
      <c r="AS180" s="433">
        <v>3</v>
      </c>
      <c r="AT180" s="434"/>
      <c r="AU180" s="431"/>
      <c r="AV180" s="435"/>
      <c r="AW180" s="432">
        <v>2022</v>
      </c>
      <c r="AX180" s="425">
        <v>1812134</v>
      </c>
      <c r="AY180" s="433">
        <v>18.95</v>
      </c>
      <c r="AZ180" s="425">
        <v>1812831</v>
      </c>
      <c r="BA180" s="433">
        <v>18.91</v>
      </c>
      <c r="BB180" s="434"/>
      <c r="BC180" s="431"/>
      <c r="BD180" s="435"/>
      <c r="BE180" s="432">
        <v>2023</v>
      </c>
      <c r="BF180" s="425"/>
      <c r="BG180" s="433"/>
      <c r="BH180" s="425"/>
      <c r="BI180" s="433"/>
      <c r="BJ180" s="434"/>
      <c r="BK180" s="431"/>
      <c r="BL180" s="435"/>
      <c r="BM180" s="432">
        <v>2024</v>
      </c>
      <c r="BN180" s="425"/>
      <c r="BO180" s="433"/>
      <c r="BP180" s="425"/>
      <c r="BQ180" s="433"/>
      <c r="BR180" s="434"/>
      <c r="BS180" s="431"/>
      <c r="BT180" s="435"/>
      <c r="BU180" s="1805" t="s">
        <v>687</v>
      </c>
      <c r="BV180" s="1806" t="s">
        <v>728</v>
      </c>
      <c r="BW180" s="1807" t="s">
        <v>697</v>
      </c>
      <c r="BX180" s="1808" t="s">
        <v>5041</v>
      </c>
      <c r="BY180" s="1809">
        <v>2021</v>
      </c>
      <c r="BZ180" s="424"/>
      <c r="CA180" s="424"/>
      <c r="CB180" s="430"/>
      <c r="CC180" s="431"/>
      <c r="CD180" s="432">
        <v>2024</v>
      </c>
      <c r="CE180" s="425"/>
      <c r="CF180" s="433"/>
      <c r="CG180" s="425"/>
      <c r="CH180" s="433"/>
      <c r="CI180" s="434"/>
      <c r="CJ180" s="431"/>
      <c r="CK180" s="435"/>
      <c r="CL180" s="432">
        <v>2022</v>
      </c>
      <c r="CM180" s="425">
        <v>0</v>
      </c>
      <c r="CN180" s="433"/>
      <c r="CO180" s="425">
        <v>0</v>
      </c>
      <c r="CP180" s="433"/>
      <c r="CQ180" s="434"/>
      <c r="CR180" s="431"/>
      <c r="CS180" s="435"/>
      <c r="CT180" s="432">
        <v>2023</v>
      </c>
      <c r="CU180" s="425"/>
      <c r="CV180" s="433"/>
      <c r="CW180" s="425"/>
      <c r="CX180" s="433"/>
      <c r="CY180" s="434"/>
      <c r="CZ180" s="431"/>
      <c r="DA180" s="435"/>
      <c r="DB180" s="432">
        <v>2024</v>
      </c>
      <c r="DC180" s="425"/>
      <c r="DD180" s="433"/>
      <c r="DE180" s="425"/>
      <c r="DF180" s="433"/>
      <c r="DG180" s="434"/>
      <c r="DH180" s="431"/>
      <c r="DI180" s="435"/>
      <c r="DJ180" s="1805"/>
      <c r="DK180" s="1806"/>
      <c r="DL180" s="1807"/>
      <c r="DM180" s="1808"/>
      <c r="DN180" s="1810">
        <v>0</v>
      </c>
      <c r="DO180" s="1799">
        <v>0</v>
      </c>
      <c r="DP180" s="1800">
        <v>0</v>
      </c>
      <c r="DQ180" s="1799">
        <v>0</v>
      </c>
      <c r="DR180" s="1800">
        <v>0</v>
      </c>
      <c r="DS180" s="1799">
        <v>0</v>
      </c>
    </row>
    <row r="181" spans="1:123" ht="108">
      <c r="A181" s="1801" t="s">
        <v>1885</v>
      </c>
      <c r="B181" s="1788" t="s">
        <v>1886</v>
      </c>
      <c r="C181" s="426">
        <v>2022</v>
      </c>
      <c r="D181" s="417" t="s">
        <v>681</v>
      </c>
      <c r="E181" s="1802">
        <v>1009256</v>
      </c>
      <c r="F181" s="1803" t="s">
        <v>1886</v>
      </c>
      <c r="G181" s="419">
        <v>45135</v>
      </c>
      <c r="H181" s="1790" t="s">
        <v>1887</v>
      </c>
      <c r="I181" s="1791" t="s">
        <v>1886</v>
      </c>
      <c r="J181" s="1793" t="s">
        <v>1888</v>
      </c>
      <c r="K181" s="1788" t="s">
        <v>1886</v>
      </c>
      <c r="L181" s="1791" t="s">
        <v>1889</v>
      </c>
      <c r="M181" s="1793" t="s">
        <v>1890</v>
      </c>
      <c r="N181" s="1790" t="s">
        <v>12</v>
      </c>
      <c r="O181" s="1793" t="s">
        <v>13</v>
      </c>
      <c r="P181" s="420" t="s">
        <v>683</v>
      </c>
      <c r="Q181" s="421"/>
      <c r="R181" s="421"/>
      <c r="S181" s="422"/>
      <c r="T181" s="1794"/>
      <c r="U181" s="423">
        <v>2348.6256000000003</v>
      </c>
      <c r="V181" s="424">
        <v>4</v>
      </c>
      <c r="W181" s="424">
        <v>2</v>
      </c>
      <c r="X181" s="425"/>
      <c r="Y181" s="426">
        <v>2022</v>
      </c>
      <c r="Z181" s="417">
        <v>2024</v>
      </c>
      <c r="AA181" s="1804">
        <v>2022</v>
      </c>
      <c r="AB181" s="427"/>
      <c r="AC181" s="1793"/>
      <c r="AD181" s="428" t="s">
        <v>5863</v>
      </c>
      <c r="AE181" s="1791" t="s">
        <v>1891</v>
      </c>
      <c r="AF181" s="1791" t="s">
        <v>1890</v>
      </c>
      <c r="AG181" s="1793" t="s">
        <v>1892</v>
      </c>
      <c r="AH181" s="428"/>
      <c r="AI181" s="1793"/>
      <c r="AJ181" s="429">
        <v>2021</v>
      </c>
      <c r="AK181" s="424">
        <v>3827</v>
      </c>
      <c r="AL181" s="424">
        <v>3285</v>
      </c>
      <c r="AM181" s="430"/>
      <c r="AN181" s="431"/>
      <c r="AO181" s="432">
        <v>2024</v>
      </c>
      <c r="AP181" s="425">
        <v>3355</v>
      </c>
      <c r="AQ181" s="433">
        <v>12.33</v>
      </c>
      <c r="AR181" s="425">
        <v>2918.73</v>
      </c>
      <c r="AS181" s="433">
        <v>11.14</v>
      </c>
      <c r="AT181" s="434"/>
      <c r="AU181" s="431"/>
      <c r="AV181" s="435">
        <v>3</v>
      </c>
      <c r="AW181" s="432">
        <v>2022</v>
      </c>
      <c r="AX181" s="425">
        <v>4270</v>
      </c>
      <c r="AY181" s="433">
        <v>-11.58</v>
      </c>
      <c r="AZ181" s="425">
        <v>4318</v>
      </c>
      <c r="BA181" s="433">
        <v>-31.45</v>
      </c>
      <c r="BB181" s="434"/>
      <c r="BC181" s="431"/>
      <c r="BD181" s="435">
        <v>-9.3448182865815266</v>
      </c>
      <c r="BE181" s="432">
        <v>2023</v>
      </c>
      <c r="BF181" s="425"/>
      <c r="BG181" s="433"/>
      <c r="BH181" s="425"/>
      <c r="BI181" s="433"/>
      <c r="BJ181" s="434"/>
      <c r="BK181" s="431"/>
      <c r="BL181" s="435"/>
      <c r="BM181" s="432">
        <v>2024</v>
      </c>
      <c r="BN181" s="425"/>
      <c r="BO181" s="433"/>
      <c r="BP181" s="425"/>
      <c r="BQ181" s="433"/>
      <c r="BR181" s="434"/>
      <c r="BS181" s="431"/>
      <c r="BT181" s="435"/>
      <c r="BU181" s="1805" t="s">
        <v>676</v>
      </c>
      <c r="BV181" s="1806" t="s">
        <v>677</v>
      </c>
      <c r="BW181" s="1807" t="s">
        <v>678</v>
      </c>
      <c r="BX181" s="1808" t="s">
        <v>5042</v>
      </c>
      <c r="BY181" s="1809">
        <v>2021</v>
      </c>
      <c r="BZ181" s="424"/>
      <c r="CA181" s="424"/>
      <c r="CB181" s="430"/>
      <c r="CC181" s="431"/>
      <c r="CD181" s="432">
        <v>2024</v>
      </c>
      <c r="CE181" s="425"/>
      <c r="CF181" s="433"/>
      <c r="CG181" s="425"/>
      <c r="CH181" s="433"/>
      <c r="CI181" s="434"/>
      <c r="CJ181" s="431"/>
      <c r="CK181" s="435"/>
      <c r="CL181" s="432">
        <v>2022</v>
      </c>
      <c r="CM181" s="425">
        <v>0</v>
      </c>
      <c r="CN181" s="433"/>
      <c r="CO181" s="425">
        <v>0</v>
      </c>
      <c r="CP181" s="433"/>
      <c r="CQ181" s="434"/>
      <c r="CR181" s="431"/>
      <c r="CS181" s="435"/>
      <c r="CT181" s="432">
        <v>2023</v>
      </c>
      <c r="CU181" s="425"/>
      <c r="CV181" s="433"/>
      <c r="CW181" s="425"/>
      <c r="CX181" s="433"/>
      <c r="CY181" s="434"/>
      <c r="CZ181" s="431"/>
      <c r="DA181" s="435"/>
      <c r="DB181" s="432">
        <v>2024</v>
      </c>
      <c r="DC181" s="425"/>
      <c r="DD181" s="433"/>
      <c r="DE181" s="425"/>
      <c r="DF181" s="433"/>
      <c r="DG181" s="434"/>
      <c r="DH181" s="431"/>
      <c r="DI181" s="435"/>
      <c r="DJ181" s="1805"/>
      <c r="DK181" s="1806"/>
      <c r="DL181" s="1807"/>
      <c r="DM181" s="1808"/>
      <c r="DN181" s="1810">
        <v>0</v>
      </c>
      <c r="DO181" s="1799">
        <v>0</v>
      </c>
      <c r="DP181" s="1800">
        <v>0</v>
      </c>
      <c r="DQ181" s="1799">
        <v>0</v>
      </c>
      <c r="DR181" s="1800">
        <v>0</v>
      </c>
      <c r="DS181" s="1799">
        <v>0</v>
      </c>
    </row>
    <row r="182" spans="1:123" ht="81">
      <c r="A182" s="1801" t="s">
        <v>1893</v>
      </c>
      <c r="B182" s="1788" t="s">
        <v>1894</v>
      </c>
      <c r="C182" s="426">
        <v>2022</v>
      </c>
      <c r="D182" s="417" t="s">
        <v>681</v>
      </c>
      <c r="E182" s="1802">
        <v>1058257</v>
      </c>
      <c r="F182" s="1803" t="s">
        <v>1894</v>
      </c>
      <c r="G182" s="419">
        <v>45127</v>
      </c>
      <c r="H182" s="1790" t="s">
        <v>1895</v>
      </c>
      <c r="I182" s="1791" t="s">
        <v>1894</v>
      </c>
      <c r="J182" s="1793" t="s">
        <v>1896</v>
      </c>
      <c r="K182" s="1788" t="s">
        <v>1894</v>
      </c>
      <c r="L182" s="1791" t="s">
        <v>1896</v>
      </c>
      <c r="M182" s="1793" t="s">
        <v>1895</v>
      </c>
      <c r="N182" s="1790" t="s">
        <v>57</v>
      </c>
      <c r="O182" s="1793" t="s">
        <v>66</v>
      </c>
      <c r="P182" s="420" t="s">
        <v>683</v>
      </c>
      <c r="Q182" s="421"/>
      <c r="R182" s="421"/>
      <c r="S182" s="422"/>
      <c r="T182" s="1794"/>
      <c r="U182" s="423">
        <v>1999.2936</v>
      </c>
      <c r="V182" s="424">
        <v>7</v>
      </c>
      <c r="W182" s="424">
        <v>0</v>
      </c>
      <c r="X182" s="425"/>
      <c r="Y182" s="426">
        <v>2022</v>
      </c>
      <c r="Z182" s="417">
        <v>2024</v>
      </c>
      <c r="AA182" s="1804">
        <v>2022</v>
      </c>
      <c r="AB182" s="427"/>
      <c r="AC182" s="1793"/>
      <c r="AD182" s="428" t="s">
        <v>5863</v>
      </c>
      <c r="AE182" s="1791" t="s">
        <v>1897</v>
      </c>
      <c r="AF182" s="1791" t="s">
        <v>1895</v>
      </c>
      <c r="AG182" s="1793" t="s">
        <v>1898</v>
      </c>
      <c r="AH182" s="428"/>
      <c r="AI182" s="1793"/>
      <c r="AJ182" s="429">
        <v>2021</v>
      </c>
      <c r="AK182" s="424">
        <v>3889</v>
      </c>
      <c r="AL182" s="424">
        <v>3864</v>
      </c>
      <c r="AM182" s="430"/>
      <c r="AN182" s="431"/>
      <c r="AO182" s="432">
        <v>2024</v>
      </c>
      <c r="AP182" s="425">
        <v>3772</v>
      </c>
      <c r="AQ182" s="433">
        <v>3</v>
      </c>
      <c r="AR182" s="425">
        <v>3748</v>
      </c>
      <c r="AS182" s="433">
        <v>3</v>
      </c>
      <c r="AT182" s="434"/>
      <c r="AU182" s="431"/>
      <c r="AV182" s="435"/>
      <c r="AW182" s="432">
        <v>2022</v>
      </c>
      <c r="AX182" s="425">
        <v>3739</v>
      </c>
      <c r="AY182" s="433">
        <v>3.85</v>
      </c>
      <c r="AZ182" s="425">
        <v>3807</v>
      </c>
      <c r="BA182" s="433">
        <v>1.47</v>
      </c>
      <c r="BB182" s="434"/>
      <c r="BC182" s="431"/>
      <c r="BD182" s="435"/>
      <c r="BE182" s="432">
        <v>2023</v>
      </c>
      <c r="BF182" s="425"/>
      <c r="BG182" s="433"/>
      <c r="BH182" s="425"/>
      <c r="BI182" s="433"/>
      <c r="BJ182" s="434"/>
      <c r="BK182" s="431"/>
      <c r="BL182" s="435"/>
      <c r="BM182" s="432">
        <v>2024</v>
      </c>
      <c r="BN182" s="425"/>
      <c r="BO182" s="433"/>
      <c r="BP182" s="425"/>
      <c r="BQ182" s="433"/>
      <c r="BR182" s="434"/>
      <c r="BS182" s="431"/>
      <c r="BT182" s="435"/>
      <c r="BU182" s="1805" t="s">
        <v>719</v>
      </c>
      <c r="BV182" s="1806" t="s">
        <v>728</v>
      </c>
      <c r="BW182" s="1807" t="s">
        <v>688</v>
      </c>
      <c r="BX182" s="1808" t="s">
        <v>5043</v>
      </c>
      <c r="BY182" s="1809">
        <v>2021</v>
      </c>
      <c r="BZ182" s="424"/>
      <c r="CA182" s="424"/>
      <c r="CB182" s="430"/>
      <c r="CC182" s="431"/>
      <c r="CD182" s="432">
        <v>2024</v>
      </c>
      <c r="CE182" s="425"/>
      <c r="CF182" s="433"/>
      <c r="CG182" s="425"/>
      <c r="CH182" s="433"/>
      <c r="CI182" s="434"/>
      <c r="CJ182" s="431"/>
      <c r="CK182" s="435"/>
      <c r="CL182" s="432">
        <v>2022</v>
      </c>
      <c r="CM182" s="425">
        <v>0</v>
      </c>
      <c r="CN182" s="433"/>
      <c r="CO182" s="425">
        <v>0</v>
      </c>
      <c r="CP182" s="433"/>
      <c r="CQ182" s="434"/>
      <c r="CR182" s="431"/>
      <c r="CS182" s="435">
        <v>0</v>
      </c>
      <c r="CT182" s="432">
        <v>2023</v>
      </c>
      <c r="CU182" s="425"/>
      <c r="CV182" s="433"/>
      <c r="CW182" s="425"/>
      <c r="CX182" s="433"/>
      <c r="CY182" s="434"/>
      <c r="CZ182" s="431"/>
      <c r="DA182" s="435"/>
      <c r="DB182" s="432">
        <v>2024</v>
      </c>
      <c r="DC182" s="425"/>
      <c r="DD182" s="433"/>
      <c r="DE182" s="425"/>
      <c r="DF182" s="433"/>
      <c r="DG182" s="434"/>
      <c r="DH182" s="431"/>
      <c r="DI182" s="435"/>
      <c r="DJ182" s="1805"/>
      <c r="DK182" s="1806"/>
      <c r="DL182" s="1807"/>
      <c r="DM182" s="1808"/>
      <c r="DN182" s="1810">
        <v>0</v>
      </c>
      <c r="DO182" s="1799">
        <v>0</v>
      </c>
      <c r="DP182" s="1800">
        <v>0</v>
      </c>
      <c r="DQ182" s="1799">
        <v>0</v>
      </c>
      <c r="DR182" s="1800">
        <v>0</v>
      </c>
      <c r="DS182" s="1799">
        <v>0</v>
      </c>
    </row>
    <row r="183" spans="1:123" ht="94.5">
      <c r="A183" s="1801" t="s">
        <v>1899</v>
      </c>
      <c r="B183" s="1788" t="s">
        <v>1900</v>
      </c>
      <c r="C183" s="426">
        <v>2022</v>
      </c>
      <c r="D183" s="417" t="s">
        <v>891</v>
      </c>
      <c r="E183" s="1802">
        <v>1398258</v>
      </c>
      <c r="F183" s="1803" t="s">
        <v>1900</v>
      </c>
      <c r="G183" s="419">
        <v>45135</v>
      </c>
      <c r="H183" s="1790" t="s">
        <v>1901</v>
      </c>
      <c r="I183" s="1791" t="s">
        <v>1900</v>
      </c>
      <c r="J183" s="1793" t="s">
        <v>5044</v>
      </c>
      <c r="K183" s="1788" t="s">
        <v>1900</v>
      </c>
      <c r="L183" s="1791" t="s">
        <v>5044</v>
      </c>
      <c r="M183" s="1793" t="s">
        <v>1901</v>
      </c>
      <c r="N183" s="1790" t="s">
        <v>112</v>
      </c>
      <c r="O183" s="1793" t="s">
        <v>114</v>
      </c>
      <c r="P183" s="420" t="s">
        <v>683</v>
      </c>
      <c r="Q183" s="421"/>
      <c r="R183" s="421" t="s">
        <v>717</v>
      </c>
      <c r="S183" s="422"/>
      <c r="T183" s="1794"/>
      <c r="U183" s="423">
        <v>9791.8739999999998</v>
      </c>
      <c r="V183" s="424">
        <v>253</v>
      </c>
      <c r="W183" s="424">
        <v>2</v>
      </c>
      <c r="X183" s="425">
        <v>1416</v>
      </c>
      <c r="Y183" s="426">
        <v>2022</v>
      </c>
      <c r="Z183" s="417">
        <v>2024</v>
      </c>
      <c r="AA183" s="1804">
        <v>2022</v>
      </c>
      <c r="AB183" s="427"/>
      <c r="AC183" s="1793"/>
      <c r="AD183" s="428" t="s">
        <v>5863</v>
      </c>
      <c r="AE183" s="1791" t="s">
        <v>1902</v>
      </c>
      <c r="AF183" s="1791" t="s">
        <v>1901</v>
      </c>
      <c r="AG183" s="1793" t="s">
        <v>1903</v>
      </c>
      <c r="AH183" s="428"/>
      <c r="AI183" s="1793"/>
      <c r="AJ183" s="429">
        <v>2021</v>
      </c>
      <c r="AK183" s="424">
        <v>20275</v>
      </c>
      <c r="AL183" s="424">
        <v>20074</v>
      </c>
      <c r="AM183" s="430"/>
      <c r="AN183" s="431"/>
      <c r="AO183" s="432">
        <v>2024</v>
      </c>
      <c r="AP183" s="425">
        <v>19667</v>
      </c>
      <c r="AQ183" s="433">
        <v>2.99</v>
      </c>
      <c r="AR183" s="425">
        <v>19471</v>
      </c>
      <c r="AS183" s="433">
        <v>3</v>
      </c>
      <c r="AT183" s="434"/>
      <c r="AU183" s="431"/>
      <c r="AV183" s="435"/>
      <c r="AW183" s="432">
        <v>2022</v>
      </c>
      <c r="AX183" s="425">
        <v>18059</v>
      </c>
      <c r="AY183" s="433">
        <v>10.92</v>
      </c>
      <c r="AZ183" s="425">
        <v>20620</v>
      </c>
      <c r="BA183" s="433">
        <v>-2.72</v>
      </c>
      <c r="BB183" s="434"/>
      <c r="BC183" s="431"/>
      <c r="BD183" s="435"/>
      <c r="BE183" s="432">
        <v>2023</v>
      </c>
      <c r="BF183" s="425"/>
      <c r="BG183" s="433"/>
      <c r="BH183" s="425"/>
      <c r="BI183" s="433"/>
      <c r="BJ183" s="434"/>
      <c r="BK183" s="431"/>
      <c r="BL183" s="435"/>
      <c r="BM183" s="432">
        <v>2024</v>
      </c>
      <c r="BN183" s="425"/>
      <c r="BO183" s="433"/>
      <c r="BP183" s="425"/>
      <c r="BQ183" s="433"/>
      <c r="BR183" s="434"/>
      <c r="BS183" s="431"/>
      <c r="BT183" s="435"/>
      <c r="BU183" s="1805" t="s">
        <v>676</v>
      </c>
      <c r="BV183" s="1806" t="s">
        <v>728</v>
      </c>
      <c r="BW183" s="1807" t="s">
        <v>688</v>
      </c>
      <c r="BX183" s="1808" t="s">
        <v>5045</v>
      </c>
      <c r="BY183" s="1809">
        <v>2021</v>
      </c>
      <c r="BZ183" s="424">
        <v>4371</v>
      </c>
      <c r="CA183" s="424">
        <v>4371</v>
      </c>
      <c r="CB183" s="430"/>
      <c r="CC183" s="431"/>
      <c r="CD183" s="432">
        <v>2024</v>
      </c>
      <c r="CE183" s="425">
        <v>4371</v>
      </c>
      <c r="CF183" s="433">
        <v>0</v>
      </c>
      <c r="CG183" s="425">
        <v>4371</v>
      </c>
      <c r="CH183" s="433">
        <v>0</v>
      </c>
      <c r="CI183" s="434"/>
      <c r="CJ183" s="431"/>
      <c r="CK183" s="435"/>
      <c r="CL183" s="432">
        <v>2022</v>
      </c>
      <c r="CM183" s="425">
        <v>4591.9680199999993</v>
      </c>
      <c r="CN183" s="433">
        <v>-5.0599999999999996</v>
      </c>
      <c r="CO183" s="425">
        <v>4591.9680199999993</v>
      </c>
      <c r="CP183" s="433">
        <v>-5.0599999999999996</v>
      </c>
      <c r="CQ183" s="434"/>
      <c r="CR183" s="431"/>
      <c r="CS183" s="435"/>
      <c r="CT183" s="432">
        <v>2023</v>
      </c>
      <c r="CU183" s="425"/>
      <c r="CV183" s="433"/>
      <c r="CW183" s="425"/>
      <c r="CX183" s="433"/>
      <c r="CY183" s="434"/>
      <c r="CZ183" s="431"/>
      <c r="DA183" s="435"/>
      <c r="DB183" s="432">
        <v>2024</v>
      </c>
      <c r="DC183" s="425"/>
      <c r="DD183" s="433"/>
      <c r="DE183" s="425"/>
      <c r="DF183" s="433"/>
      <c r="DG183" s="434"/>
      <c r="DH183" s="431"/>
      <c r="DI183" s="435"/>
      <c r="DJ183" s="1805" t="s">
        <v>676</v>
      </c>
      <c r="DK183" s="1806" t="s">
        <v>728</v>
      </c>
      <c r="DL183" s="1807" t="s">
        <v>688</v>
      </c>
      <c r="DM183" s="1808" t="s">
        <v>5046</v>
      </c>
      <c r="DN183" s="1810">
        <v>2</v>
      </c>
      <c r="DO183" s="1799">
        <v>2</v>
      </c>
      <c r="DP183" s="1800">
        <v>0</v>
      </c>
      <c r="DQ183" s="1799">
        <v>0</v>
      </c>
      <c r="DR183" s="1800">
        <v>0</v>
      </c>
      <c r="DS183" s="1799">
        <v>0</v>
      </c>
    </row>
    <row r="184" spans="1:123" ht="94.5">
      <c r="A184" s="1801" t="s">
        <v>1904</v>
      </c>
      <c r="B184" s="1788" t="s">
        <v>1905</v>
      </c>
      <c r="C184" s="426">
        <v>2022</v>
      </c>
      <c r="D184" s="417" t="s">
        <v>681</v>
      </c>
      <c r="E184" s="1802">
        <v>1056260</v>
      </c>
      <c r="F184" s="1803" t="s">
        <v>1905</v>
      </c>
      <c r="G184" s="419">
        <v>45140</v>
      </c>
      <c r="H184" s="1790" t="s">
        <v>1906</v>
      </c>
      <c r="I184" s="1791" t="s">
        <v>1905</v>
      </c>
      <c r="J184" s="1793" t="s">
        <v>1907</v>
      </c>
      <c r="K184" s="1788" t="s">
        <v>1905</v>
      </c>
      <c r="L184" s="1791" t="s">
        <v>1907</v>
      </c>
      <c r="M184" s="1793" t="s">
        <v>1906</v>
      </c>
      <c r="N184" s="1790" t="s">
        <v>57</v>
      </c>
      <c r="O184" s="1793" t="s">
        <v>64</v>
      </c>
      <c r="P184" s="420" t="s">
        <v>683</v>
      </c>
      <c r="Q184" s="421"/>
      <c r="R184" s="421"/>
      <c r="S184" s="422"/>
      <c r="T184" s="1794"/>
      <c r="U184" s="423">
        <v>6722.8607999999995</v>
      </c>
      <c r="V184" s="424">
        <v>45</v>
      </c>
      <c r="W184" s="424">
        <v>2</v>
      </c>
      <c r="X184" s="425"/>
      <c r="Y184" s="426">
        <v>2022</v>
      </c>
      <c r="Z184" s="417">
        <v>2024</v>
      </c>
      <c r="AA184" s="1804">
        <v>2022</v>
      </c>
      <c r="AB184" s="427"/>
      <c r="AC184" s="1793"/>
      <c r="AD184" s="428" t="s">
        <v>5863</v>
      </c>
      <c r="AE184" s="1791" t="s">
        <v>1908</v>
      </c>
      <c r="AF184" s="1791" t="s">
        <v>1906</v>
      </c>
      <c r="AG184" s="1793" t="s">
        <v>1909</v>
      </c>
      <c r="AH184" s="428"/>
      <c r="AI184" s="1793"/>
      <c r="AJ184" s="429">
        <v>2021</v>
      </c>
      <c r="AK184" s="424">
        <v>12537</v>
      </c>
      <c r="AL184" s="424">
        <v>11769</v>
      </c>
      <c r="AM184" s="430">
        <v>154.46</v>
      </c>
      <c r="AN184" s="431" t="s">
        <v>727</v>
      </c>
      <c r="AO184" s="432">
        <v>2024</v>
      </c>
      <c r="AP184" s="425">
        <v>12160.89</v>
      </c>
      <c r="AQ184" s="433">
        <v>3</v>
      </c>
      <c r="AR184" s="425">
        <v>11415.93</v>
      </c>
      <c r="AS184" s="433">
        <v>3</v>
      </c>
      <c r="AT184" s="434">
        <v>149.8262</v>
      </c>
      <c r="AU184" s="431" t="s">
        <v>727</v>
      </c>
      <c r="AV184" s="435">
        <v>3</v>
      </c>
      <c r="AW184" s="432">
        <v>2022</v>
      </c>
      <c r="AX184" s="425">
        <v>12097</v>
      </c>
      <c r="AY184" s="433">
        <v>3.5</v>
      </c>
      <c r="AZ184" s="425">
        <v>11397</v>
      </c>
      <c r="BA184" s="433">
        <v>3.16</v>
      </c>
      <c r="BB184" s="434">
        <v>146.94799569104794</v>
      </c>
      <c r="BC184" s="431" t="s">
        <v>727</v>
      </c>
      <c r="BD184" s="435">
        <v>4.8600000000000003</v>
      </c>
      <c r="BE184" s="432">
        <v>2023</v>
      </c>
      <c r="BF184" s="425"/>
      <c r="BG184" s="433"/>
      <c r="BH184" s="425"/>
      <c r="BI184" s="433"/>
      <c r="BJ184" s="434"/>
      <c r="BK184" s="431"/>
      <c r="BL184" s="435"/>
      <c r="BM184" s="432">
        <v>2024</v>
      </c>
      <c r="BN184" s="425"/>
      <c r="BO184" s="433"/>
      <c r="BP184" s="425"/>
      <c r="BQ184" s="433"/>
      <c r="BR184" s="434"/>
      <c r="BS184" s="431"/>
      <c r="BT184" s="435"/>
      <c r="BU184" s="1805" t="s">
        <v>687</v>
      </c>
      <c r="BV184" s="1806" t="s">
        <v>728</v>
      </c>
      <c r="BW184" s="1807" t="s">
        <v>678</v>
      </c>
      <c r="BX184" s="1808" t="s">
        <v>5047</v>
      </c>
      <c r="BY184" s="1809">
        <v>2021</v>
      </c>
      <c r="BZ184" s="424"/>
      <c r="CA184" s="424"/>
      <c r="CB184" s="430"/>
      <c r="CC184" s="431"/>
      <c r="CD184" s="432">
        <v>2024</v>
      </c>
      <c r="CE184" s="425"/>
      <c r="CF184" s="433"/>
      <c r="CG184" s="425"/>
      <c r="CH184" s="433"/>
      <c r="CI184" s="434"/>
      <c r="CJ184" s="431"/>
      <c r="CK184" s="435"/>
      <c r="CL184" s="432">
        <v>2022</v>
      </c>
      <c r="CM184" s="425">
        <v>0</v>
      </c>
      <c r="CN184" s="433"/>
      <c r="CO184" s="425">
        <v>0</v>
      </c>
      <c r="CP184" s="433"/>
      <c r="CQ184" s="434"/>
      <c r="CR184" s="431"/>
      <c r="CS184" s="435">
        <v>0</v>
      </c>
      <c r="CT184" s="432">
        <v>2023</v>
      </c>
      <c r="CU184" s="425"/>
      <c r="CV184" s="433"/>
      <c r="CW184" s="425"/>
      <c r="CX184" s="433"/>
      <c r="CY184" s="434"/>
      <c r="CZ184" s="431"/>
      <c r="DA184" s="435"/>
      <c r="DB184" s="432">
        <v>2024</v>
      </c>
      <c r="DC184" s="425"/>
      <c r="DD184" s="433"/>
      <c r="DE184" s="425"/>
      <c r="DF184" s="433"/>
      <c r="DG184" s="434"/>
      <c r="DH184" s="431"/>
      <c r="DI184" s="435"/>
      <c r="DJ184" s="1805"/>
      <c r="DK184" s="1806"/>
      <c r="DL184" s="1807"/>
      <c r="DM184" s="1808"/>
      <c r="DN184" s="1810">
        <v>0</v>
      </c>
      <c r="DO184" s="1799">
        <v>0</v>
      </c>
      <c r="DP184" s="1800">
        <v>0</v>
      </c>
      <c r="DQ184" s="1799">
        <v>0</v>
      </c>
      <c r="DR184" s="1800">
        <v>0</v>
      </c>
      <c r="DS184" s="1799">
        <v>0</v>
      </c>
    </row>
    <row r="185" spans="1:123" ht="121.5">
      <c r="A185" s="1801" t="s">
        <v>1910</v>
      </c>
      <c r="B185" s="1788" t="s">
        <v>1911</v>
      </c>
      <c r="C185" s="426">
        <v>2022</v>
      </c>
      <c r="D185" s="417" t="s">
        <v>714</v>
      </c>
      <c r="E185" s="1802">
        <v>3067261</v>
      </c>
      <c r="F185" s="1803" t="s">
        <v>1911</v>
      </c>
      <c r="G185" s="419">
        <v>45140</v>
      </c>
      <c r="H185" s="1790" t="s">
        <v>1912</v>
      </c>
      <c r="I185" s="1791" t="s">
        <v>1911</v>
      </c>
      <c r="J185" s="1793" t="s">
        <v>1913</v>
      </c>
      <c r="K185" s="1788" t="s">
        <v>1911</v>
      </c>
      <c r="L185" s="1791" t="s">
        <v>1913</v>
      </c>
      <c r="M185" s="1793" t="s">
        <v>1914</v>
      </c>
      <c r="N185" s="1790" t="s">
        <v>70</v>
      </c>
      <c r="O185" s="1793" t="s">
        <v>76</v>
      </c>
      <c r="P185" s="420"/>
      <c r="Q185" s="421"/>
      <c r="R185" s="421" t="s">
        <v>717</v>
      </c>
      <c r="S185" s="422"/>
      <c r="T185" s="1794"/>
      <c r="U185" s="423"/>
      <c r="V185" s="424"/>
      <c r="W185" s="424"/>
      <c r="X185" s="425">
        <v>117</v>
      </c>
      <c r="Y185" s="426">
        <v>2022</v>
      </c>
      <c r="Z185" s="417">
        <v>2024</v>
      </c>
      <c r="AA185" s="1804">
        <v>2022</v>
      </c>
      <c r="AB185" s="427" t="s">
        <v>5863</v>
      </c>
      <c r="AC185" s="1793" t="s">
        <v>1915</v>
      </c>
      <c r="AD185" s="428"/>
      <c r="AE185" s="1791"/>
      <c r="AF185" s="1791"/>
      <c r="AG185" s="1793"/>
      <c r="AH185" s="428"/>
      <c r="AI185" s="1793"/>
      <c r="AJ185" s="429">
        <v>2021</v>
      </c>
      <c r="AK185" s="424">
        <v>0</v>
      </c>
      <c r="AL185" s="424"/>
      <c r="AM185" s="430"/>
      <c r="AN185" s="431"/>
      <c r="AO185" s="432">
        <v>2024</v>
      </c>
      <c r="AP185" s="425">
        <v>0</v>
      </c>
      <c r="AQ185" s="433"/>
      <c r="AR185" s="425">
        <v>0</v>
      </c>
      <c r="AS185" s="433"/>
      <c r="AT185" s="434"/>
      <c r="AU185" s="431"/>
      <c r="AV185" s="435"/>
      <c r="AW185" s="432">
        <v>2022</v>
      </c>
      <c r="AX185" s="425"/>
      <c r="AY185" s="433"/>
      <c r="AZ185" s="425"/>
      <c r="BA185" s="433"/>
      <c r="BB185" s="434"/>
      <c r="BC185" s="431"/>
      <c r="BD185" s="435"/>
      <c r="BE185" s="432">
        <v>2023</v>
      </c>
      <c r="BF185" s="425"/>
      <c r="BG185" s="433"/>
      <c r="BH185" s="425"/>
      <c r="BI185" s="433"/>
      <c r="BJ185" s="434"/>
      <c r="BK185" s="431"/>
      <c r="BL185" s="435"/>
      <c r="BM185" s="432">
        <v>2024</v>
      </c>
      <c r="BN185" s="425"/>
      <c r="BO185" s="433"/>
      <c r="BP185" s="425"/>
      <c r="BQ185" s="433"/>
      <c r="BR185" s="434"/>
      <c r="BS185" s="431"/>
      <c r="BT185" s="435"/>
      <c r="BU185" s="1805"/>
      <c r="BV185" s="1806"/>
      <c r="BW185" s="1807"/>
      <c r="BX185" s="1808"/>
      <c r="BY185" s="1809">
        <v>2021</v>
      </c>
      <c r="BZ185" s="424">
        <v>109</v>
      </c>
      <c r="CA185" s="424">
        <v>109</v>
      </c>
      <c r="CB185" s="430"/>
      <c r="CC185" s="431"/>
      <c r="CD185" s="432">
        <v>2024</v>
      </c>
      <c r="CE185" s="425">
        <v>107</v>
      </c>
      <c r="CF185" s="433">
        <v>1.83</v>
      </c>
      <c r="CG185" s="425">
        <v>107</v>
      </c>
      <c r="CH185" s="433">
        <v>1.83</v>
      </c>
      <c r="CI185" s="434"/>
      <c r="CJ185" s="431"/>
      <c r="CK185" s="435"/>
      <c r="CL185" s="432">
        <v>2022</v>
      </c>
      <c r="CM185" s="425">
        <v>98.883039999999994</v>
      </c>
      <c r="CN185" s="433">
        <v>9.2799999999999994</v>
      </c>
      <c r="CO185" s="425">
        <v>98.883039999999994</v>
      </c>
      <c r="CP185" s="433">
        <v>9.2799999999999994</v>
      </c>
      <c r="CQ185" s="434"/>
      <c r="CR185" s="431"/>
      <c r="CS185" s="435"/>
      <c r="CT185" s="432">
        <v>2023</v>
      </c>
      <c r="CU185" s="425"/>
      <c r="CV185" s="433"/>
      <c r="CW185" s="425"/>
      <c r="CX185" s="433"/>
      <c r="CY185" s="434"/>
      <c r="CZ185" s="431"/>
      <c r="DA185" s="435"/>
      <c r="DB185" s="432">
        <v>2024</v>
      </c>
      <c r="DC185" s="425"/>
      <c r="DD185" s="433"/>
      <c r="DE185" s="425"/>
      <c r="DF185" s="433"/>
      <c r="DG185" s="434"/>
      <c r="DH185" s="431"/>
      <c r="DI185" s="435"/>
      <c r="DJ185" s="1805" t="s">
        <v>687</v>
      </c>
      <c r="DK185" s="1806" t="s">
        <v>728</v>
      </c>
      <c r="DL185" s="1807" t="s">
        <v>678</v>
      </c>
      <c r="DM185" s="1808" t="s">
        <v>5048</v>
      </c>
      <c r="DN185" s="1810">
        <v>0</v>
      </c>
      <c r="DO185" s="1799">
        <v>2</v>
      </c>
      <c r="DP185" s="1800">
        <v>0</v>
      </c>
      <c r="DQ185" s="1799">
        <v>2</v>
      </c>
      <c r="DR185" s="1800">
        <v>0</v>
      </c>
      <c r="DS185" s="1799">
        <v>1</v>
      </c>
    </row>
    <row r="186" spans="1:123" ht="135">
      <c r="A186" s="1801" t="s">
        <v>1916</v>
      </c>
      <c r="B186" s="1788" t="s">
        <v>1920</v>
      </c>
      <c r="C186" s="426">
        <v>2022</v>
      </c>
      <c r="D186" s="417" t="s">
        <v>681</v>
      </c>
      <c r="E186" s="1802">
        <v>1071262</v>
      </c>
      <c r="F186" s="1803" t="s">
        <v>1920</v>
      </c>
      <c r="G186" s="419">
        <v>45138</v>
      </c>
      <c r="H186" s="1790" t="s">
        <v>1918</v>
      </c>
      <c r="I186" s="1791" t="s">
        <v>1917</v>
      </c>
      <c r="J186" s="1793" t="s">
        <v>1919</v>
      </c>
      <c r="K186" s="1788" t="s">
        <v>1920</v>
      </c>
      <c r="L186" s="1791" t="s">
        <v>1921</v>
      </c>
      <c r="M186" s="1793" t="s">
        <v>1922</v>
      </c>
      <c r="N186" s="1790" t="s">
        <v>81</v>
      </c>
      <c r="O186" s="1793" t="s">
        <v>82</v>
      </c>
      <c r="P186" s="420" t="s">
        <v>683</v>
      </c>
      <c r="Q186" s="421"/>
      <c r="R186" s="421"/>
      <c r="S186" s="422"/>
      <c r="T186" s="1794"/>
      <c r="U186" s="423">
        <v>6971.0309999999999</v>
      </c>
      <c r="V186" s="424">
        <v>1</v>
      </c>
      <c r="W186" s="424">
        <v>1</v>
      </c>
      <c r="X186" s="425"/>
      <c r="Y186" s="426">
        <v>2022</v>
      </c>
      <c r="Z186" s="417">
        <v>2024</v>
      </c>
      <c r="AA186" s="1804">
        <v>2022</v>
      </c>
      <c r="AB186" s="427"/>
      <c r="AC186" s="1793"/>
      <c r="AD186" s="428" t="s">
        <v>5863</v>
      </c>
      <c r="AE186" s="1791" t="s">
        <v>5049</v>
      </c>
      <c r="AF186" s="1791" t="s">
        <v>5050</v>
      </c>
      <c r="AG186" s="1793" t="s">
        <v>1923</v>
      </c>
      <c r="AH186" s="428"/>
      <c r="AI186" s="1793"/>
      <c r="AJ186" s="429">
        <v>2021</v>
      </c>
      <c r="AK186" s="424">
        <v>12766</v>
      </c>
      <c r="AL186" s="424">
        <v>12653</v>
      </c>
      <c r="AM186" s="430">
        <v>1.79</v>
      </c>
      <c r="AN186" s="431" t="s">
        <v>1924</v>
      </c>
      <c r="AO186" s="432">
        <v>2024</v>
      </c>
      <c r="AP186" s="425">
        <v>12383</v>
      </c>
      <c r="AQ186" s="433">
        <v>3</v>
      </c>
      <c r="AR186" s="425">
        <v>12273</v>
      </c>
      <c r="AS186" s="433">
        <v>3</v>
      </c>
      <c r="AT186" s="434">
        <v>1.7363</v>
      </c>
      <c r="AU186" s="431" t="s">
        <v>1924</v>
      </c>
      <c r="AV186" s="435">
        <v>3</v>
      </c>
      <c r="AW186" s="432">
        <v>2022</v>
      </c>
      <c r="AX186" s="425">
        <v>12107</v>
      </c>
      <c r="AY186" s="433">
        <v>5.16</v>
      </c>
      <c r="AZ186" s="425">
        <v>12107</v>
      </c>
      <c r="BA186" s="433">
        <v>4.3099999999999996</v>
      </c>
      <c r="BB186" s="434">
        <v>1.7011381199943796</v>
      </c>
      <c r="BC186" s="431" t="s">
        <v>1924</v>
      </c>
      <c r="BD186" s="435">
        <v>4.96</v>
      </c>
      <c r="BE186" s="432">
        <v>2023</v>
      </c>
      <c r="BF186" s="425"/>
      <c r="BG186" s="433"/>
      <c r="BH186" s="425"/>
      <c r="BI186" s="433"/>
      <c r="BJ186" s="434"/>
      <c r="BK186" s="431"/>
      <c r="BL186" s="435"/>
      <c r="BM186" s="432">
        <v>2024</v>
      </c>
      <c r="BN186" s="425"/>
      <c r="BO186" s="433"/>
      <c r="BP186" s="425"/>
      <c r="BQ186" s="433"/>
      <c r="BR186" s="434"/>
      <c r="BS186" s="431"/>
      <c r="BT186" s="435"/>
      <c r="BU186" s="1805" t="s">
        <v>687</v>
      </c>
      <c r="BV186" s="1806" t="s">
        <v>728</v>
      </c>
      <c r="BW186" s="1807" t="s">
        <v>688</v>
      </c>
      <c r="BX186" s="1808"/>
      <c r="BY186" s="1809">
        <v>2021</v>
      </c>
      <c r="BZ186" s="424"/>
      <c r="CA186" s="424"/>
      <c r="CB186" s="430"/>
      <c r="CC186" s="431"/>
      <c r="CD186" s="432">
        <v>2024</v>
      </c>
      <c r="CE186" s="425"/>
      <c r="CF186" s="433"/>
      <c r="CG186" s="425"/>
      <c r="CH186" s="433"/>
      <c r="CI186" s="434"/>
      <c r="CJ186" s="431"/>
      <c r="CK186" s="435"/>
      <c r="CL186" s="432">
        <v>2022</v>
      </c>
      <c r="CM186" s="425">
        <v>0</v>
      </c>
      <c r="CN186" s="433"/>
      <c r="CO186" s="425">
        <v>0</v>
      </c>
      <c r="CP186" s="433"/>
      <c r="CQ186" s="434"/>
      <c r="CR186" s="431"/>
      <c r="CS186" s="435">
        <v>0</v>
      </c>
      <c r="CT186" s="432">
        <v>2023</v>
      </c>
      <c r="CU186" s="425"/>
      <c r="CV186" s="433"/>
      <c r="CW186" s="425"/>
      <c r="CX186" s="433"/>
      <c r="CY186" s="434"/>
      <c r="CZ186" s="431"/>
      <c r="DA186" s="435"/>
      <c r="DB186" s="432">
        <v>2024</v>
      </c>
      <c r="DC186" s="425"/>
      <c r="DD186" s="433"/>
      <c r="DE186" s="425"/>
      <c r="DF186" s="433"/>
      <c r="DG186" s="434"/>
      <c r="DH186" s="431"/>
      <c r="DI186" s="435"/>
      <c r="DJ186" s="1805"/>
      <c r="DK186" s="1806"/>
      <c r="DL186" s="1807"/>
      <c r="DM186" s="1808"/>
      <c r="DN186" s="1810">
        <v>0</v>
      </c>
      <c r="DO186" s="1799">
        <v>0</v>
      </c>
      <c r="DP186" s="1800">
        <v>0</v>
      </c>
      <c r="DQ186" s="1799">
        <v>0</v>
      </c>
      <c r="DR186" s="1800">
        <v>0</v>
      </c>
      <c r="DS186" s="1799">
        <v>0</v>
      </c>
    </row>
    <row r="187" spans="1:123" ht="54">
      <c r="A187" s="1801" t="s">
        <v>1925</v>
      </c>
      <c r="B187" s="1788" t="s">
        <v>1926</v>
      </c>
      <c r="C187" s="426">
        <v>2022</v>
      </c>
      <c r="D187" s="417" t="s">
        <v>681</v>
      </c>
      <c r="E187" s="1802">
        <v>1056263</v>
      </c>
      <c r="F187" s="1803" t="s">
        <v>1926</v>
      </c>
      <c r="G187" s="419">
        <v>45135</v>
      </c>
      <c r="H187" s="1790" t="s">
        <v>847</v>
      </c>
      <c r="I187" s="1791" t="s">
        <v>1926</v>
      </c>
      <c r="J187" s="1793" t="s">
        <v>1927</v>
      </c>
      <c r="K187" s="1788" t="s">
        <v>1926</v>
      </c>
      <c r="L187" s="1791" t="s">
        <v>1927</v>
      </c>
      <c r="M187" s="1793" t="s">
        <v>847</v>
      </c>
      <c r="N187" s="1790" t="s">
        <v>57</v>
      </c>
      <c r="O187" s="1793" t="s">
        <v>64</v>
      </c>
      <c r="P187" s="420" t="s">
        <v>683</v>
      </c>
      <c r="Q187" s="421"/>
      <c r="R187" s="421"/>
      <c r="S187" s="422"/>
      <c r="T187" s="1794"/>
      <c r="U187" s="423">
        <v>11208.1908</v>
      </c>
      <c r="V187" s="424">
        <v>12</v>
      </c>
      <c r="W187" s="424">
        <v>9</v>
      </c>
      <c r="X187" s="425"/>
      <c r="Y187" s="426">
        <v>2022</v>
      </c>
      <c r="Z187" s="417">
        <v>2024</v>
      </c>
      <c r="AA187" s="1804">
        <v>2022</v>
      </c>
      <c r="AB187" s="427"/>
      <c r="AC187" s="1793"/>
      <c r="AD187" s="428" t="s">
        <v>5863</v>
      </c>
      <c r="AE187" s="1791" t="s">
        <v>1928</v>
      </c>
      <c r="AF187" s="1791" t="s">
        <v>1929</v>
      </c>
      <c r="AG187" s="1793" t="s">
        <v>1930</v>
      </c>
      <c r="AH187" s="428"/>
      <c r="AI187" s="1793"/>
      <c r="AJ187" s="429">
        <v>2021</v>
      </c>
      <c r="AK187" s="424">
        <v>21026</v>
      </c>
      <c r="AL187" s="424">
        <v>20868</v>
      </c>
      <c r="AM187" s="430">
        <v>51.11</v>
      </c>
      <c r="AN187" s="431" t="s">
        <v>1931</v>
      </c>
      <c r="AO187" s="432">
        <v>2024</v>
      </c>
      <c r="AP187" s="425">
        <v>20395</v>
      </c>
      <c r="AQ187" s="433">
        <v>3</v>
      </c>
      <c r="AR187" s="425">
        <v>20242</v>
      </c>
      <c r="AS187" s="433">
        <v>2.99</v>
      </c>
      <c r="AT187" s="434">
        <v>49.58</v>
      </c>
      <c r="AU187" s="431" t="s">
        <v>1931</v>
      </c>
      <c r="AV187" s="435">
        <v>2.99</v>
      </c>
      <c r="AW187" s="432">
        <v>2022</v>
      </c>
      <c r="AX187" s="425">
        <v>20342</v>
      </c>
      <c r="AY187" s="433">
        <v>3.25</v>
      </c>
      <c r="AZ187" s="425">
        <v>20303</v>
      </c>
      <c r="BA187" s="433">
        <v>2.7</v>
      </c>
      <c r="BB187" s="434">
        <v>50.007374993854185</v>
      </c>
      <c r="BC187" s="431" t="s">
        <v>1931</v>
      </c>
      <c r="BD187" s="435">
        <v>2.15</v>
      </c>
      <c r="BE187" s="432">
        <v>2023</v>
      </c>
      <c r="BF187" s="425"/>
      <c r="BG187" s="433"/>
      <c r="BH187" s="425"/>
      <c r="BI187" s="433"/>
      <c r="BJ187" s="434"/>
      <c r="BK187" s="431"/>
      <c r="BL187" s="435"/>
      <c r="BM187" s="432">
        <v>2024</v>
      </c>
      <c r="BN187" s="425"/>
      <c r="BO187" s="433"/>
      <c r="BP187" s="425"/>
      <c r="BQ187" s="433"/>
      <c r="BR187" s="434"/>
      <c r="BS187" s="431"/>
      <c r="BT187" s="435"/>
      <c r="BU187" s="1805" t="s">
        <v>687</v>
      </c>
      <c r="BV187" s="1806" t="s">
        <v>728</v>
      </c>
      <c r="BW187" s="1807" t="s">
        <v>688</v>
      </c>
      <c r="BX187" s="1808" t="s">
        <v>5051</v>
      </c>
      <c r="BY187" s="1809">
        <v>2021</v>
      </c>
      <c r="BZ187" s="424"/>
      <c r="CA187" s="424"/>
      <c r="CB187" s="430"/>
      <c r="CC187" s="431"/>
      <c r="CD187" s="432">
        <v>2024</v>
      </c>
      <c r="CE187" s="425"/>
      <c r="CF187" s="433"/>
      <c r="CG187" s="425"/>
      <c r="CH187" s="433"/>
      <c r="CI187" s="434"/>
      <c r="CJ187" s="431"/>
      <c r="CK187" s="435"/>
      <c r="CL187" s="432">
        <v>2022</v>
      </c>
      <c r="CM187" s="425">
        <v>0</v>
      </c>
      <c r="CN187" s="433"/>
      <c r="CO187" s="425">
        <v>0</v>
      </c>
      <c r="CP187" s="433"/>
      <c r="CQ187" s="434"/>
      <c r="CR187" s="431"/>
      <c r="CS187" s="435">
        <v>0</v>
      </c>
      <c r="CT187" s="432">
        <v>2023</v>
      </c>
      <c r="CU187" s="425"/>
      <c r="CV187" s="433"/>
      <c r="CW187" s="425"/>
      <c r="CX187" s="433"/>
      <c r="CY187" s="434"/>
      <c r="CZ187" s="431"/>
      <c r="DA187" s="435"/>
      <c r="DB187" s="432">
        <v>2024</v>
      </c>
      <c r="DC187" s="425"/>
      <c r="DD187" s="433"/>
      <c r="DE187" s="425"/>
      <c r="DF187" s="433"/>
      <c r="DG187" s="434"/>
      <c r="DH187" s="431"/>
      <c r="DI187" s="435"/>
      <c r="DJ187" s="1805"/>
      <c r="DK187" s="1806"/>
      <c r="DL187" s="1807"/>
      <c r="DM187" s="1808"/>
      <c r="DN187" s="1810">
        <v>0</v>
      </c>
      <c r="DO187" s="1799">
        <v>0</v>
      </c>
      <c r="DP187" s="1800">
        <v>0</v>
      </c>
      <c r="DQ187" s="1799">
        <v>0</v>
      </c>
      <c r="DR187" s="1800">
        <v>0</v>
      </c>
      <c r="DS187" s="1799">
        <v>0</v>
      </c>
    </row>
    <row r="188" spans="1:123" ht="54">
      <c r="A188" s="1801" t="s">
        <v>1932</v>
      </c>
      <c r="B188" s="1788" t="s">
        <v>1933</v>
      </c>
      <c r="C188" s="426">
        <v>2022</v>
      </c>
      <c r="D188" s="417" t="s">
        <v>668</v>
      </c>
      <c r="E188" s="1802">
        <v>2058264</v>
      </c>
      <c r="F188" s="1803" t="s">
        <v>1933</v>
      </c>
      <c r="G188" s="419">
        <v>45138</v>
      </c>
      <c r="H188" s="1790" t="s">
        <v>1934</v>
      </c>
      <c r="I188" s="1791" t="s">
        <v>1933</v>
      </c>
      <c r="J188" s="1793" t="s">
        <v>1935</v>
      </c>
      <c r="K188" s="1788" t="s">
        <v>1933</v>
      </c>
      <c r="L188" s="1791" t="s">
        <v>1935</v>
      </c>
      <c r="M188" s="1793" t="s">
        <v>1934</v>
      </c>
      <c r="N188" s="1790" t="s">
        <v>57</v>
      </c>
      <c r="O188" s="1793" t="s">
        <v>66</v>
      </c>
      <c r="P188" s="420"/>
      <c r="Q188" s="421" t="s">
        <v>5862</v>
      </c>
      <c r="R188" s="421"/>
      <c r="S188" s="422"/>
      <c r="T188" s="1794"/>
      <c r="U188" s="423">
        <v>17670.084599999998</v>
      </c>
      <c r="V188" s="424">
        <v>541</v>
      </c>
      <c r="W188" s="424">
        <v>0</v>
      </c>
      <c r="X188" s="425"/>
      <c r="Y188" s="426">
        <v>2022</v>
      </c>
      <c r="Z188" s="417">
        <v>2024</v>
      </c>
      <c r="AA188" s="1804">
        <v>2022</v>
      </c>
      <c r="AB188" s="427"/>
      <c r="AC188" s="1793"/>
      <c r="AD188" s="428" t="s">
        <v>5863</v>
      </c>
      <c r="AE188" s="1791" t="s">
        <v>1934</v>
      </c>
      <c r="AF188" s="1791" t="s">
        <v>1936</v>
      </c>
      <c r="AG188" s="1793" t="s">
        <v>957</v>
      </c>
      <c r="AH188" s="428"/>
      <c r="AI188" s="1793"/>
      <c r="AJ188" s="429">
        <v>2021</v>
      </c>
      <c r="AK188" s="424">
        <v>30555</v>
      </c>
      <c r="AL188" s="424">
        <v>30149</v>
      </c>
      <c r="AM188" s="430"/>
      <c r="AN188" s="431"/>
      <c r="AO188" s="432">
        <v>2024</v>
      </c>
      <c r="AP188" s="425">
        <v>29638</v>
      </c>
      <c r="AQ188" s="433">
        <v>3</v>
      </c>
      <c r="AR188" s="425">
        <v>29245</v>
      </c>
      <c r="AS188" s="433">
        <v>2.99</v>
      </c>
      <c r="AT188" s="434"/>
      <c r="AU188" s="431"/>
      <c r="AV188" s="435"/>
      <c r="AW188" s="432">
        <v>2022</v>
      </c>
      <c r="AX188" s="425">
        <v>32227</v>
      </c>
      <c r="AY188" s="433">
        <v>-5.48</v>
      </c>
      <c r="AZ188" s="425">
        <v>31753</v>
      </c>
      <c r="BA188" s="433">
        <v>-5.33</v>
      </c>
      <c r="BB188" s="434"/>
      <c r="BC188" s="431"/>
      <c r="BD188" s="435"/>
      <c r="BE188" s="432">
        <v>2023</v>
      </c>
      <c r="BF188" s="425"/>
      <c r="BG188" s="433"/>
      <c r="BH188" s="425"/>
      <c r="BI188" s="433"/>
      <c r="BJ188" s="434"/>
      <c r="BK188" s="431"/>
      <c r="BL188" s="435"/>
      <c r="BM188" s="432">
        <v>2024</v>
      </c>
      <c r="BN188" s="425"/>
      <c r="BO188" s="433"/>
      <c r="BP188" s="425"/>
      <c r="BQ188" s="433"/>
      <c r="BR188" s="434"/>
      <c r="BS188" s="431"/>
      <c r="BT188" s="435"/>
      <c r="BU188" s="1805" t="s">
        <v>676</v>
      </c>
      <c r="BV188" s="1806" t="s">
        <v>728</v>
      </c>
      <c r="BW188" s="1807" t="s">
        <v>678</v>
      </c>
      <c r="BX188" s="1808"/>
      <c r="BY188" s="1809">
        <v>2021</v>
      </c>
      <c r="BZ188" s="424"/>
      <c r="CA188" s="424"/>
      <c r="CB188" s="430"/>
      <c r="CC188" s="431"/>
      <c r="CD188" s="432">
        <v>2024</v>
      </c>
      <c r="CE188" s="425"/>
      <c r="CF188" s="433"/>
      <c r="CG188" s="425"/>
      <c r="CH188" s="433"/>
      <c r="CI188" s="434"/>
      <c r="CJ188" s="431"/>
      <c r="CK188" s="435"/>
      <c r="CL188" s="432">
        <v>2022</v>
      </c>
      <c r="CM188" s="425">
        <v>0</v>
      </c>
      <c r="CN188" s="433"/>
      <c r="CO188" s="425">
        <v>0</v>
      </c>
      <c r="CP188" s="433"/>
      <c r="CQ188" s="434"/>
      <c r="CR188" s="431"/>
      <c r="CS188" s="435">
        <v>0</v>
      </c>
      <c r="CT188" s="432">
        <v>2023</v>
      </c>
      <c r="CU188" s="425"/>
      <c r="CV188" s="433"/>
      <c r="CW188" s="425"/>
      <c r="CX188" s="433"/>
      <c r="CY188" s="434"/>
      <c r="CZ188" s="431"/>
      <c r="DA188" s="435"/>
      <c r="DB188" s="432">
        <v>2024</v>
      </c>
      <c r="DC188" s="425"/>
      <c r="DD188" s="433"/>
      <c r="DE188" s="425"/>
      <c r="DF188" s="433"/>
      <c r="DG188" s="434"/>
      <c r="DH188" s="431"/>
      <c r="DI188" s="435"/>
      <c r="DJ188" s="1805"/>
      <c r="DK188" s="1806"/>
      <c r="DL188" s="1807"/>
      <c r="DM188" s="1808"/>
      <c r="DN188" s="1810">
        <v>0</v>
      </c>
      <c r="DO188" s="1799">
        <v>0</v>
      </c>
      <c r="DP188" s="1800">
        <v>0</v>
      </c>
      <c r="DQ188" s="1799">
        <v>0</v>
      </c>
      <c r="DR188" s="1800">
        <v>0</v>
      </c>
      <c r="DS188" s="1799">
        <v>0</v>
      </c>
    </row>
    <row r="189" spans="1:123" ht="94.5">
      <c r="A189" s="1801" t="s">
        <v>1937</v>
      </c>
      <c r="B189" s="1788" t="s">
        <v>1938</v>
      </c>
      <c r="C189" s="426">
        <v>2022</v>
      </c>
      <c r="D189" s="417" t="s">
        <v>681</v>
      </c>
      <c r="E189" s="1802">
        <v>1067265</v>
      </c>
      <c r="F189" s="1803" t="s">
        <v>1938</v>
      </c>
      <c r="G189" s="419">
        <v>45135</v>
      </c>
      <c r="H189" s="1790" t="s">
        <v>5052</v>
      </c>
      <c r="I189" s="1791" t="s">
        <v>1938</v>
      </c>
      <c r="J189" s="1793" t="s">
        <v>1939</v>
      </c>
      <c r="K189" s="1788" t="s">
        <v>1938</v>
      </c>
      <c r="L189" s="1791" t="s">
        <v>1939</v>
      </c>
      <c r="M189" s="1793" t="s">
        <v>5053</v>
      </c>
      <c r="N189" s="1790" t="s">
        <v>70</v>
      </c>
      <c r="O189" s="1793" t="s">
        <v>76</v>
      </c>
      <c r="P189" s="420" t="s">
        <v>683</v>
      </c>
      <c r="Q189" s="421"/>
      <c r="R189" s="421"/>
      <c r="S189" s="422"/>
      <c r="T189" s="1794"/>
      <c r="U189" s="423">
        <v>1537.164</v>
      </c>
      <c r="V189" s="424">
        <v>13</v>
      </c>
      <c r="W189" s="424">
        <v>2</v>
      </c>
      <c r="X189" s="425"/>
      <c r="Y189" s="426">
        <v>2022</v>
      </c>
      <c r="Z189" s="417">
        <v>2024</v>
      </c>
      <c r="AA189" s="1804">
        <v>2022</v>
      </c>
      <c r="AB189" s="427"/>
      <c r="AC189" s="1793"/>
      <c r="AD189" s="428" t="s">
        <v>5863</v>
      </c>
      <c r="AE189" s="1791" t="s">
        <v>1940</v>
      </c>
      <c r="AF189" s="1791" t="s">
        <v>1941</v>
      </c>
      <c r="AG189" s="1793" t="s">
        <v>1942</v>
      </c>
      <c r="AH189" s="428"/>
      <c r="AI189" s="1793"/>
      <c r="AJ189" s="429">
        <v>2021</v>
      </c>
      <c r="AK189" s="424">
        <v>2757</v>
      </c>
      <c r="AL189" s="424">
        <v>2734</v>
      </c>
      <c r="AM189" s="430"/>
      <c r="AN189" s="431"/>
      <c r="AO189" s="432">
        <v>2024</v>
      </c>
      <c r="AP189" s="425">
        <v>2674</v>
      </c>
      <c r="AQ189" s="433">
        <v>3.01</v>
      </c>
      <c r="AR189" s="425">
        <v>2651</v>
      </c>
      <c r="AS189" s="433">
        <v>3.03</v>
      </c>
      <c r="AT189" s="434"/>
      <c r="AU189" s="431"/>
      <c r="AV189" s="435"/>
      <c r="AW189" s="432">
        <v>2022</v>
      </c>
      <c r="AX189" s="425">
        <v>2822</v>
      </c>
      <c r="AY189" s="433">
        <v>-2.36</v>
      </c>
      <c r="AZ189" s="425">
        <v>2818</v>
      </c>
      <c r="BA189" s="433">
        <v>-3.08</v>
      </c>
      <c r="BB189" s="434"/>
      <c r="BC189" s="431"/>
      <c r="BD189" s="435"/>
      <c r="BE189" s="432">
        <v>2023</v>
      </c>
      <c r="BF189" s="425"/>
      <c r="BG189" s="433"/>
      <c r="BH189" s="425"/>
      <c r="BI189" s="433"/>
      <c r="BJ189" s="434"/>
      <c r="BK189" s="431"/>
      <c r="BL189" s="435"/>
      <c r="BM189" s="432">
        <v>2024</v>
      </c>
      <c r="BN189" s="425"/>
      <c r="BO189" s="433"/>
      <c r="BP189" s="425"/>
      <c r="BQ189" s="433"/>
      <c r="BR189" s="434"/>
      <c r="BS189" s="431"/>
      <c r="BT189" s="435"/>
      <c r="BU189" s="1805" t="s">
        <v>676</v>
      </c>
      <c r="BV189" s="1806" t="s">
        <v>728</v>
      </c>
      <c r="BW189" s="1807" t="s">
        <v>678</v>
      </c>
      <c r="BX189" s="1808" t="s">
        <v>5054</v>
      </c>
      <c r="BY189" s="1809">
        <v>2021</v>
      </c>
      <c r="BZ189" s="424"/>
      <c r="CA189" s="424"/>
      <c r="CB189" s="430"/>
      <c r="CC189" s="431"/>
      <c r="CD189" s="432">
        <v>2024</v>
      </c>
      <c r="CE189" s="425"/>
      <c r="CF189" s="433"/>
      <c r="CG189" s="425"/>
      <c r="CH189" s="433"/>
      <c r="CI189" s="434"/>
      <c r="CJ189" s="431"/>
      <c r="CK189" s="435"/>
      <c r="CL189" s="432">
        <v>2022</v>
      </c>
      <c r="CM189" s="425">
        <v>0</v>
      </c>
      <c r="CN189" s="433"/>
      <c r="CO189" s="425">
        <v>0</v>
      </c>
      <c r="CP189" s="433"/>
      <c r="CQ189" s="434"/>
      <c r="CR189" s="431"/>
      <c r="CS189" s="435">
        <v>0</v>
      </c>
      <c r="CT189" s="432">
        <v>2023</v>
      </c>
      <c r="CU189" s="425"/>
      <c r="CV189" s="433"/>
      <c r="CW189" s="425"/>
      <c r="CX189" s="433"/>
      <c r="CY189" s="434"/>
      <c r="CZ189" s="431"/>
      <c r="DA189" s="435"/>
      <c r="DB189" s="432">
        <v>2024</v>
      </c>
      <c r="DC189" s="425"/>
      <c r="DD189" s="433"/>
      <c r="DE189" s="425"/>
      <c r="DF189" s="433"/>
      <c r="DG189" s="434"/>
      <c r="DH189" s="431"/>
      <c r="DI189" s="435"/>
      <c r="DJ189" s="1805"/>
      <c r="DK189" s="1806"/>
      <c r="DL189" s="1807"/>
      <c r="DM189" s="1808"/>
      <c r="DN189" s="1810">
        <v>0</v>
      </c>
      <c r="DO189" s="1799">
        <v>0</v>
      </c>
      <c r="DP189" s="1800">
        <v>0</v>
      </c>
      <c r="DQ189" s="1799">
        <v>0</v>
      </c>
      <c r="DR189" s="1800">
        <v>0</v>
      </c>
      <c r="DS189" s="1799">
        <v>0</v>
      </c>
    </row>
    <row r="190" spans="1:123" ht="54">
      <c r="A190" s="1801" t="s">
        <v>1943</v>
      </c>
      <c r="B190" s="1788" t="s">
        <v>1944</v>
      </c>
      <c r="C190" s="426">
        <v>2022</v>
      </c>
      <c r="D190" s="417" t="s">
        <v>714</v>
      </c>
      <c r="E190" s="1802">
        <v>3088269</v>
      </c>
      <c r="F190" s="1803" t="s">
        <v>1944</v>
      </c>
      <c r="G190" s="419">
        <v>45138</v>
      </c>
      <c r="H190" s="1790" t="s">
        <v>1945</v>
      </c>
      <c r="I190" s="1791" t="s">
        <v>1944</v>
      </c>
      <c r="J190" s="1793" t="s">
        <v>5055</v>
      </c>
      <c r="K190" s="1788" t="s">
        <v>1944</v>
      </c>
      <c r="L190" s="1791" t="s">
        <v>5055</v>
      </c>
      <c r="M190" s="1793" t="s">
        <v>1945</v>
      </c>
      <c r="N190" s="1790" t="s">
        <v>102</v>
      </c>
      <c r="O190" s="1793" t="s">
        <v>103</v>
      </c>
      <c r="P190" s="420"/>
      <c r="Q190" s="421"/>
      <c r="R190" s="421" t="s">
        <v>717</v>
      </c>
      <c r="S190" s="422"/>
      <c r="T190" s="1794"/>
      <c r="U190" s="423"/>
      <c r="V190" s="424"/>
      <c r="W190" s="424"/>
      <c r="X190" s="425">
        <v>142</v>
      </c>
      <c r="Y190" s="426">
        <v>2022</v>
      </c>
      <c r="Z190" s="417">
        <v>2024</v>
      </c>
      <c r="AA190" s="1804">
        <v>2022</v>
      </c>
      <c r="AB190" s="427"/>
      <c r="AC190" s="1793"/>
      <c r="AD190" s="428" t="s">
        <v>5863</v>
      </c>
      <c r="AE190" s="1791" t="s">
        <v>1944</v>
      </c>
      <c r="AF190" s="1791" t="s">
        <v>1945</v>
      </c>
      <c r="AG190" s="1793" t="s">
        <v>1946</v>
      </c>
      <c r="AH190" s="428"/>
      <c r="AI190" s="1793"/>
      <c r="AJ190" s="429">
        <v>2021</v>
      </c>
      <c r="AK190" s="424">
        <v>0</v>
      </c>
      <c r="AL190" s="424"/>
      <c r="AM190" s="430"/>
      <c r="AN190" s="431"/>
      <c r="AO190" s="432">
        <v>2024</v>
      </c>
      <c r="AP190" s="425">
        <v>0</v>
      </c>
      <c r="AQ190" s="433"/>
      <c r="AR190" s="425">
        <v>0</v>
      </c>
      <c r="AS190" s="433"/>
      <c r="AT190" s="434"/>
      <c r="AU190" s="431"/>
      <c r="AV190" s="435"/>
      <c r="AW190" s="432">
        <v>2022</v>
      </c>
      <c r="AX190" s="425"/>
      <c r="AY190" s="433"/>
      <c r="AZ190" s="425"/>
      <c r="BA190" s="433"/>
      <c r="BB190" s="434"/>
      <c r="BC190" s="431"/>
      <c r="BD190" s="435"/>
      <c r="BE190" s="432">
        <v>2023</v>
      </c>
      <c r="BF190" s="425"/>
      <c r="BG190" s="433"/>
      <c r="BH190" s="425"/>
      <c r="BI190" s="433"/>
      <c r="BJ190" s="434"/>
      <c r="BK190" s="431"/>
      <c r="BL190" s="435"/>
      <c r="BM190" s="432">
        <v>2024</v>
      </c>
      <c r="BN190" s="425"/>
      <c r="BO190" s="433"/>
      <c r="BP190" s="425"/>
      <c r="BQ190" s="433"/>
      <c r="BR190" s="434"/>
      <c r="BS190" s="431"/>
      <c r="BT190" s="435"/>
      <c r="BU190" s="1805"/>
      <c r="BV190" s="1806"/>
      <c r="BW190" s="1807"/>
      <c r="BX190" s="1808"/>
      <c r="BY190" s="1809">
        <v>2021</v>
      </c>
      <c r="BZ190" s="424">
        <v>2498</v>
      </c>
      <c r="CA190" s="424">
        <v>2498</v>
      </c>
      <c r="CB190" s="430">
        <v>0.56000000000000005</v>
      </c>
      <c r="CC190" s="431" t="s">
        <v>736</v>
      </c>
      <c r="CD190" s="432">
        <v>2024</v>
      </c>
      <c r="CE190" s="425">
        <v>2677</v>
      </c>
      <c r="CF190" s="433">
        <v>-7.17</v>
      </c>
      <c r="CG190" s="425">
        <v>2677</v>
      </c>
      <c r="CH190" s="433">
        <v>-7.17</v>
      </c>
      <c r="CI190" s="434">
        <v>0.5544</v>
      </c>
      <c r="CJ190" s="431" t="s">
        <v>736</v>
      </c>
      <c r="CK190" s="435">
        <v>1</v>
      </c>
      <c r="CL190" s="432">
        <v>2022</v>
      </c>
      <c r="CM190" s="425">
        <v>2474.6114172000007</v>
      </c>
      <c r="CN190" s="433">
        <v>0.93</v>
      </c>
      <c r="CO190" s="425">
        <v>2474.6114172000007</v>
      </c>
      <c r="CP190" s="433">
        <v>0.93</v>
      </c>
      <c r="CQ190" s="434">
        <v>0.53687845415125601</v>
      </c>
      <c r="CR190" s="431" t="s">
        <v>736</v>
      </c>
      <c r="CS190" s="435">
        <v>4.12</v>
      </c>
      <c r="CT190" s="432">
        <v>2023</v>
      </c>
      <c r="CU190" s="425"/>
      <c r="CV190" s="433"/>
      <c r="CW190" s="425"/>
      <c r="CX190" s="433"/>
      <c r="CY190" s="434"/>
      <c r="CZ190" s="431"/>
      <c r="DA190" s="435"/>
      <c r="DB190" s="432">
        <v>2024</v>
      </c>
      <c r="DC190" s="425"/>
      <c r="DD190" s="433"/>
      <c r="DE190" s="425"/>
      <c r="DF190" s="433"/>
      <c r="DG190" s="434"/>
      <c r="DH190" s="431"/>
      <c r="DI190" s="435"/>
      <c r="DJ190" s="1805" t="s">
        <v>719</v>
      </c>
      <c r="DK190" s="1806" t="s">
        <v>728</v>
      </c>
      <c r="DL190" s="1807" t="s">
        <v>688</v>
      </c>
      <c r="DM190" s="1808" t="s">
        <v>5056</v>
      </c>
      <c r="DN190" s="1810">
        <v>0</v>
      </c>
      <c r="DO190" s="1799">
        <v>0</v>
      </c>
      <c r="DP190" s="1800">
        <v>0</v>
      </c>
      <c r="DQ190" s="1799">
        <v>0</v>
      </c>
      <c r="DR190" s="1800">
        <v>0</v>
      </c>
      <c r="DS190" s="1799">
        <v>0</v>
      </c>
    </row>
    <row r="191" spans="1:123" ht="148.5">
      <c r="A191" s="1801" t="s">
        <v>1947</v>
      </c>
      <c r="B191" s="1788" t="s">
        <v>1948</v>
      </c>
      <c r="C191" s="426">
        <v>2022</v>
      </c>
      <c r="D191" s="417" t="s">
        <v>681</v>
      </c>
      <c r="E191" s="1802">
        <v>1047270</v>
      </c>
      <c r="F191" s="1803" t="s">
        <v>1948</v>
      </c>
      <c r="G191" s="419">
        <v>45138</v>
      </c>
      <c r="H191" s="1790" t="s">
        <v>5057</v>
      </c>
      <c r="I191" s="1791" t="s">
        <v>1948</v>
      </c>
      <c r="J191" s="1793" t="s">
        <v>1949</v>
      </c>
      <c r="K191" s="1788" t="s">
        <v>1948</v>
      </c>
      <c r="L191" s="1791" t="s">
        <v>1950</v>
      </c>
      <c r="M191" s="1793" t="s">
        <v>5057</v>
      </c>
      <c r="N191" s="1790" t="s">
        <v>48</v>
      </c>
      <c r="O191" s="1793" t="s">
        <v>54</v>
      </c>
      <c r="P191" s="420" t="s">
        <v>683</v>
      </c>
      <c r="Q191" s="421"/>
      <c r="R191" s="421"/>
      <c r="S191" s="422"/>
      <c r="T191" s="1794"/>
      <c r="U191" s="423">
        <v>4971.8663999999999</v>
      </c>
      <c r="V191" s="424">
        <v>18</v>
      </c>
      <c r="W191" s="424">
        <v>2</v>
      </c>
      <c r="X191" s="425"/>
      <c r="Y191" s="426">
        <v>2022</v>
      </c>
      <c r="Z191" s="417">
        <v>2024</v>
      </c>
      <c r="AA191" s="1804">
        <v>2022</v>
      </c>
      <c r="AB191" s="427"/>
      <c r="AC191" s="1793"/>
      <c r="AD191" s="428" t="s">
        <v>5863</v>
      </c>
      <c r="AE191" s="1791" t="s">
        <v>1951</v>
      </c>
      <c r="AF191" s="1791" t="s">
        <v>5057</v>
      </c>
      <c r="AG191" s="1793" t="s">
        <v>1952</v>
      </c>
      <c r="AH191" s="428"/>
      <c r="AI191" s="1793"/>
      <c r="AJ191" s="429">
        <v>2021</v>
      </c>
      <c r="AK191" s="424">
        <v>9597</v>
      </c>
      <c r="AL191" s="424">
        <v>12219</v>
      </c>
      <c r="AM191" s="430">
        <v>3.89</v>
      </c>
      <c r="AN191" s="431" t="s">
        <v>1953</v>
      </c>
      <c r="AO191" s="432">
        <v>2024</v>
      </c>
      <c r="AP191" s="425">
        <v>9309.09</v>
      </c>
      <c r="AQ191" s="433">
        <v>3</v>
      </c>
      <c r="AR191" s="425">
        <v>11852.43</v>
      </c>
      <c r="AS191" s="433">
        <v>3</v>
      </c>
      <c r="AT191" s="434">
        <v>3.7732999999999999</v>
      </c>
      <c r="AU191" s="431" t="s">
        <v>1953</v>
      </c>
      <c r="AV191" s="435">
        <v>3</v>
      </c>
      <c r="AW191" s="432">
        <v>2022</v>
      </c>
      <c r="AX191" s="425">
        <v>8820</v>
      </c>
      <c r="AY191" s="433">
        <v>8.09</v>
      </c>
      <c r="AZ191" s="425">
        <v>10615</v>
      </c>
      <c r="BA191" s="433">
        <v>13.12</v>
      </c>
      <c r="BB191" s="434">
        <v>3.5717862900101438</v>
      </c>
      <c r="BC191" s="431" t="s">
        <v>1953</v>
      </c>
      <c r="BD191" s="435">
        <v>8.18</v>
      </c>
      <c r="BE191" s="432">
        <v>2023</v>
      </c>
      <c r="BF191" s="425"/>
      <c r="BG191" s="433"/>
      <c r="BH191" s="425"/>
      <c r="BI191" s="433"/>
      <c r="BJ191" s="434"/>
      <c r="BK191" s="431"/>
      <c r="BL191" s="435"/>
      <c r="BM191" s="432">
        <v>2024</v>
      </c>
      <c r="BN191" s="425"/>
      <c r="BO191" s="433"/>
      <c r="BP191" s="425"/>
      <c r="BQ191" s="433"/>
      <c r="BR191" s="434"/>
      <c r="BS191" s="431"/>
      <c r="BT191" s="435"/>
      <c r="BU191" s="1805" t="s">
        <v>687</v>
      </c>
      <c r="BV191" s="1806" t="s">
        <v>728</v>
      </c>
      <c r="BW191" s="1807" t="s">
        <v>678</v>
      </c>
      <c r="BX191" s="1808" t="s">
        <v>5058</v>
      </c>
      <c r="BY191" s="1809">
        <v>2021</v>
      </c>
      <c r="BZ191" s="424"/>
      <c r="CA191" s="424"/>
      <c r="CB191" s="430"/>
      <c r="CC191" s="431"/>
      <c r="CD191" s="432">
        <v>2024</v>
      </c>
      <c r="CE191" s="425"/>
      <c r="CF191" s="433"/>
      <c r="CG191" s="425"/>
      <c r="CH191" s="433"/>
      <c r="CI191" s="434"/>
      <c r="CJ191" s="431"/>
      <c r="CK191" s="435"/>
      <c r="CL191" s="432">
        <v>2022</v>
      </c>
      <c r="CM191" s="425">
        <v>0</v>
      </c>
      <c r="CN191" s="433"/>
      <c r="CO191" s="425">
        <v>0</v>
      </c>
      <c r="CP191" s="433"/>
      <c r="CQ191" s="434"/>
      <c r="CR191" s="431"/>
      <c r="CS191" s="435">
        <v>0</v>
      </c>
      <c r="CT191" s="432">
        <v>2023</v>
      </c>
      <c r="CU191" s="425"/>
      <c r="CV191" s="433"/>
      <c r="CW191" s="425"/>
      <c r="CX191" s="433"/>
      <c r="CY191" s="434"/>
      <c r="CZ191" s="431"/>
      <c r="DA191" s="435"/>
      <c r="DB191" s="432">
        <v>2024</v>
      </c>
      <c r="DC191" s="425"/>
      <c r="DD191" s="433"/>
      <c r="DE191" s="425"/>
      <c r="DF191" s="433"/>
      <c r="DG191" s="434"/>
      <c r="DH191" s="431"/>
      <c r="DI191" s="435"/>
      <c r="DJ191" s="1805"/>
      <c r="DK191" s="1806"/>
      <c r="DL191" s="1807"/>
      <c r="DM191" s="1808"/>
      <c r="DN191" s="1810">
        <v>0</v>
      </c>
      <c r="DO191" s="1799">
        <v>0</v>
      </c>
      <c r="DP191" s="1800">
        <v>0</v>
      </c>
      <c r="DQ191" s="1799">
        <v>0</v>
      </c>
      <c r="DR191" s="1800">
        <v>0</v>
      </c>
      <c r="DS191" s="1799">
        <v>0</v>
      </c>
    </row>
    <row r="192" spans="1:123" ht="94.5">
      <c r="A192" s="1801" t="s">
        <v>1954</v>
      </c>
      <c r="B192" s="1788" t="s">
        <v>5748</v>
      </c>
      <c r="C192" s="426">
        <v>2022</v>
      </c>
      <c r="D192" s="417" t="s">
        <v>681</v>
      </c>
      <c r="E192" s="1802">
        <v>1002271</v>
      </c>
      <c r="F192" s="1803" t="s">
        <v>5748</v>
      </c>
      <c r="G192" s="419">
        <v>45138</v>
      </c>
      <c r="H192" s="1790" t="s">
        <v>5749</v>
      </c>
      <c r="I192" s="1791" t="s">
        <v>5748</v>
      </c>
      <c r="J192" s="1793" t="s">
        <v>5750</v>
      </c>
      <c r="K192" s="1788" t="s">
        <v>5748</v>
      </c>
      <c r="L192" s="1791" t="s">
        <v>5751</v>
      </c>
      <c r="M192" s="1793" t="s">
        <v>5752</v>
      </c>
      <c r="N192" s="1790" t="s">
        <v>48</v>
      </c>
      <c r="O192" s="1793" t="s">
        <v>54</v>
      </c>
      <c r="P192" s="420" t="s">
        <v>683</v>
      </c>
      <c r="Q192" s="421"/>
      <c r="R192" s="421"/>
      <c r="S192" s="422"/>
      <c r="T192" s="1794"/>
      <c r="U192" s="423">
        <v>19891.2582</v>
      </c>
      <c r="V192" s="424">
        <v>19</v>
      </c>
      <c r="W192" s="424">
        <v>4</v>
      </c>
      <c r="X192" s="425"/>
      <c r="Y192" s="426">
        <v>2022</v>
      </c>
      <c r="Z192" s="417">
        <v>2024</v>
      </c>
      <c r="AA192" s="1804">
        <v>2022</v>
      </c>
      <c r="AB192" s="427"/>
      <c r="AC192" s="1793"/>
      <c r="AD192" s="428" t="s">
        <v>5863</v>
      </c>
      <c r="AE192" s="1791" t="s">
        <v>5753</v>
      </c>
      <c r="AF192" s="1791" t="s">
        <v>5754</v>
      </c>
      <c r="AG192" s="1793" t="s">
        <v>5755</v>
      </c>
      <c r="AH192" s="428"/>
      <c r="AI192" s="1793"/>
      <c r="AJ192" s="429">
        <v>2021</v>
      </c>
      <c r="AK192" s="424">
        <v>33461</v>
      </c>
      <c r="AL192" s="424">
        <v>33350</v>
      </c>
      <c r="AM192" s="430"/>
      <c r="AN192" s="431"/>
      <c r="AO192" s="432">
        <v>2024</v>
      </c>
      <c r="AP192" s="425">
        <v>32457</v>
      </c>
      <c r="AQ192" s="433">
        <v>3</v>
      </c>
      <c r="AR192" s="425">
        <v>32350</v>
      </c>
      <c r="AS192" s="433">
        <v>2.99</v>
      </c>
      <c r="AT192" s="434"/>
      <c r="AU192" s="431"/>
      <c r="AV192" s="435">
        <v>3</v>
      </c>
      <c r="AW192" s="432">
        <v>2022</v>
      </c>
      <c r="AX192" s="425">
        <v>36560</v>
      </c>
      <c r="AY192" s="433">
        <v>-9.27</v>
      </c>
      <c r="AZ192" s="425">
        <v>36490</v>
      </c>
      <c r="BA192" s="433">
        <v>-9.42</v>
      </c>
      <c r="BB192" s="434"/>
      <c r="BC192" s="431"/>
      <c r="BD192" s="435">
        <v>-9.589717992647401</v>
      </c>
      <c r="BE192" s="432">
        <v>2023</v>
      </c>
      <c r="BF192" s="425"/>
      <c r="BG192" s="433"/>
      <c r="BH192" s="425"/>
      <c r="BI192" s="433"/>
      <c r="BJ192" s="434"/>
      <c r="BK192" s="431"/>
      <c r="BL192" s="435"/>
      <c r="BM192" s="432">
        <v>2024</v>
      </c>
      <c r="BN192" s="425"/>
      <c r="BO192" s="433"/>
      <c r="BP192" s="425"/>
      <c r="BQ192" s="433"/>
      <c r="BR192" s="434"/>
      <c r="BS192" s="431"/>
      <c r="BT192" s="435"/>
      <c r="BU192" s="1805" t="s">
        <v>676</v>
      </c>
      <c r="BV192" s="1806" t="s">
        <v>728</v>
      </c>
      <c r="BW192" s="1807" t="s">
        <v>678</v>
      </c>
      <c r="BX192" s="1808" t="s">
        <v>5756</v>
      </c>
      <c r="BY192" s="1809">
        <v>2021</v>
      </c>
      <c r="BZ192" s="424"/>
      <c r="CA192" s="424"/>
      <c r="CB192" s="430"/>
      <c r="CC192" s="431"/>
      <c r="CD192" s="432">
        <v>2024</v>
      </c>
      <c r="CE192" s="425"/>
      <c r="CF192" s="433"/>
      <c r="CG192" s="425"/>
      <c r="CH192" s="433"/>
      <c r="CI192" s="434"/>
      <c r="CJ192" s="431"/>
      <c r="CK192" s="435"/>
      <c r="CL192" s="432">
        <v>2022</v>
      </c>
      <c r="CM192" s="425">
        <v>0</v>
      </c>
      <c r="CN192" s="433"/>
      <c r="CO192" s="425">
        <v>0</v>
      </c>
      <c r="CP192" s="433"/>
      <c r="CQ192" s="434"/>
      <c r="CR192" s="431"/>
      <c r="CS192" s="435">
        <v>0</v>
      </c>
      <c r="CT192" s="432">
        <v>2023</v>
      </c>
      <c r="CU192" s="425"/>
      <c r="CV192" s="433"/>
      <c r="CW192" s="425"/>
      <c r="CX192" s="433"/>
      <c r="CY192" s="434"/>
      <c r="CZ192" s="431"/>
      <c r="DA192" s="435"/>
      <c r="DB192" s="432">
        <v>2024</v>
      </c>
      <c r="DC192" s="425"/>
      <c r="DD192" s="433"/>
      <c r="DE192" s="425"/>
      <c r="DF192" s="433"/>
      <c r="DG192" s="434"/>
      <c r="DH192" s="431"/>
      <c r="DI192" s="435"/>
      <c r="DJ192" s="1805"/>
      <c r="DK192" s="1806"/>
      <c r="DL192" s="1807"/>
      <c r="DM192" s="1808"/>
      <c r="DN192" s="1810">
        <v>2</v>
      </c>
      <c r="DO192" s="1799">
        <v>1</v>
      </c>
      <c r="DP192" s="1800">
        <v>0</v>
      </c>
      <c r="DQ192" s="1799">
        <v>0</v>
      </c>
      <c r="DR192" s="1800">
        <v>0</v>
      </c>
      <c r="DS192" s="1799">
        <v>0</v>
      </c>
    </row>
    <row r="193" spans="1:123" ht="81">
      <c r="A193" s="1801" t="s">
        <v>1955</v>
      </c>
      <c r="B193" s="1788" t="s">
        <v>1956</v>
      </c>
      <c r="C193" s="426">
        <v>2022</v>
      </c>
      <c r="D193" s="417" t="s">
        <v>5702</v>
      </c>
      <c r="E193" s="1802">
        <v>1067272</v>
      </c>
      <c r="F193" s="1803" t="s">
        <v>1956</v>
      </c>
      <c r="G193" s="419">
        <v>45138</v>
      </c>
      <c r="H193" s="1790" t="s">
        <v>1957</v>
      </c>
      <c r="I193" s="1791" t="s">
        <v>1956</v>
      </c>
      <c r="J193" s="1793" t="s">
        <v>5059</v>
      </c>
      <c r="K193" s="1788" t="s">
        <v>1956</v>
      </c>
      <c r="L193" s="1791" t="s">
        <v>5059</v>
      </c>
      <c r="M193" s="1793" t="s">
        <v>1957</v>
      </c>
      <c r="N193" s="1790" t="s">
        <v>70</v>
      </c>
      <c r="O193" s="1793" t="s">
        <v>76</v>
      </c>
      <c r="P193" s="420"/>
      <c r="Q193" s="421"/>
      <c r="R193" s="421"/>
      <c r="S193" s="422" t="s">
        <v>5865</v>
      </c>
      <c r="T193" s="1794"/>
      <c r="U193" s="423">
        <v>1055.6328000000001</v>
      </c>
      <c r="V193" s="424">
        <v>29</v>
      </c>
      <c r="W193" s="424">
        <v>0</v>
      </c>
      <c r="X193" s="425"/>
      <c r="Y193" s="426">
        <v>2022</v>
      </c>
      <c r="Z193" s="417">
        <v>2024</v>
      </c>
      <c r="AA193" s="1804">
        <v>2022</v>
      </c>
      <c r="AB193" s="427"/>
      <c r="AC193" s="1793"/>
      <c r="AD193" s="428"/>
      <c r="AE193" s="1791"/>
      <c r="AF193" s="1791"/>
      <c r="AG193" s="1793"/>
      <c r="AH193" s="428" t="s">
        <v>5863</v>
      </c>
      <c r="AI193" s="1793" t="s">
        <v>1958</v>
      </c>
      <c r="AJ193" s="429">
        <v>2021</v>
      </c>
      <c r="AK193" s="424">
        <v>2110</v>
      </c>
      <c r="AL193" s="424">
        <v>2093</v>
      </c>
      <c r="AM193" s="430"/>
      <c r="AN193" s="431"/>
      <c r="AO193" s="432">
        <v>2024</v>
      </c>
      <c r="AP193" s="425">
        <v>2046</v>
      </c>
      <c r="AQ193" s="433">
        <v>3.03</v>
      </c>
      <c r="AR193" s="425">
        <v>2030</v>
      </c>
      <c r="AS193" s="433">
        <v>3.01</v>
      </c>
      <c r="AT193" s="434"/>
      <c r="AU193" s="431"/>
      <c r="AV193" s="435"/>
      <c r="AW193" s="432">
        <v>2022</v>
      </c>
      <c r="AX193" s="425">
        <v>1905</v>
      </c>
      <c r="AY193" s="433">
        <v>9.7100000000000009</v>
      </c>
      <c r="AZ193" s="425">
        <v>509</v>
      </c>
      <c r="BA193" s="433">
        <v>75.680000000000007</v>
      </c>
      <c r="BB193" s="434"/>
      <c r="BC193" s="431"/>
      <c r="BD193" s="435"/>
      <c r="BE193" s="432">
        <v>2023</v>
      </c>
      <c r="BF193" s="425"/>
      <c r="BG193" s="433"/>
      <c r="BH193" s="425"/>
      <c r="BI193" s="433"/>
      <c r="BJ193" s="434"/>
      <c r="BK193" s="431"/>
      <c r="BL193" s="435"/>
      <c r="BM193" s="432">
        <v>2024</v>
      </c>
      <c r="BN193" s="425"/>
      <c r="BO193" s="433"/>
      <c r="BP193" s="425"/>
      <c r="BQ193" s="433"/>
      <c r="BR193" s="434"/>
      <c r="BS193" s="431"/>
      <c r="BT193" s="435"/>
      <c r="BU193" s="1805" t="s">
        <v>687</v>
      </c>
      <c r="BV193" s="1806" t="s">
        <v>728</v>
      </c>
      <c r="BW193" s="1807" t="s">
        <v>678</v>
      </c>
      <c r="BX193" s="1808" t="s">
        <v>5060</v>
      </c>
      <c r="BY193" s="1809">
        <v>2021</v>
      </c>
      <c r="BZ193" s="424"/>
      <c r="CA193" s="424"/>
      <c r="CB193" s="430"/>
      <c r="CC193" s="431"/>
      <c r="CD193" s="432">
        <v>2024</v>
      </c>
      <c r="CE193" s="425"/>
      <c r="CF193" s="433"/>
      <c r="CG193" s="425"/>
      <c r="CH193" s="433"/>
      <c r="CI193" s="434"/>
      <c r="CJ193" s="431"/>
      <c r="CK193" s="435"/>
      <c r="CL193" s="432">
        <v>2022</v>
      </c>
      <c r="CM193" s="425">
        <v>0</v>
      </c>
      <c r="CN193" s="433"/>
      <c r="CO193" s="425">
        <v>-298</v>
      </c>
      <c r="CP193" s="433"/>
      <c r="CQ193" s="434"/>
      <c r="CR193" s="431"/>
      <c r="CS193" s="435"/>
      <c r="CT193" s="432">
        <v>2023</v>
      </c>
      <c r="CU193" s="425"/>
      <c r="CV193" s="433"/>
      <c r="CW193" s="425"/>
      <c r="CX193" s="433"/>
      <c r="CY193" s="434"/>
      <c r="CZ193" s="431"/>
      <c r="DA193" s="435"/>
      <c r="DB193" s="432">
        <v>2024</v>
      </c>
      <c r="DC193" s="425"/>
      <c r="DD193" s="433"/>
      <c r="DE193" s="425"/>
      <c r="DF193" s="433"/>
      <c r="DG193" s="434"/>
      <c r="DH193" s="431"/>
      <c r="DI193" s="435"/>
      <c r="DJ193" s="1805"/>
      <c r="DK193" s="1806"/>
      <c r="DL193" s="1807"/>
      <c r="DM193" s="1808"/>
      <c r="DN193" s="1810">
        <v>0</v>
      </c>
      <c r="DO193" s="1799">
        <v>0</v>
      </c>
      <c r="DP193" s="1800">
        <v>0</v>
      </c>
      <c r="DQ193" s="1799">
        <v>0</v>
      </c>
      <c r="DR193" s="1800">
        <v>0</v>
      </c>
      <c r="DS193" s="1799">
        <v>0</v>
      </c>
    </row>
    <row r="194" spans="1:123" ht="81">
      <c r="A194" s="1801" t="s">
        <v>1959</v>
      </c>
      <c r="B194" s="1788" t="s">
        <v>1960</v>
      </c>
      <c r="C194" s="426">
        <v>2022</v>
      </c>
      <c r="D194" s="417" t="s">
        <v>681</v>
      </c>
      <c r="E194" s="1802">
        <v>1075275</v>
      </c>
      <c r="F194" s="1803" t="s">
        <v>1960</v>
      </c>
      <c r="G194" s="419">
        <v>45121</v>
      </c>
      <c r="H194" s="1790" t="s">
        <v>1961</v>
      </c>
      <c r="I194" s="1791" t="s">
        <v>1960</v>
      </c>
      <c r="J194" s="1793" t="s">
        <v>1962</v>
      </c>
      <c r="K194" s="1788" t="s">
        <v>1960</v>
      </c>
      <c r="L194" s="1791" t="s">
        <v>1963</v>
      </c>
      <c r="M194" s="1793" t="s">
        <v>1964</v>
      </c>
      <c r="N194" s="1790" t="s">
        <v>86</v>
      </c>
      <c r="O194" s="1793" t="s">
        <v>87</v>
      </c>
      <c r="P194" s="420" t="s">
        <v>683</v>
      </c>
      <c r="Q194" s="421"/>
      <c r="R194" s="421"/>
      <c r="S194" s="422"/>
      <c r="T194" s="1794"/>
      <c r="U194" s="423">
        <v>5136.4446000000007</v>
      </c>
      <c r="V194" s="424">
        <v>2</v>
      </c>
      <c r="W194" s="424">
        <v>2</v>
      </c>
      <c r="X194" s="425"/>
      <c r="Y194" s="426">
        <v>2022</v>
      </c>
      <c r="Z194" s="417">
        <v>2024</v>
      </c>
      <c r="AA194" s="1804">
        <v>2022</v>
      </c>
      <c r="AB194" s="427"/>
      <c r="AC194" s="1793"/>
      <c r="AD194" s="428" t="s">
        <v>5863</v>
      </c>
      <c r="AE194" s="1791" t="s">
        <v>1965</v>
      </c>
      <c r="AF194" s="1791" t="s">
        <v>1966</v>
      </c>
      <c r="AG194" s="1793" t="s">
        <v>1525</v>
      </c>
      <c r="AH194" s="428"/>
      <c r="AI194" s="1793"/>
      <c r="AJ194" s="429">
        <v>2021</v>
      </c>
      <c r="AK194" s="424">
        <v>8391</v>
      </c>
      <c r="AL194" s="424">
        <v>8212</v>
      </c>
      <c r="AM194" s="430">
        <v>98.33</v>
      </c>
      <c r="AN194" s="431" t="s">
        <v>864</v>
      </c>
      <c r="AO194" s="432">
        <v>2024</v>
      </c>
      <c r="AP194" s="425">
        <v>8349.0450000000001</v>
      </c>
      <c r="AQ194" s="433">
        <v>0.49</v>
      </c>
      <c r="AR194" s="425">
        <v>8170.94</v>
      </c>
      <c r="AS194" s="433">
        <v>0.5</v>
      </c>
      <c r="AT194" s="434">
        <v>97.838349999999991</v>
      </c>
      <c r="AU194" s="431" t="s">
        <v>864</v>
      </c>
      <c r="AV194" s="435">
        <v>0.5</v>
      </c>
      <c r="AW194" s="432">
        <v>2022</v>
      </c>
      <c r="AX194" s="425">
        <v>8863</v>
      </c>
      <c r="AY194" s="433">
        <v>-5.63</v>
      </c>
      <c r="AZ194" s="425">
        <v>8776</v>
      </c>
      <c r="BA194" s="433">
        <v>-6.87</v>
      </c>
      <c r="BB194" s="434">
        <v>103.85881856638971</v>
      </c>
      <c r="BC194" s="431" t="s">
        <v>864</v>
      </c>
      <c r="BD194" s="435">
        <v>-5.63</v>
      </c>
      <c r="BE194" s="432">
        <v>2023</v>
      </c>
      <c r="BF194" s="425"/>
      <c r="BG194" s="433"/>
      <c r="BH194" s="425"/>
      <c r="BI194" s="433"/>
      <c r="BJ194" s="434"/>
      <c r="BK194" s="431"/>
      <c r="BL194" s="435"/>
      <c r="BM194" s="432">
        <v>2024</v>
      </c>
      <c r="BN194" s="425"/>
      <c r="BO194" s="433"/>
      <c r="BP194" s="425"/>
      <c r="BQ194" s="433"/>
      <c r="BR194" s="434"/>
      <c r="BS194" s="431"/>
      <c r="BT194" s="435"/>
      <c r="BU194" s="1805" t="s">
        <v>676</v>
      </c>
      <c r="BV194" s="1806" t="s">
        <v>728</v>
      </c>
      <c r="BW194" s="1807" t="s">
        <v>678</v>
      </c>
      <c r="BX194" s="1808" t="s">
        <v>4946</v>
      </c>
      <c r="BY194" s="1809">
        <v>2021</v>
      </c>
      <c r="BZ194" s="424"/>
      <c r="CA194" s="424"/>
      <c r="CB194" s="430"/>
      <c r="CC194" s="431"/>
      <c r="CD194" s="432">
        <v>2024</v>
      </c>
      <c r="CE194" s="425"/>
      <c r="CF194" s="433"/>
      <c r="CG194" s="425"/>
      <c r="CH194" s="433"/>
      <c r="CI194" s="434"/>
      <c r="CJ194" s="431"/>
      <c r="CK194" s="435"/>
      <c r="CL194" s="432">
        <v>2022</v>
      </c>
      <c r="CM194" s="425">
        <v>0</v>
      </c>
      <c r="CN194" s="433"/>
      <c r="CO194" s="425">
        <v>0</v>
      </c>
      <c r="CP194" s="433"/>
      <c r="CQ194" s="434"/>
      <c r="CR194" s="431"/>
      <c r="CS194" s="435"/>
      <c r="CT194" s="432">
        <v>2023</v>
      </c>
      <c r="CU194" s="425"/>
      <c r="CV194" s="433"/>
      <c r="CW194" s="425"/>
      <c r="CX194" s="433"/>
      <c r="CY194" s="434"/>
      <c r="CZ194" s="431"/>
      <c r="DA194" s="435"/>
      <c r="DB194" s="432">
        <v>2024</v>
      </c>
      <c r="DC194" s="425"/>
      <c r="DD194" s="433"/>
      <c r="DE194" s="425"/>
      <c r="DF194" s="433"/>
      <c r="DG194" s="434"/>
      <c r="DH194" s="431"/>
      <c r="DI194" s="435"/>
      <c r="DJ194" s="1805"/>
      <c r="DK194" s="1806"/>
      <c r="DL194" s="1807"/>
      <c r="DM194" s="1808"/>
      <c r="DN194" s="1810">
        <v>0</v>
      </c>
      <c r="DO194" s="1799">
        <v>0</v>
      </c>
      <c r="DP194" s="1800">
        <v>0</v>
      </c>
      <c r="DQ194" s="1799">
        <v>0</v>
      </c>
      <c r="DR194" s="1800">
        <v>0</v>
      </c>
      <c r="DS194" s="1799">
        <v>0</v>
      </c>
    </row>
    <row r="195" spans="1:123" ht="94.5">
      <c r="A195" s="1801" t="s">
        <v>1967</v>
      </c>
      <c r="B195" s="1788" t="s">
        <v>1968</v>
      </c>
      <c r="C195" s="426">
        <v>2022</v>
      </c>
      <c r="D195" s="417" t="s">
        <v>714</v>
      </c>
      <c r="E195" s="1802">
        <v>3070276</v>
      </c>
      <c r="F195" s="1803" t="s">
        <v>1968</v>
      </c>
      <c r="G195" s="419">
        <v>45107</v>
      </c>
      <c r="H195" s="1790" t="s">
        <v>1969</v>
      </c>
      <c r="I195" s="1791" t="s">
        <v>1970</v>
      </c>
      <c r="J195" s="1793" t="s">
        <v>1971</v>
      </c>
      <c r="K195" s="1788" t="s">
        <v>1968</v>
      </c>
      <c r="L195" s="1791" t="s">
        <v>1972</v>
      </c>
      <c r="M195" s="1793" t="s">
        <v>1973</v>
      </c>
      <c r="N195" s="1790" t="s">
        <v>77</v>
      </c>
      <c r="O195" s="1793" t="s">
        <v>80</v>
      </c>
      <c r="P195" s="420"/>
      <c r="Q195" s="421"/>
      <c r="R195" s="421" t="s">
        <v>717</v>
      </c>
      <c r="S195" s="422"/>
      <c r="T195" s="1794"/>
      <c r="U195" s="423"/>
      <c r="V195" s="424"/>
      <c r="W195" s="424"/>
      <c r="X195" s="425">
        <v>524</v>
      </c>
      <c r="Y195" s="426">
        <v>2022</v>
      </c>
      <c r="Z195" s="417">
        <v>2024</v>
      </c>
      <c r="AA195" s="1804">
        <v>2022</v>
      </c>
      <c r="AB195" s="427"/>
      <c r="AC195" s="1793"/>
      <c r="AD195" s="428" t="s">
        <v>5863</v>
      </c>
      <c r="AE195" s="1791" t="s">
        <v>1970</v>
      </c>
      <c r="AF195" s="1791" t="s">
        <v>1974</v>
      </c>
      <c r="AG195" s="1793" t="s">
        <v>1975</v>
      </c>
      <c r="AH195" s="428"/>
      <c r="AI195" s="1793"/>
      <c r="AJ195" s="429">
        <v>2021</v>
      </c>
      <c r="AK195" s="424">
        <v>0</v>
      </c>
      <c r="AL195" s="424"/>
      <c r="AM195" s="430"/>
      <c r="AN195" s="431"/>
      <c r="AO195" s="432">
        <v>2024</v>
      </c>
      <c r="AP195" s="425">
        <v>0</v>
      </c>
      <c r="AQ195" s="433"/>
      <c r="AR195" s="425">
        <v>0</v>
      </c>
      <c r="AS195" s="433"/>
      <c r="AT195" s="434"/>
      <c r="AU195" s="431"/>
      <c r="AV195" s="435"/>
      <c r="AW195" s="432">
        <v>2022</v>
      </c>
      <c r="AX195" s="425"/>
      <c r="AY195" s="433"/>
      <c r="AZ195" s="425"/>
      <c r="BA195" s="433"/>
      <c r="BB195" s="434"/>
      <c r="BC195" s="431"/>
      <c r="BD195" s="435"/>
      <c r="BE195" s="432">
        <v>2023</v>
      </c>
      <c r="BF195" s="425"/>
      <c r="BG195" s="433"/>
      <c r="BH195" s="425"/>
      <c r="BI195" s="433"/>
      <c r="BJ195" s="434"/>
      <c r="BK195" s="431"/>
      <c r="BL195" s="435"/>
      <c r="BM195" s="432">
        <v>2024</v>
      </c>
      <c r="BN195" s="425"/>
      <c r="BO195" s="433"/>
      <c r="BP195" s="425"/>
      <c r="BQ195" s="433"/>
      <c r="BR195" s="434"/>
      <c r="BS195" s="431"/>
      <c r="BT195" s="435"/>
      <c r="BU195" s="1805"/>
      <c r="BV195" s="1806"/>
      <c r="BW195" s="1807"/>
      <c r="BX195" s="1808"/>
      <c r="BY195" s="1809">
        <v>2021</v>
      </c>
      <c r="BZ195" s="424">
        <v>565</v>
      </c>
      <c r="CA195" s="424">
        <v>565</v>
      </c>
      <c r="CB195" s="430">
        <v>2.38</v>
      </c>
      <c r="CC195" s="431" t="s">
        <v>2605</v>
      </c>
      <c r="CD195" s="432">
        <v>2024</v>
      </c>
      <c r="CE195" s="425">
        <v>564</v>
      </c>
      <c r="CF195" s="433">
        <v>0.17</v>
      </c>
      <c r="CG195" s="425">
        <v>564</v>
      </c>
      <c r="CH195" s="433">
        <v>0.17</v>
      </c>
      <c r="CI195" s="434">
        <v>2.35</v>
      </c>
      <c r="CJ195" s="431" t="s">
        <v>2605</v>
      </c>
      <c r="CK195" s="435">
        <v>1.26</v>
      </c>
      <c r="CL195" s="432">
        <v>2022</v>
      </c>
      <c r="CM195" s="425">
        <v>538.61789999999996</v>
      </c>
      <c r="CN195" s="433">
        <v>4.66</v>
      </c>
      <c r="CO195" s="425">
        <v>538.61789999999996</v>
      </c>
      <c r="CP195" s="433">
        <v>4.66</v>
      </c>
      <c r="CQ195" s="434">
        <v>2.358221978984238</v>
      </c>
      <c r="CR195" s="431" t="s">
        <v>2605</v>
      </c>
      <c r="CS195" s="435">
        <v>0.91</v>
      </c>
      <c r="CT195" s="432">
        <v>2023</v>
      </c>
      <c r="CU195" s="425"/>
      <c r="CV195" s="433"/>
      <c r="CW195" s="425"/>
      <c r="CX195" s="433"/>
      <c r="CY195" s="434"/>
      <c r="CZ195" s="431"/>
      <c r="DA195" s="435"/>
      <c r="DB195" s="432">
        <v>2024</v>
      </c>
      <c r="DC195" s="425"/>
      <c r="DD195" s="433"/>
      <c r="DE195" s="425"/>
      <c r="DF195" s="433"/>
      <c r="DG195" s="434"/>
      <c r="DH195" s="431"/>
      <c r="DI195" s="435"/>
      <c r="DJ195" s="1805" t="s">
        <v>687</v>
      </c>
      <c r="DK195" s="1806" t="s">
        <v>728</v>
      </c>
      <c r="DL195" s="1807" t="s">
        <v>678</v>
      </c>
      <c r="DM195" s="1808" t="s">
        <v>5061</v>
      </c>
      <c r="DN195" s="1810">
        <v>0</v>
      </c>
      <c r="DO195" s="1799">
        <v>0</v>
      </c>
      <c r="DP195" s="1800">
        <v>0</v>
      </c>
      <c r="DQ195" s="1799">
        <v>0</v>
      </c>
      <c r="DR195" s="1800">
        <v>0</v>
      </c>
      <c r="DS195" s="1799">
        <v>0</v>
      </c>
    </row>
    <row r="196" spans="1:123" ht="54">
      <c r="A196" s="1801" t="s">
        <v>1977</v>
      </c>
      <c r="B196" s="1788" t="s">
        <v>1978</v>
      </c>
      <c r="C196" s="426">
        <v>2022</v>
      </c>
      <c r="D196" s="417" t="s">
        <v>681</v>
      </c>
      <c r="E196" s="1802">
        <v>1056279</v>
      </c>
      <c r="F196" s="1803" t="s">
        <v>1978</v>
      </c>
      <c r="G196" s="419">
        <v>45121</v>
      </c>
      <c r="H196" s="1790" t="s">
        <v>1979</v>
      </c>
      <c r="I196" s="1791" t="s">
        <v>1978</v>
      </c>
      <c r="J196" s="1793" t="s">
        <v>5062</v>
      </c>
      <c r="K196" s="1788" t="s">
        <v>1978</v>
      </c>
      <c r="L196" s="1791" t="s">
        <v>5062</v>
      </c>
      <c r="M196" s="1793" t="s">
        <v>1979</v>
      </c>
      <c r="N196" s="1790" t="s">
        <v>57</v>
      </c>
      <c r="O196" s="1793" t="s">
        <v>66</v>
      </c>
      <c r="P196" s="420" t="s">
        <v>683</v>
      </c>
      <c r="Q196" s="421"/>
      <c r="R196" s="421"/>
      <c r="S196" s="422"/>
      <c r="T196" s="1794"/>
      <c r="U196" s="423">
        <v>8482.7819999999992</v>
      </c>
      <c r="V196" s="424">
        <v>22</v>
      </c>
      <c r="W196" s="424">
        <v>2</v>
      </c>
      <c r="X196" s="425"/>
      <c r="Y196" s="426">
        <v>2022</v>
      </c>
      <c r="Z196" s="417">
        <v>2024</v>
      </c>
      <c r="AA196" s="1804">
        <v>2022</v>
      </c>
      <c r="AB196" s="427"/>
      <c r="AC196" s="1793"/>
      <c r="AD196" s="428" t="s">
        <v>5863</v>
      </c>
      <c r="AE196" s="1791" t="s">
        <v>5063</v>
      </c>
      <c r="AF196" s="1791" t="s">
        <v>1979</v>
      </c>
      <c r="AG196" s="1793" t="s">
        <v>1241</v>
      </c>
      <c r="AH196" s="428"/>
      <c r="AI196" s="1793"/>
      <c r="AJ196" s="429">
        <v>2021</v>
      </c>
      <c r="AK196" s="424">
        <v>12222</v>
      </c>
      <c r="AL196" s="424">
        <v>12276</v>
      </c>
      <c r="AM196" s="430">
        <v>32.67</v>
      </c>
      <c r="AN196" s="431" t="s">
        <v>1980</v>
      </c>
      <c r="AO196" s="432">
        <v>2024</v>
      </c>
      <c r="AP196" s="425">
        <v>12040</v>
      </c>
      <c r="AQ196" s="433">
        <v>1.48</v>
      </c>
      <c r="AR196" s="425">
        <v>12093</v>
      </c>
      <c r="AS196" s="433">
        <v>1.49</v>
      </c>
      <c r="AT196" s="434">
        <v>32.19</v>
      </c>
      <c r="AU196" s="431" t="s">
        <v>1980</v>
      </c>
      <c r="AV196" s="435">
        <v>1.46</v>
      </c>
      <c r="AW196" s="432">
        <v>2022</v>
      </c>
      <c r="AX196" s="425">
        <v>15653</v>
      </c>
      <c r="AY196" s="433">
        <v>-28.08</v>
      </c>
      <c r="AZ196" s="425">
        <v>15889</v>
      </c>
      <c r="BA196" s="433">
        <v>-29.44</v>
      </c>
      <c r="BB196" s="434">
        <v>41.852941176470587</v>
      </c>
      <c r="BC196" s="431" t="s">
        <v>1980</v>
      </c>
      <c r="BD196" s="435">
        <v>-28.11</v>
      </c>
      <c r="BE196" s="432">
        <v>2023</v>
      </c>
      <c r="BF196" s="425"/>
      <c r="BG196" s="433"/>
      <c r="BH196" s="425"/>
      <c r="BI196" s="433"/>
      <c r="BJ196" s="434"/>
      <c r="BK196" s="431"/>
      <c r="BL196" s="435"/>
      <c r="BM196" s="432">
        <v>2024</v>
      </c>
      <c r="BN196" s="425"/>
      <c r="BO196" s="433"/>
      <c r="BP196" s="425"/>
      <c r="BQ196" s="433"/>
      <c r="BR196" s="434"/>
      <c r="BS196" s="431"/>
      <c r="BT196" s="435"/>
      <c r="BU196" s="1805" t="s">
        <v>676</v>
      </c>
      <c r="BV196" s="1806" t="s">
        <v>728</v>
      </c>
      <c r="BW196" s="1807" t="s">
        <v>688</v>
      </c>
      <c r="BX196" s="1808" t="s">
        <v>5064</v>
      </c>
      <c r="BY196" s="1809">
        <v>2021</v>
      </c>
      <c r="BZ196" s="424"/>
      <c r="CA196" s="424"/>
      <c r="CB196" s="430"/>
      <c r="CC196" s="431"/>
      <c r="CD196" s="432">
        <v>2024</v>
      </c>
      <c r="CE196" s="425"/>
      <c r="CF196" s="433"/>
      <c r="CG196" s="425"/>
      <c r="CH196" s="433"/>
      <c r="CI196" s="434"/>
      <c r="CJ196" s="431"/>
      <c r="CK196" s="435"/>
      <c r="CL196" s="432">
        <v>2022</v>
      </c>
      <c r="CM196" s="425">
        <v>0</v>
      </c>
      <c r="CN196" s="433"/>
      <c r="CO196" s="425">
        <v>0</v>
      </c>
      <c r="CP196" s="433"/>
      <c r="CQ196" s="434"/>
      <c r="CR196" s="431"/>
      <c r="CS196" s="435">
        <v>0</v>
      </c>
      <c r="CT196" s="432">
        <v>2023</v>
      </c>
      <c r="CU196" s="425"/>
      <c r="CV196" s="433"/>
      <c r="CW196" s="425"/>
      <c r="CX196" s="433"/>
      <c r="CY196" s="434"/>
      <c r="CZ196" s="431"/>
      <c r="DA196" s="435"/>
      <c r="DB196" s="432">
        <v>2024</v>
      </c>
      <c r="DC196" s="425"/>
      <c r="DD196" s="433"/>
      <c r="DE196" s="425"/>
      <c r="DF196" s="433"/>
      <c r="DG196" s="434"/>
      <c r="DH196" s="431"/>
      <c r="DI196" s="435"/>
      <c r="DJ196" s="1805"/>
      <c r="DK196" s="1806"/>
      <c r="DL196" s="1807"/>
      <c r="DM196" s="1808"/>
      <c r="DN196" s="1810">
        <v>0</v>
      </c>
      <c r="DO196" s="1799">
        <v>0</v>
      </c>
      <c r="DP196" s="1800">
        <v>0</v>
      </c>
      <c r="DQ196" s="1799">
        <v>0</v>
      </c>
      <c r="DR196" s="1800">
        <v>0</v>
      </c>
      <c r="DS196" s="1799">
        <v>0</v>
      </c>
    </row>
    <row r="197" spans="1:123" ht="67.5">
      <c r="A197" s="1801" t="s">
        <v>1981</v>
      </c>
      <c r="B197" s="1788" t="s">
        <v>2606</v>
      </c>
      <c r="C197" s="426">
        <v>2022</v>
      </c>
      <c r="D197" s="417" t="s">
        <v>681</v>
      </c>
      <c r="E197" s="1802">
        <v>1056280</v>
      </c>
      <c r="F197" s="1803" t="s">
        <v>2606</v>
      </c>
      <c r="G197" s="419">
        <v>45132</v>
      </c>
      <c r="H197" s="1790" t="s">
        <v>5065</v>
      </c>
      <c r="I197" s="1791" t="s">
        <v>2606</v>
      </c>
      <c r="J197" s="1793" t="s">
        <v>1982</v>
      </c>
      <c r="K197" s="1788" t="s">
        <v>2606</v>
      </c>
      <c r="L197" s="1791" t="s">
        <v>1982</v>
      </c>
      <c r="M197" s="1793" t="s">
        <v>5065</v>
      </c>
      <c r="N197" s="1790" t="s">
        <v>57</v>
      </c>
      <c r="O197" s="1793" t="s">
        <v>64</v>
      </c>
      <c r="P197" s="420" t="s">
        <v>683</v>
      </c>
      <c r="Q197" s="421"/>
      <c r="R197" s="421"/>
      <c r="S197" s="422"/>
      <c r="T197" s="1794"/>
      <c r="U197" s="423">
        <v>2759.6196</v>
      </c>
      <c r="V197" s="424">
        <v>7</v>
      </c>
      <c r="W197" s="424">
        <v>2</v>
      </c>
      <c r="X197" s="425"/>
      <c r="Y197" s="426">
        <v>2022</v>
      </c>
      <c r="Z197" s="417">
        <v>2024</v>
      </c>
      <c r="AA197" s="1804">
        <v>2022</v>
      </c>
      <c r="AB197" s="427"/>
      <c r="AC197" s="1793"/>
      <c r="AD197" s="428" t="s">
        <v>5863</v>
      </c>
      <c r="AE197" s="1791" t="s">
        <v>1983</v>
      </c>
      <c r="AF197" s="1791" t="s">
        <v>5065</v>
      </c>
      <c r="AG197" s="1793" t="s">
        <v>5066</v>
      </c>
      <c r="AH197" s="428" t="s">
        <v>5863</v>
      </c>
      <c r="AI197" s="1793" t="s">
        <v>5067</v>
      </c>
      <c r="AJ197" s="429">
        <v>2021</v>
      </c>
      <c r="AK197" s="424">
        <v>5157</v>
      </c>
      <c r="AL197" s="424">
        <v>5111</v>
      </c>
      <c r="AM197" s="430"/>
      <c r="AN197" s="431"/>
      <c r="AO197" s="432">
        <v>2024</v>
      </c>
      <c r="AP197" s="425">
        <v>5105</v>
      </c>
      <c r="AQ197" s="433">
        <v>1</v>
      </c>
      <c r="AR197" s="425">
        <v>5060</v>
      </c>
      <c r="AS197" s="433">
        <v>0.99</v>
      </c>
      <c r="AT197" s="434"/>
      <c r="AU197" s="431"/>
      <c r="AV197" s="435"/>
      <c r="AW197" s="432">
        <v>2022</v>
      </c>
      <c r="AX197" s="425">
        <v>5009</v>
      </c>
      <c r="AY197" s="433">
        <v>2.86</v>
      </c>
      <c r="AZ197" s="425">
        <v>4998</v>
      </c>
      <c r="BA197" s="433">
        <v>2.21</v>
      </c>
      <c r="BB197" s="434"/>
      <c r="BC197" s="431"/>
      <c r="BD197" s="435"/>
      <c r="BE197" s="432">
        <v>2023</v>
      </c>
      <c r="BF197" s="425"/>
      <c r="BG197" s="433"/>
      <c r="BH197" s="425"/>
      <c r="BI197" s="433"/>
      <c r="BJ197" s="434"/>
      <c r="BK197" s="431"/>
      <c r="BL197" s="435"/>
      <c r="BM197" s="432">
        <v>2024</v>
      </c>
      <c r="BN197" s="425"/>
      <c r="BO197" s="433"/>
      <c r="BP197" s="425"/>
      <c r="BQ197" s="433"/>
      <c r="BR197" s="434"/>
      <c r="BS197" s="431"/>
      <c r="BT197" s="435"/>
      <c r="BU197" s="1805" t="s">
        <v>687</v>
      </c>
      <c r="BV197" s="1806" t="s">
        <v>728</v>
      </c>
      <c r="BW197" s="1807" t="s">
        <v>688</v>
      </c>
      <c r="BX197" s="1808" t="s">
        <v>5068</v>
      </c>
      <c r="BY197" s="1809">
        <v>2021</v>
      </c>
      <c r="BZ197" s="424"/>
      <c r="CA197" s="424"/>
      <c r="CB197" s="430"/>
      <c r="CC197" s="431"/>
      <c r="CD197" s="432">
        <v>2024</v>
      </c>
      <c r="CE197" s="425"/>
      <c r="CF197" s="433"/>
      <c r="CG197" s="425"/>
      <c r="CH197" s="433"/>
      <c r="CI197" s="434"/>
      <c r="CJ197" s="431"/>
      <c r="CK197" s="435"/>
      <c r="CL197" s="432">
        <v>2022</v>
      </c>
      <c r="CM197" s="425">
        <v>0</v>
      </c>
      <c r="CN197" s="433"/>
      <c r="CO197" s="425">
        <v>0</v>
      </c>
      <c r="CP197" s="433"/>
      <c r="CQ197" s="434"/>
      <c r="CR197" s="431"/>
      <c r="CS197" s="435">
        <v>0</v>
      </c>
      <c r="CT197" s="432">
        <v>2023</v>
      </c>
      <c r="CU197" s="425"/>
      <c r="CV197" s="433"/>
      <c r="CW197" s="425"/>
      <c r="CX197" s="433"/>
      <c r="CY197" s="434"/>
      <c r="CZ197" s="431"/>
      <c r="DA197" s="435"/>
      <c r="DB197" s="432">
        <v>2024</v>
      </c>
      <c r="DC197" s="425"/>
      <c r="DD197" s="433"/>
      <c r="DE197" s="425"/>
      <c r="DF197" s="433"/>
      <c r="DG197" s="434"/>
      <c r="DH197" s="431"/>
      <c r="DI197" s="435"/>
      <c r="DJ197" s="1805"/>
      <c r="DK197" s="1806"/>
      <c r="DL197" s="1807"/>
      <c r="DM197" s="1808"/>
      <c r="DN197" s="1810">
        <v>0</v>
      </c>
      <c r="DO197" s="1799">
        <v>0</v>
      </c>
      <c r="DP197" s="1800">
        <v>0</v>
      </c>
      <c r="DQ197" s="1799">
        <v>0</v>
      </c>
      <c r="DR197" s="1800">
        <v>0</v>
      </c>
      <c r="DS197" s="1799">
        <v>0</v>
      </c>
    </row>
    <row r="198" spans="1:123" ht="94.5">
      <c r="A198" s="1801" t="s">
        <v>1984</v>
      </c>
      <c r="B198" s="1788" t="s">
        <v>1985</v>
      </c>
      <c r="C198" s="426">
        <v>2022</v>
      </c>
      <c r="D198" s="417" t="s">
        <v>681</v>
      </c>
      <c r="E198" s="1802">
        <v>1056281</v>
      </c>
      <c r="F198" s="1803" t="s">
        <v>1985</v>
      </c>
      <c r="G198" s="419">
        <v>45107</v>
      </c>
      <c r="H198" s="1790" t="s">
        <v>1986</v>
      </c>
      <c r="I198" s="1791" t="s">
        <v>1985</v>
      </c>
      <c r="J198" s="1793" t="s">
        <v>1987</v>
      </c>
      <c r="K198" s="1788" t="s">
        <v>1985</v>
      </c>
      <c r="L198" s="1791" t="s">
        <v>1987</v>
      </c>
      <c r="M198" s="1793" t="s">
        <v>1986</v>
      </c>
      <c r="N198" s="1790" t="s">
        <v>57</v>
      </c>
      <c r="O198" s="1793" t="s">
        <v>64</v>
      </c>
      <c r="P198" s="420" t="s">
        <v>683</v>
      </c>
      <c r="Q198" s="421"/>
      <c r="R198" s="421"/>
      <c r="S198" s="422"/>
      <c r="T198" s="1794"/>
      <c r="U198" s="423">
        <v>3382.9991999999997</v>
      </c>
      <c r="V198" s="424">
        <v>6</v>
      </c>
      <c r="W198" s="424">
        <v>4</v>
      </c>
      <c r="X198" s="425"/>
      <c r="Y198" s="426">
        <v>2022</v>
      </c>
      <c r="Z198" s="417">
        <v>2024</v>
      </c>
      <c r="AA198" s="1804">
        <v>2022</v>
      </c>
      <c r="AB198" s="427"/>
      <c r="AC198" s="1793"/>
      <c r="AD198" s="428" t="s">
        <v>5863</v>
      </c>
      <c r="AE198" s="1791" t="s">
        <v>1988</v>
      </c>
      <c r="AF198" s="1791" t="s">
        <v>1989</v>
      </c>
      <c r="AG198" s="1793" t="s">
        <v>1990</v>
      </c>
      <c r="AH198" s="428"/>
      <c r="AI198" s="1793"/>
      <c r="AJ198" s="429">
        <v>2021</v>
      </c>
      <c r="AK198" s="424">
        <v>6448</v>
      </c>
      <c r="AL198" s="424">
        <v>6392</v>
      </c>
      <c r="AM198" s="430"/>
      <c r="AN198" s="431"/>
      <c r="AO198" s="432">
        <v>2024</v>
      </c>
      <c r="AP198" s="425">
        <v>6000</v>
      </c>
      <c r="AQ198" s="433">
        <v>6.94</v>
      </c>
      <c r="AR198" s="425">
        <v>5950.9519999999993</v>
      </c>
      <c r="AS198" s="433">
        <v>6.9</v>
      </c>
      <c r="AT198" s="434"/>
      <c r="AU198" s="431"/>
      <c r="AV198" s="435"/>
      <c r="AW198" s="432">
        <v>2022</v>
      </c>
      <c r="AX198" s="425">
        <v>6049</v>
      </c>
      <c r="AY198" s="433">
        <v>6.18</v>
      </c>
      <c r="AZ198" s="425">
        <v>6035</v>
      </c>
      <c r="BA198" s="433">
        <v>5.58</v>
      </c>
      <c r="BB198" s="434"/>
      <c r="BC198" s="431"/>
      <c r="BD198" s="435"/>
      <c r="BE198" s="432">
        <v>2023</v>
      </c>
      <c r="BF198" s="425"/>
      <c r="BG198" s="433"/>
      <c r="BH198" s="425"/>
      <c r="BI198" s="433"/>
      <c r="BJ198" s="434"/>
      <c r="BK198" s="431"/>
      <c r="BL198" s="435"/>
      <c r="BM198" s="432">
        <v>2024</v>
      </c>
      <c r="BN198" s="425"/>
      <c r="BO198" s="433"/>
      <c r="BP198" s="425"/>
      <c r="BQ198" s="433"/>
      <c r="BR198" s="434"/>
      <c r="BS198" s="431"/>
      <c r="BT198" s="435"/>
      <c r="BU198" s="1805" t="s">
        <v>719</v>
      </c>
      <c r="BV198" s="1806" t="s">
        <v>728</v>
      </c>
      <c r="BW198" s="1807" t="s">
        <v>688</v>
      </c>
      <c r="BX198" s="1808" t="s">
        <v>5069</v>
      </c>
      <c r="BY198" s="1809">
        <v>2021</v>
      </c>
      <c r="BZ198" s="424"/>
      <c r="CA198" s="424"/>
      <c r="CB198" s="430"/>
      <c r="CC198" s="431"/>
      <c r="CD198" s="432">
        <v>2024</v>
      </c>
      <c r="CE198" s="425"/>
      <c r="CF198" s="433"/>
      <c r="CG198" s="425"/>
      <c r="CH198" s="433"/>
      <c r="CI198" s="434"/>
      <c r="CJ198" s="431"/>
      <c r="CK198" s="435"/>
      <c r="CL198" s="432">
        <v>2022</v>
      </c>
      <c r="CM198" s="425">
        <v>0</v>
      </c>
      <c r="CN198" s="433"/>
      <c r="CO198" s="425">
        <v>0</v>
      </c>
      <c r="CP198" s="433"/>
      <c r="CQ198" s="434"/>
      <c r="CR198" s="431"/>
      <c r="CS198" s="435">
        <v>0</v>
      </c>
      <c r="CT198" s="432">
        <v>2023</v>
      </c>
      <c r="CU198" s="425"/>
      <c r="CV198" s="433"/>
      <c r="CW198" s="425"/>
      <c r="CX198" s="433"/>
      <c r="CY198" s="434"/>
      <c r="CZ198" s="431"/>
      <c r="DA198" s="435"/>
      <c r="DB198" s="432">
        <v>2024</v>
      </c>
      <c r="DC198" s="425"/>
      <c r="DD198" s="433"/>
      <c r="DE198" s="425"/>
      <c r="DF198" s="433"/>
      <c r="DG198" s="434"/>
      <c r="DH198" s="431"/>
      <c r="DI198" s="435"/>
      <c r="DJ198" s="1805"/>
      <c r="DK198" s="1806"/>
      <c r="DL198" s="1807"/>
      <c r="DM198" s="1808"/>
      <c r="DN198" s="1810">
        <v>0</v>
      </c>
      <c r="DO198" s="1799">
        <v>0</v>
      </c>
      <c r="DP198" s="1800">
        <v>0</v>
      </c>
      <c r="DQ198" s="1799">
        <v>0</v>
      </c>
      <c r="DR198" s="1800">
        <v>0</v>
      </c>
      <c r="DS198" s="1799">
        <v>0</v>
      </c>
    </row>
    <row r="199" spans="1:123" ht="54">
      <c r="A199" s="1801" t="s">
        <v>1991</v>
      </c>
      <c r="B199" s="1788" t="s">
        <v>1992</v>
      </c>
      <c r="C199" s="426">
        <v>2022</v>
      </c>
      <c r="D199" s="417" t="s">
        <v>681</v>
      </c>
      <c r="E199" s="1802">
        <v>1014283</v>
      </c>
      <c r="F199" s="1803" t="s">
        <v>1992</v>
      </c>
      <c r="G199" s="419">
        <v>45134</v>
      </c>
      <c r="H199" s="1790" t="s">
        <v>1993</v>
      </c>
      <c r="I199" s="1791" t="s">
        <v>1992</v>
      </c>
      <c r="J199" s="1793" t="s">
        <v>1994</v>
      </c>
      <c r="K199" s="1788" t="s">
        <v>1992</v>
      </c>
      <c r="L199" s="1791" t="s">
        <v>1995</v>
      </c>
      <c r="M199" s="1793" t="s">
        <v>1996</v>
      </c>
      <c r="N199" s="1790" t="s">
        <v>12</v>
      </c>
      <c r="O199" s="1793" t="s">
        <v>18</v>
      </c>
      <c r="P199" s="420" t="s">
        <v>683</v>
      </c>
      <c r="Q199" s="421"/>
      <c r="R199" s="421"/>
      <c r="S199" s="422"/>
      <c r="T199" s="1794"/>
      <c r="U199" s="423">
        <v>1852.8786</v>
      </c>
      <c r="V199" s="424">
        <v>1</v>
      </c>
      <c r="W199" s="424">
        <v>1</v>
      </c>
      <c r="X199" s="425"/>
      <c r="Y199" s="426">
        <v>2022</v>
      </c>
      <c r="Z199" s="417">
        <v>2024</v>
      </c>
      <c r="AA199" s="1804">
        <v>2022</v>
      </c>
      <c r="AB199" s="427"/>
      <c r="AC199" s="1793"/>
      <c r="AD199" s="428" t="s">
        <v>5863</v>
      </c>
      <c r="AE199" s="1791" t="s">
        <v>1997</v>
      </c>
      <c r="AF199" s="1791" t="s">
        <v>1993</v>
      </c>
      <c r="AG199" s="1793" t="s">
        <v>1998</v>
      </c>
      <c r="AH199" s="428"/>
      <c r="AI199" s="1793"/>
      <c r="AJ199" s="429">
        <v>2021</v>
      </c>
      <c r="AK199" s="424">
        <v>3518</v>
      </c>
      <c r="AL199" s="424">
        <v>2193</v>
      </c>
      <c r="AM199" s="430">
        <v>19.329999999999998</v>
      </c>
      <c r="AN199" s="431" t="s">
        <v>1999</v>
      </c>
      <c r="AO199" s="432">
        <v>2024</v>
      </c>
      <c r="AP199" s="425">
        <v>3500</v>
      </c>
      <c r="AQ199" s="433">
        <v>0.51</v>
      </c>
      <c r="AR199" s="425">
        <v>2182</v>
      </c>
      <c r="AS199" s="433">
        <v>0.5</v>
      </c>
      <c r="AT199" s="434">
        <v>19.23</v>
      </c>
      <c r="AU199" s="431" t="s">
        <v>1999</v>
      </c>
      <c r="AV199" s="435">
        <v>0.51</v>
      </c>
      <c r="AW199" s="432">
        <v>2022</v>
      </c>
      <c r="AX199" s="425">
        <v>3404</v>
      </c>
      <c r="AY199" s="433">
        <v>3.24</v>
      </c>
      <c r="AZ199" s="425">
        <v>3413</v>
      </c>
      <c r="BA199" s="433">
        <v>-55.64</v>
      </c>
      <c r="BB199" s="434">
        <v>19.231638418079097</v>
      </c>
      <c r="BC199" s="431" t="s">
        <v>1999</v>
      </c>
      <c r="BD199" s="435">
        <v>0.5</v>
      </c>
      <c r="BE199" s="432">
        <v>2023</v>
      </c>
      <c r="BF199" s="425"/>
      <c r="BG199" s="433"/>
      <c r="BH199" s="425"/>
      <c r="BI199" s="433"/>
      <c r="BJ199" s="434"/>
      <c r="BK199" s="431"/>
      <c r="BL199" s="435"/>
      <c r="BM199" s="432">
        <v>2024</v>
      </c>
      <c r="BN199" s="425"/>
      <c r="BO199" s="433"/>
      <c r="BP199" s="425"/>
      <c r="BQ199" s="433"/>
      <c r="BR199" s="434"/>
      <c r="BS199" s="431"/>
      <c r="BT199" s="435"/>
      <c r="BU199" s="1805" t="s">
        <v>719</v>
      </c>
      <c r="BV199" s="1806" t="s">
        <v>728</v>
      </c>
      <c r="BW199" s="1807" t="s">
        <v>697</v>
      </c>
      <c r="BX199" s="1808" t="s">
        <v>5070</v>
      </c>
      <c r="BY199" s="1809">
        <v>2021</v>
      </c>
      <c r="BZ199" s="424"/>
      <c r="CA199" s="424"/>
      <c r="CB199" s="430"/>
      <c r="CC199" s="431"/>
      <c r="CD199" s="432">
        <v>2024</v>
      </c>
      <c r="CE199" s="425"/>
      <c r="CF199" s="433"/>
      <c r="CG199" s="425"/>
      <c r="CH199" s="433"/>
      <c r="CI199" s="434"/>
      <c r="CJ199" s="431"/>
      <c r="CK199" s="435"/>
      <c r="CL199" s="432">
        <v>2022</v>
      </c>
      <c r="CM199" s="425">
        <v>0</v>
      </c>
      <c r="CN199" s="433"/>
      <c r="CO199" s="425">
        <v>0</v>
      </c>
      <c r="CP199" s="433"/>
      <c r="CQ199" s="434"/>
      <c r="CR199" s="431"/>
      <c r="CS199" s="435">
        <v>0</v>
      </c>
      <c r="CT199" s="432">
        <v>2023</v>
      </c>
      <c r="CU199" s="425"/>
      <c r="CV199" s="433"/>
      <c r="CW199" s="425"/>
      <c r="CX199" s="433"/>
      <c r="CY199" s="434"/>
      <c r="CZ199" s="431"/>
      <c r="DA199" s="435"/>
      <c r="DB199" s="432">
        <v>2024</v>
      </c>
      <c r="DC199" s="425"/>
      <c r="DD199" s="433"/>
      <c r="DE199" s="425"/>
      <c r="DF199" s="433"/>
      <c r="DG199" s="434"/>
      <c r="DH199" s="431"/>
      <c r="DI199" s="435"/>
      <c r="DJ199" s="1805"/>
      <c r="DK199" s="1806"/>
      <c r="DL199" s="1807"/>
      <c r="DM199" s="1808"/>
      <c r="DN199" s="1810">
        <v>0</v>
      </c>
      <c r="DO199" s="1799">
        <v>0</v>
      </c>
      <c r="DP199" s="1800">
        <v>0</v>
      </c>
      <c r="DQ199" s="1799">
        <v>0</v>
      </c>
      <c r="DR199" s="1800">
        <v>0</v>
      </c>
      <c r="DS199" s="1799">
        <v>0</v>
      </c>
    </row>
    <row r="200" spans="1:123" ht="108">
      <c r="A200" s="1801" t="s">
        <v>2000</v>
      </c>
      <c r="B200" s="1788" t="s">
        <v>2001</v>
      </c>
      <c r="C200" s="426">
        <v>2022</v>
      </c>
      <c r="D200" s="417" t="s">
        <v>681</v>
      </c>
      <c r="E200" s="1802">
        <v>1069284</v>
      </c>
      <c r="F200" s="1803" t="s">
        <v>2001</v>
      </c>
      <c r="G200" s="419">
        <v>45135</v>
      </c>
      <c r="H200" s="1790" t="s">
        <v>2002</v>
      </c>
      <c r="I200" s="1791" t="s">
        <v>2001</v>
      </c>
      <c r="J200" s="1793" t="s">
        <v>2003</v>
      </c>
      <c r="K200" s="1788" t="s">
        <v>2001</v>
      </c>
      <c r="L200" s="1791" t="s">
        <v>2004</v>
      </c>
      <c r="M200" s="1793" t="s">
        <v>2002</v>
      </c>
      <c r="N200" s="1790" t="s">
        <v>77</v>
      </c>
      <c r="O200" s="1793" t="s">
        <v>79</v>
      </c>
      <c r="P200" s="420" t="s">
        <v>683</v>
      </c>
      <c r="Q200" s="421"/>
      <c r="R200" s="421"/>
      <c r="S200" s="422"/>
      <c r="T200" s="1794"/>
      <c r="U200" s="423">
        <v>2995.6122</v>
      </c>
      <c r="V200" s="424">
        <v>1</v>
      </c>
      <c r="W200" s="424">
        <v>1</v>
      </c>
      <c r="X200" s="425"/>
      <c r="Y200" s="426">
        <v>2022</v>
      </c>
      <c r="Z200" s="417">
        <v>2024</v>
      </c>
      <c r="AA200" s="1804">
        <v>2022</v>
      </c>
      <c r="AB200" s="427"/>
      <c r="AC200" s="1793"/>
      <c r="AD200" s="428" t="s">
        <v>5863</v>
      </c>
      <c r="AE200" s="1791" t="s">
        <v>2005</v>
      </c>
      <c r="AF200" s="1791" t="s">
        <v>2002</v>
      </c>
      <c r="AG200" s="1793" t="s">
        <v>2006</v>
      </c>
      <c r="AH200" s="428"/>
      <c r="AI200" s="1793"/>
      <c r="AJ200" s="429">
        <v>2021</v>
      </c>
      <c r="AK200" s="424">
        <v>6145</v>
      </c>
      <c r="AL200" s="424">
        <v>6133</v>
      </c>
      <c r="AM200" s="430">
        <v>57.31</v>
      </c>
      <c r="AN200" s="431" t="s">
        <v>2007</v>
      </c>
      <c r="AO200" s="432">
        <v>2024</v>
      </c>
      <c r="AP200" s="425">
        <v>8811</v>
      </c>
      <c r="AQ200" s="433">
        <v>-43.39</v>
      </c>
      <c r="AR200" s="425">
        <v>7138</v>
      </c>
      <c r="AS200" s="433">
        <v>-16.39</v>
      </c>
      <c r="AT200" s="434">
        <v>56.75</v>
      </c>
      <c r="AU200" s="431" t="s">
        <v>2007</v>
      </c>
      <c r="AV200" s="435">
        <v>0.97</v>
      </c>
      <c r="AW200" s="432">
        <v>2022</v>
      </c>
      <c r="AX200" s="425">
        <v>5276</v>
      </c>
      <c r="AY200" s="433">
        <v>14.14</v>
      </c>
      <c r="AZ200" s="425">
        <v>5268</v>
      </c>
      <c r="BA200" s="433">
        <v>14.1</v>
      </c>
      <c r="BB200" s="434">
        <v>53.244525179130079</v>
      </c>
      <c r="BC200" s="431" t="s">
        <v>2007</v>
      </c>
      <c r="BD200" s="435">
        <v>7.09</v>
      </c>
      <c r="BE200" s="432">
        <v>2023</v>
      </c>
      <c r="BF200" s="425"/>
      <c r="BG200" s="433"/>
      <c r="BH200" s="425"/>
      <c r="BI200" s="433"/>
      <c r="BJ200" s="434"/>
      <c r="BK200" s="431"/>
      <c r="BL200" s="435"/>
      <c r="BM200" s="432">
        <v>2024</v>
      </c>
      <c r="BN200" s="425"/>
      <c r="BO200" s="433"/>
      <c r="BP200" s="425"/>
      <c r="BQ200" s="433"/>
      <c r="BR200" s="434"/>
      <c r="BS200" s="431"/>
      <c r="BT200" s="435"/>
      <c r="BU200" s="1805" t="s">
        <v>687</v>
      </c>
      <c r="BV200" s="1806" t="s">
        <v>728</v>
      </c>
      <c r="BW200" s="1807" t="s">
        <v>688</v>
      </c>
      <c r="BX200" s="1808" t="s">
        <v>5071</v>
      </c>
      <c r="BY200" s="1809">
        <v>2021</v>
      </c>
      <c r="BZ200" s="424"/>
      <c r="CA200" s="424"/>
      <c r="CB200" s="430"/>
      <c r="CC200" s="431"/>
      <c r="CD200" s="432">
        <v>2024</v>
      </c>
      <c r="CE200" s="425"/>
      <c r="CF200" s="433"/>
      <c r="CG200" s="425"/>
      <c r="CH200" s="433"/>
      <c r="CI200" s="434"/>
      <c r="CJ200" s="431"/>
      <c r="CK200" s="435"/>
      <c r="CL200" s="432">
        <v>2022</v>
      </c>
      <c r="CM200" s="425">
        <v>0</v>
      </c>
      <c r="CN200" s="433"/>
      <c r="CO200" s="425">
        <v>0</v>
      </c>
      <c r="CP200" s="433"/>
      <c r="CQ200" s="434"/>
      <c r="CR200" s="431"/>
      <c r="CS200" s="435"/>
      <c r="CT200" s="432">
        <v>2023</v>
      </c>
      <c r="CU200" s="425"/>
      <c r="CV200" s="433"/>
      <c r="CW200" s="425"/>
      <c r="CX200" s="433"/>
      <c r="CY200" s="434"/>
      <c r="CZ200" s="431"/>
      <c r="DA200" s="435"/>
      <c r="DB200" s="432">
        <v>2024</v>
      </c>
      <c r="DC200" s="425"/>
      <c r="DD200" s="433"/>
      <c r="DE200" s="425"/>
      <c r="DF200" s="433"/>
      <c r="DG200" s="434"/>
      <c r="DH200" s="431"/>
      <c r="DI200" s="435"/>
      <c r="DJ200" s="1805"/>
      <c r="DK200" s="1806"/>
      <c r="DL200" s="1807"/>
      <c r="DM200" s="1808"/>
      <c r="DN200" s="1810">
        <v>0</v>
      </c>
      <c r="DO200" s="1799">
        <v>0</v>
      </c>
      <c r="DP200" s="1800">
        <v>0</v>
      </c>
      <c r="DQ200" s="1799">
        <v>0</v>
      </c>
      <c r="DR200" s="1800">
        <v>0</v>
      </c>
      <c r="DS200" s="1799">
        <v>0</v>
      </c>
    </row>
    <row r="201" spans="1:123" ht="67.5">
      <c r="A201" s="1801" t="s">
        <v>2008</v>
      </c>
      <c r="B201" s="1788" t="s">
        <v>2009</v>
      </c>
      <c r="C201" s="426">
        <v>2022</v>
      </c>
      <c r="D201" s="417" t="s">
        <v>681</v>
      </c>
      <c r="E201" s="1802">
        <v>1081285</v>
      </c>
      <c r="F201" s="1803" t="s">
        <v>2009</v>
      </c>
      <c r="G201" s="419">
        <v>45134</v>
      </c>
      <c r="H201" s="1790" t="s">
        <v>2010</v>
      </c>
      <c r="I201" s="1791" t="s">
        <v>2009</v>
      </c>
      <c r="J201" s="1793" t="s">
        <v>2011</v>
      </c>
      <c r="K201" s="1788" t="s">
        <v>2009</v>
      </c>
      <c r="L201" s="1791" t="s">
        <v>2011</v>
      </c>
      <c r="M201" s="1793" t="s">
        <v>2010</v>
      </c>
      <c r="N201" s="1790" t="s">
        <v>93</v>
      </c>
      <c r="O201" s="1793" t="s">
        <v>94</v>
      </c>
      <c r="P201" s="420" t="s">
        <v>683</v>
      </c>
      <c r="Q201" s="421"/>
      <c r="R201" s="421"/>
      <c r="S201" s="422"/>
      <c r="T201" s="1794"/>
      <c r="U201" s="423">
        <v>6139.884</v>
      </c>
      <c r="V201" s="424">
        <v>63</v>
      </c>
      <c r="W201" s="424">
        <v>1</v>
      </c>
      <c r="X201" s="425"/>
      <c r="Y201" s="426">
        <v>2022</v>
      </c>
      <c r="Z201" s="417">
        <v>2024</v>
      </c>
      <c r="AA201" s="1804">
        <v>2022</v>
      </c>
      <c r="AB201" s="427"/>
      <c r="AC201" s="1793"/>
      <c r="AD201" s="428" t="s">
        <v>5863</v>
      </c>
      <c r="AE201" s="1791" t="s">
        <v>2012</v>
      </c>
      <c r="AF201" s="1791" t="s">
        <v>2013</v>
      </c>
      <c r="AG201" s="1793" t="s">
        <v>2014</v>
      </c>
      <c r="AH201" s="428"/>
      <c r="AI201" s="1793"/>
      <c r="AJ201" s="429">
        <v>2021</v>
      </c>
      <c r="AK201" s="424">
        <v>11037</v>
      </c>
      <c r="AL201" s="424">
        <v>11174</v>
      </c>
      <c r="AM201" s="430"/>
      <c r="AN201" s="431"/>
      <c r="AO201" s="432">
        <v>2024</v>
      </c>
      <c r="AP201" s="425">
        <v>10700</v>
      </c>
      <c r="AQ201" s="433">
        <v>3.05</v>
      </c>
      <c r="AR201" s="425">
        <v>10840</v>
      </c>
      <c r="AS201" s="433">
        <v>2.98</v>
      </c>
      <c r="AT201" s="434"/>
      <c r="AU201" s="431"/>
      <c r="AV201" s="435"/>
      <c r="AW201" s="432">
        <v>2022</v>
      </c>
      <c r="AX201" s="425">
        <v>9362</v>
      </c>
      <c r="AY201" s="433">
        <v>15.17</v>
      </c>
      <c r="AZ201" s="425">
        <v>10313</v>
      </c>
      <c r="BA201" s="433">
        <v>7.7</v>
      </c>
      <c r="BB201" s="434"/>
      <c r="BC201" s="431"/>
      <c r="BD201" s="435"/>
      <c r="BE201" s="432">
        <v>2023</v>
      </c>
      <c r="BF201" s="425"/>
      <c r="BG201" s="433"/>
      <c r="BH201" s="425"/>
      <c r="BI201" s="433"/>
      <c r="BJ201" s="434"/>
      <c r="BK201" s="431"/>
      <c r="BL201" s="435"/>
      <c r="BM201" s="432">
        <v>2024</v>
      </c>
      <c r="BN201" s="425"/>
      <c r="BO201" s="433"/>
      <c r="BP201" s="425"/>
      <c r="BQ201" s="433"/>
      <c r="BR201" s="434"/>
      <c r="BS201" s="431"/>
      <c r="BT201" s="435"/>
      <c r="BU201" s="1805" t="s">
        <v>687</v>
      </c>
      <c r="BV201" s="1806" t="s">
        <v>728</v>
      </c>
      <c r="BW201" s="1807" t="s">
        <v>688</v>
      </c>
      <c r="BX201" s="1808" t="s">
        <v>5072</v>
      </c>
      <c r="BY201" s="1809">
        <v>2021</v>
      </c>
      <c r="BZ201" s="424"/>
      <c r="CA201" s="424"/>
      <c r="CB201" s="430"/>
      <c r="CC201" s="431"/>
      <c r="CD201" s="432">
        <v>2024</v>
      </c>
      <c r="CE201" s="425"/>
      <c r="CF201" s="433"/>
      <c r="CG201" s="425"/>
      <c r="CH201" s="433"/>
      <c r="CI201" s="434"/>
      <c r="CJ201" s="431"/>
      <c r="CK201" s="435"/>
      <c r="CL201" s="432">
        <v>2022</v>
      </c>
      <c r="CM201" s="425">
        <v>0</v>
      </c>
      <c r="CN201" s="433"/>
      <c r="CO201" s="425">
        <v>0</v>
      </c>
      <c r="CP201" s="433"/>
      <c r="CQ201" s="434"/>
      <c r="CR201" s="431"/>
      <c r="CS201" s="435">
        <v>0</v>
      </c>
      <c r="CT201" s="432">
        <v>2023</v>
      </c>
      <c r="CU201" s="425"/>
      <c r="CV201" s="433"/>
      <c r="CW201" s="425"/>
      <c r="CX201" s="433"/>
      <c r="CY201" s="434"/>
      <c r="CZ201" s="431"/>
      <c r="DA201" s="435"/>
      <c r="DB201" s="432">
        <v>2024</v>
      </c>
      <c r="DC201" s="425"/>
      <c r="DD201" s="433"/>
      <c r="DE201" s="425"/>
      <c r="DF201" s="433"/>
      <c r="DG201" s="434"/>
      <c r="DH201" s="431"/>
      <c r="DI201" s="435"/>
      <c r="DJ201" s="1805"/>
      <c r="DK201" s="1806"/>
      <c r="DL201" s="1807"/>
      <c r="DM201" s="1808"/>
      <c r="DN201" s="1810">
        <v>1</v>
      </c>
      <c r="DO201" s="1799">
        <v>1</v>
      </c>
      <c r="DP201" s="1800">
        <v>0</v>
      </c>
      <c r="DQ201" s="1799">
        <v>0</v>
      </c>
      <c r="DR201" s="1800">
        <v>0</v>
      </c>
      <c r="DS201" s="1799">
        <v>0</v>
      </c>
    </row>
    <row r="202" spans="1:123" ht="81">
      <c r="A202" s="1801" t="s">
        <v>2015</v>
      </c>
      <c r="B202" s="1788" t="s">
        <v>2016</v>
      </c>
      <c r="C202" s="426">
        <v>2022</v>
      </c>
      <c r="D202" s="417" t="s">
        <v>681</v>
      </c>
      <c r="E202" s="1802">
        <v>1009288</v>
      </c>
      <c r="F202" s="1803" t="s">
        <v>2016</v>
      </c>
      <c r="G202" s="419">
        <v>45138</v>
      </c>
      <c r="H202" s="1790" t="s">
        <v>2017</v>
      </c>
      <c r="I202" s="1791" t="s">
        <v>2016</v>
      </c>
      <c r="J202" s="1793" t="s">
        <v>2018</v>
      </c>
      <c r="K202" s="1788" t="s">
        <v>2016</v>
      </c>
      <c r="L202" s="1791" t="s">
        <v>2018</v>
      </c>
      <c r="M202" s="1793" t="s">
        <v>2017</v>
      </c>
      <c r="N202" s="1790" t="s">
        <v>12</v>
      </c>
      <c r="O202" s="1793" t="s">
        <v>13</v>
      </c>
      <c r="P202" s="420" t="s">
        <v>683</v>
      </c>
      <c r="Q202" s="421"/>
      <c r="R202" s="421"/>
      <c r="S202" s="422"/>
      <c r="T202" s="1794"/>
      <c r="U202" s="423">
        <v>6531.1152000000002</v>
      </c>
      <c r="V202" s="424">
        <v>6</v>
      </c>
      <c r="W202" s="424">
        <v>3</v>
      </c>
      <c r="X202" s="425"/>
      <c r="Y202" s="426">
        <v>2022</v>
      </c>
      <c r="Z202" s="417">
        <v>2024</v>
      </c>
      <c r="AA202" s="1804">
        <v>2022</v>
      </c>
      <c r="AB202" s="427"/>
      <c r="AC202" s="1793"/>
      <c r="AD202" s="428" t="s">
        <v>5863</v>
      </c>
      <c r="AE202" s="1791" t="s">
        <v>2019</v>
      </c>
      <c r="AF202" s="1791" t="s">
        <v>2017</v>
      </c>
      <c r="AG202" s="1793" t="s">
        <v>2020</v>
      </c>
      <c r="AH202" s="428"/>
      <c r="AI202" s="1793"/>
      <c r="AJ202" s="429">
        <v>2021</v>
      </c>
      <c r="AK202" s="424">
        <v>10309</v>
      </c>
      <c r="AL202" s="424">
        <v>9947</v>
      </c>
      <c r="AM202" s="430">
        <v>224.11</v>
      </c>
      <c r="AN202" s="431" t="s">
        <v>727</v>
      </c>
      <c r="AO202" s="432">
        <v>2024</v>
      </c>
      <c r="AP202" s="425">
        <v>10299</v>
      </c>
      <c r="AQ202" s="433">
        <v>0.09</v>
      </c>
      <c r="AR202" s="425">
        <v>9937</v>
      </c>
      <c r="AS202" s="433">
        <v>0.1</v>
      </c>
      <c r="AT202" s="434">
        <v>223.8</v>
      </c>
      <c r="AU202" s="431" t="s">
        <v>727</v>
      </c>
      <c r="AV202" s="435">
        <v>0.13</v>
      </c>
      <c r="AW202" s="432">
        <v>2022</v>
      </c>
      <c r="AX202" s="425">
        <v>11243</v>
      </c>
      <c r="AY202" s="433">
        <v>-9.07</v>
      </c>
      <c r="AZ202" s="425">
        <v>10969</v>
      </c>
      <c r="BA202" s="433">
        <v>-10.28</v>
      </c>
      <c r="BB202" s="434">
        <v>244.41304347826087</v>
      </c>
      <c r="BC202" s="431" t="s">
        <v>727</v>
      </c>
      <c r="BD202" s="435">
        <v>-9.06</v>
      </c>
      <c r="BE202" s="432">
        <v>2023</v>
      </c>
      <c r="BF202" s="425"/>
      <c r="BG202" s="433"/>
      <c r="BH202" s="425"/>
      <c r="BI202" s="433"/>
      <c r="BJ202" s="434"/>
      <c r="BK202" s="431"/>
      <c r="BL202" s="435"/>
      <c r="BM202" s="432">
        <v>2024</v>
      </c>
      <c r="BN202" s="425"/>
      <c r="BO202" s="433"/>
      <c r="BP202" s="425"/>
      <c r="BQ202" s="433"/>
      <c r="BR202" s="434"/>
      <c r="BS202" s="431"/>
      <c r="BT202" s="435"/>
      <c r="BU202" s="1805" t="s">
        <v>676</v>
      </c>
      <c r="BV202" s="1806" t="s">
        <v>728</v>
      </c>
      <c r="BW202" s="1807" t="s">
        <v>678</v>
      </c>
      <c r="BX202" s="1808" t="s">
        <v>5073</v>
      </c>
      <c r="BY202" s="1809">
        <v>2021</v>
      </c>
      <c r="BZ202" s="424"/>
      <c r="CA202" s="424"/>
      <c r="CB202" s="430"/>
      <c r="CC202" s="431"/>
      <c r="CD202" s="432">
        <v>2024</v>
      </c>
      <c r="CE202" s="425"/>
      <c r="CF202" s="433"/>
      <c r="CG202" s="425"/>
      <c r="CH202" s="433"/>
      <c r="CI202" s="434"/>
      <c r="CJ202" s="431"/>
      <c r="CK202" s="435"/>
      <c r="CL202" s="432">
        <v>2022</v>
      </c>
      <c r="CM202" s="425">
        <v>0</v>
      </c>
      <c r="CN202" s="433"/>
      <c r="CO202" s="425">
        <v>0</v>
      </c>
      <c r="CP202" s="433"/>
      <c r="CQ202" s="434"/>
      <c r="CR202" s="431"/>
      <c r="CS202" s="435">
        <v>0</v>
      </c>
      <c r="CT202" s="432">
        <v>2023</v>
      </c>
      <c r="CU202" s="425"/>
      <c r="CV202" s="433"/>
      <c r="CW202" s="425"/>
      <c r="CX202" s="433"/>
      <c r="CY202" s="434"/>
      <c r="CZ202" s="431"/>
      <c r="DA202" s="435"/>
      <c r="DB202" s="432">
        <v>2024</v>
      </c>
      <c r="DC202" s="425"/>
      <c r="DD202" s="433"/>
      <c r="DE202" s="425"/>
      <c r="DF202" s="433"/>
      <c r="DG202" s="434"/>
      <c r="DH202" s="431"/>
      <c r="DI202" s="435"/>
      <c r="DJ202" s="1805"/>
      <c r="DK202" s="1806"/>
      <c r="DL202" s="1807"/>
      <c r="DM202" s="1808"/>
      <c r="DN202" s="1810">
        <v>0</v>
      </c>
      <c r="DO202" s="1799">
        <v>1</v>
      </c>
      <c r="DP202" s="1800">
        <v>0</v>
      </c>
      <c r="DQ202" s="1799">
        <v>0</v>
      </c>
      <c r="DR202" s="1800">
        <v>0</v>
      </c>
      <c r="DS202" s="1799">
        <v>0</v>
      </c>
    </row>
    <row r="203" spans="1:123" ht="81">
      <c r="A203" s="1801" t="s">
        <v>2021</v>
      </c>
      <c r="B203" s="1788" t="s">
        <v>2022</v>
      </c>
      <c r="C203" s="426">
        <v>2022</v>
      </c>
      <c r="D203" s="417" t="s">
        <v>681</v>
      </c>
      <c r="E203" s="1802">
        <v>1058290</v>
      </c>
      <c r="F203" s="1803" t="s">
        <v>2022</v>
      </c>
      <c r="G203" s="419">
        <v>45105</v>
      </c>
      <c r="H203" s="1790" t="s">
        <v>2023</v>
      </c>
      <c r="I203" s="1791" t="s">
        <v>2022</v>
      </c>
      <c r="J203" s="1793" t="s">
        <v>2024</v>
      </c>
      <c r="K203" s="1788" t="s">
        <v>2022</v>
      </c>
      <c r="L203" s="1791" t="s">
        <v>2024</v>
      </c>
      <c r="M203" s="1793" t="s">
        <v>2023</v>
      </c>
      <c r="N203" s="1790" t="s">
        <v>57</v>
      </c>
      <c r="O203" s="1793" t="s">
        <v>66</v>
      </c>
      <c r="P203" s="420" t="s">
        <v>683</v>
      </c>
      <c r="Q203" s="421"/>
      <c r="R203" s="421"/>
      <c r="S203" s="422"/>
      <c r="T203" s="1794"/>
      <c r="U203" s="423">
        <v>3509.0064000000002</v>
      </c>
      <c r="V203" s="424">
        <v>9</v>
      </c>
      <c r="W203" s="424">
        <v>1</v>
      </c>
      <c r="X203" s="425"/>
      <c r="Y203" s="426">
        <v>2022</v>
      </c>
      <c r="Z203" s="417">
        <v>2024</v>
      </c>
      <c r="AA203" s="1804">
        <v>2022</v>
      </c>
      <c r="AB203" s="427"/>
      <c r="AC203" s="1793"/>
      <c r="AD203" s="428" t="s">
        <v>5863</v>
      </c>
      <c r="AE203" s="1791" t="s">
        <v>2025</v>
      </c>
      <c r="AF203" s="1791" t="s">
        <v>2023</v>
      </c>
      <c r="AG203" s="1793" t="s">
        <v>2026</v>
      </c>
      <c r="AH203" s="428"/>
      <c r="AI203" s="1793"/>
      <c r="AJ203" s="429">
        <v>2021</v>
      </c>
      <c r="AK203" s="424">
        <v>6598</v>
      </c>
      <c r="AL203" s="424">
        <v>5805</v>
      </c>
      <c r="AM203" s="430">
        <v>46.46</v>
      </c>
      <c r="AN203" s="431" t="s">
        <v>1193</v>
      </c>
      <c r="AO203" s="432">
        <v>2024</v>
      </c>
      <c r="AP203" s="425">
        <v>6400</v>
      </c>
      <c r="AQ203" s="433">
        <v>3</v>
      </c>
      <c r="AR203" s="425">
        <v>5630</v>
      </c>
      <c r="AS203" s="433">
        <v>3.01</v>
      </c>
      <c r="AT203" s="434">
        <v>45.05</v>
      </c>
      <c r="AU203" s="431" t="s">
        <v>1193</v>
      </c>
      <c r="AV203" s="435">
        <v>3.03</v>
      </c>
      <c r="AW203" s="432">
        <v>2022</v>
      </c>
      <c r="AX203" s="425">
        <v>6297</v>
      </c>
      <c r="AY203" s="433">
        <v>4.5599999999999996</v>
      </c>
      <c r="AZ203" s="425">
        <v>6305</v>
      </c>
      <c r="BA203" s="433">
        <v>-8.6199999999999992</v>
      </c>
      <c r="BB203" s="434">
        <v>35.717526942711288</v>
      </c>
      <c r="BC203" s="431" t="s">
        <v>1193</v>
      </c>
      <c r="BD203" s="435">
        <v>23.12</v>
      </c>
      <c r="BE203" s="432">
        <v>2023</v>
      </c>
      <c r="BF203" s="425"/>
      <c r="BG203" s="433"/>
      <c r="BH203" s="425"/>
      <c r="BI203" s="433"/>
      <c r="BJ203" s="434"/>
      <c r="BK203" s="431"/>
      <c r="BL203" s="435"/>
      <c r="BM203" s="432">
        <v>2024</v>
      </c>
      <c r="BN203" s="425"/>
      <c r="BO203" s="433"/>
      <c r="BP203" s="425"/>
      <c r="BQ203" s="433"/>
      <c r="BR203" s="434"/>
      <c r="BS203" s="431"/>
      <c r="BT203" s="435"/>
      <c r="BU203" s="1805" t="s">
        <v>719</v>
      </c>
      <c r="BV203" s="1806" t="s">
        <v>728</v>
      </c>
      <c r="BW203" s="1807" t="s">
        <v>678</v>
      </c>
      <c r="BX203" s="1808" t="s">
        <v>5074</v>
      </c>
      <c r="BY203" s="1809">
        <v>2021</v>
      </c>
      <c r="BZ203" s="424"/>
      <c r="CA203" s="424"/>
      <c r="CB203" s="430"/>
      <c r="CC203" s="431"/>
      <c r="CD203" s="432">
        <v>2024</v>
      </c>
      <c r="CE203" s="425"/>
      <c r="CF203" s="433"/>
      <c r="CG203" s="425"/>
      <c r="CH203" s="433"/>
      <c r="CI203" s="434"/>
      <c r="CJ203" s="431"/>
      <c r="CK203" s="435"/>
      <c r="CL203" s="432">
        <v>2022</v>
      </c>
      <c r="CM203" s="425">
        <v>0</v>
      </c>
      <c r="CN203" s="433"/>
      <c r="CO203" s="425">
        <v>0</v>
      </c>
      <c r="CP203" s="433"/>
      <c r="CQ203" s="434"/>
      <c r="CR203" s="431"/>
      <c r="CS203" s="435"/>
      <c r="CT203" s="432">
        <v>2023</v>
      </c>
      <c r="CU203" s="425"/>
      <c r="CV203" s="433"/>
      <c r="CW203" s="425"/>
      <c r="CX203" s="433"/>
      <c r="CY203" s="434"/>
      <c r="CZ203" s="431"/>
      <c r="DA203" s="435"/>
      <c r="DB203" s="432">
        <v>2024</v>
      </c>
      <c r="DC203" s="425"/>
      <c r="DD203" s="433"/>
      <c r="DE203" s="425"/>
      <c r="DF203" s="433"/>
      <c r="DG203" s="434"/>
      <c r="DH203" s="431"/>
      <c r="DI203" s="435"/>
      <c r="DJ203" s="1805"/>
      <c r="DK203" s="1806"/>
      <c r="DL203" s="1807"/>
      <c r="DM203" s="1808"/>
      <c r="DN203" s="1810">
        <v>0</v>
      </c>
      <c r="DO203" s="1799">
        <v>0</v>
      </c>
      <c r="DP203" s="1800">
        <v>0</v>
      </c>
      <c r="DQ203" s="1799">
        <v>0</v>
      </c>
      <c r="DR203" s="1800">
        <v>0</v>
      </c>
      <c r="DS203" s="1799">
        <v>0</v>
      </c>
    </row>
    <row r="204" spans="1:123" ht="81">
      <c r="A204" s="1801" t="s">
        <v>2027</v>
      </c>
      <c r="B204" s="1788" t="s">
        <v>2028</v>
      </c>
      <c r="C204" s="426">
        <v>2022</v>
      </c>
      <c r="D204" s="417" t="s">
        <v>668</v>
      </c>
      <c r="E204" s="1802">
        <v>2058293</v>
      </c>
      <c r="F204" s="1803" t="s">
        <v>2028</v>
      </c>
      <c r="G204" s="419">
        <v>45128</v>
      </c>
      <c r="H204" s="1790" t="s">
        <v>2029</v>
      </c>
      <c r="I204" s="1791" t="s">
        <v>2028</v>
      </c>
      <c r="J204" s="1793" t="s">
        <v>2030</v>
      </c>
      <c r="K204" s="1788" t="s">
        <v>2028</v>
      </c>
      <c r="L204" s="1791" t="s">
        <v>2030</v>
      </c>
      <c r="M204" s="1793" t="s">
        <v>2031</v>
      </c>
      <c r="N204" s="1790" t="s">
        <v>57</v>
      </c>
      <c r="O204" s="1793" t="s">
        <v>66</v>
      </c>
      <c r="P204" s="420"/>
      <c r="Q204" s="421" t="s">
        <v>5862</v>
      </c>
      <c r="R204" s="421"/>
      <c r="S204" s="422"/>
      <c r="T204" s="1794"/>
      <c r="U204" s="423">
        <v>16534.471799999999</v>
      </c>
      <c r="V204" s="424">
        <v>440</v>
      </c>
      <c r="W204" s="424">
        <v>0</v>
      </c>
      <c r="X204" s="425"/>
      <c r="Y204" s="426">
        <v>2022</v>
      </c>
      <c r="Z204" s="417">
        <v>2024</v>
      </c>
      <c r="AA204" s="1804">
        <v>2022</v>
      </c>
      <c r="AB204" s="427"/>
      <c r="AC204" s="1793"/>
      <c r="AD204" s="428" t="s">
        <v>5863</v>
      </c>
      <c r="AE204" s="1791" t="s">
        <v>5075</v>
      </c>
      <c r="AF204" s="1791" t="s">
        <v>2032</v>
      </c>
      <c r="AG204" s="1793" t="s">
        <v>2033</v>
      </c>
      <c r="AH204" s="428"/>
      <c r="AI204" s="1793"/>
      <c r="AJ204" s="429">
        <v>2021</v>
      </c>
      <c r="AK204" s="424">
        <v>33249</v>
      </c>
      <c r="AL204" s="424">
        <v>30041</v>
      </c>
      <c r="AM204" s="430">
        <v>43.17</v>
      </c>
      <c r="AN204" s="431" t="s">
        <v>912</v>
      </c>
      <c r="AO204" s="432">
        <v>2024</v>
      </c>
      <c r="AP204" s="425">
        <v>32252</v>
      </c>
      <c r="AQ204" s="433">
        <v>2.99</v>
      </c>
      <c r="AR204" s="425">
        <v>29140</v>
      </c>
      <c r="AS204" s="433">
        <v>2.99</v>
      </c>
      <c r="AT204" s="434">
        <v>41.87</v>
      </c>
      <c r="AU204" s="431" t="s">
        <v>912</v>
      </c>
      <c r="AV204" s="435">
        <v>3.01</v>
      </c>
      <c r="AW204" s="432">
        <v>2022</v>
      </c>
      <c r="AX204" s="425">
        <v>29607</v>
      </c>
      <c r="AY204" s="433">
        <v>10.95</v>
      </c>
      <c r="AZ204" s="425">
        <v>27613</v>
      </c>
      <c r="BA204" s="433">
        <v>8.08</v>
      </c>
      <c r="BB204" s="434">
        <v>37.335435056746533</v>
      </c>
      <c r="BC204" s="431" t="s">
        <v>912</v>
      </c>
      <c r="BD204" s="435">
        <v>13.51</v>
      </c>
      <c r="BE204" s="432">
        <v>2023</v>
      </c>
      <c r="BF204" s="425"/>
      <c r="BG204" s="433"/>
      <c r="BH204" s="425"/>
      <c r="BI204" s="433"/>
      <c r="BJ204" s="434"/>
      <c r="BK204" s="431"/>
      <c r="BL204" s="435"/>
      <c r="BM204" s="432">
        <v>2024</v>
      </c>
      <c r="BN204" s="425"/>
      <c r="BO204" s="433"/>
      <c r="BP204" s="425"/>
      <c r="BQ204" s="433"/>
      <c r="BR204" s="434"/>
      <c r="BS204" s="431"/>
      <c r="BT204" s="435"/>
      <c r="BU204" s="1805" t="s">
        <v>687</v>
      </c>
      <c r="BV204" s="1806" t="s">
        <v>728</v>
      </c>
      <c r="BW204" s="1807" t="s">
        <v>678</v>
      </c>
      <c r="BX204" s="1808" t="s">
        <v>1549</v>
      </c>
      <c r="BY204" s="1809">
        <v>2021</v>
      </c>
      <c r="BZ204" s="424"/>
      <c r="CA204" s="424"/>
      <c r="CB204" s="430"/>
      <c r="CC204" s="431"/>
      <c r="CD204" s="432">
        <v>2024</v>
      </c>
      <c r="CE204" s="425"/>
      <c r="CF204" s="433"/>
      <c r="CG204" s="425"/>
      <c r="CH204" s="433"/>
      <c r="CI204" s="434"/>
      <c r="CJ204" s="431"/>
      <c r="CK204" s="435"/>
      <c r="CL204" s="432">
        <v>2022</v>
      </c>
      <c r="CM204" s="425">
        <v>0</v>
      </c>
      <c r="CN204" s="433"/>
      <c r="CO204" s="425">
        <v>0</v>
      </c>
      <c r="CP204" s="433"/>
      <c r="CQ204" s="434"/>
      <c r="CR204" s="431"/>
      <c r="CS204" s="435"/>
      <c r="CT204" s="432">
        <v>2023</v>
      </c>
      <c r="CU204" s="425"/>
      <c r="CV204" s="433"/>
      <c r="CW204" s="425"/>
      <c r="CX204" s="433"/>
      <c r="CY204" s="434"/>
      <c r="CZ204" s="431"/>
      <c r="DA204" s="435"/>
      <c r="DB204" s="432">
        <v>2024</v>
      </c>
      <c r="DC204" s="425"/>
      <c r="DD204" s="433"/>
      <c r="DE204" s="425"/>
      <c r="DF204" s="433"/>
      <c r="DG204" s="434"/>
      <c r="DH204" s="431"/>
      <c r="DI204" s="435"/>
      <c r="DJ204" s="1805"/>
      <c r="DK204" s="1806"/>
      <c r="DL204" s="1807"/>
      <c r="DM204" s="1808"/>
      <c r="DN204" s="1810">
        <v>0</v>
      </c>
      <c r="DO204" s="1799">
        <v>0</v>
      </c>
      <c r="DP204" s="1800">
        <v>0</v>
      </c>
      <c r="DQ204" s="1799">
        <v>0</v>
      </c>
      <c r="DR204" s="1800">
        <v>0</v>
      </c>
      <c r="DS204" s="1799">
        <v>0</v>
      </c>
    </row>
    <row r="205" spans="1:123" ht="108">
      <c r="A205" s="1801" t="s">
        <v>2034</v>
      </c>
      <c r="B205" s="1788" t="s">
        <v>2035</v>
      </c>
      <c r="C205" s="426">
        <v>2022</v>
      </c>
      <c r="D205" s="417" t="s">
        <v>681</v>
      </c>
      <c r="E205" s="1802">
        <v>1069294</v>
      </c>
      <c r="F205" s="1803" t="s">
        <v>2035</v>
      </c>
      <c r="G205" s="419">
        <v>45125</v>
      </c>
      <c r="H205" s="1790" t="s">
        <v>5076</v>
      </c>
      <c r="I205" s="1791" t="s">
        <v>2035</v>
      </c>
      <c r="J205" s="1793" t="s">
        <v>2036</v>
      </c>
      <c r="K205" s="1788" t="s">
        <v>2035</v>
      </c>
      <c r="L205" s="1791" t="s">
        <v>1478</v>
      </c>
      <c r="M205" s="1793" t="s">
        <v>5076</v>
      </c>
      <c r="N205" s="1790" t="s">
        <v>77</v>
      </c>
      <c r="O205" s="1793" t="s">
        <v>79</v>
      </c>
      <c r="P205" s="420" t="s">
        <v>683</v>
      </c>
      <c r="Q205" s="421"/>
      <c r="R205" s="421"/>
      <c r="S205" s="422"/>
      <c r="T205" s="1794"/>
      <c r="U205" s="423">
        <v>7516.1076000000003</v>
      </c>
      <c r="V205" s="424">
        <v>1</v>
      </c>
      <c r="W205" s="424">
        <v>1</v>
      </c>
      <c r="X205" s="425"/>
      <c r="Y205" s="426">
        <v>2022</v>
      </c>
      <c r="Z205" s="417">
        <v>2024</v>
      </c>
      <c r="AA205" s="1804">
        <v>2022</v>
      </c>
      <c r="AB205" s="427"/>
      <c r="AC205" s="1793"/>
      <c r="AD205" s="428" t="s">
        <v>5863</v>
      </c>
      <c r="AE205" s="1791" t="s">
        <v>2037</v>
      </c>
      <c r="AF205" s="1791" t="s">
        <v>2038</v>
      </c>
      <c r="AG205" s="1793" t="s">
        <v>2039</v>
      </c>
      <c r="AH205" s="428"/>
      <c r="AI205" s="1793"/>
      <c r="AJ205" s="429">
        <v>2021</v>
      </c>
      <c r="AK205" s="424">
        <v>14172</v>
      </c>
      <c r="AL205" s="424">
        <v>14100</v>
      </c>
      <c r="AM205" s="430"/>
      <c r="AN205" s="431"/>
      <c r="AO205" s="432">
        <v>2024</v>
      </c>
      <c r="AP205" s="425">
        <v>13740</v>
      </c>
      <c r="AQ205" s="433">
        <v>3.04</v>
      </c>
      <c r="AR205" s="425">
        <v>13670</v>
      </c>
      <c r="AS205" s="433">
        <v>3.04</v>
      </c>
      <c r="AT205" s="434"/>
      <c r="AU205" s="431"/>
      <c r="AV205" s="435"/>
      <c r="AW205" s="432">
        <v>2022</v>
      </c>
      <c r="AX205" s="425">
        <v>13992</v>
      </c>
      <c r="AY205" s="433">
        <v>1.27</v>
      </c>
      <c r="AZ205" s="425">
        <v>13976</v>
      </c>
      <c r="BA205" s="433">
        <v>0.87</v>
      </c>
      <c r="BB205" s="434"/>
      <c r="BC205" s="431"/>
      <c r="BD205" s="435"/>
      <c r="BE205" s="432">
        <v>2023</v>
      </c>
      <c r="BF205" s="425"/>
      <c r="BG205" s="433"/>
      <c r="BH205" s="425"/>
      <c r="BI205" s="433"/>
      <c r="BJ205" s="434"/>
      <c r="BK205" s="431"/>
      <c r="BL205" s="435"/>
      <c r="BM205" s="432">
        <v>2024</v>
      </c>
      <c r="BN205" s="425"/>
      <c r="BO205" s="433"/>
      <c r="BP205" s="425"/>
      <c r="BQ205" s="433"/>
      <c r="BR205" s="434"/>
      <c r="BS205" s="431"/>
      <c r="BT205" s="435"/>
      <c r="BU205" s="1805" t="s">
        <v>719</v>
      </c>
      <c r="BV205" s="1806" t="s">
        <v>728</v>
      </c>
      <c r="BW205" s="1807" t="s">
        <v>678</v>
      </c>
      <c r="BX205" s="1808" t="s">
        <v>5077</v>
      </c>
      <c r="BY205" s="1809">
        <v>2021</v>
      </c>
      <c r="BZ205" s="424"/>
      <c r="CA205" s="424"/>
      <c r="CB205" s="430"/>
      <c r="CC205" s="431"/>
      <c r="CD205" s="432">
        <v>2024</v>
      </c>
      <c r="CE205" s="425"/>
      <c r="CF205" s="433"/>
      <c r="CG205" s="425"/>
      <c r="CH205" s="433"/>
      <c r="CI205" s="434"/>
      <c r="CJ205" s="431"/>
      <c r="CK205" s="435"/>
      <c r="CL205" s="432">
        <v>2022</v>
      </c>
      <c r="CM205" s="425">
        <v>0</v>
      </c>
      <c r="CN205" s="433"/>
      <c r="CO205" s="425">
        <v>0</v>
      </c>
      <c r="CP205" s="433"/>
      <c r="CQ205" s="434"/>
      <c r="CR205" s="431"/>
      <c r="CS205" s="435"/>
      <c r="CT205" s="432">
        <v>2023</v>
      </c>
      <c r="CU205" s="425"/>
      <c r="CV205" s="433"/>
      <c r="CW205" s="425"/>
      <c r="CX205" s="433"/>
      <c r="CY205" s="434"/>
      <c r="CZ205" s="431"/>
      <c r="DA205" s="435"/>
      <c r="DB205" s="432">
        <v>2024</v>
      </c>
      <c r="DC205" s="425"/>
      <c r="DD205" s="433"/>
      <c r="DE205" s="425"/>
      <c r="DF205" s="433"/>
      <c r="DG205" s="434"/>
      <c r="DH205" s="431"/>
      <c r="DI205" s="435"/>
      <c r="DJ205" s="1805"/>
      <c r="DK205" s="1806"/>
      <c r="DL205" s="1807"/>
      <c r="DM205" s="1808"/>
      <c r="DN205" s="1810">
        <v>0</v>
      </c>
      <c r="DO205" s="1799">
        <v>0</v>
      </c>
      <c r="DP205" s="1800">
        <v>0</v>
      </c>
      <c r="DQ205" s="1799">
        <v>0</v>
      </c>
      <c r="DR205" s="1800">
        <v>0</v>
      </c>
      <c r="DS205" s="1799">
        <v>0</v>
      </c>
    </row>
    <row r="206" spans="1:123" ht="94.5">
      <c r="A206" s="1801" t="s">
        <v>5958</v>
      </c>
      <c r="B206" s="1788" t="s">
        <v>6010</v>
      </c>
      <c r="C206" s="426">
        <v>2022</v>
      </c>
      <c r="D206" s="417" t="s">
        <v>681</v>
      </c>
      <c r="E206" s="1802">
        <v>1040295</v>
      </c>
      <c r="F206" s="1803" t="s">
        <v>6010</v>
      </c>
      <c r="G206" s="419">
        <v>45338</v>
      </c>
      <c r="H206" s="1790" t="s">
        <v>6011</v>
      </c>
      <c r="I206" s="1791" t="s">
        <v>6010</v>
      </c>
      <c r="J206" s="1793" t="s">
        <v>6012</v>
      </c>
      <c r="K206" s="1788" t="s">
        <v>6010</v>
      </c>
      <c r="L206" s="1791" t="s">
        <v>6012</v>
      </c>
      <c r="M206" s="1793" t="s">
        <v>6013</v>
      </c>
      <c r="N206" s="1790" t="s">
        <v>42</v>
      </c>
      <c r="O206" s="1793" t="s">
        <v>46</v>
      </c>
      <c r="P206" s="420" t="s">
        <v>683</v>
      </c>
      <c r="Q206" s="421"/>
      <c r="R206" s="421"/>
      <c r="S206" s="422"/>
      <c r="T206" s="1794"/>
      <c r="U206" s="423">
        <v>2809.8522000000003</v>
      </c>
      <c r="V206" s="424">
        <v>2</v>
      </c>
      <c r="W206" s="424">
        <v>1</v>
      </c>
      <c r="X206" s="425"/>
      <c r="Y206" s="426">
        <v>2022</v>
      </c>
      <c r="Z206" s="417">
        <v>2024</v>
      </c>
      <c r="AA206" s="1804">
        <v>2022</v>
      </c>
      <c r="AB206" s="427"/>
      <c r="AC206" s="1793"/>
      <c r="AD206" s="428" t="s">
        <v>5863</v>
      </c>
      <c r="AE206" s="1791" t="s">
        <v>6014</v>
      </c>
      <c r="AF206" s="1791" t="s">
        <v>6013</v>
      </c>
      <c r="AG206" s="1793" t="s">
        <v>6015</v>
      </c>
      <c r="AH206" s="428"/>
      <c r="AI206" s="1793"/>
      <c r="AJ206" s="429">
        <v>2021</v>
      </c>
      <c r="AK206" s="424">
        <v>4973</v>
      </c>
      <c r="AL206" s="424">
        <v>4929</v>
      </c>
      <c r="AM206" s="430"/>
      <c r="AN206" s="431"/>
      <c r="AO206" s="432">
        <v>2024</v>
      </c>
      <c r="AP206" s="425">
        <v>4513</v>
      </c>
      <c r="AQ206" s="433">
        <v>9.24</v>
      </c>
      <c r="AR206" s="425">
        <v>4473</v>
      </c>
      <c r="AS206" s="433">
        <v>9.25</v>
      </c>
      <c r="AT206" s="434"/>
      <c r="AU206" s="431"/>
      <c r="AV206" s="435"/>
      <c r="AW206" s="432">
        <v>2022</v>
      </c>
      <c r="AX206" s="425">
        <v>5141</v>
      </c>
      <c r="AY206" s="433">
        <v>-3.38</v>
      </c>
      <c r="AZ206" s="425">
        <v>5129</v>
      </c>
      <c r="BA206" s="433">
        <v>-4.0599999999999996</v>
      </c>
      <c r="BB206" s="434"/>
      <c r="BC206" s="431"/>
      <c r="BD206" s="435"/>
      <c r="BE206" s="432">
        <v>2023</v>
      </c>
      <c r="BF206" s="425"/>
      <c r="BG206" s="433"/>
      <c r="BH206" s="425"/>
      <c r="BI206" s="433"/>
      <c r="BJ206" s="434"/>
      <c r="BK206" s="431"/>
      <c r="BL206" s="435"/>
      <c r="BM206" s="432">
        <v>2024</v>
      </c>
      <c r="BN206" s="425"/>
      <c r="BO206" s="433"/>
      <c r="BP206" s="425"/>
      <c r="BQ206" s="433"/>
      <c r="BR206" s="434"/>
      <c r="BS206" s="431"/>
      <c r="BT206" s="435"/>
      <c r="BU206" s="1805" t="s">
        <v>676</v>
      </c>
      <c r="BV206" s="1806" t="s">
        <v>677</v>
      </c>
      <c r="BW206" s="1807" t="s">
        <v>697</v>
      </c>
      <c r="BX206" s="1808"/>
      <c r="BY206" s="1809">
        <v>2021</v>
      </c>
      <c r="BZ206" s="424"/>
      <c r="CA206" s="424"/>
      <c r="CB206" s="430"/>
      <c r="CC206" s="431"/>
      <c r="CD206" s="432">
        <v>2024</v>
      </c>
      <c r="CE206" s="425"/>
      <c r="CF206" s="433"/>
      <c r="CG206" s="425"/>
      <c r="CH206" s="433"/>
      <c r="CI206" s="434"/>
      <c r="CJ206" s="431"/>
      <c r="CK206" s="435"/>
      <c r="CL206" s="432">
        <v>2022</v>
      </c>
      <c r="CM206" s="425">
        <v>0</v>
      </c>
      <c r="CN206" s="433"/>
      <c r="CO206" s="425">
        <v>0</v>
      </c>
      <c r="CP206" s="433"/>
      <c r="CQ206" s="434"/>
      <c r="CR206" s="431"/>
      <c r="CS206" s="435">
        <v>0</v>
      </c>
      <c r="CT206" s="432">
        <v>2023</v>
      </c>
      <c r="CU206" s="425"/>
      <c r="CV206" s="433"/>
      <c r="CW206" s="425"/>
      <c r="CX206" s="433"/>
      <c r="CY206" s="434"/>
      <c r="CZ206" s="431"/>
      <c r="DA206" s="435"/>
      <c r="DB206" s="432">
        <v>2024</v>
      </c>
      <c r="DC206" s="425"/>
      <c r="DD206" s="433"/>
      <c r="DE206" s="425"/>
      <c r="DF206" s="433"/>
      <c r="DG206" s="434"/>
      <c r="DH206" s="431"/>
      <c r="DI206" s="435"/>
      <c r="DJ206" s="1805"/>
      <c r="DK206" s="1806"/>
      <c r="DL206" s="1807"/>
      <c r="DM206" s="1808"/>
      <c r="DN206" s="1810">
        <v>0</v>
      </c>
      <c r="DO206" s="1799">
        <v>0</v>
      </c>
      <c r="DP206" s="1800">
        <v>0</v>
      </c>
      <c r="DQ206" s="1799">
        <v>0</v>
      </c>
      <c r="DR206" s="1800">
        <v>0</v>
      </c>
      <c r="DS206" s="1799">
        <v>0</v>
      </c>
    </row>
    <row r="207" spans="1:123" ht="108">
      <c r="A207" s="1801" t="s">
        <v>2040</v>
      </c>
      <c r="B207" s="1788" t="s">
        <v>2041</v>
      </c>
      <c r="C207" s="426">
        <v>2022</v>
      </c>
      <c r="D207" s="417" t="s">
        <v>681</v>
      </c>
      <c r="E207" s="1802">
        <v>1047296</v>
      </c>
      <c r="F207" s="1803" t="s">
        <v>2041</v>
      </c>
      <c r="G207" s="419">
        <v>45135</v>
      </c>
      <c r="H207" s="1790" t="s">
        <v>5078</v>
      </c>
      <c r="I207" s="1791" t="s">
        <v>2041</v>
      </c>
      <c r="J207" s="1793" t="s">
        <v>2042</v>
      </c>
      <c r="K207" s="1788" t="s">
        <v>2041</v>
      </c>
      <c r="L207" s="1791" t="s">
        <v>2042</v>
      </c>
      <c r="M207" s="1793" t="s">
        <v>5078</v>
      </c>
      <c r="N207" s="1790" t="s">
        <v>48</v>
      </c>
      <c r="O207" s="1793" t="s">
        <v>54</v>
      </c>
      <c r="P207" s="420" t="s">
        <v>683</v>
      </c>
      <c r="Q207" s="421"/>
      <c r="R207" s="421"/>
      <c r="S207" s="422"/>
      <c r="T207" s="1794"/>
      <c r="U207" s="423">
        <v>2760.5484000000001</v>
      </c>
      <c r="V207" s="424">
        <v>5</v>
      </c>
      <c r="W207" s="424">
        <v>2</v>
      </c>
      <c r="X207" s="425"/>
      <c r="Y207" s="426">
        <v>2022</v>
      </c>
      <c r="Z207" s="417">
        <v>2024</v>
      </c>
      <c r="AA207" s="1804">
        <v>2022</v>
      </c>
      <c r="AB207" s="427" t="s">
        <v>5863</v>
      </c>
      <c r="AC207" s="1793" t="s">
        <v>2043</v>
      </c>
      <c r="AD207" s="428"/>
      <c r="AE207" s="1791"/>
      <c r="AF207" s="1791"/>
      <c r="AG207" s="1793"/>
      <c r="AH207" s="428"/>
      <c r="AI207" s="1793"/>
      <c r="AJ207" s="429">
        <v>2021</v>
      </c>
      <c r="AK207" s="424">
        <v>5012</v>
      </c>
      <c r="AL207" s="424">
        <v>5248</v>
      </c>
      <c r="AM207" s="430"/>
      <c r="AN207" s="431"/>
      <c r="AO207" s="432">
        <v>2024</v>
      </c>
      <c r="AP207" s="425">
        <v>4888</v>
      </c>
      <c r="AQ207" s="433">
        <v>2.4700000000000002</v>
      </c>
      <c r="AR207" s="425">
        <v>4293</v>
      </c>
      <c r="AS207" s="433">
        <v>18.190000000000001</v>
      </c>
      <c r="AT207" s="434"/>
      <c r="AU207" s="431"/>
      <c r="AV207" s="435"/>
      <c r="AW207" s="432">
        <v>2022</v>
      </c>
      <c r="AX207" s="425">
        <v>4925</v>
      </c>
      <c r="AY207" s="433">
        <v>1.73</v>
      </c>
      <c r="AZ207" s="425">
        <v>4807</v>
      </c>
      <c r="BA207" s="433">
        <v>8.4</v>
      </c>
      <c r="BB207" s="434"/>
      <c r="BC207" s="431"/>
      <c r="BD207" s="435"/>
      <c r="BE207" s="432">
        <v>2023</v>
      </c>
      <c r="BF207" s="425"/>
      <c r="BG207" s="433"/>
      <c r="BH207" s="425"/>
      <c r="BI207" s="433"/>
      <c r="BJ207" s="434"/>
      <c r="BK207" s="431"/>
      <c r="BL207" s="435"/>
      <c r="BM207" s="432">
        <v>2024</v>
      </c>
      <c r="BN207" s="425"/>
      <c r="BO207" s="433"/>
      <c r="BP207" s="425"/>
      <c r="BQ207" s="433"/>
      <c r="BR207" s="434"/>
      <c r="BS207" s="431"/>
      <c r="BT207" s="435"/>
      <c r="BU207" s="1805" t="s">
        <v>687</v>
      </c>
      <c r="BV207" s="1806" t="s">
        <v>728</v>
      </c>
      <c r="BW207" s="1807" t="s">
        <v>678</v>
      </c>
      <c r="BX207" s="1808" t="s">
        <v>5079</v>
      </c>
      <c r="BY207" s="1809">
        <v>2021</v>
      </c>
      <c r="BZ207" s="424"/>
      <c r="CA207" s="424"/>
      <c r="CB207" s="430"/>
      <c r="CC207" s="431"/>
      <c r="CD207" s="432">
        <v>2024</v>
      </c>
      <c r="CE207" s="425"/>
      <c r="CF207" s="433"/>
      <c r="CG207" s="425"/>
      <c r="CH207" s="433"/>
      <c r="CI207" s="434"/>
      <c r="CJ207" s="431"/>
      <c r="CK207" s="435"/>
      <c r="CL207" s="432">
        <v>2022</v>
      </c>
      <c r="CM207" s="425">
        <v>0</v>
      </c>
      <c r="CN207" s="433"/>
      <c r="CO207" s="425">
        <v>0</v>
      </c>
      <c r="CP207" s="433"/>
      <c r="CQ207" s="434"/>
      <c r="CR207" s="431"/>
      <c r="CS207" s="435">
        <v>0</v>
      </c>
      <c r="CT207" s="432">
        <v>2023</v>
      </c>
      <c r="CU207" s="425"/>
      <c r="CV207" s="433"/>
      <c r="CW207" s="425"/>
      <c r="CX207" s="433"/>
      <c r="CY207" s="434"/>
      <c r="CZ207" s="431"/>
      <c r="DA207" s="435"/>
      <c r="DB207" s="432">
        <v>2024</v>
      </c>
      <c r="DC207" s="425"/>
      <c r="DD207" s="433"/>
      <c r="DE207" s="425"/>
      <c r="DF207" s="433"/>
      <c r="DG207" s="434"/>
      <c r="DH207" s="431"/>
      <c r="DI207" s="435"/>
      <c r="DJ207" s="1805"/>
      <c r="DK207" s="1806"/>
      <c r="DL207" s="1807"/>
      <c r="DM207" s="1808"/>
      <c r="DN207" s="1810">
        <v>0</v>
      </c>
      <c r="DO207" s="1799">
        <v>1</v>
      </c>
      <c r="DP207" s="1800">
        <v>0</v>
      </c>
      <c r="DQ207" s="1799">
        <v>0</v>
      </c>
      <c r="DR207" s="1800">
        <v>0</v>
      </c>
      <c r="DS207" s="1799">
        <v>0</v>
      </c>
    </row>
    <row r="208" spans="1:123" ht="67.5">
      <c r="A208" s="1801" t="s">
        <v>2044</v>
      </c>
      <c r="B208" s="1788" t="s">
        <v>2045</v>
      </c>
      <c r="C208" s="426">
        <v>2022</v>
      </c>
      <c r="D208" s="417" t="s">
        <v>681</v>
      </c>
      <c r="E208" s="1802">
        <v>1041297</v>
      </c>
      <c r="F208" s="1803" t="s">
        <v>2045</v>
      </c>
      <c r="G208" s="419">
        <v>45131</v>
      </c>
      <c r="H208" s="1790" t="s">
        <v>2046</v>
      </c>
      <c r="I208" s="1791" t="s">
        <v>2045</v>
      </c>
      <c r="J208" s="1793" t="s">
        <v>5080</v>
      </c>
      <c r="K208" s="1788" t="s">
        <v>2045</v>
      </c>
      <c r="L208" s="1791" t="s">
        <v>5080</v>
      </c>
      <c r="M208" s="1793" t="s">
        <v>2046</v>
      </c>
      <c r="N208" s="1790" t="s">
        <v>42</v>
      </c>
      <c r="O208" s="1793" t="s">
        <v>47</v>
      </c>
      <c r="P208" s="420" t="s">
        <v>683</v>
      </c>
      <c r="Q208" s="421"/>
      <c r="R208" s="421"/>
      <c r="S208" s="422"/>
      <c r="T208" s="1794"/>
      <c r="U208" s="423">
        <v>2582.9153999999999</v>
      </c>
      <c r="V208" s="424">
        <v>8</v>
      </c>
      <c r="W208" s="424">
        <v>1</v>
      </c>
      <c r="X208" s="425"/>
      <c r="Y208" s="426">
        <v>2022</v>
      </c>
      <c r="Z208" s="417">
        <v>2024</v>
      </c>
      <c r="AA208" s="1804">
        <v>2022</v>
      </c>
      <c r="AB208" s="427" t="s">
        <v>5863</v>
      </c>
      <c r="AC208" s="1793" t="s">
        <v>2047</v>
      </c>
      <c r="AD208" s="428"/>
      <c r="AE208" s="1791"/>
      <c r="AF208" s="1791"/>
      <c r="AG208" s="1793"/>
      <c r="AH208" s="428"/>
      <c r="AI208" s="1793"/>
      <c r="AJ208" s="429">
        <v>2021</v>
      </c>
      <c r="AK208" s="424">
        <v>4698</v>
      </c>
      <c r="AL208" s="424">
        <v>4657</v>
      </c>
      <c r="AM208" s="430"/>
      <c r="AN208" s="431"/>
      <c r="AO208" s="432">
        <v>2024</v>
      </c>
      <c r="AP208" s="425">
        <v>4557</v>
      </c>
      <c r="AQ208" s="433">
        <v>3</v>
      </c>
      <c r="AR208" s="425">
        <v>4517</v>
      </c>
      <c r="AS208" s="433">
        <v>3</v>
      </c>
      <c r="AT208" s="434"/>
      <c r="AU208" s="431"/>
      <c r="AV208" s="435"/>
      <c r="AW208" s="432">
        <v>2022</v>
      </c>
      <c r="AX208" s="425">
        <v>4731</v>
      </c>
      <c r="AY208" s="433">
        <v>-0.71</v>
      </c>
      <c r="AZ208" s="425">
        <v>4721</v>
      </c>
      <c r="BA208" s="433">
        <v>-1.38</v>
      </c>
      <c r="BB208" s="434"/>
      <c r="BC208" s="431"/>
      <c r="BD208" s="435"/>
      <c r="BE208" s="432">
        <v>2023</v>
      </c>
      <c r="BF208" s="425"/>
      <c r="BG208" s="433"/>
      <c r="BH208" s="425"/>
      <c r="BI208" s="433"/>
      <c r="BJ208" s="434"/>
      <c r="BK208" s="431"/>
      <c r="BL208" s="435"/>
      <c r="BM208" s="432">
        <v>2024</v>
      </c>
      <c r="BN208" s="425"/>
      <c r="BO208" s="433"/>
      <c r="BP208" s="425"/>
      <c r="BQ208" s="433"/>
      <c r="BR208" s="434"/>
      <c r="BS208" s="431"/>
      <c r="BT208" s="435"/>
      <c r="BU208" s="1805" t="s">
        <v>719</v>
      </c>
      <c r="BV208" s="1806" t="s">
        <v>728</v>
      </c>
      <c r="BW208" s="1807" t="s">
        <v>678</v>
      </c>
      <c r="BX208" s="1808" t="s">
        <v>5081</v>
      </c>
      <c r="BY208" s="1809">
        <v>2021</v>
      </c>
      <c r="BZ208" s="424"/>
      <c r="CA208" s="424"/>
      <c r="CB208" s="430"/>
      <c r="CC208" s="431"/>
      <c r="CD208" s="432">
        <v>2024</v>
      </c>
      <c r="CE208" s="425"/>
      <c r="CF208" s="433"/>
      <c r="CG208" s="425"/>
      <c r="CH208" s="433"/>
      <c r="CI208" s="434"/>
      <c r="CJ208" s="431"/>
      <c r="CK208" s="435"/>
      <c r="CL208" s="432">
        <v>2022</v>
      </c>
      <c r="CM208" s="425">
        <v>0</v>
      </c>
      <c r="CN208" s="433"/>
      <c r="CO208" s="425">
        <v>0</v>
      </c>
      <c r="CP208" s="433"/>
      <c r="CQ208" s="434"/>
      <c r="CR208" s="431"/>
      <c r="CS208" s="435">
        <v>0</v>
      </c>
      <c r="CT208" s="432">
        <v>2023</v>
      </c>
      <c r="CU208" s="425"/>
      <c r="CV208" s="433"/>
      <c r="CW208" s="425"/>
      <c r="CX208" s="433"/>
      <c r="CY208" s="434"/>
      <c r="CZ208" s="431"/>
      <c r="DA208" s="435"/>
      <c r="DB208" s="432">
        <v>2024</v>
      </c>
      <c r="DC208" s="425"/>
      <c r="DD208" s="433"/>
      <c r="DE208" s="425"/>
      <c r="DF208" s="433"/>
      <c r="DG208" s="434"/>
      <c r="DH208" s="431"/>
      <c r="DI208" s="435"/>
      <c r="DJ208" s="1805"/>
      <c r="DK208" s="1806"/>
      <c r="DL208" s="1807"/>
      <c r="DM208" s="1808"/>
      <c r="DN208" s="1810">
        <v>0</v>
      </c>
      <c r="DO208" s="1799">
        <v>0</v>
      </c>
      <c r="DP208" s="1800">
        <v>0</v>
      </c>
      <c r="DQ208" s="1799">
        <v>0</v>
      </c>
      <c r="DR208" s="1800">
        <v>0</v>
      </c>
      <c r="DS208" s="1799">
        <v>0</v>
      </c>
    </row>
    <row r="209" spans="1:123" ht="67.5">
      <c r="A209" s="1801" t="s">
        <v>2048</v>
      </c>
      <c r="B209" s="1788" t="s">
        <v>2049</v>
      </c>
      <c r="C209" s="426">
        <v>2021</v>
      </c>
      <c r="D209" s="417" t="s">
        <v>681</v>
      </c>
      <c r="E209" s="1802">
        <v>1056298</v>
      </c>
      <c r="F209" s="1803" t="s">
        <v>2049</v>
      </c>
      <c r="G209" s="419">
        <v>45118</v>
      </c>
      <c r="H209" s="1790" t="s">
        <v>5082</v>
      </c>
      <c r="I209" s="1791" t="s">
        <v>2049</v>
      </c>
      <c r="J209" s="1793" t="s">
        <v>2050</v>
      </c>
      <c r="K209" s="1788" t="s">
        <v>2049</v>
      </c>
      <c r="L209" s="1791" t="s">
        <v>2050</v>
      </c>
      <c r="M209" s="1793" t="s">
        <v>2051</v>
      </c>
      <c r="N209" s="1790" t="s">
        <v>57</v>
      </c>
      <c r="O209" s="1793" t="s">
        <v>64</v>
      </c>
      <c r="P209" s="420" t="s">
        <v>683</v>
      </c>
      <c r="Q209" s="421"/>
      <c r="R209" s="421"/>
      <c r="S209" s="422"/>
      <c r="T209" s="1794"/>
      <c r="U209" s="423">
        <v>1478.9333999999999</v>
      </c>
      <c r="V209" s="424">
        <v>1</v>
      </c>
      <c r="W209" s="424">
        <v>1</v>
      </c>
      <c r="X209" s="425"/>
      <c r="Y209" s="426">
        <v>2021</v>
      </c>
      <c r="Z209" s="417">
        <v>2023</v>
      </c>
      <c r="AA209" s="1804">
        <v>2022</v>
      </c>
      <c r="AB209" s="427"/>
      <c r="AC209" s="1793"/>
      <c r="AD209" s="428" t="s">
        <v>5863</v>
      </c>
      <c r="AE209" s="1791" t="s">
        <v>2049</v>
      </c>
      <c r="AF209" s="1791" t="s">
        <v>5082</v>
      </c>
      <c r="AG209" s="1793" t="s">
        <v>5083</v>
      </c>
      <c r="AH209" s="428"/>
      <c r="AI209" s="1793"/>
      <c r="AJ209" s="429">
        <v>2020</v>
      </c>
      <c r="AK209" s="424">
        <v>2810</v>
      </c>
      <c r="AL209" s="424">
        <v>2741</v>
      </c>
      <c r="AM209" s="430">
        <v>109.25</v>
      </c>
      <c r="AN209" s="431" t="s">
        <v>727</v>
      </c>
      <c r="AO209" s="432">
        <v>2023</v>
      </c>
      <c r="AP209" s="425">
        <v>2725</v>
      </c>
      <c r="AQ209" s="433">
        <v>3.02</v>
      </c>
      <c r="AR209" s="425">
        <v>2658</v>
      </c>
      <c r="AS209" s="433">
        <v>3.02</v>
      </c>
      <c r="AT209" s="434">
        <v>105.94</v>
      </c>
      <c r="AU209" s="431" t="s">
        <v>727</v>
      </c>
      <c r="AV209" s="435">
        <v>3.02</v>
      </c>
      <c r="AW209" s="432">
        <v>2021</v>
      </c>
      <c r="AX209" s="425">
        <v>2851</v>
      </c>
      <c r="AY209" s="433">
        <v>-1.46</v>
      </c>
      <c r="AZ209" s="425">
        <v>729</v>
      </c>
      <c r="BA209" s="433">
        <v>73.400000000000006</v>
      </c>
      <c r="BB209" s="434">
        <v>110.84</v>
      </c>
      <c r="BC209" s="431" t="s">
        <v>727</v>
      </c>
      <c r="BD209" s="435">
        <v>-1.46</v>
      </c>
      <c r="BE209" s="432">
        <v>2022</v>
      </c>
      <c r="BF209" s="425">
        <v>2727</v>
      </c>
      <c r="BG209" s="433">
        <v>2.95</v>
      </c>
      <c r="BH209" s="425">
        <v>2722</v>
      </c>
      <c r="BI209" s="433">
        <v>0.69</v>
      </c>
      <c r="BJ209" s="434">
        <v>106.02248127597103</v>
      </c>
      <c r="BK209" s="431" t="s">
        <v>727</v>
      </c>
      <c r="BL209" s="435">
        <v>2.95</v>
      </c>
      <c r="BM209" s="432">
        <v>2023</v>
      </c>
      <c r="BN209" s="425"/>
      <c r="BO209" s="433"/>
      <c r="BP209" s="425"/>
      <c r="BQ209" s="433"/>
      <c r="BR209" s="434"/>
      <c r="BS209" s="431"/>
      <c r="BT209" s="435"/>
      <c r="BU209" s="1805" t="s">
        <v>719</v>
      </c>
      <c r="BV209" s="1806" t="s">
        <v>677</v>
      </c>
      <c r="BW209" s="1807" t="s">
        <v>688</v>
      </c>
      <c r="BX209" s="1808" t="s">
        <v>5084</v>
      </c>
      <c r="BY209" s="1809">
        <v>2020</v>
      </c>
      <c r="BZ209" s="424"/>
      <c r="CA209" s="424"/>
      <c r="CB209" s="430"/>
      <c r="CC209" s="431"/>
      <c r="CD209" s="432">
        <v>2023</v>
      </c>
      <c r="CE209" s="425"/>
      <c r="CF209" s="433"/>
      <c r="CG209" s="425"/>
      <c r="CH209" s="433"/>
      <c r="CI209" s="434"/>
      <c r="CJ209" s="431"/>
      <c r="CK209" s="435"/>
      <c r="CL209" s="432">
        <v>2021</v>
      </c>
      <c r="CM209" s="425"/>
      <c r="CN209" s="433"/>
      <c r="CO209" s="425"/>
      <c r="CP209" s="433"/>
      <c r="CQ209" s="434"/>
      <c r="CR209" s="431"/>
      <c r="CS209" s="435"/>
      <c r="CT209" s="432">
        <v>2022</v>
      </c>
      <c r="CU209" s="425">
        <v>0</v>
      </c>
      <c r="CV209" s="433"/>
      <c r="CW209" s="425">
        <v>0</v>
      </c>
      <c r="CX209" s="433"/>
      <c r="CY209" s="434"/>
      <c r="CZ209" s="431"/>
      <c r="DA209" s="435">
        <v>0</v>
      </c>
      <c r="DB209" s="432">
        <v>2023</v>
      </c>
      <c r="DC209" s="425"/>
      <c r="DD209" s="433"/>
      <c r="DE209" s="425"/>
      <c r="DF209" s="433"/>
      <c r="DG209" s="434"/>
      <c r="DH209" s="431"/>
      <c r="DI209" s="435"/>
      <c r="DJ209" s="1805"/>
      <c r="DK209" s="1806"/>
      <c r="DL209" s="1807"/>
      <c r="DM209" s="1808"/>
      <c r="DN209" s="1810">
        <v>0</v>
      </c>
      <c r="DO209" s="1799">
        <v>0</v>
      </c>
      <c r="DP209" s="1800">
        <v>0</v>
      </c>
      <c r="DQ209" s="1799">
        <v>0</v>
      </c>
      <c r="DR209" s="1800">
        <v>0</v>
      </c>
      <c r="DS209" s="1799">
        <v>0</v>
      </c>
    </row>
    <row r="210" spans="1:123" ht="54">
      <c r="A210" s="1801" t="s">
        <v>2052</v>
      </c>
      <c r="B210" s="1788" t="s">
        <v>2053</v>
      </c>
      <c r="C210" s="426">
        <v>2022</v>
      </c>
      <c r="D210" s="417" t="s">
        <v>714</v>
      </c>
      <c r="E210" s="1802">
        <v>3059300</v>
      </c>
      <c r="F210" s="1803" t="s">
        <v>2053</v>
      </c>
      <c r="G210" s="419">
        <v>45131</v>
      </c>
      <c r="H210" s="1790" t="s">
        <v>2054</v>
      </c>
      <c r="I210" s="1791" t="s">
        <v>2053</v>
      </c>
      <c r="J210" s="1793" t="s">
        <v>5085</v>
      </c>
      <c r="K210" s="1788" t="s">
        <v>2053</v>
      </c>
      <c r="L210" s="1791" t="s">
        <v>5085</v>
      </c>
      <c r="M210" s="1793" t="s">
        <v>2054</v>
      </c>
      <c r="N210" s="1790" t="s">
        <v>57</v>
      </c>
      <c r="O210" s="1793" t="s">
        <v>67</v>
      </c>
      <c r="P210" s="420"/>
      <c r="Q210" s="421"/>
      <c r="R210" s="421" t="s">
        <v>717</v>
      </c>
      <c r="S210" s="422"/>
      <c r="T210" s="1794"/>
      <c r="U210" s="423"/>
      <c r="V210" s="424"/>
      <c r="W210" s="424"/>
      <c r="X210" s="425">
        <v>542</v>
      </c>
      <c r="Y210" s="426">
        <v>2022</v>
      </c>
      <c r="Z210" s="417">
        <v>2024</v>
      </c>
      <c r="AA210" s="1804">
        <v>2022</v>
      </c>
      <c r="AB210" s="427"/>
      <c r="AC210" s="1793"/>
      <c r="AD210" s="428" t="s">
        <v>5863</v>
      </c>
      <c r="AE210" s="1791" t="s">
        <v>2053</v>
      </c>
      <c r="AF210" s="1791" t="s">
        <v>2055</v>
      </c>
      <c r="AG210" s="1793" t="s">
        <v>2056</v>
      </c>
      <c r="AH210" s="428"/>
      <c r="AI210" s="1793"/>
      <c r="AJ210" s="429">
        <v>2021</v>
      </c>
      <c r="AK210" s="424">
        <v>0</v>
      </c>
      <c r="AL210" s="424"/>
      <c r="AM210" s="430"/>
      <c r="AN210" s="431"/>
      <c r="AO210" s="432">
        <v>2024</v>
      </c>
      <c r="AP210" s="425">
        <v>0</v>
      </c>
      <c r="AQ210" s="433"/>
      <c r="AR210" s="425">
        <v>0</v>
      </c>
      <c r="AS210" s="433"/>
      <c r="AT210" s="434"/>
      <c r="AU210" s="431"/>
      <c r="AV210" s="435"/>
      <c r="AW210" s="432">
        <v>2022</v>
      </c>
      <c r="AX210" s="425"/>
      <c r="AY210" s="433"/>
      <c r="AZ210" s="425"/>
      <c r="BA210" s="433"/>
      <c r="BB210" s="434"/>
      <c r="BC210" s="431"/>
      <c r="BD210" s="435"/>
      <c r="BE210" s="432">
        <v>2023</v>
      </c>
      <c r="BF210" s="425"/>
      <c r="BG210" s="433"/>
      <c r="BH210" s="425"/>
      <c r="BI210" s="433"/>
      <c r="BJ210" s="434"/>
      <c r="BK210" s="431"/>
      <c r="BL210" s="435"/>
      <c r="BM210" s="432">
        <v>2024</v>
      </c>
      <c r="BN210" s="425"/>
      <c r="BO210" s="433"/>
      <c r="BP210" s="425"/>
      <c r="BQ210" s="433"/>
      <c r="BR210" s="434"/>
      <c r="BS210" s="431"/>
      <c r="BT210" s="435"/>
      <c r="BU210" s="1805"/>
      <c r="BV210" s="1806"/>
      <c r="BW210" s="1807"/>
      <c r="BX210" s="1808"/>
      <c r="BY210" s="1809">
        <v>2021</v>
      </c>
      <c r="BZ210" s="424">
        <v>547</v>
      </c>
      <c r="CA210" s="424">
        <v>547</v>
      </c>
      <c r="CB210" s="430"/>
      <c r="CC210" s="431"/>
      <c r="CD210" s="432">
        <v>2024</v>
      </c>
      <c r="CE210" s="425">
        <v>519</v>
      </c>
      <c r="CF210" s="433">
        <v>5.1100000000000003</v>
      </c>
      <c r="CG210" s="425">
        <v>519</v>
      </c>
      <c r="CH210" s="433">
        <v>5.1100000000000003</v>
      </c>
      <c r="CI210" s="434"/>
      <c r="CJ210" s="431"/>
      <c r="CK210" s="435"/>
      <c r="CL210" s="432">
        <v>2022</v>
      </c>
      <c r="CM210" s="425">
        <v>573.93705999999997</v>
      </c>
      <c r="CN210" s="433">
        <v>-4.93</v>
      </c>
      <c r="CO210" s="425">
        <v>575.93705999999997</v>
      </c>
      <c r="CP210" s="433">
        <v>-5.3</v>
      </c>
      <c r="CQ210" s="434"/>
      <c r="CR210" s="431"/>
      <c r="CS210" s="435"/>
      <c r="CT210" s="432">
        <v>2023</v>
      </c>
      <c r="CU210" s="425"/>
      <c r="CV210" s="433"/>
      <c r="CW210" s="425"/>
      <c r="CX210" s="433"/>
      <c r="CY210" s="434"/>
      <c r="CZ210" s="431"/>
      <c r="DA210" s="435"/>
      <c r="DB210" s="432">
        <v>2024</v>
      </c>
      <c r="DC210" s="425"/>
      <c r="DD210" s="433"/>
      <c r="DE210" s="425"/>
      <c r="DF210" s="433"/>
      <c r="DG210" s="434"/>
      <c r="DH210" s="431"/>
      <c r="DI210" s="435"/>
      <c r="DJ210" s="1805" t="s">
        <v>676</v>
      </c>
      <c r="DK210" s="1806" t="s">
        <v>677</v>
      </c>
      <c r="DL210" s="1807" t="s">
        <v>688</v>
      </c>
      <c r="DM210" s="1808"/>
      <c r="DN210" s="1810">
        <v>44</v>
      </c>
      <c r="DO210" s="1799">
        <v>99</v>
      </c>
      <c r="DP210" s="1800">
        <v>0</v>
      </c>
      <c r="DQ210" s="1799">
        <v>0</v>
      </c>
      <c r="DR210" s="1800">
        <v>0</v>
      </c>
      <c r="DS210" s="1799">
        <v>0</v>
      </c>
    </row>
    <row r="211" spans="1:123" ht="162">
      <c r="A211" s="1801" t="s">
        <v>2057</v>
      </c>
      <c r="B211" s="1788" t="s">
        <v>2058</v>
      </c>
      <c r="C211" s="426">
        <v>2022</v>
      </c>
      <c r="D211" s="417" t="s">
        <v>681</v>
      </c>
      <c r="E211" s="1802">
        <v>1024302</v>
      </c>
      <c r="F211" s="1803" t="s">
        <v>2058</v>
      </c>
      <c r="G211" s="419">
        <v>45131</v>
      </c>
      <c r="H211" s="1790" t="s">
        <v>2059</v>
      </c>
      <c r="I211" s="1791" t="s">
        <v>2058</v>
      </c>
      <c r="J211" s="1793" t="s">
        <v>5086</v>
      </c>
      <c r="K211" s="1788" t="s">
        <v>2058</v>
      </c>
      <c r="L211" s="1791" t="s">
        <v>2060</v>
      </c>
      <c r="M211" s="1793" t="s">
        <v>2061</v>
      </c>
      <c r="N211" s="1790" t="s">
        <v>12</v>
      </c>
      <c r="O211" s="1793" t="s">
        <v>22</v>
      </c>
      <c r="P211" s="420" t="s">
        <v>683</v>
      </c>
      <c r="Q211" s="421"/>
      <c r="R211" s="421"/>
      <c r="S211" s="422"/>
      <c r="T211" s="1794"/>
      <c r="U211" s="423">
        <v>12068.3886</v>
      </c>
      <c r="V211" s="424">
        <v>1</v>
      </c>
      <c r="W211" s="424">
        <v>1</v>
      </c>
      <c r="X211" s="425"/>
      <c r="Y211" s="426">
        <v>2022</v>
      </c>
      <c r="Z211" s="417">
        <v>2024</v>
      </c>
      <c r="AA211" s="1804">
        <v>2022</v>
      </c>
      <c r="AB211" s="427" t="s">
        <v>5863</v>
      </c>
      <c r="AC211" s="1793" t="s">
        <v>5087</v>
      </c>
      <c r="AD211" s="428"/>
      <c r="AE211" s="1791"/>
      <c r="AF211" s="1791"/>
      <c r="AG211" s="1793"/>
      <c r="AH211" s="428" t="s">
        <v>5863</v>
      </c>
      <c r="AI211" s="1793" t="s">
        <v>2062</v>
      </c>
      <c r="AJ211" s="429">
        <v>2021</v>
      </c>
      <c r="AK211" s="424">
        <v>21693</v>
      </c>
      <c r="AL211" s="424">
        <v>21510</v>
      </c>
      <c r="AM211" s="430">
        <v>8.43</v>
      </c>
      <c r="AN211" s="431" t="s">
        <v>2607</v>
      </c>
      <c r="AO211" s="432">
        <v>2024</v>
      </c>
      <c r="AP211" s="425">
        <v>21042</v>
      </c>
      <c r="AQ211" s="433">
        <v>3</v>
      </c>
      <c r="AR211" s="425">
        <v>20864</v>
      </c>
      <c r="AS211" s="433">
        <v>3</v>
      </c>
      <c r="AT211" s="434">
        <v>8.18</v>
      </c>
      <c r="AU211" s="431" t="s">
        <v>2607</v>
      </c>
      <c r="AV211" s="435">
        <v>2.96</v>
      </c>
      <c r="AW211" s="432">
        <v>2022</v>
      </c>
      <c r="AX211" s="425">
        <v>20209</v>
      </c>
      <c r="AY211" s="433">
        <v>6.84</v>
      </c>
      <c r="AZ211" s="425">
        <v>16224</v>
      </c>
      <c r="BA211" s="433">
        <v>24.57</v>
      </c>
      <c r="BB211" s="434">
        <v>8.4591879447467555</v>
      </c>
      <c r="BC211" s="431" t="s">
        <v>2607</v>
      </c>
      <c r="BD211" s="435">
        <v>-0.35</v>
      </c>
      <c r="BE211" s="432">
        <v>2023</v>
      </c>
      <c r="BF211" s="425"/>
      <c r="BG211" s="433"/>
      <c r="BH211" s="425"/>
      <c r="BI211" s="433"/>
      <c r="BJ211" s="434"/>
      <c r="BK211" s="431"/>
      <c r="BL211" s="435"/>
      <c r="BM211" s="432">
        <v>2024</v>
      </c>
      <c r="BN211" s="425"/>
      <c r="BO211" s="433"/>
      <c r="BP211" s="425"/>
      <c r="BQ211" s="433"/>
      <c r="BR211" s="434"/>
      <c r="BS211" s="431"/>
      <c r="BT211" s="435"/>
      <c r="BU211" s="1805" t="s">
        <v>687</v>
      </c>
      <c r="BV211" s="1806" t="s">
        <v>728</v>
      </c>
      <c r="BW211" s="1807" t="s">
        <v>697</v>
      </c>
      <c r="BX211" s="1808" t="s">
        <v>5088</v>
      </c>
      <c r="BY211" s="1809">
        <v>2021</v>
      </c>
      <c r="BZ211" s="424"/>
      <c r="CA211" s="424"/>
      <c r="CB211" s="430"/>
      <c r="CC211" s="431"/>
      <c r="CD211" s="432">
        <v>2024</v>
      </c>
      <c r="CE211" s="425"/>
      <c r="CF211" s="433"/>
      <c r="CG211" s="425"/>
      <c r="CH211" s="433"/>
      <c r="CI211" s="434"/>
      <c r="CJ211" s="431"/>
      <c r="CK211" s="435"/>
      <c r="CL211" s="432">
        <v>2022</v>
      </c>
      <c r="CM211" s="425">
        <v>0</v>
      </c>
      <c r="CN211" s="433"/>
      <c r="CO211" s="425">
        <v>0</v>
      </c>
      <c r="CP211" s="433"/>
      <c r="CQ211" s="434"/>
      <c r="CR211" s="431"/>
      <c r="CS211" s="435"/>
      <c r="CT211" s="432">
        <v>2023</v>
      </c>
      <c r="CU211" s="425"/>
      <c r="CV211" s="433"/>
      <c r="CW211" s="425"/>
      <c r="CX211" s="433"/>
      <c r="CY211" s="434"/>
      <c r="CZ211" s="431"/>
      <c r="DA211" s="435"/>
      <c r="DB211" s="432">
        <v>2024</v>
      </c>
      <c r="DC211" s="425"/>
      <c r="DD211" s="433"/>
      <c r="DE211" s="425"/>
      <c r="DF211" s="433"/>
      <c r="DG211" s="434"/>
      <c r="DH211" s="431"/>
      <c r="DI211" s="435"/>
      <c r="DJ211" s="1805"/>
      <c r="DK211" s="1806"/>
      <c r="DL211" s="1807"/>
      <c r="DM211" s="1808"/>
      <c r="DN211" s="1810">
        <v>0</v>
      </c>
      <c r="DO211" s="1799">
        <v>0</v>
      </c>
      <c r="DP211" s="1800">
        <v>0</v>
      </c>
      <c r="DQ211" s="1799">
        <v>0</v>
      </c>
      <c r="DR211" s="1800">
        <v>0</v>
      </c>
      <c r="DS211" s="1799">
        <v>0</v>
      </c>
    </row>
    <row r="212" spans="1:123" ht="94.5">
      <c r="A212" s="1801" t="s">
        <v>2063</v>
      </c>
      <c r="B212" s="1788" t="s">
        <v>2064</v>
      </c>
      <c r="C212" s="426">
        <v>2021</v>
      </c>
      <c r="D212" s="417" t="s">
        <v>668</v>
      </c>
      <c r="E212" s="1802">
        <v>2076303</v>
      </c>
      <c r="F212" s="1803" t="s">
        <v>2064</v>
      </c>
      <c r="G212" s="419">
        <v>45133</v>
      </c>
      <c r="H212" s="1790" t="s">
        <v>2065</v>
      </c>
      <c r="I212" s="1791" t="s">
        <v>2064</v>
      </c>
      <c r="J212" s="1793" t="s">
        <v>2066</v>
      </c>
      <c r="K212" s="1788" t="s">
        <v>2064</v>
      </c>
      <c r="L212" s="1791" t="s">
        <v>2066</v>
      </c>
      <c r="M212" s="1793" t="s">
        <v>2067</v>
      </c>
      <c r="N212" s="1790" t="s">
        <v>86</v>
      </c>
      <c r="O212" s="1793" t="s">
        <v>88</v>
      </c>
      <c r="P212" s="420"/>
      <c r="Q212" s="421" t="s">
        <v>5862</v>
      </c>
      <c r="R212" s="421"/>
      <c r="S212" s="422"/>
      <c r="T212" s="1794"/>
      <c r="U212" s="423">
        <v>1909.7418</v>
      </c>
      <c r="V212" s="424">
        <v>51</v>
      </c>
      <c r="W212" s="424">
        <v>0</v>
      </c>
      <c r="X212" s="425"/>
      <c r="Y212" s="426">
        <v>2021</v>
      </c>
      <c r="Z212" s="417">
        <v>2023</v>
      </c>
      <c r="AA212" s="1804">
        <v>2022</v>
      </c>
      <c r="AB212" s="427" t="s">
        <v>5863</v>
      </c>
      <c r="AC212" s="1793" t="s">
        <v>2068</v>
      </c>
      <c r="AD212" s="428"/>
      <c r="AE212" s="1791"/>
      <c r="AF212" s="1791"/>
      <c r="AG212" s="1793"/>
      <c r="AH212" s="428"/>
      <c r="AI212" s="1793"/>
      <c r="AJ212" s="429">
        <v>2020</v>
      </c>
      <c r="AK212" s="424">
        <v>2924</v>
      </c>
      <c r="AL212" s="424">
        <v>2869</v>
      </c>
      <c r="AM212" s="430">
        <v>5.31</v>
      </c>
      <c r="AN212" s="431" t="s">
        <v>2069</v>
      </c>
      <c r="AO212" s="432">
        <v>2023</v>
      </c>
      <c r="AP212" s="425">
        <v>2837</v>
      </c>
      <c r="AQ212" s="433">
        <v>2.97</v>
      </c>
      <c r="AR212" s="425">
        <v>2783</v>
      </c>
      <c r="AS212" s="433">
        <v>2.99</v>
      </c>
      <c r="AT212" s="434">
        <v>5.15</v>
      </c>
      <c r="AU212" s="431" t="s">
        <v>2069</v>
      </c>
      <c r="AV212" s="435">
        <v>3.01</v>
      </c>
      <c r="AW212" s="432">
        <v>2021</v>
      </c>
      <c r="AX212" s="425">
        <v>2705</v>
      </c>
      <c r="AY212" s="433">
        <v>7.48</v>
      </c>
      <c r="AZ212" s="425">
        <v>2698</v>
      </c>
      <c r="BA212" s="433">
        <v>5.96</v>
      </c>
      <c r="BB212" s="434">
        <v>4.5599999999999996</v>
      </c>
      <c r="BC212" s="431" t="s">
        <v>2069</v>
      </c>
      <c r="BD212" s="435">
        <v>14.12</v>
      </c>
      <c r="BE212" s="432">
        <v>2022</v>
      </c>
      <c r="BF212" s="425">
        <v>3495</v>
      </c>
      <c r="BG212" s="433">
        <v>-19.53</v>
      </c>
      <c r="BH212" s="425">
        <v>3491</v>
      </c>
      <c r="BI212" s="433">
        <v>-21.69</v>
      </c>
      <c r="BJ212" s="434">
        <v>5.4609375</v>
      </c>
      <c r="BK212" s="431" t="s">
        <v>2069</v>
      </c>
      <c r="BL212" s="435">
        <v>-2.85</v>
      </c>
      <c r="BM212" s="432">
        <v>2023</v>
      </c>
      <c r="BN212" s="425"/>
      <c r="BO212" s="433"/>
      <c r="BP212" s="425"/>
      <c r="BQ212" s="433"/>
      <c r="BR212" s="434"/>
      <c r="BS212" s="431"/>
      <c r="BT212" s="435"/>
      <c r="BU212" s="1805" t="s">
        <v>676</v>
      </c>
      <c r="BV212" s="1806" t="s">
        <v>728</v>
      </c>
      <c r="BW212" s="1807" t="s">
        <v>678</v>
      </c>
      <c r="BX212" s="1808" t="s">
        <v>5089</v>
      </c>
      <c r="BY212" s="1809">
        <v>2020</v>
      </c>
      <c r="BZ212" s="424"/>
      <c r="CA212" s="424"/>
      <c r="CB212" s="430"/>
      <c r="CC212" s="431"/>
      <c r="CD212" s="432">
        <v>2023</v>
      </c>
      <c r="CE212" s="425"/>
      <c r="CF212" s="433"/>
      <c r="CG212" s="425"/>
      <c r="CH212" s="433"/>
      <c r="CI212" s="434"/>
      <c r="CJ212" s="431"/>
      <c r="CK212" s="435"/>
      <c r="CL212" s="432">
        <v>2021</v>
      </c>
      <c r="CM212" s="425"/>
      <c r="CN212" s="433"/>
      <c r="CO212" s="425"/>
      <c r="CP212" s="433"/>
      <c r="CQ212" s="434"/>
      <c r="CR212" s="431"/>
      <c r="CS212" s="435"/>
      <c r="CT212" s="432">
        <v>2022</v>
      </c>
      <c r="CU212" s="425">
        <v>0</v>
      </c>
      <c r="CV212" s="433"/>
      <c r="CW212" s="425">
        <v>0</v>
      </c>
      <c r="CX212" s="433"/>
      <c r="CY212" s="434"/>
      <c r="CZ212" s="431"/>
      <c r="DA212" s="435"/>
      <c r="DB212" s="432">
        <v>2023</v>
      </c>
      <c r="DC212" s="425"/>
      <c r="DD212" s="433"/>
      <c r="DE212" s="425"/>
      <c r="DF212" s="433"/>
      <c r="DG212" s="434"/>
      <c r="DH212" s="431"/>
      <c r="DI212" s="435"/>
      <c r="DJ212" s="1805"/>
      <c r="DK212" s="1806"/>
      <c r="DL212" s="1807"/>
      <c r="DM212" s="1808"/>
      <c r="DN212" s="1810">
        <v>0</v>
      </c>
      <c r="DO212" s="1799">
        <v>0</v>
      </c>
      <c r="DP212" s="1800">
        <v>0</v>
      </c>
      <c r="DQ212" s="1799">
        <v>0</v>
      </c>
      <c r="DR212" s="1800">
        <v>0</v>
      </c>
      <c r="DS212" s="1799">
        <v>0</v>
      </c>
    </row>
    <row r="213" spans="1:123" ht="54">
      <c r="A213" s="1801" t="s">
        <v>2070</v>
      </c>
      <c r="B213" s="1788" t="s">
        <v>2071</v>
      </c>
      <c r="C213" s="426">
        <v>2022</v>
      </c>
      <c r="D213" s="417" t="s">
        <v>681</v>
      </c>
      <c r="E213" s="1802">
        <v>1086304</v>
      </c>
      <c r="F213" s="1803" t="s">
        <v>2071</v>
      </c>
      <c r="G213" s="419">
        <v>45138</v>
      </c>
      <c r="H213" s="1790" t="s">
        <v>2072</v>
      </c>
      <c r="I213" s="1791" t="s">
        <v>2071</v>
      </c>
      <c r="J213" s="1793" t="s">
        <v>5090</v>
      </c>
      <c r="K213" s="1788" t="s">
        <v>2071</v>
      </c>
      <c r="L213" s="1791" t="s">
        <v>5091</v>
      </c>
      <c r="M213" s="1793" t="s">
        <v>1736</v>
      </c>
      <c r="N213" s="1790" t="s">
        <v>99</v>
      </c>
      <c r="O213" s="1793" t="s">
        <v>100</v>
      </c>
      <c r="P213" s="420" t="s">
        <v>683</v>
      </c>
      <c r="Q213" s="421"/>
      <c r="R213" s="421"/>
      <c r="S213" s="422"/>
      <c r="T213" s="1794"/>
      <c r="U213" s="423">
        <v>7016.000399999999</v>
      </c>
      <c r="V213" s="424">
        <v>303</v>
      </c>
      <c r="W213" s="424">
        <v>3</v>
      </c>
      <c r="X213" s="425"/>
      <c r="Y213" s="426">
        <v>2022</v>
      </c>
      <c r="Z213" s="417">
        <v>2024</v>
      </c>
      <c r="AA213" s="1804">
        <v>2022</v>
      </c>
      <c r="AB213" s="427"/>
      <c r="AC213" s="1793"/>
      <c r="AD213" s="428" t="s">
        <v>5863</v>
      </c>
      <c r="AE213" s="1791" t="s">
        <v>2073</v>
      </c>
      <c r="AF213" s="1791" t="s">
        <v>2074</v>
      </c>
      <c r="AG213" s="1793" t="s">
        <v>2075</v>
      </c>
      <c r="AH213" s="428"/>
      <c r="AI213" s="1793"/>
      <c r="AJ213" s="429">
        <v>2021</v>
      </c>
      <c r="AK213" s="424">
        <v>11399</v>
      </c>
      <c r="AL213" s="424">
        <v>11568</v>
      </c>
      <c r="AM213" s="430"/>
      <c r="AN213" s="431"/>
      <c r="AO213" s="432">
        <v>2024</v>
      </c>
      <c r="AP213" s="425">
        <v>11057.029999999999</v>
      </c>
      <c r="AQ213" s="433">
        <v>3</v>
      </c>
      <c r="AR213" s="425">
        <v>11220.96</v>
      </c>
      <c r="AS213" s="433">
        <v>3</v>
      </c>
      <c r="AT213" s="434"/>
      <c r="AU213" s="431"/>
      <c r="AV213" s="435"/>
      <c r="AW213" s="432">
        <v>2022</v>
      </c>
      <c r="AX213" s="425">
        <v>11916</v>
      </c>
      <c r="AY213" s="433">
        <v>-4.54</v>
      </c>
      <c r="AZ213" s="425">
        <v>10051</v>
      </c>
      <c r="BA213" s="433">
        <v>13.11</v>
      </c>
      <c r="BB213" s="434"/>
      <c r="BC213" s="431"/>
      <c r="BD213" s="435"/>
      <c r="BE213" s="432">
        <v>2023</v>
      </c>
      <c r="BF213" s="425"/>
      <c r="BG213" s="433"/>
      <c r="BH213" s="425"/>
      <c r="BI213" s="433"/>
      <c r="BJ213" s="434"/>
      <c r="BK213" s="431"/>
      <c r="BL213" s="435"/>
      <c r="BM213" s="432">
        <v>2024</v>
      </c>
      <c r="BN213" s="425"/>
      <c r="BO213" s="433"/>
      <c r="BP213" s="425"/>
      <c r="BQ213" s="433"/>
      <c r="BR213" s="434"/>
      <c r="BS213" s="431"/>
      <c r="BT213" s="435"/>
      <c r="BU213" s="1805" t="s">
        <v>676</v>
      </c>
      <c r="BV213" s="1806" t="s">
        <v>728</v>
      </c>
      <c r="BW213" s="1807" t="s">
        <v>688</v>
      </c>
      <c r="BX213" s="1808" t="s">
        <v>5092</v>
      </c>
      <c r="BY213" s="1809">
        <v>2021</v>
      </c>
      <c r="BZ213" s="424"/>
      <c r="CA213" s="424"/>
      <c r="CB213" s="430"/>
      <c r="CC213" s="431"/>
      <c r="CD213" s="432">
        <v>2024</v>
      </c>
      <c r="CE213" s="425"/>
      <c r="CF213" s="433"/>
      <c r="CG213" s="425"/>
      <c r="CH213" s="433"/>
      <c r="CI213" s="434"/>
      <c r="CJ213" s="431"/>
      <c r="CK213" s="435"/>
      <c r="CL213" s="432">
        <v>2022</v>
      </c>
      <c r="CM213" s="425">
        <v>0</v>
      </c>
      <c r="CN213" s="433"/>
      <c r="CO213" s="425">
        <v>0</v>
      </c>
      <c r="CP213" s="433"/>
      <c r="CQ213" s="434"/>
      <c r="CR213" s="431"/>
      <c r="CS213" s="435"/>
      <c r="CT213" s="432">
        <v>2023</v>
      </c>
      <c r="CU213" s="425"/>
      <c r="CV213" s="433"/>
      <c r="CW213" s="425"/>
      <c r="CX213" s="433"/>
      <c r="CY213" s="434"/>
      <c r="CZ213" s="431"/>
      <c r="DA213" s="435"/>
      <c r="DB213" s="432">
        <v>2024</v>
      </c>
      <c r="DC213" s="425"/>
      <c r="DD213" s="433"/>
      <c r="DE213" s="425"/>
      <c r="DF213" s="433"/>
      <c r="DG213" s="434"/>
      <c r="DH213" s="431"/>
      <c r="DI213" s="435"/>
      <c r="DJ213" s="1805"/>
      <c r="DK213" s="1806"/>
      <c r="DL213" s="1807"/>
      <c r="DM213" s="1808"/>
      <c r="DN213" s="1810">
        <v>0</v>
      </c>
      <c r="DO213" s="1799">
        <v>2</v>
      </c>
      <c r="DP213" s="1800">
        <v>0</v>
      </c>
      <c r="DQ213" s="1799">
        <v>0</v>
      </c>
      <c r="DR213" s="1800">
        <v>0</v>
      </c>
      <c r="DS213" s="1799">
        <v>0</v>
      </c>
    </row>
    <row r="214" spans="1:123" ht="189">
      <c r="A214" s="1801" t="s">
        <v>2076</v>
      </c>
      <c r="B214" s="1788" t="s">
        <v>2077</v>
      </c>
      <c r="C214" s="426">
        <v>2022</v>
      </c>
      <c r="D214" s="417" t="s">
        <v>681</v>
      </c>
      <c r="E214" s="1802">
        <v>1037305</v>
      </c>
      <c r="F214" s="1803" t="s">
        <v>2077</v>
      </c>
      <c r="G214" s="419">
        <v>45135</v>
      </c>
      <c r="H214" s="1790" t="s">
        <v>2078</v>
      </c>
      <c r="I214" s="1791" t="s">
        <v>2077</v>
      </c>
      <c r="J214" s="1793" t="s">
        <v>5093</v>
      </c>
      <c r="K214" s="1788" t="s">
        <v>2077</v>
      </c>
      <c r="L214" s="1791" t="s">
        <v>2079</v>
      </c>
      <c r="M214" s="1793" t="s">
        <v>2080</v>
      </c>
      <c r="N214" s="1790" t="s">
        <v>42</v>
      </c>
      <c r="O214" s="1793" t="s">
        <v>43</v>
      </c>
      <c r="P214" s="420" t="s">
        <v>683</v>
      </c>
      <c r="Q214" s="421"/>
      <c r="R214" s="421"/>
      <c r="S214" s="422"/>
      <c r="T214" s="1794"/>
      <c r="U214" s="423">
        <v>24898.212599999999</v>
      </c>
      <c r="V214" s="424">
        <v>105</v>
      </c>
      <c r="W214" s="424">
        <v>19</v>
      </c>
      <c r="X214" s="425"/>
      <c r="Y214" s="426">
        <v>2022</v>
      </c>
      <c r="Z214" s="417">
        <v>2024</v>
      </c>
      <c r="AA214" s="1804">
        <v>2022</v>
      </c>
      <c r="AB214" s="427" t="s">
        <v>5863</v>
      </c>
      <c r="AC214" s="1793" t="s">
        <v>5094</v>
      </c>
      <c r="AD214" s="428"/>
      <c r="AE214" s="1791"/>
      <c r="AF214" s="1791"/>
      <c r="AG214" s="1793"/>
      <c r="AH214" s="428"/>
      <c r="AI214" s="1793"/>
      <c r="AJ214" s="429">
        <v>2021</v>
      </c>
      <c r="AK214" s="424">
        <v>34829</v>
      </c>
      <c r="AL214" s="424">
        <v>35913</v>
      </c>
      <c r="AM214" s="430"/>
      <c r="AN214" s="431"/>
      <c r="AO214" s="432">
        <v>2024</v>
      </c>
      <c r="AP214" s="425">
        <v>34724.5</v>
      </c>
      <c r="AQ214" s="433">
        <v>0.3</v>
      </c>
      <c r="AR214" s="425">
        <v>35805.199999999997</v>
      </c>
      <c r="AS214" s="433">
        <v>0.3</v>
      </c>
      <c r="AT214" s="434"/>
      <c r="AU214" s="431"/>
      <c r="AV214" s="435"/>
      <c r="AW214" s="432">
        <v>2022</v>
      </c>
      <c r="AX214" s="425">
        <v>41348</v>
      </c>
      <c r="AY214" s="433">
        <v>-18.72</v>
      </c>
      <c r="AZ214" s="425">
        <v>28413</v>
      </c>
      <c r="BA214" s="433">
        <v>20.88</v>
      </c>
      <c r="BB214" s="434"/>
      <c r="BC214" s="431"/>
      <c r="BD214" s="435"/>
      <c r="BE214" s="432">
        <v>2023</v>
      </c>
      <c r="BF214" s="425"/>
      <c r="BG214" s="433"/>
      <c r="BH214" s="425"/>
      <c r="BI214" s="433"/>
      <c r="BJ214" s="434"/>
      <c r="BK214" s="431"/>
      <c r="BL214" s="435"/>
      <c r="BM214" s="432">
        <v>2024</v>
      </c>
      <c r="BN214" s="425"/>
      <c r="BO214" s="433"/>
      <c r="BP214" s="425"/>
      <c r="BQ214" s="433"/>
      <c r="BR214" s="434"/>
      <c r="BS214" s="431"/>
      <c r="BT214" s="435"/>
      <c r="BU214" s="1805" t="s">
        <v>676</v>
      </c>
      <c r="BV214" s="1806" t="s">
        <v>728</v>
      </c>
      <c r="BW214" s="1807" t="s">
        <v>678</v>
      </c>
      <c r="BX214" s="1808" t="s">
        <v>5095</v>
      </c>
      <c r="BY214" s="1809">
        <v>2021</v>
      </c>
      <c r="BZ214" s="424"/>
      <c r="CA214" s="424"/>
      <c r="CB214" s="430"/>
      <c r="CC214" s="431"/>
      <c r="CD214" s="432">
        <v>2024</v>
      </c>
      <c r="CE214" s="425"/>
      <c r="CF214" s="433"/>
      <c r="CG214" s="425"/>
      <c r="CH214" s="433"/>
      <c r="CI214" s="434"/>
      <c r="CJ214" s="431"/>
      <c r="CK214" s="435"/>
      <c r="CL214" s="432">
        <v>2022</v>
      </c>
      <c r="CM214" s="425">
        <v>0</v>
      </c>
      <c r="CN214" s="433"/>
      <c r="CO214" s="425">
        <v>0</v>
      </c>
      <c r="CP214" s="433"/>
      <c r="CQ214" s="434"/>
      <c r="CR214" s="431"/>
      <c r="CS214" s="435">
        <v>0</v>
      </c>
      <c r="CT214" s="432">
        <v>2023</v>
      </c>
      <c r="CU214" s="425"/>
      <c r="CV214" s="433"/>
      <c r="CW214" s="425"/>
      <c r="CX214" s="433"/>
      <c r="CY214" s="434"/>
      <c r="CZ214" s="431"/>
      <c r="DA214" s="435"/>
      <c r="DB214" s="432">
        <v>2024</v>
      </c>
      <c r="DC214" s="425"/>
      <c r="DD214" s="433"/>
      <c r="DE214" s="425"/>
      <c r="DF214" s="433"/>
      <c r="DG214" s="434"/>
      <c r="DH214" s="431"/>
      <c r="DI214" s="435"/>
      <c r="DJ214" s="1805"/>
      <c r="DK214" s="1806"/>
      <c r="DL214" s="1807"/>
      <c r="DM214" s="1808"/>
      <c r="DN214" s="1810">
        <v>0</v>
      </c>
      <c r="DO214" s="1799">
        <v>2</v>
      </c>
      <c r="DP214" s="1800">
        <v>1</v>
      </c>
      <c r="DQ214" s="1799">
        <v>4</v>
      </c>
      <c r="DR214" s="1800">
        <v>0</v>
      </c>
      <c r="DS214" s="1799">
        <v>0</v>
      </c>
    </row>
    <row r="215" spans="1:123" ht="67.5">
      <c r="A215" s="1801" t="s">
        <v>2081</v>
      </c>
      <c r="B215" s="1788" t="s">
        <v>2082</v>
      </c>
      <c r="C215" s="426">
        <v>2022</v>
      </c>
      <c r="D215" s="417" t="s">
        <v>681</v>
      </c>
      <c r="E215" s="1802">
        <v>1081306</v>
      </c>
      <c r="F215" s="1803" t="s">
        <v>2082</v>
      </c>
      <c r="G215" s="419">
        <v>45245</v>
      </c>
      <c r="H215" s="1790" t="s">
        <v>2083</v>
      </c>
      <c r="I215" s="1791" t="s">
        <v>2084</v>
      </c>
      <c r="J215" s="1793" t="s">
        <v>2085</v>
      </c>
      <c r="K215" s="1788" t="s">
        <v>2082</v>
      </c>
      <c r="L215" s="1791" t="s">
        <v>2086</v>
      </c>
      <c r="M215" s="1793" t="s">
        <v>2087</v>
      </c>
      <c r="N215" s="1790" t="s">
        <v>93</v>
      </c>
      <c r="O215" s="1793" t="s">
        <v>94</v>
      </c>
      <c r="P215" s="420" t="s">
        <v>683</v>
      </c>
      <c r="Q215" s="421"/>
      <c r="R215" s="421"/>
      <c r="S215" s="422"/>
      <c r="T215" s="1794"/>
      <c r="U215" s="423">
        <v>3687.1812</v>
      </c>
      <c r="V215" s="424">
        <v>3</v>
      </c>
      <c r="W215" s="424">
        <v>2</v>
      </c>
      <c r="X215" s="425"/>
      <c r="Y215" s="426">
        <v>2022</v>
      </c>
      <c r="Z215" s="417">
        <v>2024</v>
      </c>
      <c r="AA215" s="1804">
        <v>2022</v>
      </c>
      <c r="AB215" s="427"/>
      <c r="AC215" s="1793"/>
      <c r="AD215" s="428" t="s">
        <v>5863</v>
      </c>
      <c r="AE215" s="1791" t="s">
        <v>2088</v>
      </c>
      <c r="AF215" s="1791" t="s">
        <v>2087</v>
      </c>
      <c r="AG215" s="1793" t="s">
        <v>1071</v>
      </c>
      <c r="AH215" s="428"/>
      <c r="AI215" s="1793"/>
      <c r="AJ215" s="429">
        <v>2021</v>
      </c>
      <c r="AK215" s="424">
        <v>7044</v>
      </c>
      <c r="AL215" s="424">
        <v>6158</v>
      </c>
      <c r="AM215" s="430">
        <v>44.3</v>
      </c>
      <c r="AN215" s="431" t="s">
        <v>727</v>
      </c>
      <c r="AO215" s="432">
        <v>2024</v>
      </c>
      <c r="AP215" s="425">
        <v>6900</v>
      </c>
      <c r="AQ215" s="433">
        <v>2.04</v>
      </c>
      <c r="AR215" s="425">
        <v>6034.84</v>
      </c>
      <c r="AS215" s="433">
        <v>2</v>
      </c>
      <c r="AT215" s="434">
        <v>43.4</v>
      </c>
      <c r="AU215" s="431" t="s">
        <v>727</v>
      </c>
      <c r="AV215" s="435">
        <v>2.0299999999999998</v>
      </c>
      <c r="AW215" s="432">
        <v>2022</v>
      </c>
      <c r="AX215" s="425">
        <v>7496</v>
      </c>
      <c r="AY215" s="433">
        <v>-6.42</v>
      </c>
      <c r="AZ215" s="425">
        <v>6825</v>
      </c>
      <c r="BA215" s="433">
        <v>-10.84</v>
      </c>
      <c r="BB215" s="434">
        <v>47.144654088050316</v>
      </c>
      <c r="BC215" s="431" t="s">
        <v>727</v>
      </c>
      <c r="BD215" s="435">
        <v>-6.43</v>
      </c>
      <c r="BE215" s="432">
        <v>2023</v>
      </c>
      <c r="BF215" s="425"/>
      <c r="BG215" s="433"/>
      <c r="BH215" s="425"/>
      <c r="BI215" s="433"/>
      <c r="BJ215" s="434"/>
      <c r="BK215" s="431"/>
      <c r="BL215" s="435"/>
      <c r="BM215" s="432">
        <v>2024</v>
      </c>
      <c r="BN215" s="425"/>
      <c r="BO215" s="433"/>
      <c r="BP215" s="425"/>
      <c r="BQ215" s="433"/>
      <c r="BR215" s="434"/>
      <c r="BS215" s="431"/>
      <c r="BT215" s="435"/>
      <c r="BU215" s="1805" t="s">
        <v>676</v>
      </c>
      <c r="BV215" s="1806" t="s">
        <v>728</v>
      </c>
      <c r="BW215" s="1807" t="s">
        <v>688</v>
      </c>
      <c r="BX215" s="1808" t="s">
        <v>5096</v>
      </c>
      <c r="BY215" s="1809">
        <v>2021</v>
      </c>
      <c r="BZ215" s="424"/>
      <c r="CA215" s="424"/>
      <c r="CB215" s="430"/>
      <c r="CC215" s="431"/>
      <c r="CD215" s="432">
        <v>2024</v>
      </c>
      <c r="CE215" s="425"/>
      <c r="CF215" s="433"/>
      <c r="CG215" s="425"/>
      <c r="CH215" s="433"/>
      <c r="CI215" s="434"/>
      <c r="CJ215" s="431"/>
      <c r="CK215" s="435"/>
      <c r="CL215" s="432">
        <v>2022</v>
      </c>
      <c r="CM215" s="425">
        <v>0</v>
      </c>
      <c r="CN215" s="433"/>
      <c r="CO215" s="425">
        <v>0</v>
      </c>
      <c r="CP215" s="433"/>
      <c r="CQ215" s="434"/>
      <c r="CR215" s="431"/>
      <c r="CS215" s="435">
        <v>0</v>
      </c>
      <c r="CT215" s="432">
        <v>2023</v>
      </c>
      <c r="CU215" s="425"/>
      <c r="CV215" s="433"/>
      <c r="CW215" s="425"/>
      <c r="CX215" s="433"/>
      <c r="CY215" s="434"/>
      <c r="CZ215" s="431"/>
      <c r="DA215" s="435"/>
      <c r="DB215" s="432">
        <v>2024</v>
      </c>
      <c r="DC215" s="425"/>
      <c r="DD215" s="433"/>
      <c r="DE215" s="425"/>
      <c r="DF215" s="433"/>
      <c r="DG215" s="434"/>
      <c r="DH215" s="431"/>
      <c r="DI215" s="435"/>
      <c r="DJ215" s="1805"/>
      <c r="DK215" s="1806"/>
      <c r="DL215" s="1807"/>
      <c r="DM215" s="1808"/>
      <c r="DN215" s="1810">
        <v>0</v>
      </c>
      <c r="DO215" s="1799">
        <v>0</v>
      </c>
      <c r="DP215" s="1800">
        <v>0</v>
      </c>
      <c r="DQ215" s="1799">
        <v>0</v>
      </c>
      <c r="DR215" s="1800">
        <v>0</v>
      </c>
      <c r="DS215" s="1799">
        <v>0</v>
      </c>
    </row>
    <row r="216" spans="1:123" ht="135">
      <c r="A216" s="1801" t="s">
        <v>2089</v>
      </c>
      <c r="B216" s="1788" t="s">
        <v>2090</v>
      </c>
      <c r="C216" s="426">
        <v>2022</v>
      </c>
      <c r="D216" s="417" t="s">
        <v>681</v>
      </c>
      <c r="E216" s="1802">
        <v>1017307</v>
      </c>
      <c r="F216" s="1803" t="s">
        <v>2090</v>
      </c>
      <c r="G216" s="419">
        <v>45128</v>
      </c>
      <c r="H216" s="1790" t="s">
        <v>2091</v>
      </c>
      <c r="I216" s="1791" t="s">
        <v>2090</v>
      </c>
      <c r="J216" s="1793" t="s">
        <v>2092</v>
      </c>
      <c r="K216" s="1788" t="s">
        <v>2090</v>
      </c>
      <c r="L216" s="1791" t="s">
        <v>5097</v>
      </c>
      <c r="M216" s="1793" t="s">
        <v>2091</v>
      </c>
      <c r="N216" s="1790" t="s">
        <v>12</v>
      </c>
      <c r="O216" s="1793" t="s">
        <v>21</v>
      </c>
      <c r="P216" s="420" t="s">
        <v>683</v>
      </c>
      <c r="Q216" s="421"/>
      <c r="R216" s="421"/>
      <c r="S216" s="422"/>
      <c r="T216" s="1794"/>
      <c r="U216" s="423">
        <v>1890.4692</v>
      </c>
      <c r="V216" s="424">
        <v>1</v>
      </c>
      <c r="W216" s="424">
        <v>1</v>
      </c>
      <c r="X216" s="425"/>
      <c r="Y216" s="426">
        <v>2022</v>
      </c>
      <c r="Z216" s="417">
        <v>2024</v>
      </c>
      <c r="AA216" s="1804">
        <v>2022</v>
      </c>
      <c r="AB216" s="427"/>
      <c r="AC216" s="1793"/>
      <c r="AD216" s="428" t="s">
        <v>5863</v>
      </c>
      <c r="AE216" s="1791" t="s">
        <v>2093</v>
      </c>
      <c r="AF216" s="1791" t="s">
        <v>2094</v>
      </c>
      <c r="AG216" s="1793" t="s">
        <v>2095</v>
      </c>
      <c r="AH216" s="428"/>
      <c r="AI216" s="1793"/>
      <c r="AJ216" s="429">
        <v>2021</v>
      </c>
      <c r="AK216" s="424">
        <v>3642</v>
      </c>
      <c r="AL216" s="424">
        <v>3679</v>
      </c>
      <c r="AM216" s="430"/>
      <c r="AN216" s="431"/>
      <c r="AO216" s="432">
        <v>2024</v>
      </c>
      <c r="AP216" s="425">
        <v>3423.48</v>
      </c>
      <c r="AQ216" s="433">
        <v>6</v>
      </c>
      <c r="AR216" s="425">
        <v>3458.26</v>
      </c>
      <c r="AS216" s="433">
        <v>5.99</v>
      </c>
      <c r="AT216" s="434"/>
      <c r="AU216" s="431"/>
      <c r="AV216" s="435"/>
      <c r="AW216" s="432">
        <v>2022</v>
      </c>
      <c r="AX216" s="425">
        <v>3509</v>
      </c>
      <c r="AY216" s="433">
        <v>3.65</v>
      </c>
      <c r="AZ216" s="425">
        <v>3596</v>
      </c>
      <c r="BA216" s="433">
        <v>2.25</v>
      </c>
      <c r="BB216" s="434"/>
      <c r="BC216" s="431"/>
      <c r="BD216" s="435"/>
      <c r="BE216" s="432">
        <v>2023</v>
      </c>
      <c r="BF216" s="425"/>
      <c r="BG216" s="433"/>
      <c r="BH216" s="425"/>
      <c r="BI216" s="433"/>
      <c r="BJ216" s="434"/>
      <c r="BK216" s="431"/>
      <c r="BL216" s="435"/>
      <c r="BM216" s="432">
        <v>2024</v>
      </c>
      <c r="BN216" s="425"/>
      <c r="BO216" s="433"/>
      <c r="BP216" s="425"/>
      <c r="BQ216" s="433"/>
      <c r="BR216" s="434"/>
      <c r="BS216" s="431"/>
      <c r="BT216" s="435"/>
      <c r="BU216" s="1805" t="s">
        <v>719</v>
      </c>
      <c r="BV216" s="1806" t="s">
        <v>728</v>
      </c>
      <c r="BW216" s="1807" t="s">
        <v>688</v>
      </c>
      <c r="BX216" s="1808" t="s">
        <v>5098</v>
      </c>
      <c r="BY216" s="1809">
        <v>2021</v>
      </c>
      <c r="BZ216" s="424"/>
      <c r="CA216" s="424"/>
      <c r="CB216" s="430"/>
      <c r="CC216" s="431"/>
      <c r="CD216" s="432">
        <v>2024</v>
      </c>
      <c r="CE216" s="425"/>
      <c r="CF216" s="433"/>
      <c r="CG216" s="425"/>
      <c r="CH216" s="433"/>
      <c r="CI216" s="434"/>
      <c r="CJ216" s="431"/>
      <c r="CK216" s="435"/>
      <c r="CL216" s="432">
        <v>2022</v>
      </c>
      <c r="CM216" s="425">
        <v>0</v>
      </c>
      <c r="CN216" s="433"/>
      <c r="CO216" s="425">
        <v>0</v>
      </c>
      <c r="CP216" s="433"/>
      <c r="CQ216" s="434"/>
      <c r="CR216" s="431"/>
      <c r="CS216" s="435">
        <v>0</v>
      </c>
      <c r="CT216" s="432">
        <v>2023</v>
      </c>
      <c r="CU216" s="425"/>
      <c r="CV216" s="433"/>
      <c r="CW216" s="425"/>
      <c r="CX216" s="433"/>
      <c r="CY216" s="434"/>
      <c r="CZ216" s="431"/>
      <c r="DA216" s="435"/>
      <c r="DB216" s="432">
        <v>2024</v>
      </c>
      <c r="DC216" s="425"/>
      <c r="DD216" s="433"/>
      <c r="DE216" s="425"/>
      <c r="DF216" s="433"/>
      <c r="DG216" s="434"/>
      <c r="DH216" s="431"/>
      <c r="DI216" s="435"/>
      <c r="DJ216" s="1805"/>
      <c r="DK216" s="1806"/>
      <c r="DL216" s="1807"/>
      <c r="DM216" s="1808"/>
      <c r="DN216" s="1810">
        <v>0</v>
      </c>
      <c r="DO216" s="1799">
        <v>0</v>
      </c>
      <c r="DP216" s="1800">
        <v>0</v>
      </c>
      <c r="DQ216" s="1799">
        <v>0</v>
      </c>
      <c r="DR216" s="1800">
        <v>0</v>
      </c>
      <c r="DS216" s="1799">
        <v>0</v>
      </c>
    </row>
    <row r="217" spans="1:123" ht="54">
      <c r="A217" s="1801" t="s">
        <v>2096</v>
      </c>
      <c r="B217" s="1788" t="s">
        <v>2097</v>
      </c>
      <c r="C217" s="426">
        <v>2022</v>
      </c>
      <c r="D217" s="417" t="s">
        <v>681</v>
      </c>
      <c r="E217" s="1802">
        <v>1097310</v>
      </c>
      <c r="F217" s="1803" t="s">
        <v>2097</v>
      </c>
      <c r="G217" s="419">
        <v>45138</v>
      </c>
      <c r="H217" s="1790" t="s">
        <v>2098</v>
      </c>
      <c r="I217" s="1791" t="s">
        <v>2097</v>
      </c>
      <c r="J217" s="1793" t="s">
        <v>2099</v>
      </c>
      <c r="K217" s="1788" t="s">
        <v>2097</v>
      </c>
      <c r="L217" s="1791" t="s">
        <v>2099</v>
      </c>
      <c r="M217" s="1793" t="s">
        <v>2098</v>
      </c>
      <c r="N217" s="1790" t="s">
        <v>112</v>
      </c>
      <c r="O217" s="1793" t="s">
        <v>113</v>
      </c>
      <c r="P217" s="420" t="s">
        <v>683</v>
      </c>
      <c r="Q217" s="421"/>
      <c r="R217" s="421"/>
      <c r="S217" s="422"/>
      <c r="T217" s="1794"/>
      <c r="U217" s="423">
        <v>2881.3697999999999</v>
      </c>
      <c r="V217" s="424">
        <v>19</v>
      </c>
      <c r="W217" s="424">
        <v>1</v>
      </c>
      <c r="X217" s="425"/>
      <c r="Y217" s="426">
        <v>2022</v>
      </c>
      <c r="Z217" s="417">
        <v>2024</v>
      </c>
      <c r="AA217" s="1804">
        <v>2022</v>
      </c>
      <c r="AB217" s="427" t="s">
        <v>5863</v>
      </c>
      <c r="AC217" s="1793" t="s">
        <v>5099</v>
      </c>
      <c r="AD217" s="428"/>
      <c r="AE217" s="1791"/>
      <c r="AF217" s="1791"/>
      <c r="AG217" s="1793"/>
      <c r="AH217" s="428"/>
      <c r="AI217" s="1793"/>
      <c r="AJ217" s="429">
        <v>2021</v>
      </c>
      <c r="AK217" s="424">
        <v>5238</v>
      </c>
      <c r="AL217" s="424">
        <v>5225</v>
      </c>
      <c r="AM217" s="430"/>
      <c r="AN217" s="431"/>
      <c r="AO217" s="432">
        <v>2024</v>
      </c>
      <c r="AP217" s="425">
        <v>4306</v>
      </c>
      <c r="AQ217" s="433">
        <v>17.79</v>
      </c>
      <c r="AR217" s="425">
        <v>4327</v>
      </c>
      <c r="AS217" s="433">
        <v>17.18</v>
      </c>
      <c r="AT217" s="434"/>
      <c r="AU217" s="431"/>
      <c r="AV217" s="435"/>
      <c r="AW217" s="432">
        <v>2022</v>
      </c>
      <c r="AX217" s="425">
        <v>4321</v>
      </c>
      <c r="AY217" s="433">
        <v>17.5</v>
      </c>
      <c r="AZ217" s="425">
        <v>4606</v>
      </c>
      <c r="BA217" s="433">
        <v>11.84</v>
      </c>
      <c r="BB217" s="434"/>
      <c r="BC217" s="431"/>
      <c r="BD217" s="435"/>
      <c r="BE217" s="432">
        <v>2023</v>
      </c>
      <c r="BF217" s="425"/>
      <c r="BG217" s="433"/>
      <c r="BH217" s="425"/>
      <c r="BI217" s="433"/>
      <c r="BJ217" s="434"/>
      <c r="BK217" s="431"/>
      <c r="BL217" s="435"/>
      <c r="BM217" s="432">
        <v>2024</v>
      </c>
      <c r="BN217" s="425"/>
      <c r="BO217" s="433"/>
      <c r="BP217" s="425"/>
      <c r="BQ217" s="433"/>
      <c r="BR217" s="434"/>
      <c r="BS217" s="431"/>
      <c r="BT217" s="435"/>
      <c r="BU217" s="1805" t="s">
        <v>719</v>
      </c>
      <c r="BV217" s="1806" t="s">
        <v>728</v>
      </c>
      <c r="BW217" s="1807" t="s">
        <v>688</v>
      </c>
      <c r="BX217" s="1808" t="s">
        <v>5100</v>
      </c>
      <c r="BY217" s="1809">
        <v>2021</v>
      </c>
      <c r="BZ217" s="424"/>
      <c r="CA217" s="424"/>
      <c r="CB217" s="430"/>
      <c r="CC217" s="431"/>
      <c r="CD217" s="432">
        <v>2024</v>
      </c>
      <c r="CE217" s="425"/>
      <c r="CF217" s="433"/>
      <c r="CG217" s="425"/>
      <c r="CH217" s="433"/>
      <c r="CI217" s="434"/>
      <c r="CJ217" s="431"/>
      <c r="CK217" s="435"/>
      <c r="CL217" s="432">
        <v>2022</v>
      </c>
      <c r="CM217" s="425">
        <v>0</v>
      </c>
      <c r="CN217" s="433"/>
      <c r="CO217" s="425">
        <v>0</v>
      </c>
      <c r="CP217" s="433"/>
      <c r="CQ217" s="434"/>
      <c r="CR217" s="431"/>
      <c r="CS217" s="435"/>
      <c r="CT217" s="432">
        <v>2023</v>
      </c>
      <c r="CU217" s="425"/>
      <c r="CV217" s="433"/>
      <c r="CW217" s="425"/>
      <c r="CX217" s="433"/>
      <c r="CY217" s="434"/>
      <c r="CZ217" s="431"/>
      <c r="DA217" s="435"/>
      <c r="DB217" s="432">
        <v>2024</v>
      </c>
      <c r="DC217" s="425"/>
      <c r="DD217" s="433"/>
      <c r="DE217" s="425"/>
      <c r="DF217" s="433"/>
      <c r="DG217" s="434"/>
      <c r="DH217" s="431"/>
      <c r="DI217" s="435"/>
      <c r="DJ217" s="1805"/>
      <c r="DK217" s="1806"/>
      <c r="DL217" s="1807"/>
      <c r="DM217" s="1808"/>
      <c r="DN217" s="1810">
        <v>0</v>
      </c>
      <c r="DO217" s="1799">
        <v>0</v>
      </c>
      <c r="DP217" s="1800">
        <v>0</v>
      </c>
      <c r="DQ217" s="1799">
        <v>0</v>
      </c>
      <c r="DR217" s="1800">
        <v>0</v>
      </c>
      <c r="DS217" s="1799">
        <v>0</v>
      </c>
    </row>
    <row r="218" spans="1:123" ht="94.5">
      <c r="A218" s="1801" t="s">
        <v>2100</v>
      </c>
      <c r="B218" s="1788" t="s">
        <v>2101</v>
      </c>
      <c r="C218" s="426">
        <v>2022</v>
      </c>
      <c r="D218" s="417" t="s">
        <v>681</v>
      </c>
      <c r="E218" s="1802">
        <v>1097311</v>
      </c>
      <c r="F218" s="1803" t="s">
        <v>2101</v>
      </c>
      <c r="G218" s="419">
        <v>45132</v>
      </c>
      <c r="H218" s="1790" t="s">
        <v>2102</v>
      </c>
      <c r="I218" s="1791" t="s">
        <v>2101</v>
      </c>
      <c r="J218" s="1793" t="s">
        <v>5101</v>
      </c>
      <c r="K218" s="1788" t="s">
        <v>2101</v>
      </c>
      <c r="L218" s="1791" t="s">
        <v>5101</v>
      </c>
      <c r="M218" s="1793" t="s">
        <v>2102</v>
      </c>
      <c r="N218" s="1790" t="s">
        <v>112</v>
      </c>
      <c r="O218" s="1793" t="s">
        <v>113</v>
      </c>
      <c r="P218" s="420" t="s">
        <v>683</v>
      </c>
      <c r="Q218" s="421"/>
      <c r="R218" s="421"/>
      <c r="S218" s="422"/>
      <c r="T218" s="1794"/>
      <c r="U218" s="423">
        <v>2375.1221999999998</v>
      </c>
      <c r="V218" s="424">
        <v>18</v>
      </c>
      <c r="W218" s="424">
        <v>1</v>
      </c>
      <c r="X218" s="425"/>
      <c r="Y218" s="426">
        <v>2022</v>
      </c>
      <c r="Z218" s="417">
        <v>2024</v>
      </c>
      <c r="AA218" s="1804">
        <v>2022</v>
      </c>
      <c r="AB218" s="427"/>
      <c r="AC218" s="1793"/>
      <c r="AD218" s="428" t="s">
        <v>5863</v>
      </c>
      <c r="AE218" s="1791" t="s">
        <v>2103</v>
      </c>
      <c r="AF218" s="1791" t="s">
        <v>2102</v>
      </c>
      <c r="AG218" s="1793" t="s">
        <v>2104</v>
      </c>
      <c r="AH218" s="428"/>
      <c r="AI218" s="1793"/>
      <c r="AJ218" s="429">
        <v>2021</v>
      </c>
      <c r="AK218" s="424">
        <v>4715</v>
      </c>
      <c r="AL218" s="424">
        <v>4624</v>
      </c>
      <c r="AM218" s="430">
        <v>46.93</v>
      </c>
      <c r="AN218" s="431" t="s">
        <v>727</v>
      </c>
      <c r="AO218" s="432">
        <v>2024</v>
      </c>
      <c r="AP218" s="425">
        <v>4574</v>
      </c>
      <c r="AQ218" s="433">
        <v>2.99</v>
      </c>
      <c r="AR218" s="425">
        <v>4485</v>
      </c>
      <c r="AS218" s="433">
        <v>3</v>
      </c>
      <c r="AT218" s="434">
        <v>45.52</v>
      </c>
      <c r="AU218" s="431" t="s">
        <v>727</v>
      </c>
      <c r="AV218" s="435">
        <v>3</v>
      </c>
      <c r="AW218" s="432">
        <v>2022</v>
      </c>
      <c r="AX218" s="425">
        <v>4630</v>
      </c>
      <c r="AY218" s="433">
        <v>1.8</v>
      </c>
      <c r="AZ218" s="425">
        <v>4726</v>
      </c>
      <c r="BA218" s="433">
        <v>-2.21</v>
      </c>
      <c r="BB218" s="434">
        <v>46.097172441258465</v>
      </c>
      <c r="BC218" s="431" t="s">
        <v>727</v>
      </c>
      <c r="BD218" s="435">
        <v>1.77</v>
      </c>
      <c r="BE218" s="432">
        <v>2023</v>
      </c>
      <c r="BF218" s="425"/>
      <c r="BG218" s="433"/>
      <c r="BH218" s="425"/>
      <c r="BI218" s="433"/>
      <c r="BJ218" s="434"/>
      <c r="BK218" s="431"/>
      <c r="BL218" s="435"/>
      <c r="BM218" s="432">
        <v>2024</v>
      </c>
      <c r="BN218" s="425"/>
      <c r="BO218" s="433"/>
      <c r="BP218" s="425"/>
      <c r="BQ218" s="433"/>
      <c r="BR218" s="434"/>
      <c r="BS218" s="431"/>
      <c r="BT218" s="435"/>
      <c r="BU218" s="1805" t="s">
        <v>719</v>
      </c>
      <c r="BV218" s="1806" t="s">
        <v>728</v>
      </c>
      <c r="BW218" s="1807" t="s">
        <v>688</v>
      </c>
      <c r="BX218" s="1808" t="s">
        <v>5102</v>
      </c>
      <c r="BY218" s="1809">
        <v>2021</v>
      </c>
      <c r="BZ218" s="424"/>
      <c r="CA218" s="424"/>
      <c r="CB218" s="430"/>
      <c r="CC218" s="431"/>
      <c r="CD218" s="432">
        <v>2024</v>
      </c>
      <c r="CE218" s="425"/>
      <c r="CF218" s="433"/>
      <c r="CG218" s="425"/>
      <c r="CH218" s="433"/>
      <c r="CI218" s="434"/>
      <c r="CJ218" s="431"/>
      <c r="CK218" s="435"/>
      <c r="CL218" s="432">
        <v>2022</v>
      </c>
      <c r="CM218" s="425">
        <v>0</v>
      </c>
      <c r="CN218" s="433"/>
      <c r="CO218" s="425">
        <v>0</v>
      </c>
      <c r="CP218" s="433"/>
      <c r="CQ218" s="434"/>
      <c r="CR218" s="431"/>
      <c r="CS218" s="435">
        <v>0</v>
      </c>
      <c r="CT218" s="432">
        <v>2023</v>
      </c>
      <c r="CU218" s="425"/>
      <c r="CV218" s="433"/>
      <c r="CW218" s="425"/>
      <c r="CX218" s="433"/>
      <c r="CY218" s="434"/>
      <c r="CZ218" s="431"/>
      <c r="DA218" s="435"/>
      <c r="DB218" s="432">
        <v>2024</v>
      </c>
      <c r="DC218" s="425"/>
      <c r="DD218" s="433"/>
      <c r="DE218" s="425"/>
      <c r="DF218" s="433"/>
      <c r="DG218" s="434"/>
      <c r="DH218" s="431"/>
      <c r="DI218" s="435"/>
      <c r="DJ218" s="1805"/>
      <c r="DK218" s="1806"/>
      <c r="DL218" s="1807"/>
      <c r="DM218" s="1808"/>
      <c r="DN218" s="1810">
        <v>0</v>
      </c>
      <c r="DO218" s="1799">
        <v>0</v>
      </c>
      <c r="DP218" s="1800">
        <v>5</v>
      </c>
      <c r="DQ218" s="1799">
        <v>5</v>
      </c>
      <c r="DR218" s="1800">
        <v>0</v>
      </c>
      <c r="DS218" s="1799">
        <v>0</v>
      </c>
    </row>
    <row r="219" spans="1:123" ht="67.5">
      <c r="A219" s="1801" t="s">
        <v>2105</v>
      </c>
      <c r="B219" s="1788" t="s">
        <v>2106</v>
      </c>
      <c r="C219" s="426">
        <v>2022</v>
      </c>
      <c r="D219" s="417" t="s">
        <v>681</v>
      </c>
      <c r="E219" s="1802">
        <v>1056313</v>
      </c>
      <c r="F219" s="1803" t="s">
        <v>2106</v>
      </c>
      <c r="G219" s="419">
        <v>45132</v>
      </c>
      <c r="H219" s="1790" t="s">
        <v>2107</v>
      </c>
      <c r="I219" s="1791" t="s">
        <v>2106</v>
      </c>
      <c r="J219" s="1793" t="s">
        <v>2108</v>
      </c>
      <c r="K219" s="1788" t="s">
        <v>2106</v>
      </c>
      <c r="L219" s="1791" t="s">
        <v>2108</v>
      </c>
      <c r="M219" s="1793" t="s">
        <v>2107</v>
      </c>
      <c r="N219" s="1790" t="s">
        <v>57</v>
      </c>
      <c r="O219" s="1793" t="s">
        <v>64</v>
      </c>
      <c r="P219" s="420" t="s">
        <v>683</v>
      </c>
      <c r="Q219" s="421"/>
      <c r="R219" s="421"/>
      <c r="S219" s="422"/>
      <c r="T219" s="1794"/>
      <c r="U219" s="423">
        <v>3171.3101999999999</v>
      </c>
      <c r="V219" s="424">
        <v>44</v>
      </c>
      <c r="W219" s="424">
        <v>0</v>
      </c>
      <c r="X219" s="425"/>
      <c r="Y219" s="426">
        <v>2022</v>
      </c>
      <c r="Z219" s="417">
        <v>2024</v>
      </c>
      <c r="AA219" s="1804">
        <v>2022</v>
      </c>
      <c r="AB219" s="427"/>
      <c r="AC219" s="1793"/>
      <c r="AD219" s="428" t="s">
        <v>5863</v>
      </c>
      <c r="AE219" s="1791" t="s">
        <v>2109</v>
      </c>
      <c r="AF219" s="1791" t="s">
        <v>2107</v>
      </c>
      <c r="AG219" s="1793" t="s">
        <v>2110</v>
      </c>
      <c r="AH219" s="428"/>
      <c r="AI219" s="1793"/>
      <c r="AJ219" s="429">
        <v>2021</v>
      </c>
      <c r="AK219" s="424">
        <v>5284</v>
      </c>
      <c r="AL219" s="424">
        <v>5245</v>
      </c>
      <c r="AM219" s="430">
        <v>296.61</v>
      </c>
      <c r="AN219" s="431" t="s">
        <v>864</v>
      </c>
      <c r="AO219" s="432">
        <v>2024</v>
      </c>
      <c r="AP219" s="425">
        <v>5125.4799999999996</v>
      </c>
      <c r="AQ219" s="433">
        <v>3</v>
      </c>
      <c r="AR219" s="425">
        <v>5087.6499999999996</v>
      </c>
      <c r="AS219" s="433">
        <v>3</v>
      </c>
      <c r="AT219" s="434">
        <v>287.71170000000001</v>
      </c>
      <c r="AU219" s="431" t="s">
        <v>864</v>
      </c>
      <c r="AV219" s="435">
        <v>3</v>
      </c>
      <c r="AW219" s="432">
        <v>2022</v>
      </c>
      <c r="AX219" s="425">
        <v>5783</v>
      </c>
      <c r="AY219" s="433">
        <v>-9.4499999999999993</v>
      </c>
      <c r="AZ219" s="425">
        <v>5749</v>
      </c>
      <c r="BA219" s="433">
        <v>-9.61</v>
      </c>
      <c r="BB219" s="434">
        <v>307.62894389530055</v>
      </c>
      <c r="BC219" s="431" t="s">
        <v>864</v>
      </c>
      <c r="BD219" s="435">
        <v>-3.72</v>
      </c>
      <c r="BE219" s="432">
        <v>2023</v>
      </c>
      <c r="BF219" s="425"/>
      <c r="BG219" s="433"/>
      <c r="BH219" s="425"/>
      <c r="BI219" s="433"/>
      <c r="BJ219" s="434"/>
      <c r="BK219" s="431"/>
      <c r="BL219" s="435"/>
      <c r="BM219" s="432">
        <v>2024</v>
      </c>
      <c r="BN219" s="425"/>
      <c r="BO219" s="433"/>
      <c r="BP219" s="425"/>
      <c r="BQ219" s="433"/>
      <c r="BR219" s="434"/>
      <c r="BS219" s="431"/>
      <c r="BT219" s="435"/>
      <c r="BU219" s="1805" t="s">
        <v>676</v>
      </c>
      <c r="BV219" s="1806" t="s">
        <v>728</v>
      </c>
      <c r="BW219" s="1807" t="s">
        <v>678</v>
      </c>
      <c r="BX219" s="1808" t="s">
        <v>5103</v>
      </c>
      <c r="BY219" s="1809">
        <v>2021</v>
      </c>
      <c r="BZ219" s="424"/>
      <c r="CA219" s="424"/>
      <c r="CB219" s="430"/>
      <c r="CC219" s="431"/>
      <c r="CD219" s="432">
        <v>2024</v>
      </c>
      <c r="CE219" s="425"/>
      <c r="CF219" s="433"/>
      <c r="CG219" s="425"/>
      <c r="CH219" s="433"/>
      <c r="CI219" s="434"/>
      <c r="CJ219" s="431"/>
      <c r="CK219" s="435"/>
      <c r="CL219" s="432">
        <v>2022</v>
      </c>
      <c r="CM219" s="425">
        <v>0</v>
      </c>
      <c r="CN219" s="433"/>
      <c r="CO219" s="425">
        <v>0</v>
      </c>
      <c r="CP219" s="433"/>
      <c r="CQ219" s="434"/>
      <c r="CR219" s="431"/>
      <c r="CS219" s="435">
        <v>0</v>
      </c>
      <c r="CT219" s="432">
        <v>2023</v>
      </c>
      <c r="CU219" s="425"/>
      <c r="CV219" s="433"/>
      <c r="CW219" s="425"/>
      <c r="CX219" s="433"/>
      <c r="CY219" s="434"/>
      <c r="CZ219" s="431"/>
      <c r="DA219" s="435"/>
      <c r="DB219" s="432">
        <v>2024</v>
      </c>
      <c r="DC219" s="425"/>
      <c r="DD219" s="433"/>
      <c r="DE219" s="425"/>
      <c r="DF219" s="433"/>
      <c r="DG219" s="434"/>
      <c r="DH219" s="431"/>
      <c r="DI219" s="435"/>
      <c r="DJ219" s="1805"/>
      <c r="DK219" s="1806"/>
      <c r="DL219" s="1807"/>
      <c r="DM219" s="1808"/>
      <c r="DN219" s="1810">
        <v>0</v>
      </c>
      <c r="DO219" s="1799">
        <v>0</v>
      </c>
      <c r="DP219" s="1800">
        <v>0</v>
      </c>
      <c r="DQ219" s="1799">
        <v>0</v>
      </c>
      <c r="DR219" s="1800">
        <v>0</v>
      </c>
      <c r="DS219" s="1799">
        <v>0</v>
      </c>
    </row>
    <row r="220" spans="1:123" ht="54">
      <c r="A220" s="1801" t="s">
        <v>2111</v>
      </c>
      <c r="B220" s="1788" t="s">
        <v>2112</v>
      </c>
      <c r="C220" s="426">
        <v>2020</v>
      </c>
      <c r="D220" s="417" t="s">
        <v>681</v>
      </c>
      <c r="E220" s="1802">
        <v>1033315</v>
      </c>
      <c r="F220" s="1803" t="s">
        <v>2112</v>
      </c>
      <c r="G220" s="419">
        <v>45133</v>
      </c>
      <c r="H220" s="1790" t="s">
        <v>2113</v>
      </c>
      <c r="I220" s="1791" t="s">
        <v>2112</v>
      </c>
      <c r="J220" s="1793" t="s">
        <v>2114</v>
      </c>
      <c r="K220" s="1788" t="s">
        <v>2112</v>
      </c>
      <c r="L220" s="1791" t="s">
        <v>2114</v>
      </c>
      <c r="M220" s="1793" t="s">
        <v>2113</v>
      </c>
      <c r="N220" s="1790" t="s">
        <v>37</v>
      </c>
      <c r="O220" s="1793" t="s">
        <v>38</v>
      </c>
      <c r="P220" s="420" t="s">
        <v>683</v>
      </c>
      <c r="Q220" s="421"/>
      <c r="R220" s="421"/>
      <c r="S220" s="422"/>
      <c r="T220" s="1794"/>
      <c r="U220" s="423">
        <v>1308603.219</v>
      </c>
      <c r="V220" s="424">
        <v>1</v>
      </c>
      <c r="W220" s="424">
        <v>1</v>
      </c>
      <c r="X220" s="425"/>
      <c r="Y220" s="426">
        <v>2020</v>
      </c>
      <c r="Z220" s="417">
        <v>2022</v>
      </c>
      <c r="AA220" s="1804">
        <v>2022</v>
      </c>
      <c r="AB220" s="427"/>
      <c r="AC220" s="1793"/>
      <c r="AD220" s="428" t="s">
        <v>5863</v>
      </c>
      <c r="AE220" s="1791" t="s">
        <v>2112</v>
      </c>
      <c r="AF220" s="1791" t="s">
        <v>2115</v>
      </c>
      <c r="AG220" s="1793" t="s">
        <v>2116</v>
      </c>
      <c r="AH220" s="428"/>
      <c r="AI220" s="1793"/>
      <c r="AJ220" s="429">
        <v>2019</v>
      </c>
      <c r="AK220" s="424">
        <v>72941</v>
      </c>
      <c r="AL220" s="424">
        <v>72941</v>
      </c>
      <c r="AM220" s="430">
        <v>9.2100000000000009</v>
      </c>
      <c r="AN220" s="431" t="s">
        <v>2117</v>
      </c>
      <c r="AO220" s="432">
        <v>2022</v>
      </c>
      <c r="AP220" s="425">
        <v>73670</v>
      </c>
      <c r="AQ220" s="433">
        <v>-1</v>
      </c>
      <c r="AR220" s="425">
        <v>73670</v>
      </c>
      <c r="AS220" s="433">
        <v>-1</v>
      </c>
      <c r="AT220" s="434">
        <v>9.3000000000000007</v>
      </c>
      <c r="AU220" s="431" t="s">
        <v>2117</v>
      </c>
      <c r="AV220" s="435">
        <v>-1.02</v>
      </c>
      <c r="AW220" s="432">
        <v>2020</v>
      </c>
      <c r="AX220" s="425">
        <v>72271</v>
      </c>
      <c r="AY220" s="433">
        <v>0.91</v>
      </c>
      <c r="AZ220" s="425">
        <v>72271</v>
      </c>
      <c r="BA220" s="433">
        <v>0.91</v>
      </c>
      <c r="BB220" s="434">
        <v>9.19</v>
      </c>
      <c r="BC220" s="431" t="s">
        <v>2117</v>
      </c>
      <c r="BD220" s="435">
        <v>0.21</v>
      </c>
      <c r="BE220" s="432">
        <v>2021</v>
      </c>
      <c r="BF220" s="425">
        <v>66952</v>
      </c>
      <c r="BG220" s="433">
        <v>8.2100000000000009</v>
      </c>
      <c r="BH220" s="425">
        <v>66952</v>
      </c>
      <c r="BI220" s="433">
        <v>8.2100000000000009</v>
      </c>
      <c r="BJ220" s="434">
        <v>9.52</v>
      </c>
      <c r="BK220" s="431" t="s">
        <v>2117</v>
      </c>
      <c r="BL220" s="435">
        <v>-3.37</v>
      </c>
      <c r="BM220" s="432">
        <v>2022</v>
      </c>
      <c r="BN220" s="425">
        <v>68976</v>
      </c>
      <c r="BO220" s="433">
        <v>5.43</v>
      </c>
      <c r="BP220" s="425">
        <v>68976</v>
      </c>
      <c r="BQ220" s="433">
        <v>5.43</v>
      </c>
      <c r="BR220" s="434">
        <v>9.2956332800436332</v>
      </c>
      <c r="BS220" s="431" t="s">
        <v>2117</v>
      </c>
      <c r="BT220" s="435">
        <v>-0.93</v>
      </c>
      <c r="BU220" s="1805" t="s">
        <v>719</v>
      </c>
      <c r="BV220" s="1806" t="s">
        <v>728</v>
      </c>
      <c r="BW220" s="1807" t="s">
        <v>697</v>
      </c>
      <c r="BX220" s="1808" t="s">
        <v>5104</v>
      </c>
      <c r="BY220" s="1809">
        <v>2019</v>
      </c>
      <c r="BZ220" s="424"/>
      <c r="CA220" s="424"/>
      <c r="CB220" s="430"/>
      <c r="CC220" s="431"/>
      <c r="CD220" s="432">
        <v>2022</v>
      </c>
      <c r="CE220" s="425"/>
      <c r="CF220" s="433"/>
      <c r="CG220" s="425"/>
      <c r="CH220" s="433"/>
      <c r="CI220" s="434"/>
      <c r="CJ220" s="431"/>
      <c r="CK220" s="435"/>
      <c r="CL220" s="432">
        <v>2020</v>
      </c>
      <c r="CM220" s="425"/>
      <c r="CN220" s="433"/>
      <c r="CO220" s="425"/>
      <c r="CP220" s="433"/>
      <c r="CQ220" s="434"/>
      <c r="CR220" s="431"/>
      <c r="CS220" s="435"/>
      <c r="CT220" s="432">
        <v>2021</v>
      </c>
      <c r="CU220" s="425"/>
      <c r="CV220" s="433"/>
      <c r="CW220" s="425"/>
      <c r="CX220" s="433"/>
      <c r="CY220" s="434"/>
      <c r="CZ220" s="431"/>
      <c r="DA220" s="435"/>
      <c r="DB220" s="432">
        <v>2022</v>
      </c>
      <c r="DC220" s="425">
        <v>0</v>
      </c>
      <c r="DD220" s="433"/>
      <c r="DE220" s="425">
        <v>0</v>
      </c>
      <c r="DF220" s="433"/>
      <c r="DG220" s="434"/>
      <c r="DH220" s="431"/>
      <c r="DI220" s="435">
        <v>0</v>
      </c>
      <c r="DJ220" s="1805"/>
      <c r="DK220" s="1806"/>
      <c r="DL220" s="1807"/>
      <c r="DM220" s="1808"/>
      <c r="DN220" s="1810">
        <v>0</v>
      </c>
      <c r="DO220" s="1799">
        <v>0</v>
      </c>
      <c r="DP220" s="1800">
        <v>0</v>
      </c>
      <c r="DQ220" s="1799">
        <v>0</v>
      </c>
      <c r="DR220" s="1800">
        <v>0</v>
      </c>
      <c r="DS220" s="1799">
        <v>0</v>
      </c>
    </row>
    <row r="221" spans="1:123" ht="67.5">
      <c r="A221" s="1801" t="s">
        <v>2118</v>
      </c>
      <c r="B221" s="1788" t="s">
        <v>2119</v>
      </c>
      <c r="C221" s="426">
        <v>2020</v>
      </c>
      <c r="D221" s="417" t="s">
        <v>681</v>
      </c>
      <c r="E221" s="1802">
        <v>1027318</v>
      </c>
      <c r="F221" s="1803" t="s">
        <v>2119</v>
      </c>
      <c r="G221" s="419">
        <v>45134</v>
      </c>
      <c r="H221" s="1790" t="s">
        <v>2120</v>
      </c>
      <c r="I221" s="1791" t="s">
        <v>2119</v>
      </c>
      <c r="J221" s="1793" t="s">
        <v>2121</v>
      </c>
      <c r="K221" s="1788" t="s">
        <v>2119</v>
      </c>
      <c r="L221" s="1791" t="s">
        <v>2121</v>
      </c>
      <c r="M221" s="1793" t="s">
        <v>2120</v>
      </c>
      <c r="N221" s="1790" t="s">
        <v>12</v>
      </c>
      <c r="O221" s="1793" t="s">
        <v>31</v>
      </c>
      <c r="P221" s="420" t="s">
        <v>683</v>
      </c>
      <c r="Q221" s="421"/>
      <c r="R221" s="421"/>
      <c r="S221" s="422"/>
      <c r="T221" s="1794"/>
      <c r="U221" s="423">
        <v>5889.8046000000004</v>
      </c>
      <c r="V221" s="424">
        <v>3</v>
      </c>
      <c r="W221" s="424">
        <v>1</v>
      </c>
      <c r="X221" s="425"/>
      <c r="Y221" s="426">
        <v>2020</v>
      </c>
      <c r="Z221" s="417">
        <v>2022</v>
      </c>
      <c r="AA221" s="1804">
        <v>2022</v>
      </c>
      <c r="AB221" s="427"/>
      <c r="AC221" s="1793"/>
      <c r="AD221" s="428" t="s">
        <v>5863</v>
      </c>
      <c r="AE221" s="1791" t="s">
        <v>2122</v>
      </c>
      <c r="AF221" s="1791" t="s">
        <v>2123</v>
      </c>
      <c r="AG221" s="1793" t="s">
        <v>919</v>
      </c>
      <c r="AH221" s="428"/>
      <c r="AI221" s="1793"/>
      <c r="AJ221" s="429">
        <v>2019</v>
      </c>
      <c r="AK221" s="424">
        <v>12072</v>
      </c>
      <c r="AL221" s="424">
        <v>11930</v>
      </c>
      <c r="AM221" s="430"/>
      <c r="AN221" s="431"/>
      <c r="AO221" s="432">
        <v>2022</v>
      </c>
      <c r="AP221" s="425">
        <v>11348</v>
      </c>
      <c r="AQ221" s="433">
        <v>5.99</v>
      </c>
      <c r="AR221" s="425">
        <v>11214</v>
      </c>
      <c r="AS221" s="433">
        <v>6</v>
      </c>
      <c r="AT221" s="434"/>
      <c r="AU221" s="431"/>
      <c r="AV221" s="435"/>
      <c r="AW221" s="432">
        <v>2020</v>
      </c>
      <c r="AX221" s="425">
        <v>11256</v>
      </c>
      <c r="AY221" s="433">
        <v>6.75</v>
      </c>
      <c r="AZ221" s="425">
        <v>10811</v>
      </c>
      <c r="BA221" s="433">
        <v>9.3699999999999992</v>
      </c>
      <c r="BB221" s="434"/>
      <c r="BC221" s="431"/>
      <c r="BD221" s="435"/>
      <c r="BE221" s="432">
        <v>2021</v>
      </c>
      <c r="BF221" s="425">
        <v>10590</v>
      </c>
      <c r="BG221" s="433">
        <v>12.27</v>
      </c>
      <c r="BH221" s="425">
        <v>10851</v>
      </c>
      <c r="BI221" s="433">
        <v>9.0399999999999991</v>
      </c>
      <c r="BJ221" s="434"/>
      <c r="BK221" s="431"/>
      <c r="BL221" s="435"/>
      <c r="BM221" s="432">
        <v>2022</v>
      </c>
      <c r="BN221" s="425">
        <v>9533</v>
      </c>
      <c r="BO221" s="433">
        <v>21.03</v>
      </c>
      <c r="BP221" s="425">
        <v>10137</v>
      </c>
      <c r="BQ221" s="433">
        <v>15.02</v>
      </c>
      <c r="BR221" s="434"/>
      <c r="BS221" s="431"/>
      <c r="BT221" s="435"/>
      <c r="BU221" s="1805" t="s">
        <v>687</v>
      </c>
      <c r="BV221" s="1806" t="s">
        <v>728</v>
      </c>
      <c r="BW221" s="1807" t="s">
        <v>688</v>
      </c>
      <c r="BX221" s="1808"/>
      <c r="BY221" s="1809">
        <v>2019</v>
      </c>
      <c r="BZ221" s="424"/>
      <c r="CA221" s="424"/>
      <c r="CB221" s="430"/>
      <c r="CC221" s="431"/>
      <c r="CD221" s="432">
        <v>2022</v>
      </c>
      <c r="CE221" s="425"/>
      <c r="CF221" s="433"/>
      <c r="CG221" s="425"/>
      <c r="CH221" s="433"/>
      <c r="CI221" s="434"/>
      <c r="CJ221" s="431"/>
      <c r="CK221" s="435"/>
      <c r="CL221" s="432">
        <v>2020</v>
      </c>
      <c r="CM221" s="425"/>
      <c r="CN221" s="433"/>
      <c r="CO221" s="425"/>
      <c r="CP221" s="433"/>
      <c r="CQ221" s="434"/>
      <c r="CR221" s="431"/>
      <c r="CS221" s="435"/>
      <c r="CT221" s="432">
        <v>2021</v>
      </c>
      <c r="CU221" s="425"/>
      <c r="CV221" s="433"/>
      <c r="CW221" s="425"/>
      <c r="CX221" s="433"/>
      <c r="CY221" s="434"/>
      <c r="CZ221" s="431"/>
      <c r="DA221" s="435"/>
      <c r="DB221" s="432">
        <v>2022</v>
      </c>
      <c r="DC221" s="425">
        <v>0</v>
      </c>
      <c r="DD221" s="433"/>
      <c r="DE221" s="425">
        <v>0</v>
      </c>
      <c r="DF221" s="433"/>
      <c r="DG221" s="434"/>
      <c r="DH221" s="431"/>
      <c r="DI221" s="435">
        <v>0</v>
      </c>
      <c r="DJ221" s="1805"/>
      <c r="DK221" s="1806"/>
      <c r="DL221" s="1807"/>
      <c r="DM221" s="1808"/>
      <c r="DN221" s="1810">
        <v>0</v>
      </c>
      <c r="DO221" s="1799">
        <v>3</v>
      </c>
      <c r="DP221" s="1800">
        <v>0</v>
      </c>
      <c r="DQ221" s="1799">
        <v>0</v>
      </c>
      <c r="DR221" s="1800">
        <v>0</v>
      </c>
      <c r="DS221" s="1799">
        <v>0</v>
      </c>
    </row>
    <row r="222" spans="1:123" ht="67.5">
      <c r="A222" s="1801" t="s">
        <v>2124</v>
      </c>
      <c r="B222" s="1788" t="s">
        <v>2125</v>
      </c>
      <c r="C222" s="426">
        <v>2020</v>
      </c>
      <c r="D222" s="417" t="s">
        <v>714</v>
      </c>
      <c r="E222" s="1802">
        <v>3044320</v>
      </c>
      <c r="F222" s="1803" t="s">
        <v>2125</v>
      </c>
      <c r="G222" s="419">
        <v>45127</v>
      </c>
      <c r="H222" s="1790" t="s">
        <v>2126</v>
      </c>
      <c r="I222" s="1791" t="s">
        <v>2125</v>
      </c>
      <c r="J222" s="1793" t="s">
        <v>2127</v>
      </c>
      <c r="K222" s="1788" t="s">
        <v>2125</v>
      </c>
      <c r="L222" s="1791" t="s">
        <v>2127</v>
      </c>
      <c r="M222" s="1793" t="s">
        <v>2126</v>
      </c>
      <c r="N222" s="1790" t="s">
        <v>48</v>
      </c>
      <c r="O222" s="1793" t="s">
        <v>51</v>
      </c>
      <c r="P222" s="420"/>
      <c r="Q222" s="421"/>
      <c r="R222" s="421" t="s">
        <v>717</v>
      </c>
      <c r="S222" s="422"/>
      <c r="T222" s="1794"/>
      <c r="U222" s="423"/>
      <c r="V222" s="424"/>
      <c r="W222" s="424"/>
      <c r="X222" s="425">
        <v>536</v>
      </c>
      <c r="Y222" s="426">
        <v>2020</v>
      </c>
      <c r="Z222" s="417">
        <v>2022</v>
      </c>
      <c r="AA222" s="1804">
        <v>2022</v>
      </c>
      <c r="AB222" s="427"/>
      <c r="AC222" s="1793"/>
      <c r="AD222" s="428" t="s">
        <v>5863</v>
      </c>
      <c r="AE222" s="1791" t="s">
        <v>5105</v>
      </c>
      <c r="AF222" s="1791" t="s">
        <v>5106</v>
      </c>
      <c r="AG222" s="1793" t="s">
        <v>2128</v>
      </c>
      <c r="AH222" s="428"/>
      <c r="AI222" s="1793"/>
      <c r="AJ222" s="429">
        <v>2019</v>
      </c>
      <c r="AK222" s="424"/>
      <c r="AL222" s="424"/>
      <c r="AM222" s="430"/>
      <c r="AN222" s="431"/>
      <c r="AO222" s="432">
        <v>2022</v>
      </c>
      <c r="AP222" s="425"/>
      <c r="AQ222" s="433"/>
      <c r="AR222" s="425"/>
      <c r="AS222" s="433"/>
      <c r="AT222" s="434"/>
      <c r="AU222" s="431"/>
      <c r="AV222" s="435"/>
      <c r="AW222" s="432">
        <v>2020</v>
      </c>
      <c r="AX222" s="425"/>
      <c r="AY222" s="433"/>
      <c r="AZ222" s="425"/>
      <c r="BA222" s="433"/>
      <c r="BB222" s="434"/>
      <c r="BC222" s="431"/>
      <c r="BD222" s="435"/>
      <c r="BE222" s="432">
        <v>2021</v>
      </c>
      <c r="BF222" s="425"/>
      <c r="BG222" s="433"/>
      <c r="BH222" s="425"/>
      <c r="BI222" s="433"/>
      <c r="BJ222" s="434"/>
      <c r="BK222" s="431"/>
      <c r="BL222" s="435"/>
      <c r="BM222" s="432">
        <v>2022</v>
      </c>
      <c r="BN222" s="425"/>
      <c r="BO222" s="433"/>
      <c r="BP222" s="425"/>
      <c r="BQ222" s="433"/>
      <c r="BR222" s="434"/>
      <c r="BS222" s="431"/>
      <c r="BT222" s="435"/>
      <c r="BU222" s="1805"/>
      <c r="BV222" s="1806"/>
      <c r="BW222" s="1807"/>
      <c r="BX222" s="1808"/>
      <c r="BY222" s="1809">
        <v>2019</v>
      </c>
      <c r="BZ222" s="424">
        <v>5060</v>
      </c>
      <c r="CA222" s="424">
        <v>5060</v>
      </c>
      <c r="CB222" s="430"/>
      <c r="CC222" s="431"/>
      <c r="CD222" s="432">
        <v>2022</v>
      </c>
      <c r="CE222" s="425">
        <v>4908</v>
      </c>
      <c r="CF222" s="433">
        <v>3</v>
      </c>
      <c r="CG222" s="425">
        <v>4908</v>
      </c>
      <c r="CH222" s="433">
        <v>3</v>
      </c>
      <c r="CI222" s="434"/>
      <c r="CJ222" s="431"/>
      <c r="CK222" s="435">
        <v>0</v>
      </c>
      <c r="CL222" s="432">
        <v>2020</v>
      </c>
      <c r="CM222" s="425">
        <v>5437</v>
      </c>
      <c r="CN222" s="433">
        <v>-7.46</v>
      </c>
      <c r="CO222" s="425">
        <v>5437</v>
      </c>
      <c r="CP222" s="433">
        <v>-7.46</v>
      </c>
      <c r="CQ222" s="434"/>
      <c r="CR222" s="431"/>
      <c r="CS222" s="435"/>
      <c r="CT222" s="432">
        <v>2021</v>
      </c>
      <c r="CU222" s="425">
        <v>5076</v>
      </c>
      <c r="CV222" s="433">
        <v>-0.32</v>
      </c>
      <c r="CW222" s="425">
        <v>5076</v>
      </c>
      <c r="CX222" s="433">
        <v>-0.32</v>
      </c>
      <c r="CY222" s="434"/>
      <c r="CZ222" s="431"/>
      <c r="DA222" s="435"/>
      <c r="DB222" s="432">
        <v>2022</v>
      </c>
      <c r="DC222" s="425">
        <v>5370.9183300000004</v>
      </c>
      <c r="DD222" s="433">
        <v>-6.15</v>
      </c>
      <c r="DE222" s="425">
        <v>5370.9183300000004</v>
      </c>
      <c r="DF222" s="433">
        <v>-6.15</v>
      </c>
      <c r="DG222" s="434"/>
      <c r="DH222" s="431"/>
      <c r="DI222" s="435"/>
      <c r="DJ222" s="1805" t="s">
        <v>676</v>
      </c>
      <c r="DK222" s="1806" t="s">
        <v>728</v>
      </c>
      <c r="DL222" s="1807" t="s">
        <v>678</v>
      </c>
      <c r="DM222" s="1808" t="s">
        <v>5107</v>
      </c>
      <c r="DN222" s="1810">
        <v>0</v>
      </c>
      <c r="DO222" s="1799">
        <v>0</v>
      </c>
      <c r="DP222" s="1800">
        <v>0</v>
      </c>
      <c r="DQ222" s="1799">
        <v>0</v>
      </c>
      <c r="DR222" s="1800">
        <v>0</v>
      </c>
      <c r="DS222" s="1799">
        <v>0</v>
      </c>
    </row>
    <row r="223" spans="1:123" ht="54">
      <c r="A223" s="1801" t="s">
        <v>2129</v>
      </c>
      <c r="B223" s="1788" t="s">
        <v>2130</v>
      </c>
      <c r="C223" s="426">
        <v>2020</v>
      </c>
      <c r="D223" s="417" t="s">
        <v>681</v>
      </c>
      <c r="E223" s="1802">
        <v>1076321</v>
      </c>
      <c r="F223" s="1803" t="s">
        <v>2130</v>
      </c>
      <c r="G223" s="419">
        <v>45129</v>
      </c>
      <c r="H223" s="1790" t="s">
        <v>2131</v>
      </c>
      <c r="I223" s="1791" t="s">
        <v>2130</v>
      </c>
      <c r="J223" s="1793" t="s">
        <v>2132</v>
      </c>
      <c r="K223" s="1788" t="s">
        <v>2130</v>
      </c>
      <c r="L223" s="1791" t="s">
        <v>2132</v>
      </c>
      <c r="M223" s="1793" t="s">
        <v>2131</v>
      </c>
      <c r="N223" s="1790" t="s">
        <v>86</v>
      </c>
      <c r="O223" s="1793" t="s">
        <v>88</v>
      </c>
      <c r="P223" s="420" t="s">
        <v>683</v>
      </c>
      <c r="Q223" s="421"/>
      <c r="R223" s="421"/>
      <c r="S223" s="422"/>
      <c r="T223" s="1794"/>
      <c r="U223" s="423">
        <v>2212.2725999999998</v>
      </c>
      <c r="V223" s="424">
        <v>58</v>
      </c>
      <c r="W223" s="424">
        <v>0</v>
      </c>
      <c r="X223" s="425"/>
      <c r="Y223" s="426">
        <v>2020</v>
      </c>
      <c r="Z223" s="417">
        <v>2022</v>
      </c>
      <c r="AA223" s="1804">
        <v>2022</v>
      </c>
      <c r="AB223" s="427"/>
      <c r="AC223" s="1793"/>
      <c r="AD223" s="428" t="s">
        <v>5863</v>
      </c>
      <c r="AE223" s="1791" t="s">
        <v>2133</v>
      </c>
      <c r="AF223" s="1791" t="s">
        <v>2131</v>
      </c>
      <c r="AG223" s="1793" t="s">
        <v>2134</v>
      </c>
      <c r="AH223" s="428"/>
      <c r="AI223" s="1793"/>
      <c r="AJ223" s="429">
        <v>2019</v>
      </c>
      <c r="AK223" s="424">
        <v>4909</v>
      </c>
      <c r="AL223" s="424">
        <v>4807</v>
      </c>
      <c r="AM223" s="430"/>
      <c r="AN223" s="431"/>
      <c r="AO223" s="432">
        <v>2022</v>
      </c>
      <c r="AP223" s="425">
        <v>4764</v>
      </c>
      <c r="AQ223" s="433">
        <v>2.95</v>
      </c>
      <c r="AR223" s="425">
        <v>4665</v>
      </c>
      <c r="AS223" s="433">
        <v>2.95</v>
      </c>
      <c r="AT223" s="434"/>
      <c r="AU223" s="431"/>
      <c r="AV223" s="435"/>
      <c r="AW223" s="432">
        <v>2020</v>
      </c>
      <c r="AX223" s="425">
        <v>4176</v>
      </c>
      <c r="AY223" s="433">
        <v>14.93</v>
      </c>
      <c r="AZ223" s="425">
        <v>3981</v>
      </c>
      <c r="BA223" s="433">
        <v>17.18</v>
      </c>
      <c r="BB223" s="434"/>
      <c r="BC223" s="431"/>
      <c r="BD223" s="435"/>
      <c r="BE223" s="432">
        <v>2021</v>
      </c>
      <c r="BF223" s="425">
        <v>4157</v>
      </c>
      <c r="BG223" s="433">
        <v>15.31</v>
      </c>
      <c r="BH223" s="425">
        <v>4077</v>
      </c>
      <c r="BI223" s="433">
        <v>15.18</v>
      </c>
      <c r="BJ223" s="434"/>
      <c r="BK223" s="431"/>
      <c r="BL223" s="435"/>
      <c r="BM223" s="432">
        <v>2022</v>
      </c>
      <c r="BN223" s="425">
        <v>4038</v>
      </c>
      <c r="BO223" s="433">
        <v>17.739999999999998</v>
      </c>
      <c r="BP223" s="425">
        <v>3918</v>
      </c>
      <c r="BQ223" s="433">
        <v>18.489999999999998</v>
      </c>
      <c r="BR223" s="434"/>
      <c r="BS223" s="431"/>
      <c r="BT223" s="435"/>
      <c r="BU223" s="1805" t="s">
        <v>687</v>
      </c>
      <c r="BV223" s="1806" t="s">
        <v>677</v>
      </c>
      <c r="BW223" s="1807" t="s">
        <v>697</v>
      </c>
      <c r="BX223" s="1808" t="s">
        <v>5108</v>
      </c>
      <c r="BY223" s="1809">
        <v>2019</v>
      </c>
      <c r="BZ223" s="424"/>
      <c r="CA223" s="424"/>
      <c r="CB223" s="430"/>
      <c r="CC223" s="431"/>
      <c r="CD223" s="432">
        <v>2022</v>
      </c>
      <c r="CE223" s="425"/>
      <c r="CF223" s="433"/>
      <c r="CG223" s="425"/>
      <c r="CH223" s="433"/>
      <c r="CI223" s="434"/>
      <c r="CJ223" s="431"/>
      <c r="CK223" s="435"/>
      <c r="CL223" s="432">
        <v>2020</v>
      </c>
      <c r="CM223" s="425"/>
      <c r="CN223" s="433"/>
      <c r="CO223" s="425"/>
      <c r="CP223" s="433"/>
      <c r="CQ223" s="434"/>
      <c r="CR223" s="431"/>
      <c r="CS223" s="435"/>
      <c r="CT223" s="432">
        <v>2021</v>
      </c>
      <c r="CU223" s="425"/>
      <c r="CV223" s="433"/>
      <c r="CW223" s="425"/>
      <c r="CX223" s="433"/>
      <c r="CY223" s="434"/>
      <c r="CZ223" s="431"/>
      <c r="DA223" s="435"/>
      <c r="DB223" s="432">
        <v>2022</v>
      </c>
      <c r="DC223" s="425">
        <v>0</v>
      </c>
      <c r="DD223" s="433"/>
      <c r="DE223" s="425">
        <v>0</v>
      </c>
      <c r="DF223" s="433"/>
      <c r="DG223" s="434"/>
      <c r="DH223" s="431"/>
      <c r="DI223" s="435">
        <v>0</v>
      </c>
      <c r="DJ223" s="1805"/>
      <c r="DK223" s="1806"/>
      <c r="DL223" s="1807"/>
      <c r="DM223" s="1808"/>
      <c r="DN223" s="1810">
        <v>0</v>
      </c>
      <c r="DO223" s="1799">
        <v>0</v>
      </c>
      <c r="DP223" s="1800">
        <v>0</v>
      </c>
      <c r="DQ223" s="1799">
        <v>0</v>
      </c>
      <c r="DR223" s="1800">
        <v>0</v>
      </c>
      <c r="DS223" s="1799">
        <v>0</v>
      </c>
    </row>
    <row r="224" spans="1:123" ht="54">
      <c r="A224" s="1801" t="s">
        <v>2135</v>
      </c>
      <c r="B224" s="1788" t="s">
        <v>2136</v>
      </c>
      <c r="C224" s="426">
        <v>2020</v>
      </c>
      <c r="D224" s="417" t="s">
        <v>714</v>
      </c>
      <c r="E224" s="1802">
        <v>3044322</v>
      </c>
      <c r="F224" s="1803" t="s">
        <v>2136</v>
      </c>
      <c r="G224" s="419">
        <v>45138</v>
      </c>
      <c r="H224" s="1790" t="s">
        <v>2137</v>
      </c>
      <c r="I224" s="1791" t="s">
        <v>2136</v>
      </c>
      <c r="J224" s="1793" t="s">
        <v>2138</v>
      </c>
      <c r="K224" s="1788" t="s">
        <v>2136</v>
      </c>
      <c r="L224" s="1791" t="s">
        <v>5109</v>
      </c>
      <c r="M224" s="1793" t="s">
        <v>2139</v>
      </c>
      <c r="N224" s="1790" t="s">
        <v>48</v>
      </c>
      <c r="O224" s="1793" t="s">
        <v>51</v>
      </c>
      <c r="P224" s="420"/>
      <c r="Q224" s="421"/>
      <c r="R224" s="421" t="s">
        <v>717</v>
      </c>
      <c r="S224" s="422"/>
      <c r="T224" s="1794"/>
      <c r="U224" s="423"/>
      <c r="V224" s="424"/>
      <c r="W224" s="424"/>
      <c r="X224" s="425">
        <v>132</v>
      </c>
      <c r="Y224" s="426">
        <v>2020</v>
      </c>
      <c r="Z224" s="417">
        <v>2022</v>
      </c>
      <c r="AA224" s="1804">
        <v>2022</v>
      </c>
      <c r="AB224" s="427"/>
      <c r="AC224" s="1793"/>
      <c r="AD224" s="428" t="s">
        <v>5863</v>
      </c>
      <c r="AE224" s="1791" t="s">
        <v>2140</v>
      </c>
      <c r="AF224" s="1791" t="s">
        <v>2141</v>
      </c>
      <c r="AG224" s="1793" t="s">
        <v>2142</v>
      </c>
      <c r="AH224" s="428"/>
      <c r="AI224" s="1793"/>
      <c r="AJ224" s="429">
        <v>2019</v>
      </c>
      <c r="AK224" s="424"/>
      <c r="AL224" s="424"/>
      <c r="AM224" s="430"/>
      <c r="AN224" s="431"/>
      <c r="AO224" s="432">
        <v>2022</v>
      </c>
      <c r="AP224" s="425"/>
      <c r="AQ224" s="433"/>
      <c r="AR224" s="425"/>
      <c r="AS224" s="433"/>
      <c r="AT224" s="434"/>
      <c r="AU224" s="431"/>
      <c r="AV224" s="435"/>
      <c r="AW224" s="432">
        <v>2020</v>
      </c>
      <c r="AX224" s="425"/>
      <c r="AY224" s="433"/>
      <c r="AZ224" s="425"/>
      <c r="BA224" s="433"/>
      <c r="BB224" s="434"/>
      <c r="BC224" s="431"/>
      <c r="BD224" s="435"/>
      <c r="BE224" s="432">
        <v>2021</v>
      </c>
      <c r="BF224" s="425"/>
      <c r="BG224" s="433"/>
      <c r="BH224" s="425"/>
      <c r="BI224" s="433"/>
      <c r="BJ224" s="434"/>
      <c r="BK224" s="431"/>
      <c r="BL224" s="435"/>
      <c r="BM224" s="432">
        <v>2022</v>
      </c>
      <c r="BN224" s="425"/>
      <c r="BO224" s="433"/>
      <c r="BP224" s="425"/>
      <c r="BQ224" s="433"/>
      <c r="BR224" s="434"/>
      <c r="BS224" s="431"/>
      <c r="BT224" s="435"/>
      <c r="BU224" s="1805"/>
      <c r="BV224" s="1806"/>
      <c r="BW224" s="1807"/>
      <c r="BX224" s="1808"/>
      <c r="BY224" s="1809">
        <v>2019</v>
      </c>
      <c r="BZ224" s="424">
        <v>2396</v>
      </c>
      <c r="CA224" s="424">
        <v>2396</v>
      </c>
      <c r="CB224" s="430"/>
      <c r="CC224" s="431"/>
      <c r="CD224" s="432">
        <v>2022</v>
      </c>
      <c r="CE224" s="425">
        <v>2324</v>
      </c>
      <c r="CF224" s="433">
        <v>3</v>
      </c>
      <c r="CG224" s="425">
        <v>2324</v>
      </c>
      <c r="CH224" s="433">
        <v>3</v>
      </c>
      <c r="CI224" s="434"/>
      <c r="CJ224" s="431"/>
      <c r="CK224" s="435"/>
      <c r="CL224" s="432">
        <v>2020</v>
      </c>
      <c r="CM224" s="425">
        <v>1931</v>
      </c>
      <c r="CN224" s="433">
        <v>19.399999999999999</v>
      </c>
      <c r="CO224" s="425">
        <v>1931</v>
      </c>
      <c r="CP224" s="433">
        <v>19.399999999999999</v>
      </c>
      <c r="CQ224" s="434"/>
      <c r="CR224" s="431"/>
      <c r="CS224" s="435"/>
      <c r="CT224" s="432">
        <v>2021</v>
      </c>
      <c r="CU224" s="425">
        <v>1832</v>
      </c>
      <c r="CV224" s="433">
        <v>23.53</v>
      </c>
      <c r="CW224" s="425">
        <v>1832</v>
      </c>
      <c r="CX224" s="433">
        <v>23.53</v>
      </c>
      <c r="CY224" s="434"/>
      <c r="CZ224" s="431"/>
      <c r="DA224" s="435"/>
      <c r="DB224" s="432">
        <v>2022</v>
      </c>
      <c r="DC224" s="425">
        <v>1547.1076000000003</v>
      </c>
      <c r="DD224" s="433">
        <v>35.42</v>
      </c>
      <c r="DE224" s="425">
        <v>1547.1076000000003</v>
      </c>
      <c r="DF224" s="433">
        <v>35.42</v>
      </c>
      <c r="DG224" s="434"/>
      <c r="DH224" s="431"/>
      <c r="DI224" s="435"/>
      <c r="DJ224" s="1805" t="s">
        <v>687</v>
      </c>
      <c r="DK224" s="1806" t="s">
        <v>728</v>
      </c>
      <c r="DL224" s="1807" t="s">
        <v>697</v>
      </c>
      <c r="DM224" s="1808" t="s">
        <v>5110</v>
      </c>
      <c r="DN224" s="1810">
        <v>0</v>
      </c>
      <c r="DO224" s="1799">
        <v>1</v>
      </c>
      <c r="DP224" s="1800">
        <v>0</v>
      </c>
      <c r="DQ224" s="1799">
        <v>2</v>
      </c>
      <c r="DR224" s="1800">
        <v>0</v>
      </c>
      <c r="DS224" s="1799">
        <v>0</v>
      </c>
    </row>
    <row r="225" spans="1:123" ht="108">
      <c r="A225" s="1801" t="s">
        <v>2143</v>
      </c>
      <c r="B225" s="1788" t="s">
        <v>2144</v>
      </c>
      <c r="C225" s="426">
        <v>2020</v>
      </c>
      <c r="D225" s="417" t="s">
        <v>681</v>
      </c>
      <c r="E225" s="1802">
        <v>1060324</v>
      </c>
      <c r="F225" s="1803" t="s">
        <v>2144</v>
      </c>
      <c r="G225" s="419">
        <v>45187</v>
      </c>
      <c r="H225" s="1790" t="s">
        <v>2145</v>
      </c>
      <c r="I225" s="1791" t="s">
        <v>2144</v>
      </c>
      <c r="J225" s="1793" t="s">
        <v>2146</v>
      </c>
      <c r="K225" s="1788" t="s">
        <v>2144</v>
      </c>
      <c r="L225" s="1791" t="s">
        <v>2146</v>
      </c>
      <c r="M225" s="1793" t="s">
        <v>2147</v>
      </c>
      <c r="N225" s="1790" t="s">
        <v>57</v>
      </c>
      <c r="O225" s="1793" t="s">
        <v>68</v>
      </c>
      <c r="P225" s="420" t="s">
        <v>683</v>
      </c>
      <c r="Q225" s="421"/>
      <c r="R225" s="421"/>
      <c r="S225" s="422"/>
      <c r="T225" s="1794"/>
      <c r="U225" s="423">
        <v>3724.5138000000002</v>
      </c>
      <c r="V225" s="424">
        <v>71</v>
      </c>
      <c r="W225" s="424">
        <v>0</v>
      </c>
      <c r="X225" s="425"/>
      <c r="Y225" s="426">
        <v>2020</v>
      </c>
      <c r="Z225" s="417">
        <v>2022</v>
      </c>
      <c r="AA225" s="1804">
        <v>2022</v>
      </c>
      <c r="AB225" s="427"/>
      <c r="AC225" s="1793"/>
      <c r="AD225" s="428" t="s">
        <v>5863</v>
      </c>
      <c r="AE225" s="1791" t="s">
        <v>2148</v>
      </c>
      <c r="AF225" s="1791" t="s">
        <v>2149</v>
      </c>
      <c r="AG225" s="1793" t="s">
        <v>2150</v>
      </c>
      <c r="AH225" s="428"/>
      <c r="AI225" s="1793"/>
      <c r="AJ225" s="429">
        <v>2019</v>
      </c>
      <c r="AK225" s="424">
        <v>6921</v>
      </c>
      <c r="AL225" s="424">
        <v>6732</v>
      </c>
      <c r="AM225" s="430">
        <v>0.44</v>
      </c>
      <c r="AN225" s="431" t="s">
        <v>2151</v>
      </c>
      <c r="AO225" s="432">
        <v>2022</v>
      </c>
      <c r="AP225" s="425">
        <v>6713.33</v>
      </c>
      <c r="AQ225" s="433">
        <v>3</v>
      </c>
      <c r="AR225" s="425">
        <v>6530.04</v>
      </c>
      <c r="AS225" s="433">
        <v>3</v>
      </c>
      <c r="AT225" s="434">
        <v>0.42680000000000001</v>
      </c>
      <c r="AU225" s="431" t="s">
        <v>2151</v>
      </c>
      <c r="AV225" s="435">
        <v>3</v>
      </c>
      <c r="AW225" s="432">
        <v>2020</v>
      </c>
      <c r="AX225" s="425">
        <v>7380</v>
      </c>
      <c r="AY225" s="433">
        <v>-6.64</v>
      </c>
      <c r="AZ225" s="425">
        <v>6978</v>
      </c>
      <c r="BA225" s="433">
        <v>-3.66</v>
      </c>
      <c r="BB225" s="434">
        <v>0.46</v>
      </c>
      <c r="BC225" s="431" t="s">
        <v>2151</v>
      </c>
      <c r="BD225" s="435">
        <v>-4.55</v>
      </c>
      <c r="BE225" s="432">
        <v>2021</v>
      </c>
      <c r="BF225" s="425">
        <v>7270</v>
      </c>
      <c r="BG225" s="433">
        <v>-5.05</v>
      </c>
      <c r="BH225" s="425">
        <v>7209</v>
      </c>
      <c r="BI225" s="433">
        <v>-7.09</v>
      </c>
      <c r="BJ225" s="434">
        <v>0.46</v>
      </c>
      <c r="BK225" s="431" t="s">
        <v>2151</v>
      </c>
      <c r="BL225" s="435">
        <v>-4.55</v>
      </c>
      <c r="BM225" s="432">
        <v>2022</v>
      </c>
      <c r="BN225" s="425">
        <v>6692</v>
      </c>
      <c r="BO225" s="433">
        <v>3.3</v>
      </c>
      <c r="BP225" s="425">
        <v>6681</v>
      </c>
      <c r="BQ225" s="433">
        <v>0.75</v>
      </c>
      <c r="BR225" s="434">
        <v>0.4189018286997005</v>
      </c>
      <c r="BS225" s="431" t="s">
        <v>2151</v>
      </c>
      <c r="BT225" s="435">
        <v>4.79</v>
      </c>
      <c r="BU225" s="1805" t="s">
        <v>719</v>
      </c>
      <c r="BV225" s="1806" t="s">
        <v>728</v>
      </c>
      <c r="BW225" s="1807" t="s">
        <v>678</v>
      </c>
      <c r="BX225" s="1808" t="s">
        <v>5111</v>
      </c>
      <c r="BY225" s="1809">
        <v>2019</v>
      </c>
      <c r="BZ225" s="424"/>
      <c r="CA225" s="424"/>
      <c r="CB225" s="430"/>
      <c r="CC225" s="431"/>
      <c r="CD225" s="432">
        <v>2022</v>
      </c>
      <c r="CE225" s="425"/>
      <c r="CF225" s="433"/>
      <c r="CG225" s="425"/>
      <c r="CH225" s="433"/>
      <c r="CI225" s="434"/>
      <c r="CJ225" s="431"/>
      <c r="CK225" s="435"/>
      <c r="CL225" s="432">
        <v>2020</v>
      </c>
      <c r="CM225" s="425"/>
      <c r="CN225" s="433"/>
      <c r="CO225" s="425"/>
      <c r="CP225" s="433"/>
      <c r="CQ225" s="434"/>
      <c r="CR225" s="431"/>
      <c r="CS225" s="435"/>
      <c r="CT225" s="432">
        <v>2021</v>
      </c>
      <c r="CU225" s="425"/>
      <c r="CV225" s="433"/>
      <c r="CW225" s="425"/>
      <c r="CX225" s="433"/>
      <c r="CY225" s="434"/>
      <c r="CZ225" s="431"/>
      <c r="DA225" s="435"/>
      <c r="DB225" s="432">
        <v>2022</v>
      </c>
      <c r="DC225" s="425">
        <v>0</v>
      </c>
      <c r="DD225" s="433"/>
      <c r="DE225" s="425">
        <v>0</v>
      </c>
      <c r="DF225" s="433"/>
      <c r="DG225" s="434"/>
      <c r="DH225" s="431"/>
      <c r="DI225" s="435">
        <v>0</v>
      </c>
      <c r="DJ225" s="1805"/>
      <c r="DK225" s="1806"/>
      <c r="DL225" s="1807"/>
      <c r="DM225" s="1808"/>
      <c r="DN225" s="1810">
        <v>0</v>
      </c>
      <c r="DO225" s="1799">
        <v>0</v>
      </c>
      <c r="DP225" s="1800">
        <v>0</v>
      </c>
      <c r="DQ225" s="1799">
        <v>0</v>
      </c>
      <c r="DR225" s="1800">
        <v>0</v>
      </c>
      <c r="DS225" s="1799">
        <v>0</v>
      </c>
    </row>
    <row r="226" spans="1:123" ht="108">
      <c r="A226" s="1801" t="s">
        <v>2152</v>
      </c>
      <c r="B226" s="1788" t="s">
        <v>2153</v>
      </c>
      <c r="C226" s="426">
        <v>2020</v>
      </c>
      <c r="D226" s="417" t="s">
        <v>668</v>
      </c>
      <c r="E226" s="1802">
        <v>2076325</v>
      </c>
      <c r="F226" s="1803" t="s">
        <v>2153</v>
      </c>
      <c r="G226" s="419">
        <v>45107</v>
      </c>
      <c r="H226" s="1790" t="s">
        <v>2154</v>
      </c>
      <c r="I226" s="1791" t="s">
        <v>2153</v>
      </c>
      <c r="J226" s="1793" t="s">
        <v>2155</v>
      </c>
      <c r="K226" s="1788" t="s">
        <v>2153</v>
      </c>
      <c r="L226" s="1791" t="s">
        <v>2156</v>
      </c>
      <c r="M226" s="1793" t="s">
        <v>2154</v>
      </c>
      <c r="N226" s="1790" t="s">
        <v>86</v>
      </c>
      <c r="O226" s="1793" t="s">
        <v>88</v>
      </c>
      <c r="P226" s="420"/>
      <c r="Q226" s="421" t="s">
        <v>5862</v>
      </c>
      <c r="R226" s="421"/>
      <c r="S226" s="422"/>
      <c r="T226" s="1794"/>
      <c r="U226" s="423">
        <v>5979.7434000000003</v>
      </c>
      <c r="V226" s="424">
        <v>84</v>
      </c>
      <c r="W226" s="424">
        <v>0</v>
      </c>
      <c r="X226" s="425"/>
      <c r="Y226" s="426">
        <v>2020</v>
      </c>
      <c r="Z226" s="417">
        <v>2022</v>
      </c>
      <c r="AA226" s="1804">
        <v>2022</v>
      </c>
      <c r="AB226" s="427"/>
      <c r="AC226" s="1793"/>
      <c r="AD226" s="428" t="s">
        <v>5863</v>
      </c>
      <c r="AE226" s="1791" t="s">
        <v>2157</v>
      </c>
      <c r="AF226" s="1791" t="s">
        <v>2158</v>
      </c>
      <c r="AG226" s="1793" t="s">
        <v>2159</v>
      </c>
      <c r="AH226" s="428"/>
      <c r="AI226" s="1793"/>
      <c r="AJ226" s="429">
        <v>2019</v>
      </c>
      <c r="AK226" s="424">
        <v>10844</v>
      </c>
      <c r="AL226" s="424">
        <v>10599</v>
      </c>
      <c r="AM226" s="430">
        <v>3.81</v>
      </c>
      <c r="AN226" s="431" t="s">
        <v>2160</v>
      </c>
      <c r="AO226" s="432">
        <v>2022</v>
      </c>
      <c r="AP226" s="425">
        <v>10519</v>
      </c>
      <c r="AQ226" s="433">
        <v>2.99</v>
      </c>
      <c r="AR226" s="425">
        <v>10281</v>
      </c>
      <c r="AS226" s="433">
        <v>3</v>
      </c>
      <c r="AT226" s="434">
        <v>3.69</v>
      </c>
      <c r="AU226" s="431" t="s">
        <v>2160</v>
      </c>
      <c r="AV226" s="435">
        <v>3.14</v>
      </c>
      <c r="AW226" s="432">
        <v>2020</v>
      </c>
      <c r="AX226" s="425">
        <v>10550</v>
      </c>
      <c r="AY226" s="433">
        <v>2.71</v>
      </c>
      <c r="AZ226" s="425">
        <v>10077</v>
      </c>
      <c r="BA226" s="433">
        <v>4.92</v>
      </c>
      <c r="BB226" s="434">
        <v>4.22</v>
      </c>
      <c r="BC226" s="431" t="s">
        <v>2160</v>
      </c>
      <c r="BD226" s="435">
        <v>-10.77</v>
      </c>
      <c r="BE226" s="432">
        <v>2021</v>
      </c>
      <c r="BF226" s="425">
        <v>10762</v>
      </c>
      <c r="BG226" s="433">
        <v>0.75</v>
      </c>
      <c r="BH226" s="425">
        <v>10686</v>
      </c>
      <c r="BI226" s="433">
        <v>-0.83</v>
      </c>
      <c r="BJ226" s="434">
        <v>3.81</v>
      </c>
      <c r="BK226" s="431" t="s">
        <v>2160</v>
      </c>
      <c r="BL226" s="435">
        <v>0</v>
      </c>
      <c r="BM226" s="432">
        <v>2022</v>
      </c>
      <c r="BN226" s="425">
        <v>10877</v>
      </c>
      <c r="BO226" s="433">
        <v>-0.31</v>
      </c>
      <c r="BP226" s="425">
        <v>10858</v>
      </c>
      <c r="BQ226" s="433">
        <v>-2.4500000000000002</v>
      </c>
      <c r="BR226" s="434">
        <v>3.6934431960355165</v>
      </c>
      <c r="BS226" s="431" t="s">
        <v>2160</v>
      </c>
      <c r="BT226" s="435">
        <v>3.05</v>
      </c>
      <c r="BU226" s="1805" t="s">
        <v>719</v>
      </c>
      <c r="BV226" s="1806" t="s">
        <v>728</v>
      </c>
      <c r="BW226" s="1807" t="s">
        <v>678</v>
      </c>
      <c r="BX226" s="1808" t="s">
        <v>5112</v>
      </c>
      <c r="BY226" s="1809">
        <v>2019</v>
      </c>
      <c r="BZ226" s="424"/>
      <c r="CA226" s="424"/>
      <c r="CB226" s="430"/>
      <c r="CC226" s="431"/>
      <c r="CD226" s="432">
        <v>2022</v>
      </c>
      <c r="CE226" s="425"/>
      <c r="CF226" s="433"/>
      <c r="CG226" s="425"/>
      <c r="CH226" s="433"/>
      <c r="CI226" s="434"/>
      <c r="CJ226" s="431"/>
      <c r="CK226" s="435"/>
      <c r="CL226" s="432">
        <v>2020</v>
      </c>
      <c r="CM226" s="425"/>
      <c r="CN226" s="433"/>
      <c r="CO226" s="425"/>
      <c r="CP226" s="433"/>
      <c r="CQ226" s="434"/>
      <c r="CR226" s="431"/>
      <c r="CS226" s="435"/>
      <c r="CT226" s="432">
        <v>2021</v>
      </c>
      <c r="CU226" s="425"/>
      <c r="CV226" s="433"/>
      <c r="CW226" s="425"/>
      <c r="CX226" s="433"/>
      <c r="CY226" s="434"/>
      <c r="CZ226" s="431"/>
      <c r="DA226" s="435"/>
      <c r="DB226" s="432">
        <v>2022</v>
      </c>
      <c r="DC226" s="425">
        <v>0</v>
      </c>
      <c r="DD226" s="433"/>
      <c r="DE226" s="425">
        <v>0</v>
      </c>
      <c r="DF226" s="433"/>
      <c r="DG226" s="434"/>
      <c r="DH226" s="431"/>
      <c r="DI226" s="435"/>
      <c r="DJ226" s="1805"/>
      <c r="DK226" s="1806"/>
      <c r="DL226" s="1807"/>
      <c r="DM226" s="1808"/>
      <c r="DN226" s="1810">
        <v>0</v>
      </c>
      <c r="DO226" s="1799">
        <v>0</v>
      </c>
      <c r="DP226" s="1800">
        <v>0</v>
      </c>
      <c r="DQ226" s="1799">
        <v>0</v>
      </c>
      <c r="DR226" s="1800">
        <v>0</v>
      </c>
      <c r="DS226" s="1799">
        <v>0</v>
      </c>
    </row>
    <row r="227" spans="1:123" ht="67.5">
      <c r="A227" s="1801" t="s">
        <v>5757</v>
      </c>
      <c r="B227" s="1788" t="s">
        <v>5758</v>
      </c>
      <c r="C227" s="426">
        <v>2020</v>
      </c>
      <c r="D227" s="417" t="s">
        <v>681</v>
      </c>
      <c r="E227" s="1802">
        <v>1080326</v>
      </c>
      <c r="F227" s="1803" t="s">
        <v>5758</v>
      </c>
      <c r="G227" s="419">
        <v>45169</v>
      </c>
      <c r="H227" s="1790" t="s">
        <v>5759</v>
      </c>
      <c r="I227" s="1791" t="s">
        <v>5758</v>
      </c>
      <c r="J227" s="1793" t="s">
        <v>5760</v>
      </c>
      <c r="K227" s="1788" t="s">
        <v>5758</v>
      </c>
      <c r="L227" s="1791" t="s">
        <v>5760</v>
      </c>
      <c r="M227" s="1793" t="s">
        <v>5759</v>
      </c>
      <c r="N227" s="1790" t="s">
        <v>90</v>
      </c>
      <c r="O227" s="1793" t="s">
        <v>92</v>
      </c>
      <c r="P227" s="420" t="s">
        <v>683</v>
      </c>
      <c r="Q227" s="421"/>
      <c r="R227" s="421"/>
      <c r="S227" s="422"/>
      <c r="T227" s="1794"/>
      <c r="U227" s="423">
        <v>3617.2889999999998</v>
      </c>
      <c r="V227" s="424">
        <v>11</v>
      </c>
      <c r="W227" s="424">
        <v>1</v>
      </c>
      <c r="X227" s="425"/>
      <c r="Y227" s="426">
        <v>2020</v>
      </c>
      <c r="Z227" s="417">
        <v>2022</v>
      </c>
      <c r="AA227" s="1804">
        <v>2022</v>
      </c>
      <c r="AB227" s="427"/>
      <c r="AC227" s="1793"/>
      <c r="AD227" s="428" t="s">
        <v>5863</v>
      </c>
      <c r="AE227" s="1791" t="s">
        <v>5761</v>
      </c>
      <c r="AF227" s="1791" t="s">
        <v>5762</v>
      </c>
      <c r="AG227" s="1793" t="s">
        <v>5763</v>
      </c>
      <c r="AH227" s="428"/>
      <c r="AI227" s="1793"/>
      <c r="AJ227" s="429">
        <v>2019</v>
      </c>
      <c r="AK227" s="424">
        <v>7401</v>
      </c>
      <c r="AL227" s="424">
        <v>7295</v>
      </c>
      <c r="AM227" s="430">
        <v>212.59</v>
      </c>
      <c r="AN227" s="431" t="s">
        <v>727</v>
      </c>
      <c r="AO227" s="432">
        <v>2022</v>
      </c>
      <c r="AP227" s="425">
        <v>7178.97</v>
      </c>
      <c r="AQ227" s="433">
        <v>3</v>
      </c>
      <c r="AR227" s="425">
        <v>7076.15</v>
      </c>
      <c r="AS227" s="433">
        <v>3</v>
      </c>
      <c r="AT227" s="434">
        <v>206.2123</v>
      </c>
      <c r="AU227" s="431" t="s">
        <v>727</v>
      </c>
      <c r="AV227" s="435">
        <v>3</v>
      </c>
      <c r="AW227" s="432">
        <v>2020</v>
      </c>
      <c r="AX227" s="425">
        <v>5557</v>
      </c>
      <c r="AY227" s="433">
        <v>24.91</v>
      </c>
      <c r="AZ227" s="425">
        <v>5378</v>
      </c>
      <c r="BA227" s="433">
        <v>26.27</v>
      </c>
      <c r="BB227" s="434">
        <v>159.62</v>
      </c>
      <c r="BC227" s="431" t="s">
        <v>727</v>
      </c>
      <c r="BD227" s="435">
        <v>24.91</v>
      </c>
      <c r="BE227" s="432">
        <v>2021</v>
      </c>
      <c r="BF227" s="425">
        <v>6295</v>
      </c>
      <c r="BG227" s="433">
        <v>14.94</v>
      </c>
      <c r="BH227" s="425">
        <v>6264</v>
      </c>
      <c r="BI227" s="433">
        <v>14.13</v>
      </c>
      <c r="BJ227" s="434">
        <v>180.82</v>
      </c>
      <c r="BK227" s="431" t="s">
        <v>727</v>
      </c>
      <c r="BL227" s="435">
        <v>14.94</v>
      </c>
      <c r="BM227" s="432">
        <v>2022</v>
      </c>
      <c r="BN227" s="425">
        <v>6831</v>
      </c>
      <c r="BO227" s="433">
        <v>7.7</v>
      </c>
      <c r="BP227" s="425">
        <v>7364</v>
      </c>
      <c r="BQ227" s="433">
        <v>-0.95</v>
      </c>
      <c r="BR227" s="434">
        <v>195.54016144730065</v>
      </c>
      <c r="BS227" s="431" t="s">
        <v>727</v>
      </c>
      <c r="BT227" s="435">
        <v>8.02</v>
      </c>
      <c r="BU227" s="1805" t="s">
        <v>719</v>
      </c>
      <c r="BV227" s="1806" t="s">
        <v>728</v>
      </c>
      <c r="BW227" s="1807" t="s">
        <v>678</v>
      </c>
      <c r="BX227" s="1808"/>
      <c r="BY227" s="1809">
        <v>2019</v>
      </c>
      <c r="BZ227" s="424"/>
      <c r="CA227" s="424"/>
      <c r="CB227" s="430"/>
      <c r="CC227" s="431"/>
      <c r="CD227" s="432">
        <v>2022</v>
      </c>
      <c r="CE227" s="425"/>
      <c r="CF227" s="433"/>
      <c r="CG227" s="425"/>
      <c r="CH227" s="433"/>
      <c r="CI227" s="434"/>
      <c r="CJ227" s="431"/>
      <c r="CK227" s="435"/>
      <c r="CL227" s="432">
        <v>2020</v>
      </c>
      <c r="CM227" s="425"/>
      <c r="CN227" s="433"/>
      <c r="CO227" s="425"/>
      <c r="CP227" s="433"/>
      <c r="CQ227" s="434"/>
      <c r="CR227" s="431"/>
      <c r="CS227" s="435"/>
      <c r="CT227" s="432">
        <v>2021</v>
      </c>
      <c r="CU227" s="425"/>
      <c r="CV227" s="433"/>
      <c r="CW227" s="425"/>
      <c r="CX227" s="433"/>
      <c r="CY227" s="434"/>
      <c r="CZ227" s="431"/>
      <c r="DA227" s="435"/>
      <c r="DB227" s="432">
        <v>2022</v>
      </c>
      <c r="DC227" s="425">
        <v>0</v>
      </c>
      <c r="DD227" s="433"/>
      <c r="DE227" s="425">
        <v>0</v>
      </c>
      <c r="DF227" s="433"/>
      <c r="DG227" s="434"/>
      <c r="DH227" s="431"/>
      <c r="DI227" s="435">
        <v>0</v>
      </c>
      <c r="DJ227" s="1805"/>
      <c r="DK227" s="1806"/>
      <c r="DL227" s="1807"/>
      <c r="DM227" s="1808"/>
      <c r="DN227" s="1810">
        <v>0</v>
      </c>
      <c r="DO227" s="1799">
        <v>0</v>
      </c>
      <c r="DP227" s="1800">
        <v>0</v>
      </c>
      <c r="DQ227" s="1799">
        <v>0</v>
      </c>
      <c r="DR227" s="1800">
        <v>0</v>
      </c>
      <c r="DS227" s="1799">
        <v>0</v>
      </c>
    </row>
    <row r="228" spans="1:123" ht="108">
      <c r="A228" s="1801" t="s">
        <v>2161</v>
      </c>
      <c r="B228" s="1788" t="s">
        <v>2162</v>
      </c>
      <c r="C228" s="426">
        <v>2020</v>
      </c>
      <c r="D228" s="417" t="s">
        <v>681</v>
      </c>
      <c r="E228" s="1802">
        <v>1080327</v>
      </c>
      <c r="F228" s="1803" t="s">
        <v>2162</v>
      </c>
      <c r="G228" s="419">
        <v>45126</v>
      </c>
      <c r="H228" s="1790" t="s">
        <v>2163</v>
      </c>
      <c r="I228" s="1791" t="s">
        <v>2162</v>
      </c>
      <c r="J228" s="1793" t="s">
        <v>2164</v>
      </c>
      <c r="K228" s="1788" t="s">
        <v>2162</v>
      </c>
      <c r="L228" s="1791" t="s">
        <v>2164</v>
      </c>
      <c r="M228" s="1793" t="s">
        <v>2163</v>
      </c>
      <c r="N228" s="1790" t="s">
        <v>90</v>
      </c>
      <c r="O228" s="1793" t="s">
        <v>92</v>
      </c>
      <c r="P228" s="420" t="s">
        <v>683</v>
      </c>
      <c r="Q228" s="421"/>
      <c r="R228" s="421"/>
      <c r="S228" s="422"/>
      <c r="T228" s="1794"/>
      <c r="U228" s="423">
        <v>2231.8548000000001</v>
      </c>
      <c r="V228" s="424">
        <v>7</v>
      </c>
      <c r="W228" s="424">
        <v>0</v>
      </c>
      <c r="X228" s="425"/>
      <c r="Y228" s="426">
        <v>2020</v>
      </c>
      <c r="Z228" s="417">
        <v>2022</v>
      </c>
      <c r="AA228" s="1804">
        <v>2022</v>
      </c>
      <c r="AB228" s="427" t="s">
        <v>5863</v>
      </c>
      <c r="AC228" s="1793" t="s">
        <v>2165</v>
      </c>
      <c r="AD228" s="428"/>
      <c r="AE228" s="1791"/>
      <c r="AF228" s="1791"/>
      <c r="AG228" s="1793"/>
      <c r="AH228" s="428"/>
      <c r="AI228" s="1793"/>
      <c r="AJ228" s="429">
        <v>2019</v>
      </c>
      <c r="AK228" s="424">
        <v>5927</v>
      </c>
      <c r="AL228" s="424">
        <v>5870</v>
      </c>
      <c r="AM228" s="430"/>
      <c r="AN228" s="431"/>
      <c r="AO228" s="432">
        <v>2022</v>
      </c>
      <c r="AP228" s="425">
        <v>5749</v>
      </c>
      <c r="AQ228" s="433">
        <v>3</v>
      </c>
      <c r="AR228" s="425">
        <v>5694</v>
      </c>
      <c r="AS228" s="433">
        <v>2.99</v>
      </c>
      <c r="AT228" s="434"/>
      <c r="AU228" s="431"/>
      <c r="AV228" s="435"/>
      <c r="AW228" s="432">
        <v>2020</v>
      </c>
      <c r="AX228" s="425">
        <v>4462</v>
      </c>
      <c r="AY228" s="433">
        <v>24.71</v>
      </c>
      <c r="AZ228" s="425">
        <v>4330</v>
      </c>
      <c r="BA228" s="433">
        <v>26.23</v>
      </c>
      <c r="BB228" s="434"/>
      <c r="BC228" s="431"/>
      <c r="BD228" s="435"/>
      <c r="BE228" s="432">
        <v>2021</v>
      </c>
      <c r="BF228" s="425">
        <v>4108</v>
      </c>
      <c r="BG228" s="433">
        <v>30.69</v>
      </c>
      <c r="BH228" s="425">
        <v>4008</v>
      </c>
      <c r="BI228" s="433">
        <v>31.72</v>
      </c>
      <c r="BJ228" s="434"/>
      <c r="BK228" s="431"/>
      <c r="BL228" s="435"/>
      <c r="BM228" s="432">
        <v>2022</v>
      </c>
      <c r="BN228" s="425">
        <v>4117</v>
      </c>
      <c r="BO228" s="433">
        <v>30.53</v>
      </c>
      <c r="BP228" s="425">
        <v>4087</v>
      </c>
      <c r="BQ228" s="433">
        <v>30.37</v>
      </c>
      <c r="BR228" s="434"/>
      <c r="BS228" s="431"/>
      <c r="BT228" s="435"/>
      <c r="BU228" s="1805" t="s">
        <v>687</v>
      </c>
      <c r="BV228" s="1806" t="s">
        <v>728</v>
      </c>
      <c r="BW228" s="1807" t="s">
        <v>688</v>
      </c>
      <c r="BX228" s="1808" t="s">
        <v>5113</v>
      </c>
      <c r="BY228" s="1809">
        <v>2019</v>
      </c>
      <c r="BZ228" s="424"/>
      <c r="CA228" s="424"/>
      <c r="CB228" s="430"/>
      <c r="CC228" s="431"/>
      <c r="CD228" s="432">
        <v>2022</v>
      </c>
      <c r="CE228" s="425"/>
      <c r="CF228" s="433"/>
      <c r="CG228" s="425"/>
      <c r="CH228" s="433"/>
      <c r="CI228" s="434"/>
      <c r="CJ228" s="431"/>
      <c r="CK228" s="435"/>
      <c r="CL228" s="432">
        <v>2020</v>
      </c>
      <c r="CM228" s="425"/>
      <c r="CN228" s="433"/>
      <c r="CO228" s="425"/>
      <c r="CP228" s="433"/>
      <c r="CQ228" s="434"/>
      <c r="CR228" s="431"/>
      <c r="CS228" s="435"/>
      <c r="CT228" s="432">
        <v>2021</v>
      </c>
      <c r="CU228" s="425"/>
      <c r="CV228" s="433"/>
      <c r="CW228" s="425"/>
      <c r="CX228" s="433"/>
      <c r="CY228" s="434"/>
      <c r="CZ228" s="431"/>
      <c r="DA228" s="435"/>
      <c r="DB228" s="432">
        <v>2022</v>
      </c>
      <c r="DC228" s="425">
        <v>0</v>
      </c>
      <c r="DD228" s="433"/>
      <c r="DE228" s="425">
        <v>0</v>
      </c>
      <c r="DF228" s="433"/>
      <c r="DG228" s="434"/>
      <c r="DH228" s="431"/>
      <c r="DI228" s="435">
        <v>0</v>
      </c>
      <c r="DJ228" s="1805"/>
      <c r="DK228" s="1806"/>
      <c r="DL228" s="1807"/>
      <c r="DM228" s="1808"/>
      <c r="DN228" s="1810">
        <v>0</v>
      </c>
      <c r="DO228" s="1799">
        <v>0</v>
      </c>
      <c r="DP228" s="1800">
        <v>0</v>
      </c>
      <c r="DQ228" s="1799">
        <v>0</v>
      </c>
      <c r="DR228" s="1800">
        <v>0</v>
      </c>
      <c r="DS228" s="1799">
        <v>0</v>
      </c>
    </row>
    <row r="229" spans="1:123" ht="94.5">
      <c r="A229" s="1801" t="s">
        <v>2166</v>
      </c>
      <c r="B229" s="1788" t="s">
        <v>2167</v>
      </c>
      <c r="C229" s="426">
        <v>2020</v>
      </c>
      <c r="D229" s="417" t="s">
        <v>5702</v>
      </c>
      <c r="E229" s="1802">
        <v>1080328</v>
      </c>
      <c r="F229" s="1803" t="s">
        <v>2167</v>
      </c>
      <c r="G229" s="419">
        <v>45135</v>
      </c>
      <c r="H229" s="1790" t="s">
        <v>5114</v>
      </c>
      <c r="I229" s="1791" t="s">
        <v>2167</v>
      </c>
      <c r="J229" s="1793" t="s">
        <v>5115</v>
      </c>
      <c r="K229" s="1788" t="s">
        <v>2167</v>
      </c>
      <c r="L229" s="1791" t="s">
        <v>5115</v>
      </c>
      <c r="M229" s="1793" t="s">
        <v>5116</v>
      </c>
      <c r="N229" s="1790" t="s">
        <v>90</v>
      </c>
      <c r="O229" s="1793" t="s">
        <v>92</v>
      </c>
      <c r="P229" s="420"/>
      <c r="Q229" s="421"/>
      <c r="R229" s="421"/>
      <c r="S229" s="422" t="s">
        <v>5865</v>
      </c>
      <c r="T229" s="1794"/>
      <c r="U229" s="423">
        <v>1419.1032</v>
      </c>
      <c r="V229" s="424">
        <v>11</v>
      </c>
      <c r="W229" s="424">
        <v>0</v>
      </c>
      <c r="X229" s="425"/>
      <c r="Y229" s="426">
        <v>2020</v>
      </c>
      <c r="Z229" s="417">
        <v>2022</v>
      </c>
      <c r="AA229" s="1804">
        <v>2022</v>
      </c>
      <c r="AB229" s="427"/>
      <c r="AC229" s="1793"/>
      <c r="AD229" s="428" t="s">
        <v>5863</v>
      </c>
      <c r="AE229" s="1791" t="s">
        <v>2168</v>
      </c>
      <c r="AF229" s="1791" t="s">
        <v>5116</v>
      </c>
      <c r="AG229" s="1793" t="s">
        <v>2169</v>
      </c>
      <c r="AH229" s="428"/>
      <c r="AI229" s="1793"/>
      <c r="AJ229" s="429">
        <v>2019</v>
      </c>
      <c r="AK229" s="424">
        <v>2701</v>
      </c>
      <c r="AL229" s="424">
        <v>2734</v>
      </c>
      <c r="AM229" s="430">
        <v>142.41999999999999</v>
      </c>
      <c r="AN229" s="431" t="s">
        <v>864</v>
      </c>
      <c r="AO229" s="432">
        <v>2022</v>
      </c>
      <c r="AP229" s="425">
        <v>2620</v>
      </c>
      <c r="AQ229" s="433">
        <v>2.99</v>
      </c>
      <c r="AR229" s="425">
        <v>2652</v>
      </c>
      <c r="AS229" s="433">
        <v>2.99</v>
      </c>
      <c r="AT229" s="434">
        <v>138.15</v>
      </c>
      <c r="AU229" s="431" t="s">
        <v>864</v>
      </c>
      <c r="AV229" s="435">
        <v>2.99</v>
      </c>
      <c r="AW229" s="432">
        <v>2020</v>
      </c>
      <c r="AX229" s="425">
        <v>2474</v>
      </c>
      <c r="AY229" s="433">
        <v>8.4</v>
      </c>
      <c r="AZ229" s="425">
        <v>2403</v>
      </c>
      <c r="BA229" s="433">
        <v>12.1</v>
      </c>
      <c r="BB229" s="434">
        <v>129.76</v>
      </c>
      <c r="BC229" s="431" t="s">
        <v>864</v>
      </c>
      <c r="BD229" s="435">
        <v>8.8800000000000008</v>
      </c>
      <c r="BE229" s="432">
        <v>2021</v>
      </c>
      <c r="BF229" s="425">
        <v>2625</v>
      </c>
      <c r="BG229" s="433">
        <v>2.81</v>
      </c>
      <c r="BH229" s="425">
        <v>2612</v>
      </c>
      <c r="BI229" s="433">
        <v>4.46</v>
      </c>
      <c r="BJ229" s="434">
        <v>137.66999999999999</v>
      </c>
      <c r="BK229" s="431" t="s">
        <v>864</v>
      </c>
      <c r="BL229" s="435">
        <v>3.33</v>
      </c>
      <c r="BM229" s="432">
        <v>2022</v>
      </c>
      <c r="BN229" s="425">
        <v>2579</v>
      </c>
      <c r="BO229" s="433">
        <v>4.51</v>
      </c>
      <c r="BP229" s="425">
        <v>2583</v>
      </c>
      <c r="BQ229" s="433">
        <v>5.52</v>
      </c>
      <c r="BR229" s="434">
        <v>135.25976127897215</v>
      </c>
      <c r="BS229" s="431" t="s">
        <v>864</v>
      </c>
      <c r="BT229" s="435">
        <v>5.0199999999999996</v>
      </c>
      <c r="BU229" s="1805" t="s">
        <v>719</v>
      </c>
      <c r="BV229" s="1806" t="s">
        <v>728</v>
      </c>
      <c r="BW229" s="1807" t="s">
        <v>688</v>
      </c>
      <c r="BX229" s="1808" t="s">
        <v>5117</v>
      </c>
      <c r="BY229" s="1809">
        <v>2019</v>
      </c>
      <c r="BZ229" s="424"/>
      <c r="CA229" s="424"/>
      <c r="CB229" s="430"/>
      <c r="CC229" s="431"/>
      <c r="CD229" s="432">
        <v>2022</v>
      </c>
      <c r="CE229" s="425"/>
      <c r="CF229" s="433"/>
      <c r="CG229" s="425"/>
      <c r="CH229" s="433"/>
      <c r="CI229" s="434"/>
      <c r="CJ229" s="431"/>
      <c r="CK229" s="435"/>
      <c r="CL229" s="432">
        <v>2020</v>
      </c>
      <c r="CM229" s="425"/>
      <c r="CN229" s="433"/>
      <c r="CO229" s="425"/>
      <c r="CP229" s="433"/>
      <c r="CQ229" s="434"/>
      <c r="CR229" s="431"/>
      <c r="CS229" s="435"/>
      <c r="CT229" s="432">
        <v>2021</v>
      </c>
      <c r="CU229" s="425"/>
      <c r="CV229" s="433"/>
      <c r="CW229" s="425"/>
      <c r="CX229" s="433"/>
      <c r="CY229" s="434"/>
      <c r="CZ229" s="431"/>
      <c r="DA229" s="435"/>
      <c r="DB229" s="432">
        <v>2022</v>
      </c>
      <c r="DC229" s="425">
        <v>0</v>
      </c>
      <c r="DD229" s="433"/>
      <c r="DE229" s="425">
        <v>0</v>
      </c>
      <c r="DF229" s="433"/>
      <c r="DG229" s="434"/>
      <c r="DH229" s="431"/>
      <c r="DI229" s="435">
        <v>0</v>
      </c>
      <c r="DJ229" s="1805"/>
      <c r="DK229" s="1806"/>
      <c r="DL229" s="1807"/>
      <c r="DM229" s="1808"/>
      <c r="DN229" s="1810">
        <v>0</v>
      </c>
      <c r="DO229" s="1799">
        <v>0</v>
      </c>
      <c r="DP229" s="1800">
        <v>0</v>
      </c>
      <c r="DQ229" s="1799">
        <v>0</v>
      </c>
      <c r="DR229" s="1800">
        <v>0</v>
      </c>
      <c r="DS229" s="1799">
        <v>0</v>
      </c>
    </row>
    <row r="230" spans="1:123" ht="40.5">
      <c r="A230" s="1801" t="s">
        <v>2170</v>
      </c>
      <c r="B230" s="1788" t="s">
        <v>2171</v>
      </c>
      <c r="C230" s="426">
        <v>2020</v>
      </c>
      <c r="D230" s="417" t="s">
        <v>714</v>
      </c>
      <c r="E230" s="1802">
        <v>3044329</v>
      </c>
      <c r="F230" s="1803" t="s">
        <v>2171</v>
      </c>
      <c r="G230" s="419">
        <v>45210</v>
      </c>
      <c r="H230" s="1790" t="s">
        <v>2172</v>
      </c>
      <c r="I230" s="1791" t="s">
        <v>2171</v>
      </c>
      <c r="J230" s="1793" t="s">
        <v>2173</v>
      </c>
      <c r="K230" s="1788" t="s">
        <v>2171</v>
      </c>
      <c r="L230" s="1791" t="s">
        <v>2173</v>
      </c>
      <c r="M230" s="1793" t="s">
        <v>2172</v>
      </c>
      <c r="N230" s="1790" t="s">
        <v>48</v>
      </c>
      <c r="O230" s="1793" t="s">
        <v>51</v>
      </c>
      <c r="P230" s="420"/>
      <c r="Q230" s="421"/>
      <c r="R230" s="421" t="s">
        <v>717</v>
      </c>
      <c r="S230" s="422"/>
      <c r="T230" s="1794"/>
      <c r="U230" s="423"/>
      <c r="V230" s="424"/>
      <c r="W230" s="424"/>
      <c r="X230" s="425">
        <v>328</v>
      </c>
      <c r="Y230" s="426">
        <v>2020</v>
      </c>
      <c r="Z230" s="417">
        <v>2022</v>
      </c>
      <c r="AA230" s="1804">
        <v>2022</v>
      </c>
      <c r="AB230" s="427"/>
      <c r="AC230" s="1793"/>
      <c r="AD230" s="428" t="s">
        <v>5863</v>
      </c>
      <c r="AE230" s="1791" t="s">
        <v>2174</v>
      </c>
      <c r="AF230" s="1791" t="s">
        <v>2172</v>
      </c>
      <c r="AG230" s="1793" t="s">
        <v>2175</v>
      </c>
      <c r="AH230" s="428"/>
      <c r="AI230" s="1793"/>
      <c r="AJ230" s="429">
        <v>2019</v>
      </c>
      <c r="AK230" s="424"/>
      <c r="AL230" s="424"/>
      <c r="AM230" s="430"/>
      <c r="AN230" s="431"/>
      <c r="AO230" s="432">
        <v>2022</v>
      </c>
      <c r="AP230" s="425"/>
      <c r="AQ230" s="433"/>
      <c r="AR230" s="425"/>
      <c r="AS230" s="433"/>
      <c r="AT230" s="434"/>
      <c r="AU230" s="431"/>
      <c r="AV230" s="435"/>
      <c r="AW230" s="432">
        <v>2020</v>
      </c>
      <c r="AX230" s="425"/>
      <c r="AY230" s="433"/>
      <c r="AZ230" s="425"/>
      <c r="BA230" s="433"/>
      <c r="BB230" s="434"/>
      <c r="BC230" s="431"/>
      <c r="BD230" s="435"/>
      <c r="BE230" s="432">
        <v>2021</v>
      </c>
      <c r="BF230" s="425"/>
      <c r="BG230" s="433"/>
      <c r="BH230" s="425"/>
      <c r="BI230" s="433"/>
      <c r="BJ230" s="434"/>
      <c r="BK230" s="431"/>
      <c r="BL230" s="435"/>
      <c r="BM230" s="432">
        <v>2022</v>
      </c>
      <c r="BN230" s="425">
        <v>2991</v>
      </c>
      <c r="BO230" s="433"/>
      <c r="BP230" s="425">
        <v>2991</v>
      </c>
      <c r="BQ230" s="433"/>
      <c r="BR230" s="434"/>
      <c r="BS230" s="431"/>
      <c r="BT230" s="435"/>
      <c r="BU230" s="1805"/>
      <c r="BV230" s="1806"/>
      <c r="BW230" s="1807"/>
      <c r="BX230" s="1808"/>
      <c r="BY230" s="1809">
        <v>2019</v>
      </c>
      <c r="BZ230" s="424">
        <v>2785</v>
      </c>
      <c r="CA230" s="424">
        <v>2785</v>
      </c>
      <c r="CB230" s="430"/>
      <c r="CC230" s="431"/>
      <c r="CD230" s="432">
        <v>2022</v>
      </c>
      <c r="CE230" s="425">
        <v>2702</v>
      </c>
      <c r="CF230" s="433">
        <v>2.98</v>
      </c>
      <c r="CG230" s="425">
        <v>2702</v>
      </c>
      <c r="CH230" s="433">
        <v>2.98</v>
      </c>
      <c r="CI230" s="434"/>
      <c r="CJ230" s="431"/>
      <c r="CK230" s="435"/>
      <c r="CL230" s="432">
        <v>2020</v>
      </c>
      <c r="CM230" s="425">
        <v>2692</v>
      </c>
      <c r="CN230" s="433">
        <v>3.33</v>
      </c>
      <c r="CO230" s="425">
        <v>2692</v>
      </c>
      <c r="CP230" s="433">
        <v>3.33</v>
      </c>
      <c r="CQ230" s="434"/>
      <c r="CR230" s="431"/>
      <c r="CS230" s="435"/>
      <c r="CT230" s="432">
        <v>2021</v>
      </c>
      <c r="CU230" s="425">
        <v>2790</v>
      </c>
      <c r="CV230" s="433">
        <v>-0.18</v>
      </c>
      <c r="CW230" s="425">
        <v>2790</v>
      </c>
      <c r="CX230" s="433">
        <v>-0.18</v>
      </c>
      <c r="CY230" s="434"/>
      <c r="CZ230" s="431"/>
      <c r="DA230" s="435"/>
      <c r="DB230" s="432">
        <v>2022</v>
      </c>
      <c r="DC230" s="425">
        <v>2976.0385399999996</v>
      </c>
      <c r="DD230" s="433">
        <v>-6.86</v>
      </c>
      <c r="DE230" s="425">
        <v>2976.0385399999996</v>
      </c>
      <c r="DF230" s="433">
        <v>-6.86</v>
      </c>
      <c r="DG230" s="434"/>
      <c r="DH230" s="431"/>
      <c r="DI230" s="435"/>
      <c r="DJ230" s="1805" t="s">
        <v>676</v>
      </c>
      <c r="DK230" s="1806" t="s">
        <v>728</v>
      </c>
      <c r="DL230" s="1807" t="s">
        <v>678</v>
      </c>
      <c r="DM230" s="1808" t="s">
        <v>5118</v>
      </c>
      <c r="DN230" s="1810">
        <v>0</v>
      </c>
      <c r="DO230" s="1799">
        <v>2</v>
      </c>
      <c r="DP230" s="1800">
        <v>0</v>
      </c>
      <c r="DQ230" s="1799">
        <v>0</v>
      </c>
      <c r="DR230" s="1800">
        <v>0</v>
      </c>
      <c r="DS230" s="1799">
        <v>0</v>
      </c>
    </row>
    <row r="231" spans="1:123" ht="94.5">
      <c r="A231" s="1801" t="s">
        <v>2176</v>
      </c>
      <c r="B231" s="1788" t="s">
        <v>2177</v>
      </c>
      <c r="C231" s="426">
        <v>2020</v>
      </c>
      <c r="D231" s="417" t="s">
        <v>681</v>
      </c>
      <c r="E231" s="1802">
        <v>1076330</v>
      </c>
      <c r="F231" s="1803" t="s">
        <v>2177</v>
      </c>
      <c r="G231" s="419">
        <v>45117</v>
      </c>
      <c r="H231" s="1790" t="s">
        <v>2178</v>
      </c>
      <c r="I231" s="1791" t="s">
        <v>2177</v>
      </c>
      <c r="J231" s="1793" t="s">
        <v>2179</v>
      </c>
      <c r="K231" s="1788" t="s">
        <v>2177</v>
      </c>
      <c r="L231" s="1791" t="s">
        <v>2179</v>
      </c>
      <c r="M231" s="1793" t="s">
        <v>2180</v>
      </c>
      <c r="N231" s="1790" t="s">
        <v>86</v>
      </c>
      <c r="O231" s="1793" t="s">
        <v>88</v>
      </c>
      <c r="P231" s="420" t="s">
        <v>683</v>
      </c>
      <c r="Q231" s="421"/>
      <c r="R231" s="421"/>
      <c r="S231" s="422"/>
      <c r="T231" s="1794"/>
      <c r="U231" s="423">
        <v>4663.3242</v>
      </c>
      <c r="V231" s="424">
        <v>124</v>
      </c>
      <c r="W231" s="424">
        <v>0</v>
      </c>
      <c r="X231" s="425"/>
      <c r="Y231" s="426">
        <v>2020</v>
      </c>
      <c r="Z231" s="417">
        <v>2022</v>
      </c>
      <c r="AA231" s="1804">
        <v>2022</v>
      </c>
      <c r="AB231" s="427"/>
      <c r="AC231" s="1793"/>
      <c r="AD231" s="428" t="s">
        <v>5863</v>
      </c>
      <c r="AE231" s="1791" t="s">
        <v>2181</v>
      </c>
      <c r="AF231" s="1791" t="s">
        <v>2182</v>
      </c>
      <c r="AG231" s="1793" t="s">
        <v>2183</v>
      </c>
      <c r="AH231" s="428"/>
      <c r="AI231" s="1793"/>
      <c r="AJ231" s="429">
        <v>2019</v>
      </c>
      <c r="AK231" s="424">
        <v>9381</v>
      </c>
      <c r="AL231" s="424">
        <v>9163</v>
      </c>
      <c r="AM231" s="430">
        <v>0.72</v>
      </c>
      <c r="AN231" s="431" t="s">
        <v>675</v>
      </c>
      <c r="AO231" s="432">
        <v>2022</v>
      </c>
      <c r="AP231" s="425">
        <v>9100</v>
      </c>
      <c r="AQ231" s="433">
        <v>2.99</v>
      </c>
      <c r="AR231" s="425">
        <v>8888</v>
      </c>
      <c r="AS231" s="433">
        <v>3</v>
      </c>
      <c r="AT231" s="434">
        <v>0.67103999999999997</v>
      </c>
      <c r="AU231" s="431" t="s">
        <v>675</v>
      </c>
      <c r="AV231" s="435">
        <v>6.8</v>
      </c>
      <c r="AW231" s="432">
        <v>2020</v>
      </c>
      <c r="AX231" s="425">
        <v>9515</v>
      </c>
      <c r="AY231" s="433">
        <v>-1.43</v>
      </c>
      <c r="AZ231" s="425">
        <v>9069</v>
      </c>
      <c r="BA231" s="433">
        <v>1.02</v>
      </c>
      <c r="BB231" s="434">
        <v>0.82</v>
      </c>
      <c r="BC231" s="431" t="s">
        <v>675</v>
      </c>
      <c r="BD231" s="435">
        <v>-13.89</v>
      </c>
      <c r="BE231" s="432">
        <v>2021</v>
      </c>
      <c r="BF231" s="425">
        <v>8224</v>
      </c>
      <c r="BG231" s="433">
        <v>12.33</v>
      </c>
      <c r="BH231" s="425">
        <v>8170</v>
      </c>
      <c r="BI231" s="433">
        <v>10.83</v>
      </c>
      <c r="BJ231" s="434">
        <v>0.68</v>
      </c>
      <c r="BK231" s="431" t="s">
        <v>675</v>
      </c>
      <c r="BL231" s="435">
        <v>5.55</v>
      </c>
      <c r="BM231" s="432">
        <v>2022</v>
      </c>
      <c r="BN231" s="425">
        <v>8231</v>
      </c>
      <c r="BO231" s="433">
        <v>12.25</v>
      </c>
      <c r="BP231" s="425">
        <v>8231</v>
      </c>
      <c r="BQ231" s="433">
        <v>10.17</v>
      </c>
      <c r="BR231" s="434">
        <v>0.57985206058471295</v>
      </c>
      <c r="BS231" s="431" t="s">
        <v>675</v>
      </c>
      <c r="BT231" s="435">
        <v>19.46</v>
      </c>
      <c r="BU231" s="1805" t="s">
        <v>687</v>
      </c>
      <c r="BV231" s="1806" t="s">
        <v>728</v>
      </c>
      <c r="BW231" s="1807" t="s">
        <v>678</v>
      </c>
      <c r="BX231" s="1808"/>
      <c r="BY231" s="1809">
        <v>2019</v>
      </c>
      <c r="BZ231" s="424"/>
      <c r="CA231" s="424"/>
      <c r="CB231" s="430"/>
      <c r="CC231" s="431"/>
      <c r="CD231" s="432">
        <v>2022</v>
      </c>
      <c r="CE231" s="425"/>
      <c r="CF231" s="433"/>
      <c r="CG231" s="425"/>
      <c r="CH231" s="433"/>
      <c r="CI231" s="434"/>
      <c r="CJ231" s="431"/>
      <c r="CK231" s="435"/>
      <c r="CL231" s="432">
        <v>2020</v>
      </c>
      <c r="CM231" s="425"/>
      <c r="CN231" s="433"/>
      <c r="CO231" s="425"/>
      <c r="CP231" s="433"/>
      <c r="CQ231" s="434"/>
      <c r="CR231" s="431"/>
      <c r="CS231" s="435"/>
      <c r="CT231" s="432">
        <v>2021</v>
      </c>
      <c r="CU231" s="425"/>
      <c r="CV231" s="433"/>
      <c r="CW231" s="425"/>
      <c r="CX231" s="433"/>
      <c r="CY231" s="434"/>
      <c r="CZ231" s="431"/>
      <c r="DA231" s="435"/>
      <c r="DB231" s="432">
        <v>2022</v>
      </c>
      <c r="DC231" s="425">
        <v>0</v>
      </c>
      <c r="DD231" s="433"/>
      <c r="DE231" s="425">
        <v>0</v>
      </c>
      <c r="DF231" s="433"/>
      <c r="DG231" s="434"/>
      <c r="DH231" s="431"/>
      <c r="DI231" s="435">
        <v>0</v>
      </c>
      <c r="DJ231" s="1805"/>
      <c r="DK231" s="1806"/>
      <c r="DL231" s="1807"/>
      <c r="DM231" s="1808"/>
      <c r="DN231" s="1810">
        <v>0</v>
      </c>
      <c r="DO231" s="1799">
        <v>0</v>
      </c>
      <c r="DP231" s="1800">
        <v>0</v>
      </c>
      <c r="DQ231" s="1799">
        <v>0</v>
      </c>
      <c r="DR231" s="1800">
        <v>0</v>
      </c>
      <c r="DS231" s="1799">
        <v>0</v>
      </c>
    </row>
    <row r="232" spans="1:123" ht="54">
      <c r="A232" s="1801" t="s">
        <v>2184</v>
      </c>
      <c r="B232" s="1788" t="s">
        <v>2185</v>
      </c>
      <c r="C232" s="426">
        <v>2020</v>
      </c>
      <c r="D232" s="417" t="s">
        <v>681</v>
      </c>
      <c r="E232" s="1802">
        <v>1052332</v>
      </c>
      <c r="F232" s="1803" t="s">
        <v>2185</v>
      </c>
      <c r="G232" s="419">
        <v>45138</v>
      </c>
      <c r="H232" s="1790" t="s">
        <v>2186</v>
      </c>
      <c r="I232" s="1791" t="s">
        <v>2185</v>
      </c>
      <c r="J232" s="1793" t="s">
        <v>2187</v>
      </c>
      <c r="K232" s="1788" t="s">
        <v>2185</v>
      </c>
      <c r="L232" s="1791" t="s">
        <v>2188</v>
      </c>
      <c r="M232" s="1793" t="s">
        <v>2186</v>
      </c>
      <c r="N232" s="1790" t="s">
        <v>57</v>
      </c>
      <c r="O232" s="1793" t="s">
        <v>66</v>
      </c>
      <c r="P232" s="420" t="s">
        <v>683</v>
      </c>
      <c r="Q232" s="421"/>
      <c r="R232" s="421"/>
      <c r="S232" s="422"/>
      <c r="T232" s="1794"/>
      <c r="U232" s="423">
        <v>4199.3886000000002</v>
      </c>
      <c r="V232" s="424">
        <v>17</v>
      </c>
      <c r="W232" s="424">
        <v>0</v>
      </c>
      <c r="X232" s="425">
        <v>1</v>
      </c>
      <c r="Y232" s="426">
        <v>2020</v>
      </c>
      <c r="Z232" s="417">
        <v>2022</v>
      </c>
      <c r="AA232" s="1804">
        <v>2022</v>
      </c>
      <c r="AB232" s="427"/>
      <c r="AC232" s="1793"/>
      <c r="AD232" s="428" t="s">
        <v>5863</v>
      </c>
      <c r="AE232" s="1791" t="s">
        <v>2189</v>
      </c>
      <c r="AF232" s="1791" t="s">
        <v>2190</v>
      </c>
      <c r="AG232" s="1793" t="s">
        <v>751</v>
      </c>
      <c r="AH232" s="428"/>
      <c r="AI232" s="1793"/>
      <c r="AJ232" s="429">
        <v>2019</v>
      </c>
      <c r="AK232" s="424">
        <v>8575</v>
      </c>
      <c r="AL232" s="424">
        <v>9468</v>
      </c>
      <c r="AM232" s="430">
        <v>1.51</v>
      </c>
      <c r="AN232" s="431" t="s">
        <v>2151</v>
      </c>
      <c r="AO232" s="432">
        <v>2022</v>
      </c>
      <c r="AP232" s="425">
        <v>9527</v>
      </c>
      <c r="AQ232" s="433">
        <v>-11.11</v>
      </c>
      <c r="AR232" s="425">
        <v>10575</v>
      </c>
      <c r="AS232" s="433">
        <v>-11.7</v>
      </c>
      <c r="AT232" s="434">
        <v>1.46</v>
      </c>
      <c r="AU232" s="431" t="s">
        <v>2151</v>
      </c>
      <c r="AV232" s="435">
        <v>3.31</v>
      </c>
      <c r="AW232" s="432">
        <v>2020</v>
      </c>
      <c r="AX232" s="425">
        <v>8368</v>
      </c>
      <c r="AY232" s="433">
        <v>2.41</v>
      </c>
      <c r="AZ232" s="425">
        <v>7766</v>
      </c>
      <c r="BA232" s="433">
        <v>17.97</v>
      </c>
      <c r="BB232" s="434">
        <v>1.45</v>
      </c>
      <c r="BC232" s="431" t="s">
        <v>2151</v>
      </c>
      <c r="BD232" s="435">
        <v>3.97</v>
      </c>
      <c r="BE232" s="432">
        <v>2021</v>
      </c>
      <c r="BF232" s="425">
        <v>7340</v>
      </c>
      <c r="BG232" s="433">
        <v>14.4</v>
      </c>
      <c r="BH232" s="425">
        <v>7862</v>
      </c>
      <c r="BI232" s="433">
        <v>16.96</v>
      </c>
      <c r="BJ232" s="434">
        <v>1.34</v>
      </c>
      <c r="BK232" s="431" t="s">
        <v>2151</v>
      </c>
      <c r="BL232" s="435">
        <v>11.25</v>
      </c>
      <c r="BM232" s="432">
        <v>2022</v>
      </c>
      <c r="BN232" s="425">
        <v>7467</v>
      </c>
      <c r="BO232" s="433">
        <v>12.92</v>
      </c>
      <c r="BP232" s="425">
        <v>7450</v>
      </c>
      <c r="BQ232" s="433">
        <v>21.31</v>
      </c>
      <c r="BR232" s="434">
        <v>1.3606049562682216</v>
      </c>
      <c r="BS232" s="431" t="s">
        <v>2151</v>
      </c>
      <c r="BT232" s="435">
        <v>9.89</v>
      </c>
      <c r="BU232" s="1805" t="s">
        <v>687</v>
      </c>
      <c r="BV232" s="1806" t="s">
        <v>728</v>
      </c>
      <c r="BW232" s="1807" t="s">
        <v>688</v>
      </c>
      <c r="BX232" s="1808"/>
      <c r="BY232" s="1809">
        <v>2019</v>
      </c>
      <c r="BZ232" s="424"/>
      <c r="CA232" s="424"/>
      <c r="CB232" s="430"/>
      <c r="CC232" s="431"/>
      <c r="CD232" s="432">
        <v>2022</v>
      </c>
      <c r="CE232" s="425"/>
      <c r="CF232" s="433"/>
      <c r="CG232" s="425"/>
      <c r="CH232" s="433"/>
      <c r="CI232" s="434"/>
      <c r="CJ232" s="431"/>
      <c r="CK232" s="435"/>
      <c r="CL232" s="432">
        <v>2020</v>
      </c>
      <c r="CM232" s="425"/>
      <c r="CN232" s="433"/>
      <c r="CO232" s="425"/>
      <c r="CP232" s="433"/>
      <c r="CQ232" s="434"/>
      <c r="CR232" s="431"/>
      <c r="CS232" s="435"/>
      <c r="CT232" s="432">
        <v>2021</v>
      </c>
      <c r="CU232" s="425"/>
      <c r="CV232" s="433"/>
      <c r="CW232" s="425"/>
      <c r="CX232" s="433"/>
      <c r="CY232" s="434"/>
      <c r="CZ232" s="431"/>
      <c r="DA232" s="435"/>
      <c r="DB232" s="432">
        <v>2022</v>
      </c>
      <c r="DC232" s="425">
        <v>0</v>
      </c>
      <c r="DD232" s="433"/>
      <c r="DE232" s="425">
        <v>0</v>
      </c>
      <c r="DF232" s="433"/>
      <c r="DG232" s="434"/>
      <c r="DH232" s="431"/>
      <c r="DI232" s="435"/>
      <c r="DJ232" s="1805"/>
      <c r="DK232" s="1806"/>
      <c r="DL232" s="1807"/>
      <c r="DM232" s="1808"/>
      <c r="DN232" s="1810">
        <v>0</v>
      </c>
      <c r="DO232" s="1799">
        <v>0</v>
      </c>
      <c r="DP232" s="1800">
        <v>0</v>
      </c>
      <c r="DQ232" s="1799">
        <v>0</v>
      </c>
      <c r="DR232" s="1800">
        <v>0</v>
      </c>
      <c r="DS232" s="1799">
        <v>0</v>
      </c>
    </row>
    <row r="233" spans="1:123" ht="67.5">
      <c r="A233" s="1801" t="s">
        <v>2191</v>
      </c>
      <c r="B233" s="1788" t="s">
        <v>2192</v>
      </c>
      <c r="C233" s="426">
        <v>2020</v>
      </c>
      <c r="D233" s="417" t="s">
        <v>681</v>
      </c>
      <c r="E233" s="1802">
        <v>1058333</v>
      </c>
      <c r="F233" s="1803" t="s">
        <v>2192</v>
      </c>
      <c r="G233" s="419">
        <v>45120</v>
      </c>
      <c r="H233" s="1790" t="s">
        <v>2193</v>
      </c>
      <c r="I233" s="1791" t="s">
        <v>2192</v>
      </c>
      <c r="J233" s="1793" t="s">
        <v>2194</v>
      </c>
      <c r="K233" s="1788" t="s">
        <v>2192</v>
      </c>
      <c r="L233" s="1791" t="s">
        <v>2194</v>
      </c>
      <c r="M233" s="1793" t="s">
        <v>2193</v>
      </c>
      <c r="N233" s="1790" t="s">
        <v>57</v>
      </c>
      <c r="O233" s="1793" t="s">
        <v>66</v>
      </c>
      <c r="P233" s="420" t="s">
        <v>683</v>
      </c>
      <c r="Q233" s="421"/>
      <c r="R233" s="421"/>
      <c r="S233" s="422"/>
      <c r="T233" s="1794"/>
      <c r="U233" s="423">
        <v>10893.379200000001</v>
      </c>
      <c r="V233" s="424">
        <v>24</v>
      </c>
      <c r="W233" s="424">
        <v>8</v>
      </c>
      <c r="X233" s="425"/>
      <c r="Y233" s="426">
        <v>2020</v>
      </c>
      <c r="Z233" s="417">
        <v>2022</v>
      </c>
      <c r="AA233" s="1804">
        <v>2022</v>
      </c>
      <c r="AB233" s="427"/>
      <c r="AC233" s="1793"/>
      <c r="AD233" s="428" t="s">
        <v>5863</v>
      </c>
      <c r="AE233" s="1791" t="s">
        <v>2195</v>
      </c>
      <c r="AF233" s="1791" t="s">
        <v>2193</v>
      </c>
      <c r="AG233" s="1793" t="s">
        <v>2196</v>
      </c>
      <c r="AH233" s="428"/>
      <c r="AI233" s="1793"/>
      <c r="AJ233" s="429">
        <v>2019</v>
      </c>
      <c r="AK233" s="424">
        <v>19532</v>
      </c>
      <c r="AL233" s="424">
        <v>19009</v>
      </c>
      <c r="AM233" s="430"/>
      <c r="AN233" s="431"/>
      <c r="AO233" s="432">
        <v>2022</v>
      </c>
      <c r="AP233" s="425">
        <v>19337</v>
      </c>
      <c r="AQ233" s="433">
        <v>0.99</v>
      </c>
      <c r="AR233" s="425">
        <v>18819</v>
      </c>
      <c r="AS233" s="433">
        <v>0.99</v>
      </c>
      <c r="AT233" s="434"/>
      <c r="AU233" s="431"/>
      <c r="AV233" s="435"/>
      <c r="AW233" s="432">
        <v>2020</v>
      </c>
      <c r="AX233" s="425">
        <v>19864</v>
      </c>
      <c r="AY233" s="433">
        <v>-1.7</v>
      </c>
      <c r="AZ233" s="425">
        <v>18816</v>
      </c>
      <c r="BA233" s="433">
        <v>1.01</v>
      </c>
      <c r="BB233" s="434"/>
      <c r="BC233" s="431"/>
      <c r="BD233" s="435"/>
      <c r="BE233" s="432">
        <v>2021</v>
      </c>
      <c r="BF233" s="425">
        <v>19103</v>
      </c>
      <c r="BG233" s="433">
        <v>2.19</v>
      </c>
      <c r="BH233" s="425">
        <v>18943</v>
      </c>
      <c r="BI233" s="433">
        <v>0.34</v>
      </c>
      <c r="BJ233" s="434"/>
      <c r="BK233" s="431"/>
      <c r="BL233" s="435"/>
      <c r="BM233" s="432">
        <v>2022</v>
      </c>
      <c r="BN233" s="425">
        <v>19556</v>
      </c>
      <c r="BO233" s="433">
        <v>-0.13</v>
      </c>
      <c r="BP233" s="425">
        <v>19512</v>
      </c>
      <c r="BQ233" s="433">
        <v>-2.65</v>
      </c>
      <c r="BR233" s="434"/>
      <c r="BS233" s="431"/>
      <c r="BT233" s="435"/>
      <c r="BU233" s="1805" t="s">
        <v>676</v>
      </c>
      <c r="BV233" s="1806" t="s">
        <v>728</v>
      </c>
      <c r="BW233" s="1807" t="s">
        <v>678</v>
      </c>
      <c r="BX233" s="1808"/>
      <c r="BY233" s="1809">
        <v>2019</v>
      </c>
      <c r="BZ233" s="424"/>
      <c r="CA233" s="424"/>
      <c r="CB233" s="430"/>
      <c r="CC233" s="431"/>
      <c r="CD233" s="432">
        <v>2022</v>
      </c>
      <c r="CE233" s="425"/>
      <c r="CF233" s="433"/>
      <c r="CG233" s="425"/>
      <c r="CH233" s="433"/>
      <c r="CI233" s="434"/>
      <c r="CJ233" s="431"/>
      <c r="CK233" s="435"/>
      <c r="CL233" s="432">
        <v>2020</v>
      </c>
      <c r="CM233" s="425"/>
      <c r="CN233" s="433"/>
      <c r="CO233" s="425"/>
      <c r="CP233" s="433"/>
      <c r="CQ233" s="434"/>
      <c r="CR233" s="431"/>
      <c r="CS233" s="435"/>
      <c r="CT233" s="432">
        <v>2021</v>
      </c>
      <c r="CU233" s="425"/>
      <c r="CV233" s="433"/>
      <c r="CW233" s="425"/>
      <c r="CX233" s="433"/>
      <c r="CY233" s="434"/>
      <c r="CZ233" s="431"/>
      <c r="DA233" s="435"/>
      <c r="DB233" s="432">
        <v>2022</v>
      </c>
      <c r="DC233" s="425">
        <v>0</v>
      </c>
      <c r="DD233" s="433"/>
      <c r="DE233" s="425">
        <v>0</v>
      </c>
      <c r="DF233" s="433"/>
      <c r="DG233" s="434"/>
      <c r="DH233" s="431"/>
      <c r="DI233" s="435">
        <v>0</v>
      </c>
      <c r="DJ233" s="1805"/>
      <c r="DK233" s="1806"/>
      <c r="DL233" s="1807"/>
      <c r="DM233" s="1808"/>
      <c r="DN233" s="1810">
        <v>0</v>
      </c>
      <c r="DO233" s="1799">
        <v>0</v>
      </c>
      <c r="DP233" s="1800">
        <v>0</v>
      </c>
      <c r="DQ233" s="1799">
        <v>0</v>
      </c>
      <c r="DR233" s="1800">
        <v>0</v>
      </c>
      <c r="DS233" s="1799">
        <v>0</v>
      </c>
    </row>
    <row r="234" spans="1:123" ht="121.5">
      <c r="A234" s="1801" t="s">
        <v>2197</v>
      </c>
      <c r="B234" s="1788" t="s">
        <v>2198</v>
      </c>
      <c r="C234" s="426">
        <v>2021</v>
      </c>
      <c r="D234" s="417" t="s">
        <v>681</v>
      </c>
      <c r="E234" s="1802">
        <v>1069336</v>
      </c>
      <c r="F234" s="1803" t="s">
        <v>2198</v>
      </c>
      <c r="G234" s="419">
        <v>45135</v>
      </c>
      <c r="H234" s="1790" t="s">
        <v>2199</v>
      </c>
      <c r="I234" s="1791" t="s">
        <v>2198</v>
      </c>
      <c r="J234" s="1793" t="s">
        <v>2200</v>
      </c>
      <c r="K234" s="1788" t="s">
        <v>2198</v>
      </c>
      <c r="L234" s="1791" t="s">
        <v>2200</v>
      </c>
      <c r="M234" s="1793" t="s">
        <v>2201</v>
      </c>
      <c r="N234" s="1790" t="s">
        <v>70</v>
      </c>
      <c r="O234" s="1793" t="s">
        <v>73</v>
      </c>
      <c r="P234" s="420" t="s">
        <v>683</v>
      </c>
      <c r="Q234" s="421"/>
      <c r="R234" s="421"/>
      <c r="S234" s="422"/>
      <c r="T234" s="1794"/>
      <c r="U234" s="423">
        <v>1510.0740000000001</v>
      </c>
      <c r="V234" s="424">
        <v>5</v>
      </c>
      <c r="W234" s="424">
        <v>1</v>
      </c>
      <c r="X234" s="425"/>
      <c r="Y234" s="426">
        <v>2021</v>
      </c>
      <c r="Z234" s="417">
        <v>2023</v>
      </c>
      <c r="AA234" s="1804">
        <v>2022</v>
      </c>
      <c r="AB234" s="427"/>
      <c r="AC234" s="1793"/>
      <c r="AD234" s="428" t="s">
        <v>5863</v>
      </c>
      <c r="AE234" s="1791" t="s">
        <v>2202</v>
      </c>
      <c r="AF234" s="1791" t="s">
        <v>2203</v>
      </c>
      <c r="AG234" s="1793" t="s">
        <v>2204</v>
      </c>
      <c r="AH234" s="428"/>
      <c r="AI234" s="1793"/>
      <c r="AJ234" s="429">
        <v>2020</v>
      </c>
      <c r="AK234" s="424">
        <v>1875</v>
      </c>
      <c r="AL234" s="424">
        <v>2912</v>
      </c>
      <c r="AM234" s="430">
        <v>41.38</v>
      </c>
      <c r="AN234" s="431" t="s">
        <v>727</v>
      </c>
      <c r="AO234" s="432">
        <v>2023</v>
      </c>
      <c r="AP234" s="425">
        <v>1818.75</v>
      </c>
      <c r="AQ234" s="433">
        <v>3</v>
      </c>
      <c r="AR234" s="425">
        <v>2824.64</v>
      </c>
      <c r="AS234" s="433">
        <v>3</v>
      </c>
      <c r="AT234" s="434">
        <v>40.138600000000004</v>
      </c>
      <c r="AU234" s="431" t="s">
        <v>727</v>
      </c>
      <c r="AV234" s="435">
        <v>3</v>
      </c>
      <c r="AW234" s="432">
        <v>2021</v>
      </c>
      <c r="AX234" s="425">
        <v>2319</v>
      </c>
      <c r="AY234" s="433">
        <v>-23.68</v>
      </c>
      <c r="AZ234" s="425">
        <v>3032</v>
      </c>
      <c r="BA234" s="433">
        <v>-4.13</v>
      </c>
      <c r="BB234" s="434">
        <v>51.36</v>
      </c>
      <c r="BC234" s="431" t="s">
        <v>727</v>
      </c>
      <c r="BD234" s="435">
        <v>-24.12</v>
      </c>
      <c r="BE234" s="432">
        <v>2022</v>
      </c>
      <c r="BF234" s="425">
        <v>2724</v>
      </c>
      <c r="BG234" s="433">
        <v>-45.28</v>
      </c>
      <c r="BH234" s="425">
        <v>3263</v>
      </c>
      <c r="BI234" s="433">
        <v>-12.06</v>
      </c>
      <c r="BJ234" s="434">
        <v>61.769369297664241</v>
      </c>
      <c r="BK234" s="431" t="s">
        <v>727</v>
      </c>
      <c r="BL234" s="435">
        <v>-49.28</v>
      </c>
      <c r="BM234" s="432">
        <v>2023</v>
      </c>
      <c r="BN234" s="425"/>
      <c r="BO234" s="433"/>
      <c r="BP234" s="425"/>
      <c r="BQ234" s="433"/>
      <c r="BR234" s="434"/>
      <c r="BS234" s="431"/>
      <c r="BT234" s="435"/>
      <c r="BU234" s="1805" t="s">
        <v>676</v>
      </c>
      <c r="BV234" s="1806" t="s">
        <v>728</v>
      </c>
      <c r="BW234" s="1807" t="s">
        <v>688</v>
      </c>
      <c r="BX234" s="1808" t="s">
        <v>5119</v>
      </c>
      <c r="BY234" s="1809">
        <v>2020</v>
      </c>
      <c r="BZ234" s="424"/>
      <c r="CA234" s="424"/>
      <c r="CB234" s="430"/>
      <c r="CC234" s="431"/>
      <c r="CD234" s="432">
        <v>2023</v>
      </c>
      <c r="CE234" s="425"/>
      <c r="CF234" s="433"/>
      <c r="CG234" s="425"/>
      <c r="CH234" s="433"/>
      <c r="CI234" s="434"/>
      <c r="CJ234" s="431"/>
      <c r="CK234" s="435"/>
      <c r="CL234" s="432">
        <v>2021</v>
      </c>
      <c r="CM234" s="425"/>
      <c r="CN234" s="433"/>
      <c r="CO234" s="425"/>
      <c r="CP234" s="433"/>
      <c r="CQ234" s="434"/>
      <c r="CR234" s="431"/>
      <c r="CS234" s="435"/>
      <c r="CT234" s="432">
        <v>2022</v>
      </c>
      <c r="CU234" s="425">
        <v>0</v>
      </c>
      <c r="CV234" s="433"/>
      <c r="CW234" s="425">
        <v>0</v>
      </c>
      <c r="CX234" s="433"/>
      <c r="CY234" s="434"/>
      <c r="CZ234" s="431"/>
      <c r="DA234" s="435">
        <v>0</v>
      </c>
      <c r="DB234" s="432">
        <v>2023</v>
      </c>
      <c r="DC234" s="425"/>
      <c r="DD234" s="433"/>
      <c r="DE234" s="425"/>
      <c r="DF234" s="433"/>
      <c r="DG234" s="434"/>
      <c r="DH234" s="431"/>
      <c r="DI234" s="435"/>
      <c r="DJ234" s="1805"/>
      <c r="DK234" s="1806"/>
      <c r="DL234" s="1807"/>
      <c r="DM234" s="1808"/>
      <c r="DN234" s="1810">
        <v>0</v>
      </c>
      <c r="DO234" s="1799">
        <v>0</v>
      </c>
      <c r="DP234" s="1800">
        <v>0</v>
      </c>
      <c r="DQ234" s="1799">
        <v>0</v>
      </c>
      <c r="DR234" s="1800">
        <v>0</v>
      </c>
      <c r="DS234" s="1799">
        <v>0</v>
      </c>
    </row>
    <row r="235" spans="1:123" ht="67.5">
      <c r="A235" s="1801" t="s">
        <v>2205</v>
      </c>
      <c r="B235" s="1788" t="s">
        <v>2207</v>
      </c>
      <c r="C235" s="426">
        <v>2021</v>
      </c>
      <c r="D235" s="417" t="s">
        <v>681</v>
      </c>
      <c r="E235" s="1802">
        <v>1083337</v>
      </c>
      <c r="F235" s="1803" t="s">
        <v>2207</v>
      </c>
      <c r="G235" s="419">
        <v>45135</v>
      </c>
      <c r="H235" s="1790" t="s">
        <v>2206</v>
      </c>
      <c r="I235" s="1791" t="s">
        <v>2207</v>
      </c>
      <c r="J235" s="1793" t="s">
        <v>2208</v>
      </c>
      <c r="K235" s="1788" t="s">
        <v>2207</v>
      </c>
      <c r="L235" s="1791" t="s">
        <v>2208</v>
      </c>
      <c r="M235" s="1793" t="s">
        <v>2209</v>
      </c>
      <c r="N235" s="1790" t="s">
        <v>523</v>
      </c>
      <c r="O235" s="1793" t="s">
        <v>96</v>
      </c>
      <c r="P235" s="420" t="s">
        <v>683</v>
      </c>
      <c r="Q235" s="421"/>
      <c r="R235" s="421"/>
      <c r="S235" s="422"/>
      <c r="T235" s="1794"/>
      <c r="U235" s="423">
        <v>4909.9979999999996</v>
      </c>
      <c r="V235" s="424">
        <v>1</v>
      </c>
      <c r="W235" s="424">
        <v>1</v>
      </c>
      <c r="X235" s="425"/>
      <c r="Y235" s="426">
        <v>2021</v>
      </c>
      <c r="Z235" s="417">
        <v>2023</v>
      </c>
      <c r="AA235" s="1804">
        <v>2022</v>
      </c>
      <c r="AB235" s="427"/>
      <c r="AC235" s="1793"/>
      <c r="AD235" s="428" t="s">
        <v>5863</v>
      </c>
      <c r="AE235" s="1791" t="s">
        <v>2210</v>
      </c>
      <c r="AF235" s="1791" t="s">
        <v>2211</v>
      </c>
      <c r="AG235" s="1793" t="s">
        <v>2212</v>
      </c>
      <c r="AH235" s="428"/>
      <c r="AI235" s="1793"/>
      <c r="AJ235" s="429">
        <v>2020</v>
      </c>
      <c r="AK235" s="424">
        <v>9089</v>
      </c>
      <c r="AL235" s="424">
        <v>8882</v>
      </c>
      <c r="AM235" s="430"/>
      <c r="AN235" s="431"/>
      <c r="AO235" s="432">
        <v>2023</v>
      </c>
      <c r="AP235" s="425">
        <v>8953</v>
      </c>
      <c r="AQ235" s="433">
        <v>1.49</v>
      </c>
      <c r="AR235" s="425">
        <v>8749</v>
      </c>
      <c r="AS235" s="433">
        <v>1.49</v>
      </c>
      <c r="AT235" s="434"/>
      <c r="AU235" s="431"/>
      <c r="AV235" s="435"/>
      <c r="AW235" s="432">
        <v>2021</v>
      </c>
      <c r="AX235" s="425">
        <v>9137</v>
      </c>
      <c r="AY235" s="433">
        <v>-0.53</v>
      </c>
      <c r="AZ235" s="425">
        <v>9081</v>
      </c>
      <c r="BA235" s="433">
        <v>-2.25</v>
      </c>
      <c r="BB235" s="434"/>
      <c r="BC235" s="431"/>
      <c r="BD235" s="435"/>
      <c r="BE235" s="432">
        <v>2022</v>
      </c>
      <c r="BF235" s="425">
        <v>9108</v>
      </c>
      <c r="BG235" s="433">
        <v>-0.21</v>
      </c>
      <c r="BH235" s="425">
        <v>9094</v>
      </c>
      <c r="BI235" s="433">
        <v>-2.39</v>
      </c>
      <c r="BJ235" s="434"/>
      <c r="BK235" s="431"/>
      <c r="BL235" s="435"/>
      <c r="BM235" s="432">
        <v>2023</v>
      </c>
      <c r="BN235" s="425"/>
      <c r="BO235" s="433"/>
      <c r="BP235" s="425"/>
      <c r="BQ235" s="433"/>
      <c r="BR235" s="434"/>
      <c r="BS235" s="431"/>
      <c r="BT235" s="435"/>
      <c r="BU235" s="1805" t="s">
        <v>676</v>
      </c>
      <c r="BV235" s="1806" t="s">
        <v>728</v>
      </c>
      <c r="BW235" s="1807" t="s">
        <v>678</v>
      </c>
      <c r="BX235" s="1808" t="s">
        <v>5120</v>
      </c>
      <c r="BY235" s="1809">
        <v>2020</v>
      </c>
      <c r="BZ235" s="424"/>
      <c r="CA235" s="424"/>
      <c r="CB235" s="430"/>
      <c r="CC235" s="431"/>
      <c r="CD235" s="432">
        <v>2023</v>
      </c>
      <c r="CE235" s="425"/>
      <c r="CF235" s="433"/>
      <c r="CG235" s="425"/>
      <c r="CH235" s="433"/>
      <c r="CI235" s="434"/>
      <c r="CJ235" s="431"/>
      <c r="CK235" s="435"/>
      <c r="CL235" s="432">
        <v>2021</v>
      </c>
      <c r="CM235" s="425"/>
      <c r="CN235" s="433"/>
      <c r="CO235" s="425"/>
      <c r="CP235" s="433"/>
      <c r="CQ235" s="434"/>
      <c r="CR235" s="431"/>
      <c r="CS235" s="435"/>
      <c r="CT235" s="432">
        <v>2022</v>
      </c>
      <c r="CU235" s="425">
        <v>0</v>
      </c>
      <c r="CV235" s="433"/>
      <c r="CW235" s="425">
        <v>0</v>
      </c>
      <c r="CX235" s="433"/>
      <c r="CY235" s="434"/>
      <c r="CZ235" s="431"/>
      <c r="DA235" s="435"/>
      <c r="DB235" s="432">
        <v>2023</v>
      </c>
      <c r="DC235" s="425"/>
      <c r="DD235" s="433"/>
      <c r="DE235" s="425"/>
      <c r="DF235" s="433"/>
      <c r="DG235" s="434"/>
      <c r="DH235" s="431"/>
      <c r="DI235" s="435"/>
      <c r="DJ235" s="1805"/>
      <c r="DK235" s="1806"/>
      <c r="DL235" s="1807"/>
      <c r="DM235" s="1808"/>
      <c r="DN235" s="1810">
        <v>0</v>
      </c>
      <c r="DO235" s="1799">
        <v>0</v>
      </c>
      <c r="DP235" s="1800">
        <v>0</v>
      </c>
      <c r="DQ235" s="1799">
        <v>0</v>
      </c>
      <c r="DR235" s="1800">
        <v>0</v>
      </c>
      <c r="DS235" s="1799">
        <v>0</v>
      </c>
    </row>
    <row r="236" spans="1:123" ht="67.5">
      <c r="A236" s="1801" t="s">
        <v>2213</v>
      </c>
      <c r="B236" s="1788" t="s">
        <v>2217</v>
      </c>
      <c r="C236" s="426">
        <v>2021</v>
      </c>
      <c r="D236" s="417" t="s">
        <v>681</v>
      </c>
      <c r="E236" s="1802">
        <v>1017338</v>
      </c>
      <c r="F236" s="1803" t="s">
        <v>2217</v>
      </c>
      <c r="G236" s="419">
        <v>45133</v>
      </c>
      <c r="H236" s="1790" t="s">
        <v>2215</v>
      </c>
      <c r="I236" s="1791" t="s">
        <v>2214</v>
      </c>
      <c r="J236" s="1793" t="s">
        <v>2216</v>
      </c>
      <c r="K236" s="1788" t="s">
        <v>2217</v>
      </c>
      <c r="L236" s="1791" t="s">
        <v>2218</v>
      </c>
      <c r="M236" s="1793" t="s">
        <v>2219</v>
      </c>
      <c r="N236" s="1790" t="s">
        <v>12</v>
      </c>
      <c r="O236" s="1793" t="s">
        <v>21</v>
      </c>
      <c r="P236" s="420" t="s">
        <v>683</v>
      </c>
      <c r="Q236" s="421"/>
      <c r="R236" s="421"/>
      <c r="S236" s="422"/>
      <c r="T236" s="1794"/>
      <c r="U236" s="423">
        <v>1991.9664</v>
      </c>
      <c r="V236" s="424">
        <v>1</v>
      </c>
      <c r="W236" s="424">
        <v>1</v>
      </c>
      <c r="X236" s="425"/>
      <c r="Y236" s="426">
        <v>2021</v>
      </c>
      <c r="Z236" s="417">
        <v>2023</v>
      </c>
      <c r="AA236" s="1804">
        <v>2022</v>
      </c>
      <c r="AB236" s="427"/>
      <c r="AC236" s="1793"/>
      <c r="AD236" s="428" t="s">
        <v>5863</v>
      </c>
      <c r="AE236" s="1791" t="s">
        <v>2220</v>
      </c>
      <c r="AF236" s="1791" t="s">
        <v>2221</v>
      </c>
      <c r="AG236" s="1793" t="s">
        <v>2222</v>
      </c>
      <c r="AH236" s="428"/>
      <c r="AI236" s="1793"/>
      <c r="AJ236" s="429">
        <v>2020</v>
      </c>
      <c r="AK236" s="424">
        <v>4388</v>
      </c>
      <c r="AL236" s="424">
        <v>4483</v>
      </c>
      <c r="AM236" s="430">
        <v>21.67</v>
      </c>
      <c r="AN236" s="431" t="s">
        <v>2223</v>
      </c>
      <c r="AO236" s="432">
        <v>2023</v>
      </c>
      <c r="AP236" s="425">
        <v>4344</v>
      </c>
      <c r="AQ236" s="433">
        <v>1</v>
      </c>
      <c r="AR236" s="425">
        <v>4438</v>
      </c>
      <c r="AS236" s="433">
        <v>1</v>
      </c>
      <c r="AT236" s="434">
        <v>21.45</v>
      </c>
      <c r="AU236" s="431" t="s">
        <v>2223</v>
      </c>
      <c r="AV236" s="435">
        <v>1.01</v>
      </c>
      <c r="AW236" s="432">
        <v>2021</v>
      </c>
      <c r="AX236" s="425">
        <v>4466</v>
      </c>
      <c r="AY236" s="433">
        <v>-1.78</v>
      </c>
      <c r="AZ236" s="425">
        <v>4830</v>
      </c>
      <c r="BA236" s="433">
        <v>-7.75</v>
      </c>
      <c r="BB236" s="434">
        <v>21.41</v>
      </c>
      <c r="BC236" s="431" t="s">
        <v>2223</v>
      </c>
      <c r="BD236" s="435">
        <v>1.19</v>
      </c>
      <c r="BE236" s="432">
        <v>2022</v>
      </c>
      <c r="BF236" s="425">
        <v>4073</v>
      </c>
      <c r="BG236" s="433">
        <v>7.17</v>
      </c>
      <c r="BH236" s="425">
        <v>3137</v>
      </c>
      <c r="BI236" s="433">
        <v>30.02</v>
      </c>
      <c r="BJ236" s="434">
        <v>20.887179487179488</v>
      </c>
      <c r="BK236" s="431" t="s">
        <v>2223</v>
      </c>
      <c r="BL236" s="435">
        <v>3.61</v>
      </c>
      <c r="BM236" s="432">
        <v>2023</v>
      </c>
      <c r="BN236" s="425"/>
      <c r="BO236" s="433"/>
      <c r="BP236" s="425"/>
      <c r="BQ236" s="433"/>
      <c r="BR236" s="434"/>
      <c r="BS236" s="431"/>
      <c r="BT236" s="435"/>
      <c r="BU236" s="1805" t="s">
        <v>687</v>
      </c>
      <c r="BV236" s="1806" t="s">
        <v>728</v>
      </c>
      <c r="BW236" s="1807" t="s">
        <v>688</v>
      </c>
      <c r="BX236" s="1808" t="s">
        <v>2224</v>
      </c>
      <c r="BY236" s="1809">
        <v>2020</v>
      </c>
      <c r="BZ236" s="424"/>
      <c r="CA236" s="424"/>
      <c r="CB236" s="430"/>
      <c r="CC236" s="431"/>
      <c r="CD236" s="432">
        <v>2023</v>
      </c>
      <c r="CE236" s="425"/>
      <c r="CF236" s="433"/>
      <c r="CG236" s="425"/>
      <c r="CH236" s="433"/>
      <c r="CI236" s="434"/>
      <c r="CJ236" s="431"/>
      <c r="CK236" s="435"/>
      <c r="CL236" s="432">
        <v>2021</v>
      </c>
      <c r="CM236" s="425"/>
      <c r="CN236" s="433"/>
      <c r="CO236" s="425"/>
      <c r="CP236" s="433"/>
      <c r="CQ236" s="434"/>
      <c r="CR236" s="431"/>
      <c r="CS236" s="435"/>
      <c r="CT236" s="432">
        <v>2022</v>
      </c>
      <c r="CU236" s="425">
        <v>0</v>
      </c>
      <c r="CV236" s="433"/>
      <c r="CW236" s="425">
        <v>0</v>
      </c>
      <c r="CX236" s="433"/>
      <c r="CY236" s="434"/>
      <c r="CZ236" s="431"/>
      <c r="DA236" s="435"/>
      <c r="DB236" s="432">
        <v>2023</v>
      </c>
      <c r="DC236" s="425"/>
      <c r="DD236" s="433"/>
      <c r="DE236" s="425"/>
      <c r="DF236" s="433"/>
      <c r="DG236" s="434"/>
      <c r="DH236" s="431"/>
      <c r="DI236" s="435"/>
      <c r="DJ236" s="1805"/>
      <c r="DK236" s="1806"/>
      <c r="DL236" s="1807"/>
      <c r="DM236" s="1808"/>
      <c r="DN236" s="1810">
        <v>0</v>
      </c>
      <c r="DO236" s="1799">
        <v>1</v>
      </c>
      <c r="DP236" s="1800">
        <v>0</v>
      </c>
      <c r="DQ236" s="1799">
        <v>0</v>
      </c>
      <c r="DR236" s="1800">
        <v>0</v>
      </c>
      <c r="DS236" s="1799">
        <v>0</v>
      </c>
    </row>
    <row r="237" spans="1:123" ht="54">
      <c r="A237" s="1801" t="s">
        <v>2225</v>
      </c>
      <c r="B237" s="1788" t="s">
        <v>2226</v>
      </c>
      <c r="C237" s="426">
        <v>2021</v>
      </c>
      <c r="D237" s="417" t="s">
        <v>681</v>
      </c>
      <c r="E237" s="1802">
        <v>1006339</v>
      </c>
      <c r="F237" s="1803" t="s">
        <v>2226</v>
      </c>
      <c r="G237" s="419">
        <v>45191</v>
      </c>
      <c r="H237" s="1790" t="s">
        <v>5121</v>
      </c>
      <c r="I237" s="1791" t="s">
        <v>2226</v>
      </c>
      <c r="J237" s="1793" t="s">
        <v>2227</v>
      </c>
      <c r="K237" s="1788" t="s">
        <v>2226</v>
      </c>
      <c r="L237" s="1791" t="s">
        <v>2227</v>
      </c>
      <c r="M237" s="1793" t="s">
        <v>5121</v>
      </c>
      <c r="N237" s="1790" t="s">
        <v>8</v>
      </c>
      <c r="O237" s="1793" t="s">
        <v>9</v>
      </c>
      <c r="P237" s="420" t="s">
        <v>683</v>
      </c>
      <c r="Q237" s="421"/>
      <c r="R237" s="421"/>
      <c r="S237" s="422"/>
      <c r="T237" s="1794"/>
      <c r="U237" s="423">
        <v>3940.5114000000003</v>
      </c>
      <c r="V237" s="424">
        <v>4</v>
      </c>
      <c r="W237" s="424">
        <v>2</v>
      </c>
      <c r="X237" s="425"/>
      <c r="Y237" s="426">
        <v>2021</v>
      </c>
      <c r="Z237" s="417">
        <v>2023</v>
      </c>
      <c r="AA237" s="1804">
        <v>2022</v>
      </c>
      <c r="AB237" s="427"/>
      <c r="AC237" s="1793"/>
      <c r="AD237" s="428" t="s">
        <v>5863</v>
      </c>
      <c r="AE237" s="1791" t="s">
        <v>2228</v>
      </c>
      <c r="AF237" s="1791" t="s">
        <v>2229</v>
      </c>
      <c r="AG237" s="1793" t="s">
        <v>2230</v>
      </c>
      <c r="AH237" s="428"/>
      <c r="AI237" s="1793"/>
      <c r="AJ237" s="429">
        <v>2020</v>
      </c>
      <c r="AK237" s="424">
        <v>7995</v>
      </c>
      <c r="AL237" s="424">
        <v>8698</v>
      </c>
      <c r="AM237" s="430">
        <v>29.04</v>
      </c>
      <c r="AN237" s="431" t="s">
        <v>1003</v>
      </c>
      <c r="AO237" s="432">
        <v>2023</v>
      </c>
      <c r="AP237" s="425">
        <v>7899</v>
      </c>
      <c r="AQ237" s="433">
        <v>1.2</v>
      </c>
      <c r="AR237" s="425">
        <v>8594</v>
      </c>
      <c r="AS237" s="433">
        <v>1.19</v>
      </c>
      <c r="AT237" s="434">
        <v>28.69</v>
      </c>
      <c r="AU237" s="431" t="s">
        <v>1003</v>
      </c>
      <c r="AV237" s="435">
        <v>1.2</v>
      </c>
      <c r="AW237" s="432">
        <v>2021</v>
      </c>
      <c r="AX237" s="425">
        <v>7221</v>
      </c>
      <c r="AY237" s="433">
        <v>9.68</v>
      </c>
      <c r="AZ237" s="425">
        <v>6896</v>
      </c>
      <c r="BA237" s="433">
        <v>20.71</v>
      </c>
      <c r="BB237" s="434">
        <v>31.05</v>
      </c>
      <c r="BC237" s="431" t="s">
        <v>1003</v>
      </c>
      <c r="BD237" s="435">
        <v>-6.93</v>
      </c>
      <c r="BE237" s="432">
        <v>2022</v>
      </c>
      <c r="BF237" s="425">
        <v>7497</v>
      </c>
      <c r="BG237" s="433">
        <v>6.22</v>
      </c>
      <c r="BH237" s="425">
        <v>7264</v>
      </c>
      <c r="BI237" s="433">
        <v>16.48</v>
      </c>
      <c r="BJ237" s="434">
        <v>29.228070175438596</v>
      </c>
      <c r="BK237" s="431" t="s">
        <v>1003</v>
      </c>
      <c r="BL237" s="435">
        <v>-0.65</v>
      </c>
      <c r="BM237" s="432">
        <v>2023</v>
      </c>
      <c r="BN237" s="425"/>
      <c r="BO237" s="433"/>
      <c r="BP237" s="425"/>
      <c r="BQ237" s="433"/>
      <c r="BR237" s="434"/>
      <c r="BS237" s="431"/>
      <c r="BT237" s="435"/>
      <c r="BU237" s="1805" t="s">
        <v>676</v>
      </c>
      <c r="BV237" s="1806" t="s">
        <v>677</v>
      </c>
      <c r="BW237" s="1807" t="s">
        <v>678</v>
      </c>
      <c r="BX237" s="1808" t="s">
        <v>5122</v>
      </c>
      <c r="BY237" s="1809">
        <v>2020</v>
      </c>
      <c r="BZ237" s="424"/>
      <c r="CA237" s="424"/>
      <c r="CB237" s="430"/>
      <c r="CC237" s="431"/>
      <c r="CD237" s="432">
        <v>2023</v>
      </c>
      <c r="CE237" s="425"/>
      <c r="CF237" s="433"/>
      <c r="CG237" s="425"/>
      <c r="CH237" s="433"/>
      <c r="CI237" s="434"/>
      <c r="CJ237" s="431"/>
      <c r="CK237" s="435"/>
      <c r="CL237" s="432">
        <v>2021</v>
      </c>
      <c r="CM237" s="425"/>
      <c r="CN237" s="433"/>
      <c r="CO237" s="425"/>
      <c r="CP237" s="433"/>
      <c r="CQ237" s="434"/>
      <c r="CR237" s="431"/>
      <c r="CS237" s="435"/>
      <c r="CT237" s="432">
        <v>2022</v>
      </c>
      <c r="CU237" s="425">
        <v>0</v>
      </c>
      <c r="CV237" s="433"/>
      <c r="CW237" s="425">
        <v>0</v>
      </c>
      <c r="CX237" s="433"/>
      <c r="CY237" s="434"/>
      <c r="CZ237" s="431"/>
      <c r="DA237" s="435">
        <v>0</v>
      </c>
      <c r="DB237" s="432">
        <v>2023</v>
      </c>
      <c r="DC237" s="425"/>
      <c r="DD237" s="433"/>
      <c r="DE237" s="425"/>
      <c r="DF237" s="433"/>
      <c r="DG237" s="434"/>
      <c r="DH237" s="431"/>
      <c r="DI237" s="435"/>
      <c r="DJ237" s="1805"/>
      <c r="DK237" s="1806"/>
      <c r="DL237" s="1807"/>
      <c r="DM237" s="1808"/>
      <c r="DN237" s="1810">
        <v>0</v>
      </c>
      <c r="DO237" s="1799">
        <v>0</v>
      </c>
      <c r="DP237" s="1800">
        <v>0</v>
      </c>
      <c r="DQ237" s="1799">
        <v>0</v>
      </c>
      <c r="DR237" s="1800">
        <v>0</v>
      </c>
      <c r="DS237" s="1799">
        <v>0</v>
      </c>
    </row>
    <row r="238" spans="1:123" ht="135">
      <c r="A238" s="1801" t="s">
        <v>2231</v>
      </c>
      <c r="B238" s="1788" t="s">
        <v>2232</v>
      </c>
      <c r="C238" s="426">
        <v>2022</v>
      </c>
      <c r="D238" s="417" t="s">
        <v>681</v>
      </c>
      <c r="E238" s="1802">
        <v>1083342</v>
      </c>
      <c r="F238" s="1803" t="s">
        <v>2232</v>
      </c>
      <c r="G238" s="419">
        <v>45128</v>
      </c>
      <c r="H238" s="1790" t="s">
        <v>2233</v>
      </c>
      <c r="I238" s="1791" t="s">
        <v>2232</v>
      </c>
      <c r="J238" s="1793" t="s">
        <v>2234</v>
      </c>
      <c r="K238" s="1788" t="s">
        <v>2232</v>
      </c>
      <c r="L238" s="1791" t="s">
        <v>2234</v>
      </c>
      <c r="M238" s="1793" t="s">
        <v>2233</v>
      </c>
      <c r="N238" s="1790" t="s">
        <v>523</v>
      </c>
      <c r="O238" s="1793" t="s">
        <v>96</v>
      </c>
      <c r="P238" s="420" t="s">
        <v>683</v>
      </c>
      <c r="Q238" s="421"/>
      <c r="R238" s="421"/>
      <c r="S238" s="422"/>
      <c r="T238" s="1794"/>
      <c r="U238" s="423">
        <v>3938.0088000000005</v>
      </c>
      <c r="V238" s="424">
        <v>6</v>
      </c>
      <c r="W238" s="424">
        <v>3</v>
      </c>
      <c r="X238" s="425"/>
      <c r="Y238" s="426">
        <v>2022</v>
      </c>
      <c r="Z238" s="417">
        <v>2024</v>
      </c>
      <c r="AA238" s="1804">
        <v>2022</v>
      </c>
      <c r="AB238" s="427"/>
      <c r="AC238" s="1793"/>
      <c r="AD238" s="428" t="s">
        <v>5863</v>
      </c>
      <c r="AE238" s="1791" t="s">
        <v>2235</v>
      </c>
      <c r="AF238" s="1791" t="s">
        <v>2236</v>
      </c>
      <c r="AG238" s="1793" t="s">
        <v>935</v>
      </c>
      <c r="AH238" s="428"/>
      <c r="AI238" s="1793"/>
      <c r="AJ238" s="429">
        <v>2021</v>
      </c>
      <c r="AK238" s="424">
        <v>7141</v>
      </c>
      <c r="AL238" s="424">
        <v>7088</v>
      </c>
      <c r="AM238" s="430"/>
      <c r="AN238" s="431"/>
      <c r="AO238" s="432">
        <v>2024</v>
      </c>
      <c r="AP238" s="425">
        <v>6927</v>
      </c>
      <c r="AQ238" s="433">
        <v>2.99</v>
      </c>
      <c r="AR238" s="425">
        <v>6875.36</v>
      </c>
      <c r="AS238" s="433">
        <v>3</v>
      </c>
      <c r="AT238" s="434"/>
      <c r="AU238" s="431"/>
      <c r="AV238" s="435"/>
      <c r="AW238" s="432">
        <v>2022</v>
      </c>
      <c r="AX238" s="425">
        <v>7261</v>
      </c>
      <c r="AY238" s="433">
        <v>-1.69</v>
      </c>
      <c r="AZ238" s="425">
        <v>7247</v>
      </c>
      <c r="BA238" s="433">
        <v>-2.25</v>
      </c>
      <c r="BB238" s="434"/>
      <c r="BC238" s="431"/>
      <c r="BD238" s="435"/>
      <c r="BE238" s="432">
        <v>2023</v>
      </c>
      <c r="BF238" s="425"/>
      <c r="BG238" s="433"/>
      <c r="BH238" s="425"/>
      <c r="BI238" s="433"/>
      <c r="BJ238" s="434"/>
      <c r="BK238" s="431"/>
      <c r="BL238" s="435"/>
      <c r="BM238" s="432">
        <v>2024</v>
      </c>
      <c r="BN238" s="425"/>
      <c r="BO238" s="433"/>
      <c r="BP238" s="425"/>
      <c r="BQ238" s="433"/>
      <c r="BR238" s="434"/>
      <c r="BS238" s="431"/>
      <c r="BT238" s="435"/>
      <c r="BU238" s="1805" t="s">
        <v>676</v>
      </c>
      <c r="BV238" s="1806" t="s">
        <v>728</v>
      </c>
      <c r="BW238" s="1807" t="s">
        <v>678</v>
      </c>
      <c r="BX238" s="1808" t="s">
        <v>5123</v>
      </c>
      <c r="BY238" s="1809">
        <v>2021</v>
      </c>
      <c r="BZ238" s="424"/>
      <c r="CA238" s="424"/>
      <c r="CB238" s="430"/>
      <c r="CC238" s="431"/>
      <c r="CD238" s="432">
        <v>2024</v>
      </c>
      <c r="CE238" s="425"/>
      <c r="CF238" s="433"/>
      <c r="CG238" s="425"/>
      <c r="CH238" s="433"/>
      <c r="CI238" s="434"/>
      <c r="CJ238" s="431"/>
      <c r="CK238" s="435"/>
      <c r="CL238" s="432">
        <v>2022</v>
      </c>
      <c r="CM238" s="425">
        <v>0</v>
      </c>
      <c r="CN238" s="433"/>
      <c r="CO238" s="425">
        <v>0</v>
      </c>
      <c r="CP238" s="433"/>
      <c r="CQ238" s="434"/>
      <c r="CR238" s="431"/>
      <c r="CS238" s="435">
        <v>0</v>
      </c>
      <c r="CT238" s="432">
        <v>2023</v>
      </c>
      <c r="CU238" s="425"/>
      <c r="CV238" s="433"/>
      <c r="CW238" s="425"/>
      <c r="CX238" s="433"/>
      <c r="CY238" s="434"/>
      <c r="CZ238" s="431"/>
      <c r="DA238" s="435"/>
      <c r="DB238" s="432">
        <v>2024</v>
      </c>
      <c r="DC238" s="425"/>
      <c r="DD238" s="433"/>
      <c r="DE238" s="425"/>
      <c r="DF238" s="433"/>
      <c r="DG238" s="434"/>
      <c r="DH238" s="431"/>
      <c r="DI238" s="435"/>
      <c r="DJ238" s="1805"/>
      <c r="DK238" s="1806"/>
      <c r="DL238" s="1807"/>
      <c r="DM238" s="1808"/>
      <c r="DN238" s="1810">
        <v>0</v>
      </c>
      <c r="DO238" s="1799">
        <v>0</v>
      </c>
      <c r="DP238" s="1800">
        <v>0</v>
      </c>
      <c r="DQ238" s="1799">
        <v>0</v>
      </c>
      <c r="DR238" s="1800">
        <v>0</v>
      </c>
      <c r="DS238" s="1799">
        <v>0</v>
      </c>
    </row>
    <row r="239" spans="1:123" ht="54">
      <c r="A239" s="1801" t="s">
        <v>2237</v>
      </c>
      <c r="B239" s="1788" t="s">
        <v>2238</v>
      </c>
      <c r="C239" s="426">
        <v>2021</v>
      </c>
      <c r="D239" s="417" t="s">
        <v>681</v>
      </c>
      <c r="E239" s="1802">
        <v>1083343</v>
      </c>
      <c r="F239" s="1803" t="s">
        <v>2238</v>
      </c>
      <c r="G239" s="419">
        <v>45201</v>
      </c>
      <c r="H239" s="1790" t="s">
        <v>2239</v>
      </c>
      <c r="I239" s="1791" t="s">
        <v>2238</v>
      </c>
      <c r="J239" s="1793" t="s">
        <v>5124</v>
      </c>
      <c r="K239" s="1788" t="s">
        <v>2238</v>
      </c>
      <c r="L239" s="1791" t="s">
        <v>2240</v>
      </c>
      <c r="M239" s="1793" t="s">
        <v>2241</v>
      </c>
      <c r="N239" s="1790" t="s">
        <v>523</v>
      </c>
      <c r="O239" s="1793" t="s">
        <v>96</v>
      </c>
      <c r="P239" s="420" t="s">
        <v>683</v>
      </c>
      <c r="Q239" s="421"/>
      <c r="R239" s="421"/>
      <c r="S239" s="422"/>
      <c r="T239" s="1794"/>
      <c r="U239" s="423">
        <v>2274.3732</v>
      </c>
      <c r="V239" s="424">
        <v>1</v>
      </c>
      <c r="W239" s="424">
        <v>1</v>
      </c>
      <c r="X239" s="425"/>
      <c r="Y239" s="426">
        <v>2021</v>
      </c>
      <c r="Z239" s="417">
        <v>2023</v>
      </c>
      <c r="AA239" s="1804">
        <v>2022</v>
      </c>
      <c r="AB239" s="427"/>
      <c r="AC239" s="1793"/>
      <c r="AD239" s="428" t="s">
        <v>5863</v>
      </c>
      <c r="AE239" s="1791" t="s">
        <v>2242</v>
      </c>
      <c r="AF239" s="1791" t="s">
        <v>2239</v>
      </c>
      <c r="AG239" s="1793" t="s">
        <v>905</v>
      </c>
      <c r="AH239" s="428" t="s">
        <v>5863</v>
      </c>
      <c r="AI239" s="1793" t="s">
        <v>2243</v>
      </c>
      <c r="AJ239" s="429">
        <v>2020</v>
      </c>
      <c r="AK239" s="424">
        <v>4026</v>
      </c>
      <c r="AL239" s="424">
        <v>3861</v>
      </c>
      <c r="AM239" s="430">
        <v>105.51</v>
      </c>
      <c r="AN239" s="431" t="s">
        <v>727</v>
      </c>
      <c r="AO239" s="432">
        <v>2023</v>
      </c>
      <c r="AP239" s="425">
        <v>3905.22</v>
      </c>
      <c r="AQ239" s="433">
        <v>3</v>
      </c>
      <c r="AR239" s="425">
        <v>3745.17</v>
      </c>
      <c r="AS239" s="433">
        <v>3</v>
      </c>
      <c r="AT239" s="434">
        <v>102.3447</v>
      </c>
      <c r="AU239" s="431" t="s">
        <v>727</v>
      </c>
      <c r="AV239" s="435">
        <v>3</v>
      </c>
      <c r="AW239" s="432">
        <v>2021</v>
      </c>
      <c r="AX239" s="425">
        <v>4350</v>
      </c>
      <c r="AY239" s="433">
        <v>-8.0500000000000007</v>
      </c>
      <c r="AZ239" s="425">
        <v>4289</v>
      </c>
      <c r="BA239" s="433">
        <v>-11.09</v>
      </c>
      <c r="BB239" s="434">
        <v>114</v>
      </c>
      <c r="BC239" s="431" t="s">
        <v>727</v>
      </c>
      <c r="BD239" s="435">
        <v>-8.0500000000000007</v>
      </c>
      <c r="BE239" s="432">
        <v>2022</v>
      </c>
      <c r="BF239" s="425">
        <v>4026</v>
      </c>
      <c r="BG239" s="433">
        <v>0</v>
      </c>
      <c r="BH239" s="425">
        <v>4026</v>
      </c>
      <c r="BI239" s="433">
        <v>-4.28</v>
      </c>
      <c r="BJ239" s="434">
        <v>105.50867445882908</v>
      </c>
      <c r="BK239" s="431" t="s">
        <v>727</v>
      </c>
      <c r="BL239" s="435">
        <v>0</v>
      </c>
      <c r="BM239" s="432">
        <v>2023</v>
      </c>
      <c r="BN239" s="425"/>
      <c r="BO239" s="433"/>
      <c r="BP239" s="425"/>
      <c r="BQ239" s="433"/>
      <c r="BR239" s="434"/>
      <c r="BS239" s="431"/>
      <c r="BT239" s="435"/>
      <c r="BU239" s="1805" t="s">
        <v>676</v>
      </c>
      <c r="BV239" s="1806" t="s">
        <v>728</v>
      </c>
      <c r="BW239" s="1807" t="s">
        <v>688</v>
      </c>
      <c r="BX239" s="1808"/>
      <c r="BY239" s="1809">
        <v>2020</v>
      </c>
      <c r="BZ239" s="424"/>
      <c r="CA239" s="424"/>
      <c r="CB239" s="430"/>
      <c r="CC239" s="431"/>
      <c r="CD239" s="432">
        <v>2023</v>
      </c>
      <c r="CE239" s="425"/>
      <c r="CF239" s="433"/>
      <c r="CG239" s="425"/>
      <c r="CH239" s="433"/>
      <c r="CI239" s="434"/>
      <c r="CJ239" s="431"/>
      <c r="CK239" s="435"/>
      <c r="CL239" s="432">
        <v>2021</v>
      </c>
      <c r="CM239" s="425"/>
      <c r="CN239" s="433"/>
      <c r="CO239" s="425"/>
      <c r="CP239" s="433"/>
      <c r="CQ239" s="434"/>
      <c r="CR239" s="431"/>
      <c r="CS239" s="435"/>
      <c r="CT239" s="432">
        <v>2022</v>
      </c>
      <c r="CU239" s="425">
        <v>1.6624887999999998</v>
      </c>
      <c r="CV239" s="433"/>
      <c r="CW239" s="425">
        <v>1.6624887999999998</v>
      </c>
      <c r="CX239" s="433"/>
      <c r="CY239" s="434"/>
      <c r="CZ239" s="431"/>
      <c r="DA239" s="435"/>
      <c r="DB239" s="432">
        <v>2023</v>
      </c>
      <c r="DC239" s="425"/>
      <c r="DD239" s="433"/>
      <c r="DE239" s="425"/>
      <c r="DF239" s="433"/>
      <c r="DG239" s="434"/>
      <c r="DH239" s="431"/>
      <c r="DI239" s="435"/>
      <c r="DJ239" s="1805"/>
      <c r="DK239" s="1806"/>
      <c r="DL239" s="1807"/>
      <c r="DM239" s="1808"/>
      <c r="DN239" s="1810">
        <v>0</v>
      </c>
      <c r="DO239" s="1799">
        <v>0</v>
      </c>
      <c r="DP239" s="1800">
        <v>0</v>
      </c>
      <c r="DQ239" s="1799">
        <v>1</v>
      </c>
      <c r="DR239" s="1800">
        <v>0</v>
      </c>
      <c r="DS239" s="1799">
        <v>0</v>
      </c>
    </row>
    <row r="240" spans="1:123" ht="67.5">
      <c r="A240" s="1801" t="s">
        <v>2244</v>
      </c>
      <c r="B240" s="1788" t="s">
        <v>2245</v>
      </c>
      <c r="C240" s="426">
        <v>2022</v>
      </c>
      <c r="D240" s="417" t="s">
        <v>681</v>
      </c>
      <c r="E240" s="1802">
        <v>1058346</v>
      </c>
      <c r="F240" s="1803" t="s">
        <v>2245</v>
      </c>
      <c r="G240" s="419">
        <v>45132</v>
      </c>
      <c r="H240" s="1790" t="s">
        <v>2246</v>
      </c>
      <c r="I240" s="1791" t="s">
        <v>2245</v>
      </c>
      <c r="J240" s="1793" t="s">
        <v>2247</v>
      </c>
      <c r="K240" s="1788" t="s">
        <v>2245</v>
      </c>
      <c r="L240" s="1791" t="s">
        <v>2247</v>
      </c>
      <c r="M240" s="1793" t="s">
        <v>2246</v>
      </c>
      <c r="N240" s="1790" t="s">
        <v>57</v>
      </c>
      <c r="O240" s="1793" t="s">
        <v>66</v>
      </c>
      <c r="P240" s="420" t="s">
        <v>683</v>
      </c>
      <c r="Q240" s="421"/>
      <c r="R240" s="421"/>
      <c r="S240" s="422"/>
      <c r="T240" s="1794"/>
      <c r="U240" s="423">
        <v>10335.093000000001</v>
      </c>
      <c r="V240" s="424">
        <v>205</v>
      </c>
      <c r="W240" s="424">
        <v>0</v>
      </c>
      <c r="X240" s="425"/>
      <c r="Y240" s="426">
        <v>2022</v>
      </c>
      <c r="Z240" s="417">
        <v>2024</v>
      </c>
      <c r="AA240" s="1804">
        <v>2022</v>
      </c>
      <c r="AB240" s="427"/>
      <c r="AC240" s="1793"/>
      <c r="AD240" s="428" t="s">
        <v>5863</v>
      </c>
      <c r="AE240" s="1791" t="s">
        <v>2248</v>
      </c>
      <c r="AF240" s="1791" t="s">
        <v>1105</v>
      </c>
      <c r="AG240" s="1793" t="s">
        <v>2249</v>
      </c>
      <c r="AH240" s="428"/>
      <c r="AI240" s="1793"/>
      <c r="AJ240" s="429">
        <v>2021</v>
      </c>
      <c r="AK240" s="424">
        <v>17188</v>
      </c>
      <c r="AL240" s="424">
        <v>17035</v>
      </c>
      <c r="AM240" s="430">
        <v>459.23</v>
      </c>
      <c r="AN240" s="431" t="s">
        <v>727</v>
      </c>
      <c r="AO240" s="432">
        <v>2024</v>
      </c>
      <c r="AP240" s="425">
        <v>19690</v>
      </c>
      <c r="AQ240" s="433">
        <v>-14.56</v>
      </c>
      <c r="AR240" s="425">
        <v>19513</v>
      </c>
      <c r="AS240" s="433">
        <v>-14.55</v>
      </c>
      <c r="AT240" s="434">
        <v>451.88</v>
      </c>
      <c r="AU240" s="431" t="s">
        <v>727</v>
      </c>
      <c r="AV240" s="435">
        <v>1.62</v>
      </c>
      <c r="AW240" s="432">
        <v>2022</v>
      </c>
      <c r="AX240" s="425">
        <v>18362</v>
      </c>
      <c r="AY240" s="433">
        <v>-6.84</v>
      </c>
      <c r="AZ240" s="425">
        <v>18322</v>
      </c>
      <c r="BA240" s="433">
        <v>-7.56</v>
      </c>
      <c r="BB240" s="434">
        <v>447.85365853658539</v>
      </c>
      <c r="BC240" s="431" t="s">
        <v>727</v>
      </c>
      <c r="BD240" s="435">
        <v>2.4700000000000002</v>
      </c>
      <c r="BE240" s="432">
        <v>2023</v>
      </c>
      <c r="BF240" s="425"/>
      <c r="BG240" s="433"/>
      <c r="BH240" s="425"/>
      <c r="BI240" s="433"/>
      <c r="BJ240" s="434"/>
      <c r="BK240" s="431"/>
      <c r="BL240" s="435"/>
      <c r="BM240" s="432">
        <v>2024</v>
      </c>
      <c r="BN240" s="425"/>
      <c r="BO240" s="433"/>
      <c r="BP240" s="425"/>
      <c r="BQ240" s="433"/>
      <c r="BR240" s="434"/>
      <c r="BS240" s="431"/>
      <c r="BT240" s="435"/>
      <c r="BU240" s="1805" t="s">
        <v>719</v>
      </c>
      <c r="BV240" s="1806" t="s">
        <v>728</v>
      </c>
      <c r="BW240" s="1807" t="s">
        <v>678</v>
      </c>
      <c r="BX240" s="1808" t="s">
        <v>5125</v>
      </c>
      <c r="BY240" s="1809">
        <v>2021</v>
      </c>
      <c r="BZ240" s="424"/>
      <c r="CA240" s="424"/>
      <c r="CB240" s="430"/>
      <c r="CC240" s="431"/>
      <c r="CD240" s="432">
        <v>2024</v>
      </c>
      <c r="CE240" s="425"/>
      <c r="CF240" s="433"/>
      <c r="CG240" s="425"/>
      <c r="CH240" s="433"/>
      <c r="CI240" s="434"/>
      <c r="CJ240" s="431"/>
      <c r="CK240" s="435"/>
      <c r="CL240" s="432">
        <v>2022</v>
      </c>
      <c r="CM240" s="425">
        <v>0</v>
      </c>
      <c r="CN240" s="433"/>
      <c r="CO240" s="425">
        <v>0</v>
      </c>
      <c r="CP240" s="433"/>
      <c r="CQ240" s="434"/>
      <c r="CR240" s="431"/>
      <c r="CS240" s="435"/>
      <c r="CT240" s="432">
        <v>2023</v>
      </c>
      <c r="CU240" s="425"/>
      <c r="CV240" s="433"/>
      <c r="CW240" s="425"/>
      <c r="CX240" s="433"/>
      <c r="CY240" s="434"/>
      <c r="CZ240" s="431"/>
      <c r="DA240" s="435"/>
      <c r="DB240" s="432">
        <v>2024</v>
      </c>
      <c r="DC240" s="425"/>
      <c r="DD240" s="433"/>
      <c r="DE240" s="425"/>
      <c r="DF240" s="433"/>
      <c r="DG240" s="434"/>
      <c r="DH240" s="431"/>
      <c r="DI240" s="435"/>
      <c r="DJ240" s="1805"/>
      <c r="DK240" s="1806"/>
      <c r="DL240" s="1807"/>
      <c r="DM240" s="1808"/>
      <c r="DN240" s="1810">
        <v>0</v>
      </c>
      <c r="DO240" s="1799">
        <v>0</v>
      </c>
      <c r="DP240" s="1800">
        <v>0</v>
      </c>
      <c r="DQ240" s="1799">
        <v>0</v>
      </c>
      <c r="DR240" s="1800">
        <v>0</v>
      </c>
      <c r="DS240" s="1799">
        <v>0</v>
      </c>
    </row>
    <row r="241" spans="1:123" ht="108">
      <c r="A241" s="1801" t="s">
        <v>2250</v>
      </c>
      <c r="B241" s="1788" t="s">
        <v>2251</v>
      </c>
      <c r="C241" s="426">
        <v>2022</v>
      </c>
      <c r="D241" s="417" t="s">
        <v>681</v>
      </c>
      <c r="E241" s="1802">
        <v>1031348</v>
      </c>
      <c r="F241" s="1803" t="s">
        <v>2251</v>
      </c>
      <c r="G241" s="419">
        <v>45118</v>
      </c>
      <c r="H241" s="1790" t="s">
        <v>2252</v>
      </c>
      <c r="I241" s="1791" t="s">
        <v>2251</v>
      </c>
      <c r="J241" s="1793" t="s">
        <v>2253</v>
      </c>
      <c r="K241" s="1788" t="s">
        <v>2251</v>
      </c>
      <c r="L241" s="1791" t="s">
        <v>2253</v>
      </c>
      <c r="M241" s="1793" t="s">
        <v>2254</v>
      </c>
      <c r="N241" s="1790" t="s">
        <v>12</v>
      </c>
      <c r="O241" s="1793" t="s">
        <v>35</v>
      </c>
      <c r="P241" s="420" t="s">
        <v>683</v>
      </c>
      <c r="Q241" s="421"/>
      <c r="R241" s="421"/>
      <c r="S241" s="422"/>
      <c r="T241" s="1794"/>
      <c r="U241" s="423">
        <v>2083.6853999999998</v>
      </c>
      <c r="V241" s="424">
        <v>1</v>
      </c>
      <c r="W241" s="424">
        <v>1</v>
      </c>
      <c r="X241" s="425"/>
      <c r="Y241" s="426">
        <v>2022</v>
      </c>
      <c r="Z241" s="417">
        <v>2024</v>
      </c>
      <c r="AA241" s="1804">
        <v>2022</v>
      </c>
      <c r="AB241" s="427"/>
      <c r="AC241" s="1793"/>
      <c r="AD241" s="428" t="s">
        <v>5863</v>
      </c>
      <c r="AE241" s="1791" t="s">
        <v>2255</v>
      </c>
      <c r="AF241" s="1791" t="s">
        <v>2256</v>
      </c>
      <c r="AG241" s="1793" t="s">
        <v>2257</v>
      </c>
      <c r="AH241" s="428"/>
      <c r="AI241" s="1793"/>
      <c r="AJ241" s="429">
        <v>2021</v>
      </c>
      <c r="AK241" s="424">
        <v>4440</v>
      </c>
      <c r="AL241" s="424">
        <v>4409</v>
      </c>
      <c r="AM241" s="430">
        <v>3.27</v>
      </c>
      <c r="AN241" s="431" t="s">
        <v>2258</v>
      </c>
      <c r="AO241" s="432">
        <v>2024</v>
      </c>
      <c r="AP241" s="425">
        <v>4305</v>
      </c>
      <c r="AQ241" s="433">
        <v>3.04</v>
      </c>
      <c r="AR241" s="425">
        <v>4275</v>
      </c>
      <c r="AS241" s="433">
        <v>3.03</v>
      </c>
      <c r="AT241" s="434">
        <v>3.1709999999999998</v>
      </c>
      <c r="AU241" s="431" t="s">
        <v>2258</v>
      </c>
      <c r="AV241" s="435">
        <v>3.02</v>
      </c>
      <c r="AW241" s="432">
        <v>2022</v>
      </c>
      <c r="AX241" s="425">
        <v>3873</v>
      </c>
      <c r="AY241" s="433">
        <v>12.77</v>
      </c>
      <c r="AZ241" s="425">
        <v>3866</v>
      </c>
      <c r="BA241" s="433">
        <v>12.31</v>
      </c>
      <c r="BB241" s="434">
        <v>3.8916409601993549</v>
      </c>
      <c r="BC241" s="431" t="s">
        <v>2258</v>
      </c>
      <c r="BD241" s="435">
        <v>-19.02</v>
      </c>
      <c r="BE241" s="432">
        <v>2023</v>
      </c>
      <c r="BF241" s="425"/>
      <c r="BG241" s="433"/>
      <c r="BH241" s="425"/>
      <c r="BI241" s="433"/>
      <c r="BJ241" s="434"/>
      <c r="BK241" s="431"/>
      <c r="BL241" s="435"/>
      <c r="BM241" s="432">
        <v>2024</v>
      </c>
      <c r="BN241" s="425"/>
      <c r="BO241" s="433"/>
      <c r="BP241" s="425"/>
      <c r="BQ241" s="433"/>
      <c r="BR241" s="434"/>
      <c r="BS241" s="431"/>
      <c r="BT241" s="435"/>
      <c r="BU241" s="1805" t="s">
        <v>676</v>
      </c>
      <c r="BV241" s="1806" t="s">
        <v>728</v>
      </c>
      <c r="BW241" s="1807" t="s">
        <v>697</v>
      </c>
      <c r="BX241" s="1808" t="s">
        <v>5126</v>
      </c>
      <c r="BY241" s="1809">
        <v>2021</v>
      </c>
      <c r="BZ241" s="424"/>
      <c r="CA241" s="424"/>
      <c r="CB241" s="430"/>
      <c r="CC241" s="431"/>
      <c r="CD241" s="432">
        <v>2024</v>
      </c>
      <c r="CE241" s="425"/>
      <c r="CF241" s="433"/>
      <c r="CG241" s="425"/>
      <c r="CH241" s="433"/>
      <c r="CI241" s="434"/>
      <c r="CJ241" s="431"/>
      <c r="CK241" s="435"/>
      <c r="CL241" s="432">
        <v>2022</v>
      </c>
      <c r="CM241" s="425">
        <v>0</v>
      </c>
      <c r="CN241" s="433"/>
      <c r="CO241" s="425">
        <v>0</v>
      </c>
      <c r="CP241" s="433"/>
      <c r="CQ241" s="434"/>
      <c r="CR241" s="431"/>
      <c r="CS241" s="435">
        <v>0</v>
      </c>
      <c r="CT241" s="432">
        <v>2023</v>
      </c>
      <c r="CU241" s="425"/>
      <c r="CV241" s="433"/>
      <c r="CW241" s="425"/>
      <c r="CX241" s="433"/>
      <c r="CY241" s="434"/>
      <c r="CZ241" s="431"/>
      <c r="DA241" s="435"/>
      <c r="DB241" s="432">
        <v>2024</v>
      </c>
      <c r="DC241" s="425"/>
      <c r="DD241" s="433"/>
      <c r="DE241" s="425"/>
      <c r="DF241" s="433"/>
      <c r="DG241" s="434"/>
      <c r="DH241" s="431"/>
      <c r="DI241" s="435"/>
      <c r="DJ241" s="1805"/>
      <c r="DK241" s="1806"/>
      <c r="DL241" s="1807"/>
      <c r="DM241" s="1808"/>
      <c r="DN241" s="1810">
        <v>0</v>
      </c>
      <c r="DO241" s="1799">
        <v>0</v>
      </c>
      <c r="DP241" s="1800">
        <v>0</v>
      </c>
      <c r="DQ241" s="1799">
        <v>0</v>
      </c>
      <c r="DR241" s="1800">
        <v>0</v>
      </c>
      <c r="DS241" s="1799">
        <v>0</v>
      </c>
    </row>
    <row r="242" spans="1:123" ht="67.5">
      <c r="A242" s="1801" t="s">
        <v>2259</v>
      </c>
      <c r="B242" s="1788" t="s">
        <v>2260</v>
      </c>
      <c r="C242" s="426">
        <v>2022</v>
      </c>
      <c r="D242" s="417" t="s">
        <v>681</v>
      </c>
      <c r="E242" s="1802">
        <v>1088349</v>
      </c>
      <c r="F242" s="1803" t="s">
        <v>2260</v>
      </c>
      <c r="G242" s="419">
        <v>45138</v>
      </c>
      <c r="H242" s="1790" t="s">
        <v>2261</v>
      </c>
      <c r="I242" s="1791" t="s">
        <v>2260</v>
      </c>
      <c r="J242" s="1793" t="s">
        <v>2262</v>
      </c>
      <c r="K242" s="1788" t="s">
        <v>2260</v>
      </c>
      <c r="L242" s="1791" t="s">
        <v>2262</v>
      </c>
      <c r="M242" s="1793" t="s">
        <v>2261</v>
      </c>
      <c r="N242" s="1790" t="s">
        <v>102</v>
      </c>
      <c r="O242" s="1793" t="s">
        <v>103</v>
      </c>
      <c r="P242" s="420" t="s">
        <v>683</v>
      </c>
      <c r="Q242" s="421"/>
      <c r="R242" s="421"/>
      <c r="S242" s="422"/>
      <c r="T242" s="1794"/>
      <c r="U242" s="423">
        <v>3259.2882</v>
      </c>
      <c r="V242" s="424">
        <v>3</v>
      </c>
      <c r="W242" s="424">
        <v>1</v>
      </c>
      <c r="X242" s="425"/>
      <c r="Y242" s="426">
        <v>2022</v>
      </c>
      <c r="Z242" s="417">
        <v>2024</v>
      </c>
      <c r="AA242" s="1804">
        <v>2022</v>
      </c>
      <c r="AB242" s="427"/>
      <c r="AC242" s="1793"/>
      <c r="AD242" s="428" t="s">
        <v>5863</v>
      </c>
      <c r="AE242" s="1791" t="s">
        <v>2263</v>
      </c>
      <c r="AF242" s="1791" t="s">
        <v>2264</v>
      </c>
      <c r="AG242" s="1793" t="s">
        <v>1525</v>
      </c>
      <c r="AH242" s="428"/>
      <c r="AI242" s="1793"/>
      <c r="AJ242" s="429">
        <v>2021</v>
      </c>
      <c r="AK242" s="424">
        <v>6194</v>
      </c>
      <c r="AL242" s="424">
        <v>6152</v>
      </c>
      <c r="AM242" s="430">
        <v>15.53</v>
      </c>
      <c r="AN242" s="431" t="s">
        <v>1816</v>
      </c>
      <c r="AO242" s="432">
        <v>2024</v>
      </c>
      <c r="AP242" s="425">
        <v>6000</v>
      </c>
      <c r="AQ242" s="433">
        <v>3.13</v>
      </c>
      <c r="AR242" s="425">
        <v>5960</v>
      </c>
      <c r="AS242" s="433">
        <v>3.12</v>
      </c>
      <c r="AT242" s="434">
        <v>15.05</v>
      </c>
      <c r="AU242" s="431" t="s">
        <v>1816</v>
      </c>
      <c r="AV242" s="435">
        <v>3.09</v>
      </c>
      <c r="AW242" s="432">
        <v>2022</v>
      </c>
      <c r="AX242" s="425">
        <v>6218</v>
      </c>
      <c r="AY242" s="433">
        <v>-0.39</v>
      </c>
      <c r="AZ242" s="425">
        <v>6218</v>
      </c>
      <c r="BA242" s="433">
        <v>-1.08</v>
      </c>
      <c r="BB242" s="434">
        <v>15.702020202020202</v>
      </c>
      <c r="BC242" s="431" t="s">
        <v>1816</v>
      </c>
      <c r="BD242" s="435">
        <v>-1.1100000000000001</v>
      </c>
      <c r="BE242" s="432">
        <v>2023</v>
      </c>
      <c r="BF242" s="425"/>
      <c r="BG242" s="433"/>
      <c r="BH242" s="425"/>
      <c r="BI242" s="433"/>
      <c r="BJ242" s="434"/>
      <c r="BK242" s="431"/>
      <c r="BL242" s="435"/>
      <c r="BM242" s="432">
        <v>2024</v>
      </c>
      <c r="BN242" s="425"/>
      <c r="BO242" s="433"/>
      <c r="BP242" s="425"/>
      <c r="BQ242" s="433"/>
      <c r="BR242" s="434"/>
      <c r="BS242" s="431"/>
      <c r="BT242" s="435"/>
      <c r="BU242" s="1805" t="s">
        <v>676</v>
      </c>
      <c r="BV242" s="1806" t="s">
        <v>728</v>
      </c>
      <c r="BW242" s="1807" t="s">
        <v>688</v>
      </c>
      <c r="BX242" s="1808" t="s">
        <v>5127</v>
      </c>
      <c r="BY242" s="1809">
        <v>2021</v>
      </c>
      <c r="BZ242" s="424"/>
      <c r="CA242" s="424"/>
      <c r="CB242" s="430"/>
      <c r="CC242" s="431"/>
      <c r="CD242" s="432">
        <v>2024</v>
      </c>
      <c r="CE242" s="425"/>
      <c r="CF242" s="433"/>
      <c r="CG242" s="425"/>
      <c r="CH242" s="433"/>
      <c r="CI242" s="434"/>
      <c r="CJ242" s="431"/>
      <c r="CK242" s="435"/>
      <c r="CL242" s="432">
        <v>2022</v>
      </c>
      <c r="CM242" s="425">
        <v>0</v>
      </c>
      <c r="CN242" s="433"/>
      <c r="CO242" s="425">
        <v>0</v>
      </c>
      <c r="CP242" s="433"/>
      <c r="CQ242" s="434"/>
      <c r="CR242" s="431"/>
      <c r="CS242" s="435"/>
      <c r="CT242" s="432">
        <v>2023</v>
      </c>
      <c r="CU242" s="425"/>
      <c r="CV242" s="433"/>
      <c r="CW242" s="425"/>
      <c r="CX242" s="433"/>
      <c r="CY242" s="434"/>
      <c r="CZ242" s="431"/>
      <c r="DA242" s="435"/>
      <c r="DB242" s="432">
        <v>2024</v>
      </c>
      <c r="DC242" s="425"/>
      <c r="DD242" s="433"/>
      <c r="DE242" s="425"/>
      <c r="DF242" s="433"/>
      <c r="DG242" s="434"/>
      <c r="DH242" s="431"/>
      <c r="DI242" s="435"/>
      <c r="DJ242" s="1805"/>
      <c r="DK242" s="1806"/>
      <c r="DL242" s="1807"/>
      <c r="DM242" s="1808"/>
      <c r="DN242" s="1810">
        <v>0</v>
      </c>
      <c r="DO242" s="1799">
        <v>0</v>
      </c>
      <c r="DP242" s="1800">
        <v>0</v>
      </c>
      <c r="DQ242" s="1799">
        <v>0</v>
      </c>
      <c r="DR242" s="1800">
        <v>0</v>
      </c>
      <c r="DS242" s="1799">
        <v>0</v>
      </c>
    </row>
    <row r="243" spans="1:123" ht="67.5">
      <c r="A243" s="1801" t="s">
        <v>2265</v>
      </c>
      <c r="B243" s="1788" t="s">
        <v>2266</v>
      </c>
      <c r="C243" s="426">
        <v>2022</v>
      </c>
      <c r="D243" s="417" t="s">
        <v>681</v>
      </c>
      <c r="E243" s="1802">
        <v>1009350</v>
      </c>
      <c r="F243" s="1803" t="s">
        <v>2266</v>
      </c>
      <c r="G243" s="419">
        <v>45118</v>
      </c>
      <c r="H243" s="1790" t="s">
        <v>2267</v>
      </c>
      <c r="I243" s="1791" t="s">
        <v>2266</v>
      </c>
      <c r="J243" s="1793" t="s">
        <v>2268</v>
      </c>
      <c r="K243" s="1788" t="s">
        <v>2266</v>
      </c>
      <c r="L243" s="1791" t="s">
        <v>2268</v>
      </c>
      <c r="M243" s="1793" t="s">
        <v>2269</v>
      </c>
      <c r="N243" s="1790" t="s">
        <v>12</v>
      </c>
      <c r="O243" s="1793" t="s">
        <v>13</v>
      </c>
      <c r="P243" s="420" t="s">
        <v>683</v>
      </c>
      <c r="Q243" s="421"/>
      <c r="R243" s="421"/>
      <c r="S243" s="422"/>
      <c r="T243" s="1794"/>
      <c r="U243" s="423">
        <v>3933.6743999999999</v>
      </c>
      <c r="V243" s="424">
        <v>3</v>
      </c>
      <c r="W243" s="424">
        <v>2</v>
      </c>
      <c r="X243" s="425"/>
      <c r="Y243" s="426">
        <v>2022</v>
      </c>
      <c r="Z243" s="417">
        <v>2024</v>
      </c>
      <c r="AA243" s="1804">
        <v>2022</v>
      </c>
      <c r="AB243" s="427"/>
      <c r="AC243" s="1793"/>
      <c r="AD243" s="428" t="s">
        <v>5863</v>
      </c>
      <c r="AE243" s="1791" t="s">
        <v>2270</v>
      </c>
      <c r="AF243" s="1791" t="s">
        <v>2271</v>
      </c>
      <c r="AG243" s="1793" t="s">
        <v>2272</v>
      </c>
      <c r="AH243" s="428"/>
      <c r="AI243" s="1793"/>
      <c r="AJ243" s="429">
        <v>2021</v>
      </c>
      <c r="AK243" s="424">
        <v>7686</v>
      </c>
      <c r="AL243" s="424">
        <v>6963</v>
      </c>
      <c r="AM243" s="430"/>
      <c r="AN243" s="431"/>
      <c r="AO243" s="432">
        <v>2024</v>
      </c>
      <c r="AP243" s="425">
        <v>7455</v>
      </c>
      <c r="AQ243" s="433">
        <v>3</v>
      </c>
      <c r="AR243" s="425">
        <v>6754</v>
      </c>
      <c r="AS243" s="433">
        <v>3</v>
      </c>
      <c r="AT243" s="434"/>
      <c r="AU243" s="431"/>
      <c r="AV243" s="435"/>
      <c r="AW243" s="432">
        <v>2022</v>
      </c>
      <c r="AX243" s="425">
        <v>7927</v>
      </c>
      <c r="AY243" s="433">
        <v>-3.14</v>
      </c>
      <c r="AZ243" s="425">
        <v>7656</v>
      </c>
      <c r="BA243" s="433">
        <v>-9.9600000000000009</v>
      </c>
      <c r="BB243" s="434"/>
      <c r="BC243" s="431"/>
      <c r="BD243" s="435"/>
      <c r="BE243" s="432">
        <v>2023</v>
      </c>
      <c r="BF243" s="425"/>
      <c r="BG243" s="433"/>
      <c r="BH243" s="425"/>
      <c r="BI243" s="433"/>
      <c r="BJ243" s="434"/>
      <c r="BK243" s="431"/>
      <c r="BL243" s="435"/>
      <c r="BM243" s="432">
        <v>2024</v>
      </c>
      <c r="BN243" s="425"/>
      <c r="BO243" s="433"/>
      <c r="BP243" s="425"/>
      <c r="BQ243" s="433"/>
      <c r="BR243" s="434"/>
      <c r="BS243" s="431"/>
      <c r="BT243" s="435"/>
      <c r="BU243" s="1805" t="s">
        <v>676</v>
      </c>
      <c r="BV243" s="1806" t="s">
        <v>728</v>
      </c>
      <c r="BW243" s="1807" t="s">
        <v>678</v>
      </c>
      <c r="BX243" s="1808" t="s">
        <v>5128</v>
      </c>
      <c r="BY243" s="1809">
        <v>2021</v>
      </c>
      <c r="BZ243" s="424"/>
      <c r="CA243" s="424"/>
      <c r="CB243" s="430"/>
      <c r="CC243" s="431"/>
      <c r="CD243" s="432">
        <v>2024</v>
      </c>
      <c r="CE243" s="425"/>
      <c r="CF243" s="433"/>
      <c r="CG243" s="425"/>
      <c r="CH243" s="433"/>
      <c r="CI243" s="434"/>
      <c r="CJ243" s="431"/>
      <c r="CK243" s="435"/>
      <c r="CL243" s="432">
        <v>2022</v>
      </c>
      <c r="CM243" s="425">
        <v>0</v>
      </c>
      <c r="CN243" s="433"/>
      <c r="CO243" s="425">
        <v>0</v>
      </c>
      <c r="CP243" s="433"/>
      <c r="CQ243" s="434"/>
      <c r="CR243" s="431"/>
      <c r="CS243" s="435"/>
      <c r="CT243" s="432">
        <v>2023</v>
      </c>
      <c r="CU243" s="425"/>
      <c r="CV243" s="433"/>
      <c r="CW243" s="425"/>
      <c r="CX243" s="433"/>
      <c r="CY243" s="434"/>
      <c r="CZ243" s="431"/>
      <c r="DA243" s="435"/>
      <c r="DB243" s="432">
        <v>2024</v>
      </c>
      <c r="DC243" s="425"/>
      <c r="DD243" s="433"/>
      <c r="DE243" s="425"/>
      <c r="DF243" s="433"/>
      <c r="DG243" s="434"/>
      <c r="DH243" s="431"/>
      <c r="DI243" s="435"/>
      <c r="DJ243" s="1805"/>
      <c r="DK243" s="1806"/>
      <c r="DL243" s="1807"/>
      <c r="DM243" s="1808"/>
      <c r="DN243" s="1810">
        <v>0</v>
      </c>
      <c r="DO243" s="1799">
        <v>0</v>
      </c>
      <c r="DP243" s="1800">
        <v>0</v>
      </c>
      <c r="DQ243" s="1799">
        <v>0</v>
      </c>
      <c r="DR243" s="1800">
        <v>0</v>
      </c>
      <c r="DS243" s="1799">
        <v>0</v>
      </c>
    </row>
    <row r="244" spans="1:123" ht="67.5">
      <c r="A244" s="1801" t="s">
        <v>2273</v>
      </c>
      <c r="B244" s="1788" t="s">
        <v>2274</v>
      </c>
      <c r="C244" s="426">
        <v>2020</v>
      </c>
      <c r="D244" s="417" t="s">
        <v>681</v>
      </c>
      <c r="E244" s="1802">
        <v>1009351</v>
      </c>
      <c r="F244" s="1803" t="s">
        <v>2274</v>
      </c>
      <c r="G244" s="419">
        <v>45125</v>
      </c>
      <c r="H244" s="1790" t="s">
        <v>2275</v>
      </c>
      <c r="I244" s="1791" t="s">
        <v>2274</v>
      </c>
      <c r="J244" s="1793" t="s">
        <v>5129</v>
      </c>
      <c r="K244" s="1788" t="s">
        <v>2274</v>
      </c>
      <c r="L244" s="1791" t="s">
        <v>5129</v>
      </c>
      <c r="M244" s="1793" t="s">
        <v>2275</v>
      </c>
      <c r="N244" s="1790" t="s">
        <v>12</v>
      </c>
      <c r="O244" s="1793" t="s">
        <v>13</v>
      </c>
      <c r="P244" s="420" t="s">
        <v>683</v>
      </c>
      <c r="Q244" s="421"/>
      <c r="R244" s="421"/>
      <c r="S244" s="422"/>
      <c r="T244" s="1794"/>
      <c r="U244" s="423">
        <v>2624.2728000000002</v>
      </c>
      <c r="V244" s="424">
        <v>15</v>
      </c>
      <c r="W244" s="424">
        <v>1</v>
      </c>
      <c r="X244" s="425"/>
      <c r="Y244" s="426">
        <v>2020</v>
      </c>
      <c r="Z244" s="417">
        <v>2022</v>
      </c>
      <c r="AA244" s="1804">
        <v>2022</v>
      </c>
      <c r="AB244" s="427"/>
      <c r="AC244" s="1793"/>
      <c r="AD244" s="428" t="s">
        <v>5863</v>
      </c>
      <c r="AE244" s="1791" t="s">
        <v>5130</v>
      </c>
      <c r="AF244" s="1791" t="s">
        <v>2276</v>
      </c>
      <c r="AG244" s="1793" t="s">
        <v>2277</v>
      </c>
      <c r="AH244" s="428"/>
      <c r="AI244" s="1793"/>
      <c r="AJ244" s="429">
        <v>2019</v>
      </c>
      <c r="AK244" s="424">
        <v>5044</v>
      </c>
      <c r="AL244" s="424">
        <v>4958</v>
      </c>
      <c r="AM244" s="430"/>
      <c r="AN244" s="431"/>
      <c r="AO244" s="432">
        <v>2022</v>
      </c>
      <c r="AP244" s="425">
        <v>5003.6480000000001</v>
      </c>
      <c r="AQ244" s="433">
        <v>0.79</v>
      </c>
      <c r="AR244" s="425">
        <v>4918.3360000000002</v>
      </c>
      <c r="AS244" s="433">
        <v>0.79</v>
      </c>
      <c r="AT244" s="434"/>
      <c r="AU244" s="431"/>
      <c r="AV244" s="435"/>
      <c r="AW244" s="432">
        <v>2020</v>
      </c>
      <c r="AX244" s="425">
        <v>4687</v>
      </c>
      <c r="AY244" s="433">
        <v>7.07</v>
      </c>
      <c r="AZ244" s="425">
        <v>4531</v>
      </c>
      <c r="BA244" s="433">
        <v>8.61</v>
      </c>
      <c r="BB244" s="434"/>
      <c r="BC244" s="431"/>
      <c r="BD244" s="435"/>
      <c r="BE244" s="432">
        <v>2021</v>
      </c>
      <c r="BF244" s="425">
        <v>4789</v>
      </c>
      <c r="BG244" s="433">
        <v>5.05</v>
      </c>
      <c r="BH244" s="425">
        <v>4761</v>
      </c>
      <c r="BI244" s="433">
        <v>3.97</v>
      </c>
      <c r="BJ244" s="434"/>
      <c r="BK244" s="431"/>
      <c r="BL244" s="435"/>
      <c r="BM244" s="432">
        <v>2022</v>
      </c>
      <c r="BN244" s="425">
        <v>4650</v>
      </c>
      <c r="BO244" s="433">
        <v>7.81</v>
      </c>
      <c r="BP244" s="425">
        <v>4662</v>
      </c>
      <c r="BQ244" s="433">
        <v>5.97</v>
      </c>
      <c r="BR244" s="434"/>
      <c r="BS244" s="431"/>
      <c r="BT244" s="435"/>
      <c r="BU244" s="1805" t="s">
        <v>687</v>
      </c>
      <c r="BV244" s="1806" t="s">
        <v>728</v>
      </c>
      <c r="BW244" s="1807" t="s">
        <v>688</v>
      </c>
      <c r="BX244" s="1808"/>
      <c r="BY244" s="1809">
        <v>2019</v>
      </c>
      <c r="BZ244" s="424"/>
      <c r="CA244" s="424"/>
      <c r="CB244" s="430"/>
      <c r="CC244" s="431"/>
      <c r="CD244" s="432">
        <v>2022</v>
      </c>
      <c r="CE244" s="425"/>
      <c r="CF244" s="433"/>
      <c r="CG244" s="425"/>
      <c r="CH244" s="433"/>
      <c r="CI244" s="434"/>
      <c r="CJ244" s="431"/>
      <c r="CK244" s="435"/>
      <c r="CL244" s="432">
        <v>2020</v>
      </c>
      <c r="CM244" s="425"/>
      <c r="CN244" s="433"/>
      <c r="CO244" s="425"/>
      <c r="CP244" s="433"/>
      <c r="CQ244" s="434"/>
      <c r="CR244" s="431"/>
      <c r="CS244" s="435"/>
      <c r="CT244" s="432">
        <v>2021</v>
      </c>
      <c r="CU244" s="425"/>
      <c r="CV244" s="433"/>
      <c r="CW244" s="425"/>
      <c r="CX244" s="433"/>
      <c r="CY244" s="434"/>
      <c r="CZ244" s="431"/>
      <c r="DA244" s="435"/>
      <c r="DB244" s="432">
        <v>2022</v>
      </c>
      <c r="DC244" s="425">
        <v>0</v>
      </c>
      <c r="DD244" s="433"/>
      <c r="DE244" s="425">
        <v>0</v>
      </c>
      <c r="DF244" s="433"/>
      <c r="DG244" s="434"/>
      <c r="DH244" s="431"/>
      <c r="DI244" s="435">
        <v>0</v>
      </c>
      <c r="DJ244" s="1805"/>
      <c r="DK244" s="1806"/>
      <c r="DL244" s="1807"/>
      <c r="DM244" s="1808"/>
      <c r="DN244" s="1810">
        <v>0</v>
      </c>
      <c r="DO244" s="1799">
        <v>0</v>
      </c>
      <c r="DP244" s="1800">
        <v>0</v>
      </c>
      <c r="DQ244" s="1799">
        <v>0</v>
      </c>
      <c r="DR244" s="1800">
        <v>0</v>
      </c>
      <c r="DS244" s="1799">
        <v>0</v>
      </c>
    </row>
    <row r="245" spans="1:123" ht="94.5">
      <c r="A245" s="1801" t="s">
        <v>2278</v>
      </c>
      <c r="B245" s="1788" t="s">
        <v>2279</v>
      </c>
      <c r="C245" s="426">
        <v>2020</v>
      </c>
      <c r="D245" s="417" t="s">
        <v>681</v>
      </c>
      <c r="E245" s="1802">
        <v>1037353</v>
      </c>
      <c r="F245" s="1803" t="s">
        <v>2279</v>
      </c>
      <c r="G245" s="419">
        <v>45138</v>
      </c>
      <c r="H245" s="1790" t="s">
        <v>2280</v>
      </c>
      <c r="I245" s="1791" t="s">
        <v>2279</v>
      </c>
      <c r="J245" s="1793" t="s">
        <v>2281</v>
      </c>
      <c r="K245" s="1788" t="s">
        <v>2279</v>
      </c>
      <c r="L245" s="1791" t="s">
        <v>2282</v>
      </c>
      <c r="M245" s="1793" t="s">
        <v>2280</v>
      </c>
      <c r="N245" s="1790" t="s">
        <v>42</v>
      </c>
      <c r="O245" s="1793" t="s">
        <v>43</v>
      </c>
      <c r="P245" s="420" t="s">
        <v>683</v>
      </c>
      <c r="Q245" s="421"/>
      <c r="R245" s="421"/>
      <c r="S245" s="422"/>
      <c r="T245" s="1794"/>
      <c r="U245" s="423">
        <v>4415.4636</v>
      </c>
      <c r="V245" s="424">
        <v>10</v>
      </c>
      <c r="W245" s="424">
        <v>1</v>
      </c>
      <c r="X245" s="425"/>
      <c r="Y245" s="426">
        <v>2020</v>
      </c>
      <c r="Z245" s="417">
        <v>2022</v>
      </c>
      <c r="AA245" s="1804">
        <v>2022</v>
      </c>
      <c r="AB245" s="427"/>
      <c r="AC245" s="1793"/>
      <c r="AD245" s="428" t="s">
        <v>5863</v>
      </c>
      <c r="AE245" s="1791" t="s">
        <v>2279</v>
      </c>
      <c r="AF245" s="1791" t="s">
        <v>2283</v>
      </c>
      <c r="AG245" s="1793" t="s">
        <v>1707</v>
      </c>
      <c r="AH245" s="428"/>
      <c r="AI245" s="1793"/>
      <c r="AJ245" s="429">
        <v>2019</v>
      </c>
      <c r="AK245" s="424">
        <v>5412</v>
      </c>
      <c r="AL245" s="424">
        <v>5318</v>
      </c>
      <c r="AM245" s="430">
        <v>502.38</v>
      </c>
      <c r="AN245" s="431" t="s">
        <v>2284</v>
      </c>
      <c r="AO245" s="432">
        <v>2022</v>
      </c>
      <c r="AP245" s="425">
        <v>5807</v>
      </c>
      <c r="AQ245" s="433">
        <v>-7.3</v>
      </c>
      <c r="AR245" s="425">
        <v>5646</v>
      </c>
      <c r="AS245" s="433">
        <v>-6.17</v>
      </c>
      <c r="AT245" s="434">
        <v>249.618186412847</v>
      </c>
      <c r="AU245" s="431" t="s">
        <v>2284</v>
      </c>
      <c r="AV245" s="435">
        <v>50.31</v>
      </c>
      <c r="AW245" s="432">
        <v>2020</v>
      </c>
      <c r="AX245" s="425">
        <v>5303</v>
      </c>
      <c r="AY245" s="433">
        <v>2.0099999999999998</v>
      </c>
      <c r="AZ245" s="425">
        <v>5106</v>
      </c>
      <c r="BA245" s="433">
        <v>3.98</v>
      </c>
      <c r="BB245" s="434">
        <v>388.76</v>
      </c>
      <c r="BC245" s="431" t="s">
        <v>2284</v>
      </c>
      <c r="BD245" s="435">
        <v>22.61</v>
      </c>
      <c r="BE245" s="432">
        <v>2021</v>
      </c>
      <c r="BF245" s="425">
        <v>7668</v>
      </c>
      <c r="BG245" s="433">
        <v>-41.69</v>
      </c>
      <c r="BH245" s="425">
        <v>7184</v>
      </c>
      <c r="BI245" s="433">
        <v>-35.090000000000003</v>
      </c>
      <c r="BJ245" s="434">
        <v>310.36</v>
      </c>
      <c r="BK245" s="431" t="s">
        <v>2284</v>
      </c>
      <c r="BL245" s="435">
        <v>38.22</v>
      </c>
      <c r="BM245" s="432">
        <v>2022</v>
      </c>
      <c r="BN245" s="425">
        <v>7715</v>
      </c>
      <c r="BO245" s="433">
        <v>-42.56</v>
      </c>
      <c r="BP245" s="425">
        <v>8114</v>
      </c>
      <c r="BQ245" s="433">
        <v>-52.58</v>
      </c>
      <c r="BR245" s="434">
        <v>134.07868312014566</v>
      </c>
      <c r="BS245" s="431" t="s">
        <v>2284</v>
      </c>
      <c r="BT245" s="435">
        <v>73.31</v>
      </c>
      <c r="BU245" s="1805" t="s">
        <v>676</v>
      </c>
      <c r="BV245" s="1806" t="s">
        <v>728</v>
      </c>
      <c r="BW245" s="1807" t="s">
        <v>678</v>
      </c>
      <c r="BX245" s="1808" t="s">
        <v>2285</v>
      </c>
      <c r="BY245" s="1809">
        <v>2019</v>
      </c>
      <c r="BZ245" s="424"/>
      <c r="CA245" s="424"/>
      <c r="CB245" s="430"/>
      <c r="CC245" s="431"/>
      <c r="CD245" s="432">
        <v>2022</v>
      </c>
      <c r="CE245" s="425"/>
      <c r="CF245" s="433"/>
      <c r="CG245" s="425"/>
      <c r="CH245" s="433"/>
      <c r="CI245" s="434"/>
      <c r="CJ245" s="431"/>
      <c r="CK245" s="435"/>
      <c r="CL245" s="432">
        <v>2020</v>
      </c>
      <c r="CM245" s="425"/>
      <c r="CN245" s="433"/>
      <c r="CO245" s="425"/>
      <c r="CP245" s="433"/>
      <c r="CQ245" s="434"/>
      <c r="CR245" s="431"/>
      <c r="CS245" s="435"/>
      <c r="CT245" s="432">
        <v>2021</v>
      </c>
      <c r="CU245" s="425"/>
      <c r="CV245" s="433"/>
      <c r="CW245" s="425"/>
      <c r="CX245" s="433"/>
      <c r="CY245" s="434"/>
      <c r="CZ245" s="431"/>
      <c r="DA245" s="435"/>
      <c r="DB245" s="432">
        <v>2022</v>
      </c>
      <c r="DC245" s="425">
        <v>0</v>
      </c>
      <c r="DD245" s="433"/>
      <c r="DE245" s="425">
        <v>0</v>
      </c>
      <c r="DF245" s="433"/>
      <c r="DG245" s="434"/>
      <c r="DH245" s="431"/>
      <c r="DI245" s="435">
        <v>0</v>
      </c>
      <c r="DJ245" s="1805"/>
      <c r="DK245" s="1806"/>
      <c r="DL245" s="1807"/>
      <c r="DM245" s="1808"/>
      <c r="DN245" s="1810">
        <v>0</v>
      </c>
      <c r="DO245" s="1799">
        <v>0</v>
      </c>
      <c r="DP245" s="1800">
        <v>0</v>
      </c>
      <c r="DQ245" s="1799">
        <v>0</v>
      </c>
      <c r="DR245" s="1800">
        <v>0</v>
      </c>
      <c r="DS245" s="1799">
        <v>0</v>
      </c>
    </row>
    <row r="246" spans="1:123" ht="67.5">
      <c r="A246" s="1801" t="s">
        <v>2286</v>
      </c>
      <c r="B246" s="1788" t="s">
        <v>2287</v>
      </c>
      <c r="C246" s="426">
        <v>2020</v>
      </c>
      <c r="D246" s="417" t="s">
        <v>681</v>
      </c>
      <c r="E246" s="1802">
        <v>1056354</v>
      </c>
      <c r="F246" s="1803" t="s">
        <v>2287</v>
      </c>
      <c r="G246" s="419">
        <v>45138</v>
      </c>
      <c r="H246" s="1790" t="s">
        <v>2288</v>
      </c>
      <c r="I246" s="1791" t="s">
        <v>2287</v>
      </c>
      <c r="J246" s="1793" t="s">
        <v>2289</v>
      </c>
      <c r="K246" s="1788" t="s">
        <v>2287</v>
      </c>
      <c r="L246" s="1791" t="s">
        <v>2289</v>
      </c>
      <c r="M246" s="1793" t="s">
        <v>2288</v>
      </c>
      <c r="N246" s="1790" t="s">
        <v>57</v>
      </c>
      <c r="O246" s="1793" t="s">
        <v>67</v>
      </c>
      <c r="P246" s="420" t="s">
        <v>683</v>
      </c>
      <c r="Q246" s="421"/>
      <c r="R246" s="421"/>
      <c r="S246" s="422"/>
      <c r="T246" s="1794"/>
      <c r="U246" s="423">
        <v>4605.1451999999999</v>
      </c>
      <c r="V246" s="424">
        <v>17</v>
      </c>
      <c r="W246" s="424">
        <v>2</v>
      </c>
      <c r="X246" s="425"/>
      <c r="Y246" s="426">
        <v>2020</v>
      </c>
      <c r="Z246" s="417">
        <v>2022</v>
      </c>
      <c r="AA246" s="1804">
        <v>2022</v>
      </c>
      <c r="AB246" s="427"/>
      <c r="AC246" s="1793"/>
      <c r="AD246" s="428" t="s">
        <v>5863</v>
      </c>
      <c r="AE246" s="1791" t="s">
        <v>2290</v>
      </c>
      <c r="AF246" s="1791" t="s">
        <v>2288</v>
      </c>
      <c r="AG246" s="1793" t="s">
        <v>2291</v>
      </c>
      <c r="AH246" s="428"/>
      <c r="AI246" s="1793"/>
      <c r="AJ246" s="429">
        <v>2019</v>
      </c>
      <c r="AK246" s="424">
        <v>7418</v>
      </c>
      <c r="AL246" s="424">
        <v>8041</v>
      </c>
      <c r="AM246" s="430">
        <v>46.85</v>
      </c>
      <c r="AN246" s="431" t="s">
        <v>727</v>
      </c>
      <c r="AO246" s="432">
        <v>2022</v>
      </c>
      <c r="AP246" s="425">
        <v>7343.82</v>
      </c>
      <c r="AQ246" s="433">
        <v>1</v>
      </c>
      <c r="AR246" s="425">
        <v>7960.59</v>
      </c>
      <c r="AS246" s="433">
        <v>0.99</v>
      </c>
      <c r="AT246" s="434">
        <v>46.381500000000003</v>
      </c>
      <c r="AU246" s="431" t="s">
        <v>727</v>
      </c>
      <c r="AV246" s="435">
        <v>0.99</v>
      </c>
      <c r="AW246" s="432">
        <v>2020</v>
      </c>
      <c r="AX246" s="425">
        <v>8375</v>
      </c>
      <c r="AY246" s="433">
        <v>-12.91</v>
      </c>
      <c r="AZ246" s="425">
        <v>8484</v>
      </c>
      <c r="BA246" s="433">
        <v>-5.51</v>
      </c>
      <c r="BB246" s="434">
        <v>52.9</v>
      </c>
      <c r="BC246" s="431" t="s">
        <v>727</v>
      </c>
      <c r="BD246" s="435">
        <v>-12.92</v>
      </c>
      <c r="BE246" s="432">
        <v>2021</v>
      </c>
      <c r="BF246" s="425">
        <v>6400</v>
      </c>
      <c r="BG246" s="433">
        <v>13.72</v>
      </c>
      <c r="BH246" s="425">
        <v>6529</v>
      </c>
      <c r="BI246" s="433">
        <v>18.8</v>
      </c>
      <c r="BJ246" s="434">
        <v>40.14</v>
      </c>
      <c r="BK246" s="431" t="s">
        <v>727</v>
      </c>
      <c r="BL246" s="435">
        <v>14.32</v>
      </c>
      <c r="BM246" s="432">
        <v>2022</v>
      </c>
      <c r="BN246" s="425">
        <v>8139</v>
      </c>
      <c r="BO246" s="433">
        <v>-9.7200000000000006</v>
      </c>
      <c r="BP246" s="425">
        <v>8191</v>
      </c>
      <c r="BQ246" s="433">
        <v>-1.87</v>
      </c>
      <c r="BR246" s="434">
        <v>46.967657467453591</v>
      </c>
      <c r="BS246" s="431" t="s">
        <v>727</v>
      </c>
      <c r="BT246" s="435">
        <v>-0.26</v>
      </c>
      <c r="BU246" s="1805" t="s">
        <v>719</v>
      </c>
      <c r="BV246" s="1806" t="s">
        <v>728</v>
      </c>
      <c r="BW246" s="1807" t="s">
        <v>688</v>
      </c>
      <c r="BX246" s="1808"/>
      <c r="BY246" s="1809">
        <v>2019</v>
      </c>
      <c r="BZ246" s="424"/>
      <c r="CA246" s="424"/>
      <c r="CB246" s="430"/>
      <c r="CC246" s="431" t="s">
        <v>727</v>
      </c>
      <c r="CD246" s="432">
        <v>2022</v>
      </c>
      <c r="CE246" s="425"/>
      <c r="CF246" s="433"/>
      <c r="CG246" s="425"/>
      <c r="CH246" s="433"/>
      <c r="CI246" s="434"/>
      <c r="CJ246" s="431"/>
      <c r="CK246" s="435"/>
      <c r="CL246" s="432">
        <v>2020</v>
      </c>
      <c r="CM246" s="425"/>
      <c r="CN246" s="433"/>
      <c r="CO246" s="425"/>
      <c r="CP246" s="433"/>
      <c r="CQ246" s="434"/>
      <c r="CR246" s="431"/>
      <c r="CS246" s="435"/>
      <c r="CT246" s="432">
        <v>2021</v>
      </c>
      <c r="CU246" s="425"/>
      <c r="CV246" s="433"/>
      <c r="CW246" s="425"/>
      <c r="CX246" s="433"/>
      <c r="CY246" s="434"/>
      <c r="CZ246" s="431"/>
      <c r="DA246" s="435"/>
      <c r="DB246" s="432">
        <v>2022</v>
      </c>
      <c r="DC246" s="425">
        <v>0</v>
      </c>
      <c r="DD246" s="433"/>
      <c r="DE246" s="425">
        <v>0</v>
      </c>
      <c r="DF246" s="433"/>
      <c r="DG246" s="434"/>
      <c r="DH246" s="431"/>
      <c r="DI246" s="435">
        <v>0</v>
      </c>
      <c r="DJ246" s="1805"/>
      <c r="DK246" s="1806"/>
      <c r="DL246" s="1807"/>
      <c r="DM246" s="1808"/>
      <c r="DN246" s="1810">
        <v>0</v>
      </c>
      <c r="DO246" s="1799">
        <v>0</v>
      </c>
      <c r="DP246" s="1800">
        <v>0</v>
      </c>
      <c r="DQ246" s="1799">
        <v>0</v>
      </c>
      <c r="DR246" s="1800">
        <v>0</v>
      </c>
      <c r="DS246" s="1799">
        <v>0</v>
      </c>
    </row>
    <row r="247" spans="1:123" ht="40.5">
      <c r="A247" s="1801" t="s">
        <v>2292</v>
      </c>
      <c r="B247" s="1788" t="s">
        <v>2293</v>
      </c>
      <c r="C247" s="426">
        <v>2020</v>
      </c>
      <c r="D247" s="417" t="s">
        <v>681</v>
      </c>
      <c r="E247" s="1802">
        <v>1021355</v>
      </c>
      <c r="F247" s="1803" t="s">
        <v>2293</v>
      </c>
      <c r="G247" s="419">
        <v>45182</v>
      </c>
      <c r="H247" s="1790" t="s">
        <v>2294</v>
      </c>
      <c r="I247" s="1791" t="s">
        <v>2293</v>
      </c>
      <c r="J247" s="1793" t="s">
        <v>2295</v>
      </c>
      <c r="K247" s="1788" t="s">
        <v>2293</v>
      </c>
      <c r="L247" s="1791" t="s">
        <v>2295</v>
      </c>
      <c r="M247" s="1793" t="s">
        <v>2294</v>
      </c>
      <c r="N247" s="1790" t="s">
        <v>12</v>
      </c>
      <c r="O247" s="1793" t="s">
        <v>25</v>
      </c>
      <c r="P247" s="420" t="s">
        <v>683</v>
      </c>
      <c r="Q247" s="421"/>
      <c r="R247" s="421"/>
      <c r="S247" s="422"/>
      <c r="T247" s="1794"/>
      <c r="U247" s="423">
        <v>2009.0976000000001</v>
      </c>
      <c r="V247" s="424">
        <v>1</v>
      </c>
      <c r="W247" s="424">
        <v>1</v>
      </c>
      <c r="X247" s="425"/>
      <c r="Y247" s="426">
        <v>2020</v>
      </c>
      <c r="Z247" s="417">
        <v>2022</v>
      </c>
      <c r="AA247" s="1804">
        <v>2022</v>
      </c>
      <c r="AB247" s="427"/>
      <c r="AC247" s="1793"/>
      <c r="AD247" s="428" t="s">
        <v>5863</v>
      </c>
      <c r="AE247" s="1791" t="s">
        <v>2296</v>
      </c>
      <c r="AF247" s="1791" t="s">
        <v>2294</v>
      </c>
      <c r="AG247" s="1793" t="s">
        <v>935</v>
      </c>
      <c r="AH247" s="428"/>
      <c r="AI247" s="1793"/>
      <c r="AJ247" s="429">
        <v>2019</v>
      </c>
      <c r="AK247" s="424">
        <v>6363</v>
      </c>
      <c r="AL247" s="424">
        <v>7305</v>
      </c>
      <c r="AM247" s="430">
        <v>2.5099999999999998</v>
      </c>
      <c r="AN247" s="431" t="s">
        <v>2297</v>
      </c>
      <c r="AO247" s="432">
        <v>2022</v>
      </c>
      <c r="AP247" s="425">
        <v>7318</v>
      </c>
      <c r="AQ247" s="433">
        <v>-15.01</v>
      </c>
      <c r="AR247" s="425">
        <v>8401</v>
      </c>
      <c r="AS247" s="433">
        <v>-15.01</v>
      </c>
      <c r="AT247" s="434">
        <v>2.4321899999999999</v>
      </c>
      <c r="AU247" s="431" t="s">
        <v>2297</v>
      </c>
      <c r="AV247" s="435">
        <v>3.1</v>
      </c>
      <c r="AW247" s="432">
        <v>2020</v>
      </c>
      <c r="AX247" s="425">
        <v>7798</v>
      </c>
      <c r="AY247" s="433">
        <v>-22.56</v>
      </c>
      <c r="AZ247" s="425">
        <v>8209</v>
      </c>
      <c r="BA247" s="433">
        <v>-12.38</v>
      </c>
      <c r="BB247" s="434">
        <v>2.0699999999999998</v>
      </c>
      <c r="BC247" s="431" t="s">
        <v>2297</v>
      </c>
      <c r="BD247" s="435">
        <v>17.52</v>
      </c>
      <c r="BE247" s="432">
        <v>2021</v>
      </c>
      <c r="BF247" s="425">
        <v>8630</v>
      </c>
      <c r="BG247" s="433">
        <v>-35.630000000000003</v>
      </c>
      <c r="BH247" s="425">
        <v>9543</v>
      </c>
      <c r="BI247" s="433">
        <v>-30.64</v>
      </c>
      <c r="BJ247" s="434">
        <v>1.83</v>
      </c>
      <c r="BK247" s="431" t="s">
        <v>2297</v>
      </c>
      <c r="BL247" s="435">
        <v>27.09</v>
      </c>
      <c r="BM247" s="432">
        <v>2022</v>
      </c>
      <c r="BN247" s="425">
        <v>3356</v>
      </c>
      <c r="BO247" s="433">
        <v>47.25</v>
      </c>
      <c r="BP247" s="425">
        <v>3393</v>
      </c>
      <c r="BQ247" s="433">
        <v>53.55</v>
      </c>
      <c r="BR247" s="434">
        <v>1.9376443418013858</v>
      </c>
      <c r="BS247" s="431" t="s">
        <v>2297</v>
      </c>
      <c r="BT247" s="435">
        <v>22.8</v>
      </c>
      <c r="BU247" s="1805" t="s">
        <v>676</v>
      </c>
      <c r="BV247" s="1806" t="s">
        <v>728</v>
      </c>
      <c r="BW247" s="1807" t="s">
        <v>697</v>
      </c>
      <c r="BX247" s="1808" t="s">
        <v>5131</v>
      </c>
      <c r="BY247" s="1809">
        <v>2019</v>
      </c>
      <c r="BZ247" s="424"/>
      <c r="CA247" s="424"/>
      <c r="CB247" s="430"/>
      <c r="CC247" s="431"/>
      <c r="CD247" s="432">
        <v>2022</v>
      </c>
      <c r="CE247" s="425"/>
      <c r="CF247" s="433"/>
      <c r="CG247" s="425"/>
      <c r="CH247" s="433"/>
      <c r="CI247" s="434"/>
      <c r="CJ247" s="431"/>
      <c r="CK247" s="435"/>
      <c r="CL247" s="432">
        <v>2020</v>
      </c>
      <c r="CM247" s="425"/>
      <c r="CN247" s="433"/>
      <c r="CO247" s="425"/>
      <c r="CP247" s="433"/>
      <c r="CQ247" s="434"/>
      <c r="CR247" s="431"/>
      <c r="CS247" s="435"/>
      <c r="CT247" s="432">
        <v>2021</v>
      </c>
      <c r="CU247" s="425"/>
      <c r="CV247" s="433"/>
      <c r="CW247" s="425"/>
      <c r="CX247" s="433"/>
      <c r="CY247" s="434"/>
      <c r="CZ247" s="431"/>
      <c r="DA247" s="435"/>
      <c r="DB247" s="432">
        <v>2022</v>
      </c>
      <c r="DC247" s="425">
        <v>0</v>
      </c>
      <c r="DD247" s="433"/>
      <c r="DE247" s="425">
        <v>0</v>
      </c>
      <c r="DF247" s="433"/>
      <c r="DG247" s="434">
        <v>0</v>
      </c>
      <c r="DH247" s="431"/>
      <c r="DI247" s="435"/>
      <c r="DJ247" s="1805"/>
      <c r="DK247" s="1806"/>
      <c r="DL247" s="1807"/>
      <c r="DM247" s="1808"/>
      <c r="DN247" s="1810"/>
      <c r="DO247" s="1799"/>
      <c r="DP247" s="1800"/>
      <c r="DQ247" s="1799"/>
      <c r="DR247" s="1800"/>
      <c r="DS247" s="1799"/>
    </row>
    <row r="248" spans="1:123" ht="67.5">
      <c r="A248" s="1801" t="s">
        <v>2298</v>
      </c>
      <c r="B248" s="1788" t="s">
        <v>2300</v>
      </c>
      <c r="C248" s="426">
        <v>2021</v>
      </c>
      <c r="D248" s="417" t="s">
        <v>714</v>
      </c>
      <c r="E248" s="1802">
        <v>3070359</v>
      </c>
      <c r="F248" s="1803" t="s">
        <v>2300</v>
      </c>
      <c r="G248" s="419">
        <v>45100</v>
      </c>
      <c r="H248" s="1790" t="s">
        <v>2299</v>
      </c>
      <c r="I248" s="1791" t="s">
        <v>2300</v>
      </c>
      <c r="J248" s="1793" t="s">
        <v>2301</v>
      </c>
      <c r="K248" s="1788" t="s">
        <v>2300</v>
      </c>
      <c r="L248" s="1791" t="s">
        <v>2302</v>
      </c>
      <c r="M248" s="1793" t="s">
        <v>2299</v>
      </c>
      <c r="N248" s="1790" t="s">
        <v>77</v>
      </c>
      <c r="O248" s="1793" t="s">
        <v>80</v>
      </c>
      <c r="P248" s="420"/>
      <c r="Q248" s="421"/>
      <c r="R248" s="421" t="s">
        <v>717</v>
      </c>
      <c r="S248" s="422"/>
      <c r="T248" s="1794"/>
      <c r="U248" s="423"/>
      <c r="V248" s="424"/>
      <c r="W248" s="424"/>
      <c r="X248" s="425">
        <v>121</v>
      </c>
      <c r="Y248" s="426">
        <v>2021</v>
      </c>
      <c r="Z248" s="417">
        <v>2023</v>
      </c>
      <c r="AA248" s="1804">
        <v>2022</v>
      </c>
      <c r="AB248" s="427"/>
      <c r="AC248" s="1793"/>
      <c r="AD248" s="428" t="s">
        <v>5863</v>
      </c>
      <c r="AE248" s="1791" t="s">
        <v>2303</v>
      </c>
      <c r="AF248" s="1791" t="s">
        <v>2304</v>
      </c>
      <c r="AG248" s="1793" t="s">
        <v>2305</v>
      </c>
      <c r="AH248" s="428"/>
      <c r="AI248" s="1793"/>
      <c r="AJ248" s="429">
        <v>2020</v>
      </c>
      <c r="AK248" s="424"/>
      <c r="AL248" s="424"/>
      <c r="AM248" s="430"/>
      <c r="AN248" s="431"/>
      <c r="AO248" s="432">
        <v>2023</v>
      </c>
      <c r="AP248" s="425"/>
      <c r="AQ248" s="433"/>
      <c r="AR248" s="425"/>
      <c r="AS248" s="433"/>
      <c r="AT248" s="434"/>
      <c r="AU248" s="431"/>
      <c r="AV248" s="435"/>
      <c r="AW248" s="432">
        <v>2021</v>
      </c>
      <c r="AX248" s="425"/>
      <c r="AY248" s="433"/>
      <c r="AZ248" s="425"/>
      <c r="BA248" s="433"/>
      <c r="BB248" s="434"/>
      <c r="BC248" s="431"/>
      <c r="BD248" s="435"/>
      <c r="BE248" s="432">
        <v>2022</v>
      </c>
      <c r="BF248" s="425"/>
      <c r="BG248" s="433"/>
      <c r="BH248" s="425"/>
      <c r="BI248" s="433"/>
      <c r="BJ248" s="434"/>
      <c r="BK248" s="431"/>
      <c r="BL248" s="435"/>
      <c r="BM248" s="432">
        <v>2023</v>
      </c>
      <c r="BN248" s="425"/>
      <c r="BO248" s="433"/>
      <c r="BP248" s="425"/>
      <c r="BQ248" s="433"/>
      <c r="BR248" s="434"/>
      <c r="BS248" s="431"/>
      <c r="BT248" s="435"/>
      <c r="BU248" s="1805"/>
      <c r="BV248" s="1806"/>
      <c r="BW248" s="1807"/>
      <c r="BX248" s="1808"/>
      <c r="BY248" s="1809">
        <v>2020</v>
      </c>
      <c r="BZ248" s="424">
        <v>383</v>
      </c>
      <c r="CA248" s="424">
        <v>383</v>
      </c>
      <c r="CB248" s="430"/>
      <c r="CC248" s="431"/>
      <c r="CD248" s="432">
        <v>2023</v>
      </c>
      <c r="CE248" s="425">
        <v>364</v>
      </c>
      <c r="CF248" s="433">
        <v>4.96</v>
      </c>
      <c r="CG248" s="425">
        <v>364</v>
      </c>
      <c r="CH248" s="433">
        <v>4.96</v>
      </c>
      <c r="CI248" s="434"/>
      <c r="CJ248" s="431"/>
      <c r="CK248" s="435"/>
      <c r="CL248" s="432">
        <v>2021</v>
      </c>
      <c r="CM248" s="425">
        <v>290</v>
      </c>
      <c r="CN248" s="433">
        <v>24.28</v>
      </c>
      <c r="CO248" s="425">
        <v>290</v>
      </c>
      <c r="CP248" s="433">
        <v>24.28</v>
      </c>
      <c r="CQ248" s="434"/>
      <c r="CR248" s="431"/>
      <c r="CS248" s="435"/>
      <c r="CT248" s="432">
        <v>2022</v>
      </c>
      <c r="CU248" s="425">
        <v>256.51169999999996</v>
      </c>
      <c r="CV248" s="433">
        <v>33.020000000000003</v>
      </c>
      <c r="CW248" s="425">
        <v>256.51169999999996</v>
      </c>
      <c r="CX248" s="433">
        <v>33.020000000000003</v>
      </c>
      <c r="CY248" s="434"/>
      <c r="CZ248" s="431"/>
      <c r="DA248" s="435"/>
      <c r="DB248" s="432">
        <v>2023</v>
      </c>
      <c r="DC248" s="425"/>
      <c r="DD248" s="433"/>
      <c r="DE248" s="425"/>
      <c r="DF248" s="433"/>
      <c r="DG248" s="434"/>
      <c r="DH248" s="431"/>
      <c r="DI248" s="435"/>
      <c r="DJ248" s="1805" t="s">
        <v>687</v>
      </c>
      <c r="DK248" s="1806" t="s">
        <v>728</v>
      </c>
      <c r="DL248" s="1807" t="s">
        <v>688</v>
      </c>
      <c r="DM248" s="1808"/>
      <c r="DN248" s="1810">
        <v>0</v>
      </c>
      <c r="DO248" s="1799">
        <v>0</v>
      </c>
      <c r="DP248" s="1800">
        <v>0</v>
      </c>
      <c r="DQ248" s="1799">
        <v>0</v>
      </c>
      <c r="DR248" s="1800">
        <v>0</v>
      </c>
      <c r="DS248" s="1799">
        <v>0</v>
      </c>
    </row>
    <row r="249" spans="1:123" ht="54">
      <c r="A249" s="1801" t="s">
        <v>2306</v>
      </c>
      <c r="B249" s="1788" t="s">
        <v>2308</v>
      </c>
      <c r="C249" s="426">
        <v>2022</v>
      </c>
      <c r="D249" s="417" t="s">
        <v>681</v>
      </c>
      <c r="E249" s="1802">
        <v>1033360</v>
      </c>
      <c r="F249" s="1803" t="s">
        <v>2308</v>
      </c>
      <c r="G249" s="419">
        <v>45134</v>
      </c>
      <c r="H249" s="1790" t="s">
        <v>2309</v>
      </c>
      <c r="I249" s="1791" t="s">
        <v>2308</v>
      </c>
      <c r="J249" s="1793" t="s">
        <v>5132</v>
      </c>
      <c r="K249" s="1788" t="s">
        <v>2308</v>
      </c>
      <c r="L249" s="1791" t="s">
        <v>5132</v>
      </c>
      <c r="M249" s="1793" t="s">
        <v>2309</v>
      </c>
      <c r="N249" s="1790" t="s">
        <v>37</v>
      </c>
      <c r="O249" s="1793" t="s">
        <v>38</v>
      </c>
      <c r="P249" s="420" t="s">
        <v>683</v>
      </c>
      <c r="Q249" s="421"/>
      <c r="R249" s="421"/>
      <c r="S249" s="422"/>
      <c r="T249" s="1794"/>
      <c r="U249" s="423">
        <v>3758180.7618</v>
      </c>
      <c r="V249" s="424">
        <v>2</v>
      </c>
      <c r="W249" s="424">
        <v>2</v>
      </c>
      <c r="X249" s="425"/>
      <c r="Y249" s="426">
        <v>2022</v>
      </c>
      <c r="Z249" s="417">
        <v>2024</v>
      </c>
      <c r="AA249" s="1804">
        <v>2022</v>
      </c>
      <c r="AB249" s="427"/>
      <c r="AC249" s="1793"/>
      <c r="AD249" s="428" t="s">
        <v>5863</v>
      </c>
      <c r="AE249" s="1791" t="s">
        <v>2307</v>
      </c>
      <c r="AF249" s="1791" t="s">
        <v>2310</v>
      </c>
      <c r="AG249" s="1793" t="s">
        <v>2311</v>
      </c>
      <c r="AH249" s="428"/>
      <c r="AI249" s="1793"/>
      <c r="AJ249" s="429">
        <v>2021</v>
      </c>
      <c r="AK249" s="424">
        <v>213327</v>
      </c>
      <c r="AL249" s="424">
        <v>213327</v>
      </c>
      <c r="AM249" s="430">
        <v>0.41</v>
      </c>
      <c r="AN249" s="431" t="s">
        <v>2312</v>
      </c>
      <c r="AO249" s="432">
        <v>2024</v>
      </c>
      <c r="AP249" s="425">
        <v>213327</v>
      </c>
      <c r="AQ249" s="433">
        <v>0</v>
      </c>
      <c r="AR249" s="425">
        <v>213327</v>
      </c>
      <c r="AS249" s="433">
        <v>0</v>
      </c>
      <c r="AT249" s="434">
        <v>0.41</v>
      </c>
      <c r="AU249" s="431" t="s">
        <v>2312</v>
      </c>
      <c r="AV249" s="435">
        <v>0</v>
      </c>
      <c r="AW249" s="432">
        <v>2022</v>
      </c>
      <c r="AX249" s="425">
        <v>200081</v>
      </c>
      <c r="AY249" s="433">
        <v>6.2</v>
      </c>
      <c r="AZ249" s="425">
        <v>200081</v>
      </c>
      <c r="BA249" s="433">
        <v>6.2</v>
      </c>
      <c r="BB249" s="434">
        <v>0.40834940558191746</v>
      </c>
      <c r="BC249" s="431" t="s">
        <v>2312</v>
      </c>
      <c r="BD249" s="435">
        <v>0.4</v>
      </c>
      <c r="BE249" s="432">
        <v>2023</v>
      </c>
      <c r="BF249" s="425"/>
      <c r="BG249" s="433"/>
      <c r="BH249" s="425"/>
      <c r="BI249" s="433"/>
      <c r="BJ249" s="434"/>
      <c r="BK249" s="431"/>
      <c r="BL249" s="435"/>
      <c r="BM249" s="432">
        <v>2024</v>
      </c>
      <c r="BN249" s="425"/>
      <c r="BO249" s="433"/>
      <c r="BP249" s="425"/>
      <c r="BQ249" s="433"/>
      <c r="BR249" s="434"/>
      <c r="BS249" s="431"/>
      <c r="BT249" s="435"/>
      <c r="BU249" s="1805" t="s">
        <v>719</v>
      </c>
      <c r="BV249" s="1806" t="s">
        <v>728</v>
      </c>
      <c r="BW249" s="1807" t="s">
        <v>688</v>
      </c>
      <c r="BX249" s="1808"/>
      <c r="BY249" s="1809">
        <v>2021</v>
      </c>
      <c r="BZ249" s="424"/>
      <c r="CA249" s="424"/>
      <c r="CB249" s="430"/>
      <c r="CC249" s="431"/>
      <c r="CD249" s="432">
        <v>2024</v>
      </c>
      <c r="CE249" s="425"/>
      <c r="CF249" s="433"/>
      <c r="CG249" s="425"/>
      <c r="CH249" s="433"/>
      <c r="CI249" s="434"/>
      <c r="CJ249" s="431"/>
      <c r="CK249" s="435"/>
      <c r="CL249" s="432">
        <v>2022</v>
      </c>
      <c r="CM249" s="425">
        <v>0</v>
      </c>
      <c r="CN249" s="433"/>
      <c r="CO249" s="425">
        <v>0</v>
      </c>
      <c r="CP249" s="433"/>
      <c r="CQ249" s="434"/>
      <c r="CR249" s="431"/>
      <c r="CS249" s="435"/>
      <c r="CT249" s="432">
        <v>2023</v>
      </c>
      <c r="CU249" s="425"/>
      <c r="CV249" s="433"/>
      <c r="CW249" s="425"/>
      <c r="CX249" s="433"/>
      <c r="CY249" s="434"/>
      <c r="CZ249" s="431"/>
      <c r="DA249" s="435"/>
      <c r="DB249" s="432">
        <v>2024</v>
      </c>
      <c r="DC249" s="425"/>
      <c r="DD249" s="433"/>
      <c r="DE249" s="425"/>
      <c r="DF249" s="433"/>
      <c r="DG249" s="434"/>
      <c r="DH249" s="431"/>
      <c r="DI249" s="435"/>
      <c r="DJ249" s="1805"/>
      <c r="DK249" s="1806"/>
      <c r="DL249" s="1807"/>
      <c r="DM249" s="1808"/>
      <c r="DN249" s="1810">
        <v>0</v>
      </c>
      <c r="DO249" s="1799">
        <v>0</v>
      </c>
      <c r="DP249" s="1800">
        <v>0</v>
      </c>
      <c r="DQ249" s="1799">
        <v>0</v>
      </c>
      <c r="DR249" s="1800">
        <v>0</v>
      </c>
      <c r="DS249" s="1799">
        <v>0</v>
      </c>
    </row>
    <row r="250" spans="1:123" ht="81">
      <c r="A250" s="1801" t="s">
        <v>2313</v>
      </c>
      <c r="B250" s="1788" t="s">
        <v>2314</v>
      </c>
      <c r="C250" s="426">
        <v>2022</v>
      </c>
      <c r="D250" s="417" t="s">
        <v>891</v>
      </c>
      <c r="E250" s="1802">
        <v>1033361</v>
      </c>
      <c r="F250" s="1803" t="s">
        <v>2314</v>
      </c>
      <c r="G250" s="419">
        <v>45133</v>
      </c>
      <c r="H250" s="1790" t="s">
        <v>2315</v>
      </c>
      <c r="I250" s="1791" t="s">
        <v>2314</v>
      </c>
      <c r="J250" s="1793" t="s">
        <v>5133</v>
      </c>
      <c r="K250" s="1788" t="s">
        <v>2314</v>
      </c>
      <c r="L250" s="1791" t="s">
        <v>2316</v>
      </c>
      <c r="M250" s="1793" t="s">
        <v>2317</v>
      </c>
      <c r="N250" s="1790" t="s">
        <v>37</v>
      </c>
      <c r="O250" s="1793" t="s">
        <v>38</v>
      </c>
      <c r="P250" s="420" t="s">
        <v>683</v>
      </c>
      <c r="Q250" s="421"/>
      <c r="R250" s="421" t="s">
        <v>717</v>
      </c>
      <c r="S250" s="422"/>
      <c r="T250" s="1794"/>
      <c r="U250" s="423">
        <v>1739.0232000000001</v>
      </c>
      <c r="V250" s="424">
        <v>14</v>
      </c>
      <c r="W250" s="424">
        <v>1</v>
      </c>
      <c r="X250" s="425">
        <v>151</v>
      </c>
      <c r="Y250" s="426">
        <v>2022</v>
      </c>
      <c r="Z250" s="417">
        <v>2024</v>
      </c>
      <c r="AA250" s="1804">
        <v>2022</v>
      </c>
      <c r="AB250" s="427"/>
      <c r="AC250" s="1793"/>
      <c r="AD250" s="428" t="s">
        <v>5863</v>
      </c>
      <c r="AE250" s="1791" t="s">
        <v>2318</v>
      </c>
      <c r="AF250" s="1791" t="s">
        <v>2319</v>
      </c>
      <c r="AG250" s="1793" t="s">
        <v>2320</v>
      </c>
      <c r="AH250" s="428"/>
      <c r="AI250" s="1793"/>
      <c r="AJ250" s="429">
        <v>2021</v>
      </c>
      <c r="AK250" s="424">
        <v>3049</v>
      </c>
      <c r="AL250" s="424">
        <v>3049</v>
      </c>
      <c r="AM250" s="430"/>
      <c r="AN250" s="431"/>
      <c r="AO250" s="432">
        <v>2024</v>
      </c>
      <c r="AP250" s="425">
        <v>2959</v>
      </c>
      <c r="AQ250" s="433">
        <v>2.95</v>
      </c>
      <c r="AR250" s="425">
        <v>2959</v>
      </c>
      <c r="AS250" s="433">
        <v>2.95</v>
      </c>
      <c r="AT250" s="434"/>
      <c r="AU250" s="431"/>
      <c r="AV250" s="435"/>
      <c r="AW250" s="432">
        <v>2022</v>
      </c>
      <c r="AX250" s="425">
        <v>2935</v>
      </c>
      <c r="AY250" s="433">
        <v>3.73</v>
      </c>
      <c r="AZ250" s="425">
        <v>2935</v>
      </c>
      <c r="BA250" s="433">
        <v>3.73</v>
      </c>
      <c r="BB250" s="434"/>
      <c r="BC250" s="431"/>
      <c r="BD250" s="435"/>
      <c r="BE250" s="432">
        <v>2023</v>
      </c>
      <c r="BF250" s="425"/>
      <c r="BG250" s="433"/>
      <c r="BH250" s="425"/>
      <c r="BI250" s="433"/>
      <c r="BJ250" s="434"/>
      <c r="BK250" s="431"/>
      <c r="BL250" s="435"/>
      <c r="BM250" s="432">
        <v>2024</v>
      </c>
      <c r="BN250" s="425"/>
      <c r="BO250" s="433"/>
      <c r="BP250" s="425"/>
      <c r="BQ250" s="433"/>
      <c r="BR250" s="434"/>
      <c r="BS250" s="431"/>
      <c r="BT250" s="435"/>
      <c r="BU250" s="1805" t="s">
        <v>687</v>
      </c>
      <c r="BV250" s="1806" t="s">
        <v>728</v>
      </c>
      <c r="BW250" s="1807" t="s">
        <v>688</v>
      </c>
      <c r="BX250" s="1808" t="s">
        <v>5134</v>
      </c>
      <c r="BY250" s="1809">
        <v>2021</v>
      </c>
      <c r="BZ250" s="424">
        <v>206</v>
      </c>
      <c r="CA250" s="424">
        <v>206</v>
      </c>
      <c r="CB250" s="430"/>
      <c r="CC250" s="431"/>
      <c r="CD250" s="432">
        <v>2024</v>
      </c>
      <c r="CE250" s="425">
        <v>199.8</v>
      </c>
      <c r="CF250" s="433">
        <v>3</v>
      </c>
      <c r="CG250" s="425">
        <v>199.8</v>
      </c>
      <c r="CH250" s="433">
        <v>3</v>
      </c>
      <c r="CI250" s="434"/>
      <c r="CJ250" s="431"/>
      <c r="CK250" s="435"/>
      <c r="CL250" s="432">
        <v>2022</v>
      </c>
      <c r="CM250" s="425">
        <v>202.49310779999999</v>
      </c>
      <c r="CN250" s="433">
        <v>1.7</v>
      </c>
      <c r="CO250" s="425">
        <v>202.49310779999999</v>
      </c>
      <c r="CP250" s="433">
        <v>1.7</v>
      </c>
      <c r="CQ250" s="434"/>
      <c r="CR250" s="431"/>
      <c r="CS250" s="435"/>
      <c r="CT250" s="432">
        <v>2023</v>
      </c>
      <c r="CU250" s="425"/>
      <c r="CV250" s="433"/>
      <c r="CW250" s="425"/>
      <c r="CX250" s="433"/>
      <c r="CY250" s="434"/>
      <c r="CZ250" s="431"/>
      <c r="DA250" s="435"/>
      <c r="DB250" s="432">
        <v>2024</v>
      </c>
      <c r="DC250" s="425"/>
      <c r="DD250" s="433"/>
      <c r="DE250" s="425"/>
      <c r="DF250" s="433"/>
      <c r="DG250" s="434"/>
      <c r="DH250" s="431"/>
      <c r="DI250" s="435"/>
      <c r="DJ250" s="1805" t="s">
        <v>687</v>
      </c>
      <c r="DK250" s="1806" t="s">
        <v>728</v>
      </c>
      <c r="DL250" s="1807" t="s">
        <v>688</v>
      </c>
      <c r="DM250" s="1808" t="s">
        <v>5135</v>
      </c>
      <c r="DN250" s="1810">
        <v>0</v>
      </c>
      <c r="DO250" s="1799">
        <v>10</v>
      </c>
      <c r="DP250" s="1800">
        <v>0</v>
      </c>
      <c r="DQ250" s="1799">
        <v>0</v>
      </c>
      <c r="DR250" s="1800">
        <v>0</v>
      </c>
      <c r="DS250" s="1799">
        <v>0</v>
      </c>
    </row>
    <row r="251" spans="1:123" ht="108">
      <c r="A251" s="1801" t="s">
        <v>2321</v>
      </c>
      <c r="B251" s="1788" t="s">
        <v>2322</v>
      </c>
      <c r="C251" s="426">
        <v>2020</v>
      </c>
      <c r="D251" s="417" t="s">
        <v>681</v>
      </c>
      <c r="E251" s="1802">
        <v>1033362</v>
      </c>
      <c r="F251" s="1803" t="s">
        <v>2322</v>
      </c>
      <c r="G251" s="419">
        <v>45138</v>
      </c>
      <c r="H251" s="1790" t="s">
        <v>2324</v>
      </c>
      <c r="I251" s="1791" t="s">
        <v>2322</v>
      </c>
      <c r="J251" s="1793" t="s">
        <v>5136</v>
      </c>
      <c r="K251" s="1788" t="s">
        <v>2322</v>
      </c>
      <c r="L251" s="1791" t="s">
        <v>2323</v>
      </c>
      <c r="M251" s="1793" t="s">
        <v>2324</v>
      </c>
      <c r="N251" s="1790" t="s">
        <v>37</v>
      </c>
      <c r="O251" s="1793" t="s">
        <v>38</v>
      </c>
      <c r="P251" s="420" t="s">
        <v>683</v>
      </c>
      <c r="Q251" s="421"/>
      <c r="R251" s="421"/>
      <c r="S251" s="422"/>
      <c r="T251" s="1794"/>
      <c r="U251" s="423">
        <v>1198.6680000000001</v>
      </c>
      <c r="V251" s="424">
        <v>2</v>
      </c>
      <c r="W251" s="424">
        <v>1</v>
      </c>
      <c r="X251" s="425"/>
      <c r="Y251" s="426">
        <v>2020</v>
      </c>
      <c r="Z251" s="417">
        <v>2022</v>
      </c>
      <c r="AA251" s="1804">
        <v>2022</v>
      </c>
      <c r="AB251" s="427" t="s">
        <v>5863</v>
      </c>
      <c r="AC251" s="1793" t="s">
        <v>5137</v>
      </c>
      <c r="AD251" s="428"/>
      <c r="AE251" s="1791"/>
      <c r="AF251" s="1791"/>
      <c r="AG251" s="1793"/>
      <c r="AH251" s="428"/>
      <c r="AI251" s="1793"/>
      <c r="AJ251" s="429">
        <v>2019</v>
      </c>
      <c r="AK251" s="424">
        <v>3167</v>
      </c>
      <c r="AL251" s="424">
        <v>3167</v>
      </c>
      <c r="AM251" s="430">
        <v>703.78</v>
      </c>
      <c r="AN251" s="431" t="s">
        <v>2312</v>
      </c>
      <c r="AO251" s="432">
        <v>2022</v>
      </c>
      <c r="AP251" s="425">
        <v>3131</v>
      </c>
      <c r="AQ251" s="433">
        <v>1.1299999999999999</v>
      </c>
      <c r="AR251" s="425">
        <v>3131</v>
      </c>
      <c r="AS251" s="433">
        <v>1.1299999999999999</v>
      </c>
      <c r="AT251" s="434">
        <v>695.78</v>
      </c>
      <c r="AU251" s="431" t="s">
        <v>2312</v>
      </c>
      <c r="AV251" s="435">
        <v>1.1299999999999999</v>
      </c>
      <c r="AW251" s="432">
        <v>2020</v>
      </c>
      <c r="AX251" s="425">
        <v>2887</v>
      </c>
      <c r="AY251" s="433">
        <v>8.84</v>
      </c>
      <c r="AZ251" s="425">
        <v>2781</v>
      </c>
      <c r="BA251" s="433">
        <v>12.18</v>
      </c>
      <c r="BB251" s="434">
        <v>641.55999999999995</v>
      </c>
      <c r="BC251" s="431" t="s">
        <v>2312</v>
      </c>
      <c r="BD251" s="435">
        <v>8.84</v>
      </c>
      <c r="BE251" s="432">
        <v>2021</v>
      </c>
      <c r="BF251" s="425">
        <v>2450</v>
      </c>
      <c r="BG251" s="433">
        <v>22.63</v>
      </c>
      <c r="BH251" s="425">
        <v>2450</v>
      </c>
      <c r="BI251" s="433">
        <v>22.63</v>
      </c>
      <c r="BJ251" s="434">
        <v>544.44000000000005</v>
      </c>
      <c r="BK251" s="431" t="s">
        <v>2312</v>
      </c>
      <c r="BL251" s="435">
        <v>22.64</v>
      </c>
      <c r="BM251" s="432">
        <v>2022</v>
      </c>
      <c r="BN251" s="425">
        <v>2086</v>
      </c>
      <c r="BO251" s="433">
        <v>34.130000000000003</v>
      </c>
      <c r="BP251" s="425">
        <v>2086</v>
      </c>
      <c r="BQ251" s="433">
        <v>34.130000000000003</v>
      </c>
      <c r="BR251" s="434">
        <v>231.77777777777777</v>
      </c>
      <c r="BS251" s="431" t="s">
        <v>2312</v>
      </c>
      <c r="BT251" s="435">
        <v>67.06</v>
      </c>
      <c r="BU251" s="1805" t="s">
        <v>719</v>
      </c>
      <c r="BV251" s="1806" t="s">
        <v>728</v>
      </c>
      <c r="BW251" s="1807" t="s">
        <v>697</v>
      </c>
      <c r="BX251" s="1808" t="s">
        <v>2325</v>
      </c>
      <c r="BY251" s="1809">
        <v>2019</v>
      </c>
      <c r="BZ251" s="424"/>
      <c r="CA251" s="424"/>
      <c r="CB251" s="430"/>
      <c r="CC251" s="431"/>
      <c r="CD251" s="432">
        <v>2022</v>
      </c>
      <c r="CE251" s="425"/>
      <c r="CF251" s="433"/>
      <c r="CG251" s="425"/>
      <c r="CH251" s="433"/>
      <c r="CI251" s="434"/>
      <c r="CJ251" s="431"/>
      <c r="CK251" s="435"/>
      <c r="CL251" s="432">
        <v>2020</v>
      </c>
      <c r="CM251" s="425"/>
      <c r="CN251" s="433"/>
      <c r="CO251" s="425"/>
      <c r="CP251" s="433"/>
      <c r="CQ251" s="434"/>
      <c r="CR251" s="431"/>
      <c r="CS251" s="435"/>
      <c r="CT251" s="432">
        <v>2021</v>
      </c>
      <c r="CU251" s="425"/>
      <c r="CV251" s="433"/>
      <c r="CW251" s="425"/>
      <c r="CX251" s="433"/>
      <c r="CY251" s="434"/>
      <c r="CZ251" s="431"/>
      <c r="DA251" s="435"/>
      <c r="DB251" s="432">
        <v>2022</v>
      </c>
      <c r="DC251" s="425">
        <v>0</v>
      </c>
      <c r="DD251" s="433"/>
      <c r="DE251" s="425">
        <v>0</v>
      </c>
      <c r="DF251" s="433"/>
      <c r="DG251" s="434"/>
      <c r="DH251" s="431"/>
      <c r="DI251" s="435"/>
      <c r="DJ251" s="1805"/>
      <c r="DK251" s="1806"/>
      <c r="DL251" s="1807"/>
      <c r="DM251" s="1808"/>
      <c r="DN251" s="1810">
        <v>0</v>
      </c>
      <c r="DO251" s="1799">
        <v>10</v>
      </c>
      <c r="DP251" s="1800">
        <v>0</v>
      </c>
      <c r="DQ251" s="1799">
        <v>0</v>
      </c>
      <c r="DR251" s="1800">
        <v>0</v>
      </c>
      <c r="DS251" s="1799">
        <v>0</v>
      </c>
    </row>
    <row r="252" spans="1:123" ht="81">
      <c r="A252" s="1801" t="s">
        <v>2326</v>
      </c>
      <c r="B252" s="1788" t="s">
        <v>2327</v>
      </c>
      <c r="C252" s="426">
        <v>2022</v>
      </c>
      <c r="D252" s="417" t="s">
        <v>681</v>
      </c>
      <c r="E252" s="1802">
        <v>1068363</v>
      </c>
      <c r="F252" s="1803" t="s">
        <v>2327</v>
      </c>
      <c r="G252" s="419">
        <v>45133</v>
      </c>
      <c r="H252" s="1790" t="s">
        <v>2328</v>
      </c>
      <c r="I252" s="1791" t="s">
        <v>2327</v>
      </c>
      <c r="J252" s="1793" t="s">
        <v>5138</v>
      </c>
      <c r="K252" s="1788" t="s">
        <v>2327</v>
      </c>
      <c r="L252" s="1791" t="s">
        <v>5138</v>
      </c>
      <c r="M252" s="1793" t="s">
        <v>2328</v>
      </c>
      <c r="N252" s="1790" t="s">
        <v>70</v>
      </c>
      <c r="O252" s="1793" t="s">
        <v>73</v>
      </c>
      <c r="P252" s="420" t="s">
        <v>683</v>
      </c>
      <c r="Q252" s="421"/>
      <c r="R252" s="421"/>
      <c r="S252" s="422"/>
      <c r="T252" s="1794"/>
      <c r="U252" s="423">
        <v>3028.1201999999998</v>
      </c>
      <c r="V252" s="424">
        <v>1</v>
      </c>
      <c r="W252" s="424">
        <v>1</v>
      </c>
      <c r="X252" s="425"/>
      <c r="Y252" s="426">
        <v>2022</v>
      </c>
      <c r="Z252" s="417">
        <v>2024</v>
      </c>
      <c r="AA252" s="1804">
        <v>2022</v>
      </c>
      <c r="AB252" s="427"/>
      <c r="AC252" s="1793"/>
      <c r="AD252" s="428" t="s">
        <v>5863</v>
      </c>
      <c r="AE252" s="1791" t="s">
        <v>2329</v>
      </c>
      <c r="AF252" s="1791" t="s">
        <v>2328</v>
      </c>
      <c r="AG252" s="1793" t="s">
        <v>2204</v>
      </c>
      <c r="AH252" s="428"/>
      <c r="AI252" s="1793"/>
      <c r="AJ252" s="429">
        <v>2021</v>
      </c>
      <c r="AK252" s="424">
        <v>5232</v>
      </c>
      <c r="AL252" s="424">
        <v>5110</v>
      </c>
      <c r="AM252" s="430">
        <v>45.68</v>
      </c>
      <c r="AN252" s="431" t="s">
        <v>864</v>
      </c>
      <c r="AO252" s="432">
        <v>2024</v>
      </c>
      <c r="AP252" s="425">
        <v>5075.04</v>
      </c>
      <c r="AQ252" s="433">
        <v>3</v>
      </c>
      <c r="AR252" s="425">
        <v>4956.7</v>
      </c>
      <c r="AS252" s="433">
        <v>3</v>
      </c>
      <c r="AT252" s="434">
        <v>44.309599999999996</v>
      </c>
      <c r="AU252" s="431" t="s">
        <v>864</v>
      </c>
      <c r="AV252" s="435">
        <v>3</v>
      </c>
      <c r="AW252" s="432">
        <v>2022</v>
      </c>
      <c r="AX252" s="425">
        <v>5114</v>
      </c>
      <c r="AY252" s="433">
        <v>2.25</v>
      </c>
      <c r="AZ252" s="425">
        <v>3869</v>
      </c>
      <c r="BA252" s="433">
        <v>24.28</v>
      </c>
      <c r="BB252" s="434">
        <v>44.90297655632628</v>
      </c>
      <c r="BC252" s="431" t="s">
        <v>864</v>
      </c>
      <c r="BD252" s="435">
        <v>1.7</v>
      </c>
      <c r="BE252" s="432">
        <v>2023</v>
      </c>
      <c r="BF252" s="425"/>
      <c r="BG252" s="433"/>
      <c r="BH252" s="425"/>
      <c r="BI252" s="433"/>
      <c r="BJ252" s="434"/>
      <c r="BK252" s="431"/>
      <c r="BL252" s="435"/>
      <c r="BM252" s="432">
        <v>2024</v>
      </c>
      <c r="BN252" s="425"/>
      <c r="BO252" s="433"/>
      <c r="BP252" s="425"/>
      <c r="BQ252" s="433"/>
      <c r="BR252" s="434"/>
      <c r="BS252" s="431"/>
      <c r="BT252" s="435"/>
      <c r="BU252" s="1805" t="s">
        <v>719</v>
      </c>
      <c r="BV252" s="1806" t="s">
        <v>728</v>
      </c>
      <c r="BW252" s="1807" t="s">
        <v>688</v>
      </c>
      <c r="BX252" s="1808" t="s">
        <v>5139</v>
      </c>
      <c r="BY252" s="1809">
        <v>2021</v>
      </c>
      <c r="BZ252" s="424"/>
      <c r="CA252" s="424"/>
      <c r="CB252" s="430"/>
      <c r="CC252" s="431"/>
      <c r="CD252" s="432">
        <v>2024</v>
      </c>
      <c r="CE252" s="425"/>
      <c r="CF252" s="433"/>
      <c r="CG252" s="425"/>
      <c r="CH252" s="433"/>
      <c r="CI252" s="434"/>
      <c r="CJ252" s="431"/>
      <c r="CK252" s="435"/>
      <c r="CL252" s="432">
        <v>2022</v>
      </c>
      <c r="CM252" s="425">
        <v>0</v>
      </c>
      <c r="CN252" s="433"/>
      <c r="CO252" s="425">
        <v>0</v>
      </c>
      <c r="CP252" s="433"/>
      <c r="CQ252" s="434"/>
      <c r="CR252" s="431"/>
      <c r="CS252" s="435">
        <v>0</v>
      </c>
      <c r="CT252" s="432">
        <v>2023</v>
      </c>
      <c r="CU252" s="425"/>
      <c r="CV252" s="433"/>
      <c r="CW252" s="425"/>
      <c r="CX252" s="433"/>
      <c r="CY252" s="434"/>
      <c r="CZ252" s="431"/>
      <c r="DA252" s="435"/>
      <c r="DB252" s="432">
        <v>2024</v>
      </c>
      <c r="DC252" s="425"/>
      <c r="DD252" s="433"/>
      <c r="DE252" s="425"/>
      <c r="DF252" s="433"/>
      <c r="DG252" s="434"/>
      <c r="DH252" s="431"/>
      <c r="DI252" s="435"/>
      <c r="DJ252" s="1805"/>
      <c r="DK252" s="1806"/>
      <c r="DL252" s="1807"/>
      <c r="DM252" s="1808"/>
      <c r="DN252" s="1810">
        <v>0</v>
      </c>
      <c r="DO252" s="1799">
        <v>0</v>
      </c>
      <c r="DP252" s="1800">
        <v>0</v>
      </c>
      <c r="DQ252" s="1799">
        <v>0</v>
      </c>
      <c r="DR252" s="1800">
        <v>0</v>
      </c>
      <c r="DS252" s="1799">
        <v>0</v>
      </c>
    </row>
    <row r="253" spans="1:123" ht="54">
      <c r="A253" s="1801" t="s">
        <v>2330</v>
      </c>
      <c r="B253" s="1788" t="s">
        <v>2331</v>
      </c>
      <c r="C253" s="426">
        <v>2022</v>
      </c>
      <c r="D253" s="417" t="s">
        <v>681</v>
      </c>
      <c r="E253" s="1802">
        <v>1048364</v>
      </c>
      <c r="F253" s="1803" t="s">
        <v>2331</v>
      </c>
      <c r="G253" s="419">
        <v>45134</v>
      </c>
      <c r="H253" s="1790" t="s">
        <v>2332</v>
      </c>
      <c r="I253" s="1791" t="s">
        <v>2331</v>
      </c>
      <c r="J253" s="1793" t="s">
        <v>2333</v>
      </c>
      <c r="K253" s="1788" t="s">
        <v>2331</v>
      </c>
      <c r="L253" s="1791" t="s">
        <v>2334</v>
      </c>
      <c r="M253" s="1793" t="s">
        <v>2332</v>
      </c>
      <c r="N253" s="1790" t="s">
        <v>48</v>
      </c>
      <c r="O253" s="1793" t="s">
        <v>55</v>
      </c>
      <c r="P253" s="420" t="s">
        <v>683</v>
      </c>
      <c r="Q253" s="421"/>
      <c r="R253" s="421"/>
      <c r="S253" s="422"/>
      <c r="T253" s="1794"/>
      <c r="U253" s="423">
        <v>3011.4018000000001</v>
      </c>
      <c r="V253" s="424">
        <v>9</v>
      </c>
      <c r="W253" s="424">
        <v>2</v>
      </c>
      <c r="X253" s="425"/>
      <c r="Y253" s="426">
        <v>2022</v>
      </c>
      <c r="Z253" s="417">
        <v>2024</v>
      </c>
      <c r="AA253" s="1804">
        <v>2022</v>
      </c>
      <c r="AB253" s="427"/>
      <c r="AC253" s="1793"/>
      <c r="AD253" s="428" t="s">
        <v>5863</v>
      </c>
      <c r="AE253" s="1791" t="s">
        <v>2335</v>
      </c>
      <c r="AF253" s="1791" t="s">
        <v>2332</v>
      </c>
      <c r="AG253" s="1793" t="s">
        <v>751</v>
      </c>
      <c r="AH253" s="428"/>
      <c r="AI253" s="1793"/>
      <c r="AJ253" s="429">
        <v>2021</v>
      </c>
      <c r="AK253" s="424">
        <v>5355</v>
      </c>
      <c r="AL253" s="424">
        <v>6216</v>
      </c>
      <c r="AM253" s="430"/>
      <c r="AN253" s="431"/>
      <c r="AO253" s="432">
        <v>2024</v>
      </c>
      <c r="AP253" s="425">
        <v>5194</v>
      </c>
      <c r="AQ253" s="433">
        <v>3</v>
      </c>
      <c r="AR253" s="425">
        <v>6029.5199999999995</v>
      </c>
      <c r="AS253" s="433">
        <v>3</v>
      </c>
      <c r="AT253" s="434"/>
      <c r="AU253" s="431"/>
      <c r="AV253" s="435"/>
      <c r="AW253" s="432">
        <v>2022</v>
      </c>
      <c r="AX253" s="425">
        <v>5642</v>
      </c>
      <c r="AY253" s="433">
        <v>-5.36</v>
      </c>
      <c r="AZ253" s="425">
        <v>5596</v>
      </c>
      <c r="BA253" s="433">
        <v>9.9700000000000006</v>
      </c>
      <c r="BB253" s="434"/>
      <c r="BC253" s="431"/>
      <c r="BD253" s="435"/>
      <c r="BE253" s="432">
        <v>2023</v>
      </c>
      <c r="BF253" s="425"/>
      <c r="BG253" s="433"/>
      <c r="BH253" s="425"/>
      <c r="BI253" s="433"/>
      <c r="BJ253" s="434"/>
      <c r="BK253" s="431"/>
      <c r="BL253" s="435"/>
      <c r="BM253" s="432">
        <v>2024</v>
      </c>
      <c r="BN253" s="425"/>
      <c r="BO253" s="433"/>
      <c r="BP253" s="425"/>
      <c r="BQ253" s="433"/>
      <c r="BR253" s="434"/>
      <c r="BS253" s="431"/>
      <c r="BT253" s="435"/>
      <c r="BU253" s="1805" t="s">
        <v>676</v>
      </c>
      <c r="BV253" s="1806" t="s">
        <v>728</v>
      </c>
      <c r="BW253" s="1807" t="s">
        <v>678</v>
      </c>
      <c r="BX253" s="1808" t="s">
        <v>5140</v>
      </c>
      <c r="BY253" s="1809">
        <v>2021</v>
      </c>
      <c r="BZ253" s="424"/>
      <c r="CA253" s="424"/>
      <c r="CB253" s="430"/>
      <c r="CC253" s="431"/>
      <c r="CD253" s="432">
        <v>2024</v>
      </c>
      <c r="CE253" s="425"/>
      <c r="CF253" s="433"/>
      <c r="CG253" s="425"/>
      <c r="CH253" s="433"/>
      <c r="CI253" s="434"/>
      <c r="CJ253" s="431"/>
      <c r="CK253" s="435"/>
      <c r="CL253" s="432">
        <v>2022</v>
      </c>
      <c r="CM253" s="425">
        <v>0</v>
      </c>
      <c r="CN253" s="433"/>
      <c r="CO253" s="425">
        <v>0</v>
      </c>
      <c r="CP253" s="433"/>
      <c r="CQ253" s="434"/>
      <c r="CR253" s="431"/>
      <c r="CS253" s="435"/>
      <c r="CT253" s="432">
        <v>2023</v>
      </c>
      <c r="CU253" s="425"/>
      <c r="CV253" s="433"/>
      <c r="CW253" s="425"/>
      <c r="CX253" s="433"/>
      <c r="CY253" s="434"/>
      <c r="CZ253" s="431"/>
      <c r="DA253" s="435"/>
      <c r="DB253" s="432">
        <v>2024</v>
      </c>
      <c r="DC253" s="425"/>
      <c r="DD253" s="433"/>
      <c r="DE253" s="425"/>
      <c r="DF253" s="433"/>
      <c r="DG253" s="434"/>
      <c r="DH253" s="431"/>
      <c r="DI253" s="435"/>
      <c r="DJ253" s="1805"/>
      <c r="DK253" s="1806"/>
      <c r="DL253" s="1807"/>
      <c r="DM253" s="1808"/>
      <c r="DN253" s="1810">
        <v>0</v>
      </c>
      <c r="DO253" s="1799">
        <v>0</v>
      </c>
      <c r="DP253" s="1800">
        <v>0</v>
      </c>
      <c r="DQ253" s="1799">
        <v>0</v>
      </c>
      <c r="DR253" s="1800">
        <v>0</v>
      </c>
      <c r="DS253" s="1799">
        <v>0</v>
      </c>
    </row>
    <row r="254" spans="1:123" ht="81">
      <c r="A254" s="1801" t="s">
        <v>2336</v>
      </c>
      <c r="B254" s="1788" t="s">
        <v>2337</v>
      </c>
      <c r="C254" s="426">
        <v>2022</v>
      </c>
      <c r="D254" s="417" t="s">
        <v>681</v>
      </c>
      <c r="E254" s="1802">
        <v>1069365</v>
      </c>
      <c r="F254" s="1803" t="s">
        <v>2337</v>
      </c>
      <c r="G254" s="419">
        <v>45119</v>
      </c>
      <c r="H254" s="1790" t="s">
        <v>2338</v>
      </c>
      <c r="I254" s="1791" t="s">
        <v>2337</v>
      </c>
      <c r="J254" s="1793" t="s">
        <v>2339</v>
      </c>
      <c r="K254" s="1788" t="s">
        <v>2337</v>
      </c>
      <c r="L254" s="1791" t="s">
        <v>2339</v>
      </c>
      <c r="M254" s="1793" t="s">
        <v>2338</v>
      </c>
      <c r="N254" s="1790" t="s">
        <v>77</v>
      </c>
      <c r="O254" s="1793" t="s">
        <v>79</v>
      </c>
      <c r="P254" s="420" t="s">
        <v>683</v>
      </c>
      <c r="Q254" s="421"/>
      <c r="R254" s="421"/>
      <c r="S254" s="422"/>
      <c r="T254" s="1794"/>
      <c r="U254" s="423">
        <v>4880.5860000000002</v>
      </c>
      <c r="V254" s="424">
        <v>2</v>
      </c>
      <c r="W254" s="424">
        <v>1</v>
      </c>
      <c r="X254" s="425"/>
      <c r="Y254" s="426">
        <v>2022</v>
      </c>
      <c r="Z254" s="417">
        <v>2024</v>
      </c>
      <c r="AA254" s="1804">
        <v>2022</v>
      </c>
      <c r="AB254" s="427"/>
      <c r="AC254" s="1793"/>
      <c r="AD254" s="428" t="s">
        <v>5863</v>
      </c>
      <c r="AE254" s="1791" t="s">
        <v>2340</v>
      </c>
      <c r="AF254" s="1791" t="s">
        <v>2341</v>
      </c>
      <c r="AG254" s="1793" t="s">
        <v>2342</v>
      </c>
      <c r="AH254" s="428"/>
      <c r="AI254" s="1793"/>
      <c r="AJ254" s="429">
        <v>2021</v>
      </c>
      <c r="AK254" s="424">
        <v>8218</v>
      </c>
      <c r="AL254" s="424">
        <v>8341</v>
      </c>
      <c r="AM254" s="430"/>
      <c r="AN254" s="431"/>
      <c r="AO254" s="432">
        <v>2024</v>
      </c>
      <c r="AP254" s="425">
        <v>7974</v>
      </c>
      <c r="AQ254" s="433">
        <v>2.96</v>
      </c>
      <c r="AR254" s="425">
        <v>8091</v>
      </c>
      <c r="AS254" s="433">
        <v>2.99</v>
      </c>
      <c r="AT254" s="434"/>
      <c r="AU254" s="431"/>
      <c r="AV254" s="435"/>
      <c r="AW254" s="432">
        <v>2022</v>
      </c>
      <c r="AX254" s="425">
        <v>8337</v>
      </c>
      <c r="AY254" s="433">
        <v>-1.45</v>
      </c>
      <c r="AZ254" s="425">
        <v>8472</v>
      </c>
      <c r="BA254" s="433">
        <v>-1.58</v>
      </c>
      <c r="BB254" s="434"/>
      <c r="BC254" s="431"/>
      <c r="BD254" s="435"/>
      <c r="BE254" s="432">
        <v>2023</v>
      </c>
      <c r="BF254" s="425"/>
      <c r="BG254" s="433"/>
      <c r="BH254" s="425"/>
      <c r="BI254" s="433"/>
      <c r="BJ254" s="434"/>
      <c r="BK254" s="431"/>
      <c r="BL254" s="435"/>
      <c r="BM254" s="432">
        <v>2024</v>
      </c>
      <c r="BN254" s="425"/>
      <c r="BO254" s="433"/>
      <c r="BP254" s="425"/>
      <c r="BQ254" s="433"/>
      <c r="BR254" s="434"/>
      <c r="BS254" s="431"/>
      <c r="BT254" s="435"/>
      <c r="BU254" s="1805" t="s">
        <v>676</v>
      </c>
      <c r="BV254" s="1806" t="s">
        <v>728</v>
      </c>
      <c r="BW254" s="1807" t="s">
        <v>678</v>
      </c>
      <c r="BX254" s="1808" t="s">
        <v>5141</v>
      </c>
      <c r="BY254" s="1809">
        <v>2021</v>
      </c>
      <c r="BZ254" s="424"/>
      <c r="CA254" s="424"/>
      <c r="CB254" s="430"/>
      <c r="CC254" s="431"/>
      <c r="CD254" s="432">
        <v>2024</v>
      </c>
      <c r="CE254" s="425"/>
      <c r="CF254" s="433"/>
      <c r="CG254" s="425"/>
      <c r="CH254" s="433"/>
      <c r="CI254" s="434"/>
      <c r="CJ254" s="431"/>
      <c r="CK254" s="435"/>
      <c r="CL254" s="432">
        <v>2022</v>
      </c>
      <c r="CM254" s="425">
        <v>0</v>
      </c>
      <c r="CN254" s="433"/>
      <c r="CO254" s="425">
        <v>0</v>
      </c>
      <c r="CP254" s="433"/>
      <c r="CQ254" s="434"/>
      <c r="CR254" s="431"/>
      <c r="CS254" s="435">
        <v>0</v>
      </c>
      <c r="CT254" s="432">
        <v>2023</v>
      </c>
      <c r="CU254" s="425"/>
      <c r="CV254" s="433"/>
      <c r="CW254" s="425"/>
      <c r="CX254" s="433"/>
      <c r="CY254" s="434"/>
      <c r="CZ254" s="431"/>
      <c r="DA254" s="435"/>
      <c r="DB254" s="432">
        <v>2024</v>
      </c>
      <c r="DC254" s="425"/>
      <c r="DD254" s="433"/>
      <c r="DE254" s="425"/>
      <c r="DF254" s="433"/>
      <c r="DG254" s="434"/>
      <c r="DH254" s="431"/>
      <c r="DI254" s="435"/>
      <c r="DJ254" s="1805"/>
      <c r="DK254" s="1806"/>
      <c r="DL254" s="1807"/>
      <c r="DM254" s="1808"/>
      <c r="DN254" s="1810">
        <v>0</v>
      </c>
      <c r="DO254" s="1799">
        <v>0</v>
      </c>
      <c r="DP254" s="1800">
        <v>0</v>
      </c>
      <c r="DQ254" s="1799">
        <v>0</v>
      </c>
      <c r="DR254" s="1800">
        <v>0</v>
      </c>
      <c r="DS254" s="1799">
        <v>0</v>
      </c>
    </row>
    <row r="255" spans="1:123" ht="81">
      <c r="A255" s="1801" t="s">
        <v>2343</v>
      </c>
      <c r="B255" s="1788" t="s">
        <v>2344</v>
      </c>
      <c r="C255" s="426">
        <v>2022</v>
      </c>
      <c r="D255" s="417" t="s">
        <v>668</v>
      </c>
      <c r="E255" s="1802">
        <v>2076366</v>
      </c>
      <c r="F255" s="1803" t="s">
        <v>2344</v>
      </c>
      <c r="G255" s="419">
        <v>45174</v>
      </c>
      <c r="H255" s="1790" t="s">
        <v>2345</v>
      </c>
      <c r="I255" s="1791" t="s">
        <v>2344</v>
      </c>
      <c r="J255" s="1793" t="s">
        <v>2346</v>
      </c>
      <c r="K255" s="1788" t="s">
        <v>2344</v>
      </c>
      <c r="L255" s="1791" t="s">
        <v>2346</v>
      </c>
      <c r="M255" s="1793" t="s">
        <v>2345</v>
      </c>
      <c r="N255" s="1790" t="s">
        <v>86</v>
      </c>
      <c r="O255" s="1793" t="s">
        <v>88</v>
      </c>
      <c r="P255" s="420"/>
      <c r="Q255" s="421" t="s">
        <v>5862</v>
      </c>
      <c r="R255" s="421"/>
      <c r="S255" s="422"/>
      <c r="T255" s="1794"/>
      <c r="U255" s="423">
        <v>1803.0845999999999</v>
      </c>
      <c r="V255" s="424">
        <v>51</v>
      </c>
      <c r="W255" s="424">
        <v>0</v>
      </c>
      <c r="X255" s="425"/>
      <c r="Y255" s="426">
        <v>2022</v>
      </c>
      <c r="Z255" s="417">
        <v>2024</v>
      </c>
      <c r="AA255" s="1804">
        <v>2022</v>
      </c>
      <c r="AB255" s="427"/>
      <c r="AC255" s="1793"/>
      <c r="AD255" s="428" t="s">
        <v>5863</v>
      </c>
      <c r="AE255" s="1791" t="s">
        <v>2347</v>
      </c>
      <c r="AF255" s="1791" t="s">
        <v>2345</v>
      </c>
      <c r="AG255" s="1793" t="s">
        <v>2348</v>
      </c>
      <c r="AH255" s="428"/>
      <c r="AI255" s="1793"/>
      <c r="AJ255" s="429">
        <v>2021</v>
      </c>
      <c r="AK255" s="424">
        <v>2962</v>
      </c>
      <c r="AL255" s="424">
        <v>2944</v>
      </c>
      <c r="AM255" s="430">
        <v>7.05</v>
      </c>
      <c r="AN255" s="431" t="s">
        <v>2069</v>
      </c>
      <c r="AO255" s="432">
        <v>2024</v>
      </c>
      <c r="AP255" s="425">
        <v>2962</v>
      </c>
      <c r="AQ255" s="433">
        <v>0</v>
      </c>
      <c r="AR255" s="425">
        <v>2944</v>
      </c>
      <c r="AS255" s="433">
        <v>0</v>
      </c>
      <c r="AT255" s="434">
        <v>7.05</v>
      </c>
      <c r="AU255" s="431" t="s">
        <v>2069</v>
      </c>
      <c r="AV255" s="435">
        <v>0</v>
      </c>
      <c r="AW255" s="432">
        <v>2022</v>
      </c>
      <c r="AX255" s="425">
        <v>3262</v>
      </c>
      <c r="AY255" s="433">
        <v>-10.130000000000001</v>
      </c>
      <c r="AZ255" s="425">
        <v>3256</v>
      </c>
      <c r="BA255" s="433">
        <v>-10.6</v>
      </c>
      <c r="BB255" s="434">
        <v>6.6816878328553875</v>
      </c>
      <c r="BC255" s="431" t="s">
        <v>2069</v>
      </c>
      <c r="BD255" s="435">
        <v>5.22</v>
      </c>
      <c r="BE255" s="432">
        <v>2023</v>
      </c>
      <c r="BF255" s="425"/>
      <c r="BG255" s="433"/>
      <c r="BH255" s="425"/>
      <c r="BI255" s="433"/>
      <c r="BJ255" s="434"/>
      <c r="BK255" s="431"/>
      <c r="BL255" s="435"/>
      <c r="BM255" s="432">
        <v>2024</v>
      </c>
      <c r="BN255" s="425"/>
      <c r="BO255" s="433"/>
      <c r="BP255" s="425"/>
      <c r="BQ255" s="433"/>
      <c r="BR255" s="434"/>
      <c r="BS255" s="431"/>
      <c r="BT255" s="435"/>
      <c r="BU255" s="1805" t="s">
        <v>687</v>
      </c>
      <c r="BV255" s="1806" t="s">
        <v>728</v>
      </c>
      <c r="BW255" s="1807" t="s">
        <v>678</v>
      </c>
      <c r="BX255" s="1808" t="s">
        <v>5142</v>
      </c>
      <c r="BY255" s="1809">
        <v>2021</v>
      </c>
      <c r="BZ255" s="424"/>
      <c r="CA255" s="424"/>
      <c r="CB255" s="430"/>
      <c r="CC255" s="431"/>
      <c r="CD255" s="432">
        <v>2024</v>
      </c>
      <c r="CE255" s="425"/>
      <c r="CF255" s="433"/>
      <c r="CG255" s="425"/>
      <c r="CH255" s="433"/>
      <c r="CI255" s="434"/>
      <c r="CJ255" s="431"/>
      <c r="CK255" s="435"/>
      <c r="CL255" s="432">
        <v>2022</v>
      </c>
      <c r="CM255" s="425">
        <v>2.0880000000000001</v>
      </c>
      <c r="CN255" s="433"/>
      <c r="CO255" s="425">
        <v>2.0880000000000001</v>
      </c>
      <c r="CP255" s="433"/>
      <c r="CQ255" s="434">
        <v>0.14204081632653062</v>
      </c>
      <c r="CR255" s="431"/>
      <c r="CS255" s="435"/>
      <c r="CT255" s="432">
        <v>2023</v>
      </c>
      <c r="CU255" s="425"/>
      <c r="CV255" s="433"/>
      <c r="CW255" s="425"/>
      <c r="CX255" s="433"/>
      <c r="CY255" s="434"/>
      <c r="CZ255" s="431"/>
      <c r="DA255" s="435"/>
      <c r="DB255" s="432">
        <v>2024</v>
      </c>
      <c r="DC255" s="425"/>
      <c r="DD255" s="433"/>
      <c r="DE255" s="425"/>
      <c r="DF255" s="433"/>
      <c r="DG255" s="434"/>
      <c r="DH255" s="431"/>
      <c r="DI255" s="435"/>
      <c r="DJ255" s="1805"/>
      <c r="DK255" s="1806"/>
      <c r="DL255" s="1807"/>
      <c r="DM255" s="1808"/>
      <c r="DN255" s="1810">
        <v>0</v>
      </c>
      <c r="DO255" s="1799">
        <v>0</v>
      </c>
      <c r="DP255" s="1800">
        <v>0</v>
      </c>
      <c r="DQ255" s="1799">
        <v>0</v>
      </c>
      <c r="DR255" s="1800">
        <v>0</v>
      </c>
      <c r="DS255" s="1799">
        <v>0</v>
      </c>
    </row>
    <row r="256" spans="1:123" ht="67.5">
      <c r="A256" s="1801" t="s">
        <v>2349</v>
      </c>
      <c r="B256" s="1788" t="s">
        <v>2350</v>
      </c>
      <c r="C256" s="426">
        <v>2022</v>
      </c>
      <c r="D256" s="417" t="s">
        <v>714</v>
      </c>
      <c r="E256" s="1802">
        <v>3044367</v>
      </c>
      <c r="F256" s="1803" t="s">
        <v>2350</v>
      </c>
      <c r="G256" s="419">
        <v>45138</v>
      </c>
      <c r="H256" s="1790" t="s">
        <v>2351</v>
      </c>
      <c r="I256" s="1791" t="s">
        <v>2350</v>
      </c>
      <c r="J256" s="1793" t="s">
        <v>2352</v>
      </c>
      <c r="K256" s="1788" t="s">
        <v>2350</v>
      </c>
      <c r="L256" s="1791" t="s">
        <v>2352</v>
      </c>
      <c r="M256" s="1793" t="s">
        <v>2351</v>
      </c>
      <c r="N256" s="1790" t="s">
        <v>48</v>
      </c>
      <c r="O256" s="1793" t="s">
        <v>51</v>
      </c>
      <c r="P256" s="420"/>
      <c r="Q256" s="421"/>
      <c r="R256" s="421" t="s">
        <v>717</v>
      </c>
      <c r="S256" s="422"/>
      <c r="T256" s="1794"/>
      <c r="U256" s="423"/>
      <c r="V256" s="424"/>
      <c r="W256" s="424"/>
      <c r="X256" s="425">
        <v>106</v>
      </c>
      <c r="Y256" s="426">
        <v>2022</v>
      </c>
      <c r="Z256" s="417">
        <v>2024</v>
      </c>
      <c r="AA256" s="1804">
        <v>2022</v>
      </c>
      <c r="AB256" s="427"/>
      <c r="AC256" s="1793"/>
      <c r="AD256" s="428" t="s">
        <v>5863</v>
      </c>
      <c r="AE256" s="1791" t="s">
        <v>2353</v>
      </c>
      <c r="AF256" s="1791" t="s">
        <v>2351</v>
      </c>
      <c r="AG256" s="1793" t="s">
        <v>2354</v>
      </c>
      <c r="AH256" s="428"/>
      <c r="AI256" s="1793"/>
      <c r="AJ256" s="429">
        <v>2021</v>
      </c>
      <c r="AK256" s="424">
        <v>0</v>
      </c>
      <c r="AL256" s="424"/>
      <c r="AM256" s="430"/>
      <c r="AN256" s="431"/>
      <c r="AO256" s="432">
        <v>2024</v>
      </c>
      <c r="AP256" s="425">
        <v>0</v>
      </c>
      <c r="AQ256" s="433"/>
      <c r="AR256" s="425">
        <v>0</v>
      </c>
      <c r="AS256" s="433"/>
      <c r="AT256" s="434"/>
      <c r="AU256" s="431"/>
      <c r="AV256" s="435"/>
      <c r="AW256" s="432">
        <v>2022</v>
      </c>
      <c r="AX256" s="425"/>
      <c r="AY256" s="433"/>
      <c r="AZ256" s="425"/>
      <c r="BA256" s="433"/>
      <c r="BB256" s="434"/>
      <c r="BC256" s="431"/>
      <c r="BD256" s="435"/>
      <c r="BE256" s="432">
        <v>2023</v>
      </c>
      <c r="BF256" s="425"/>
      <c r="BG256" s="433"/>
      <c r="BH256" s="425"/>
      <c r="BI256" s="433"/>
      <c r="BJ256" s="434"/>
      <c r="BK256" s="431"/>
      <c r="BL256" s="435"/>
      <c r="BM256" s="432">
        <v>2024</v>
      </c>
      <c r="BN256" s="425"/>
      <c r="BO256" s="433"/>
      <c r="BP256" s="425"/>
      <c r="BQ256" s="433"/>
      <c r="BR256" s="434"/>
      <c r="BS256" s="431"/>
      <c r="BT256" s="435"/>
      <c r="BU256" s="1805"/>
      <c r="BV256" s="1806"/>
      <c r="BW256" s="1807"/>
      <c r="BX256" s="1808"/>
      <c r="BY256" s="1809">
        <v>2021</v>
      </c>
      <c r="BZ256" s="424">
        <v>1891</v>
      </c>
      <c r="CA256" s="424">
        <v>1891</v>
      </c>
      <c r="CB256" s="430"/>
      <c r="CC256" s="431"/>
      <c r="CD256" s="432">
        <v>2024</v>
      </c>
      <c r="CE256" s="425">
        <v>1834</v>
      </c>
      <c r="CF256" s="433">
        <v>3.01</v>
      </c>
      <c r="CG256" s="425">
        <v>1834</v>
      </c>
      <c r="CH256" s="433">
        <v>3.01</v>
      </c>
      <c r="CI256" s="434"/>
      <c r="CJ256" s="431"/>
      <c r="CK256" s="435"/>
      <c r="CL256" s="432">
        <v>2022</v>
      </c>
      <c r="CM256" s="425">
        <v>1845.9859417999999</v>
      </c>
      <c r="CN256" s="433">
        <v>2.38</v>
      </c>
      <c r="CO256" s="425">
        <v>1845.9859417999999</v>
      </c>
      <c r="CP256" s="433">
        <v>2.38</v>
      </c>
      <c r="CQ256" s="434"/>
      <c r="CR256" s="431"/>
      <c r="CS256" s="435"/>
      <c r="CT256" s="432">
        <v>2023</v>
      </c>
      <c r="CU256" s="425"/>
      <c r="CV256" s="433"/>
      <c r="CW256" s="425"/>
      <c r="CX256" s="433"/>
      <c r="CY256" s="434"/>
      <c r="CZ256" s="431"/>
      <c r="DA256" s="435"/>
      <c r="DB256" s="432">
        <v>2024</v>
      </c>
      <c r="DC256" s="425"/>
      <c r="DD256" s="433"/>
      <c r="DE256" s="425"/>
      <c r="DF256" s="433"/>
      <c r="DG256" s="434"/>
      <c r="DH256" s="431"/>
      <c r="DI256" s="435"/>
      <c r="DJ256" s="1805" t="s">
        <v>687</v>
      </c>
      <c r="DK256" s="1806" t="s">
        <v>728</v>
      </c>
      <c r="DL256" s="1807" t="s">
        <v>688</v>
      </c>
      <c r="DM256" s="1808"/>
      <c r="DN256" s="1810">
        <v>0</v>
      </c>
      <c r="DO256" s="1799">
        <v>0</v>
      </c>
      <c r="DP256" s="1800">
        <v>0</v>
      </c>
      <c r="DQ256" s="1799">
        <v>0</v>
      </c>
      <c r="DR256" s="1800">
        <v>0</v>
      </c>
      <c r="DS256" s="1799">
        <v>0</v>
      </c>
    </row>
    <row r="257" spans="1:123" ht="67.5">
      <c r="A257" s="1801" t="s">
        <v>2355</v>
      </c>
      <c r="B257" s="1788" t="s">
        <v>2356</v>
      </c>
      <c r="C257" s="426">
        <v>2022</v>
      </c>
      <c r="D257" s="417" t="s">
        <v>681</v>
      </c>
      <c r="E257" s="1802">
        <v>1016368</v>
      </c>
      <c r="F257" s="1803" t="s">
        <v>2356</v>
      </c>
      <c r="G257" s="419">
        <v>45162</v>
      </c>
      <c r="H257" s="1790" t="s">
        <v>2357</v>
      </c>
      <c r="I257" s="1791" t="s">
        <v>2356</v>
      </c>
      <c r="J257" s="1793" t="s">
        <v>2358</v>
      </c>
      <c r="K257" s="1788" t="s">
        <v>2356</v>
      </c>
      <c r="L257" s="1791" t="s">
        <v>2358</v>
      </c>
      <c r="M257" s="1793" t="s">
        <v>2357</v>
      </c>
      <c r="N257" s="1790" t="s">
        <v>12</v>
      </c>
      <c r="O257" s="1793" t="s">
        <v>22</v>
      </c>
      <c r="P257" s="420" t="s">
        <v>683</v>
      </c>
      <c r="Q257" s="421"/>
      <c r="R257" s="421"/>
      <c r="S257" s="422"/>
      <c r="T257" s="1794"/>
      <c r="U257" s="423">
        <v>2131.0542</v>
      </c>
      <c r="V257" s="424">
        <v>1</v>
      </c>
      <c r="W257" s="424">
        <v>1</v>
      </c>
      <c r="X257" s="425"/>
      <c r="Y257" s="426">
        <v>2022</v>
      </c>
      <c r="Z257" s="417">
        <v>2024</v>
      </c>
      <c r="AA257" s="1804">
        <v>2022</v>
      </c>
      <c r="AB257" s="427" t="s">
        <v>5863</v>
      </c>
      <c r="AC257" s="1793" t="s">
        <v>2359</v>
      </c>
      <c r="AD257" s="428"/>
      <c r="AE257" s="1791"/>
      <c r="AF257" s="1791"/>
      <c r="AG257" s="1793"/>
      <c r="AH257" s="428"/>
      <c r="AI257" s="1793"/>
      <c r="AJ257" s="429">
        <v>2021</v>
      </c>
      <c r="AK257" s="424">
        <v>3775</v>
      </c>
      <c r="AL257" s="424">
        <v>3654</v>
      </c>
      <c r="AM257" s="430">
        <v>1.49</v>
      </c>
      <c r="AN257" s="431" t="s">
        <v>1577</v>
      </c>
      <c r="AO257" s="432">
        <v>2024</v>
      </c>
      <c r="AP257" s="425">
        <v>3660</v>
      </c>
      <c r="AQ257" s="433">
        <v>3.04</v>
      </c>
      <c r="AR257" s="425">
        <v>3545</v>
      </c>
      <c r="AS257" s="433">
        <v>2.98</v>
      </c>
      <c r="AT257" s="434">
        <v>1.4450000000000001</v>
      </c>
      <c r="AU257" s="431" t="s">
        <v>1577</v>
      </c>
      <c r="AV257" s="435">
        <v>3.02</v>
      </c>
      <c r="AW257" s="432">
        <v>2022</v>
      </c>
      <c r="AX257" s="425">
        <v>3942</v>
      </c>
      <c r="AY257" s="433">
        <v>-4.43</v>
      </c>
      <c r="AZ257" s="425">
        <v>3734</v>
      </c>
      <c r="BA257" s="433">
        <v>-2.19</v>
      </c>
      <c r="BB257" s="434">
        <v>1.7377121445889354</v>
      </c>
      <c r="BC257" s="431" t="s">
        <v>1577</v>
      </c>
      <c r="BD257" s="435">
        <v>-16.63</v>
      </c>
      <c r="BE257" s="432">
        <v>2023</v>
      </c>
      <c r="BF257" s="425"/>
      <c r="BG257" s="433"/>
      <c r="BH257" s="425"/>
      <c r="BI257" s="433"/>
      <c r="BJ257" s="434"/>
      <c r="BK257" s="431"/>
      <c r="BL257" s="435"/>
      <c r="BM257" s="432">
        <v>2024</v>
      </c>
      <c r="BN257" s="425"/>
      <c r="BO257" s="433"/>
      <c r="BP257" s="425"/>
      <c r="BQ257" s="433"/>
      <c r="BR257" s="434"/>
      <c r="BS257" s="431"/>
      <c r="BT257" s="435"/>
      <c r="BU257" s="1805" t="s">
        <v>676</v>
      </c>
      <c r="BV257" s="1806" t="s">
        <v>728</v>
      </c>
      <c r="BW257" s="1807" t="s">
        <v>697</v>
      </c>
      <c r="BX257" s="1808" t="s">
        <v>5143</v>
      </c>
      <c r="BY257" s="1809">
        <v>2021</v>
      </c>
      <c r="BZ257" s="424"/>
      <c r="CA257" s="424"/>
      <c r="CB257" s="430"/>
      <c r="CC257" s="431"/>
      <c r="CD257" s="432">
        <v>2024</v>
      </c>
      <c r="CE257" s="425"/>
      <c r="CF257" s="433"/>
      <c r="CG257" s="425"/>
      <c r="CH257" s="433"/>
      <c r="CI257" s="434"/>
      <c r="CJ257" s="431"/>
      <c r="CK257" s="435"/>
      <c r="CL257" s="432">
        <v>2022</v>
      </c>
      <c r="CM257" s="425">
        <v>0</v>
      </c>
      <c r="CN257" s="433"/>
      <c r="CO257" s="425">
        <v>0</v>
      </c>
      <c r="CP257" s="433"/>
      <c r="CQ257" s="434"/>
      <c r="CR257" s="431"/>
      <c r="CS257" s="435"/>
      <c r="CT257" s="432">
        <v>2023</v>
      </c>
      <c r="CU257" s="425"/>
      <c r="CV257" s="433"/>
      <c r="CW257" s="425"/>
      <c r="CX257" s="433"/>
      <c r="CY257" s="434"/>
      <c r="CZ257" s="431"/>
      <c r="DA257" s="435"/>
      <c r="DB257" s="432">
        <v>2024</v>
      </c>
      <c r="DC257" s="425"/>
      <c r="DD257" s="433"/>
      <c r="DE257" s="425"/>
      <c r="DF257" s="433"/>
      <c r="DG257" s="434"/>
      <c r="DH257" s="431"/>
      <c r="DI257" s="435"/>
      <c r="DJ257" s="1805"/>
      <c r="DK257" s="1806"/>
      <c r="DL257" s="1807"/>
      <c r="DM257" s="1808"/>
      <c r="DN257" s="1810">
        <v>0</v>
      </c>
      <c r="DO257" s="1799">
        <v>0</v>
      </c>
      <c r="DP257" s="1800">
        <v>0</v>
      </c>
      <c r="DQ257" s="1799">
        <v>0</v>
      </c>
      <c r="DR257" s="1800">
        <v>0</v>
      </c>
      <c r="DS257" s="1799">
        <v>0</v>
      </c>
    </row>
    <row r="258" spans="1:123" ht="81">
      <c r="A258" s="1801" t="s">
        <v>2360</v>
      </c>
      <c r="B258" s="1788" t="s">
        <v>2361</v>
      </c>
      <c r="C258" s="426">
        <v>2022</v>
      </c>
      <c r="D258" s="417" t="s">
        <v>681</v>
      </c>
      <c r="E258" s="1802">
        <v>1069369</v>
      </c>
      <c r="F258" s="1803" t="s">
        <v>2361</v>
      </c>
      <c r="G258" s="419">
        <v>45127</v>
      </c>
      <c r="H258" s="1790" t="s">
        <v>2362</v>
      </c>
      <c r="I258" s="1791" t="s">
        <v>2361</v>
      </c>
      <c r="J258" s="1793" t="s">
        <v>2363</v>
      </c>
      <c r="K258" s="1788" t="s">
        <v>2361</v>
      </c>
      <c r="L258" s="1791" t="s">
        <v>2363</v>
      </c>
      <c r="M258" s="1793" t="s">
        <v>2364</v>
      </c>
      <c r="N258" s="1790" t="s">
        <v>77</v>
      </c>
      <c r="O258" s="1793" t="s">
        <v>79</v>
      </c>
      <c r="P258" s="420" t="s">
        <v>683</v>
      </c>
      <c r="Q258" s="421"/>
      <c r="R258" s="421"/>
      <c r="S258" s="422"/>
      <c r="T258" s="1794"/>
      <c r="U258" s="423">
        <v>2709.6192000000001</v>
      </c>
      <c r="V258" s="424">
        <v>2</v>
      </c>
      <c r="W258" s="424">
        <v>1</v>
      </c>
      <c r="X258" s="425"/>
      <c r="Y258" s="426">
        <v>2022</v>
      </c>
      <c r="Z258" s="417">
        <v>2024</v>
      </c>
      <c r="AA258" s="1804">
        <v>2022</v>
      </c>
      <c r="AB258" s="427"/>
      <c r="AC258" s="1793"/>
      <c r="AD258" s="428" t="s">
        <v>5863</v>
      </c>
      <c r="AE258" s="1791" t="s">
        <v>2365</v>
      </c>
      <c r="AF258" s="1791" t="s">
        <v>2366</v>
      </c>
      <c r="AG258" s="1793" t="s">
        <v>2367</v>
      </c>
      <c r="AH258" s="428"/>
      <c r="AI258" s="1793"/>
      <c r="AJ258" s="429">
        <v>2021</v>
      </c>
      <c r="AK258" s="424">
        <v>4668</v>
      </c>
      <c r="AL258" s="424">
        <v>1693</v>
      </c>
      <c r="AM258" s="430">
        <v>59.61</v>
      </c>
      <c r="AN258" s="431" t="s">
        <v>727</v>
      </c>
      <c r="AO258" s="432">
        <v>2024</v>
      </c>
      <c r="AP258" s="425">
        <v>4528</v>
      </c>
      <c r="AQ258" s="433">
        <v>2.99</v>
      </c>
      <c r="AR258" s="425">
        <v>1642</v>
      </c>
      <c r="AS258" s="433">
        <v>3.01</v>
      </c>
      <c r="AT258" s="434">
        <v>57.82</v>
      </c>
      <c r="AU258" s="431" t="s">
        <v>727</v>
      </c>
      <c r="AV258" s="435">
        <v>3</v>
      </c>
      <c r="AW258" s="432">
        <v>2022</v>
      </c>
      <c r="AX258" s="425">
        <v>4385</v>
      </c>
      <c r="AY258" s="433">
        <v>6.06</v>
      </c>
      <c r="AZ258" s="425">
        <v>2003</v>
      </c>
      <c r="BA258" s="433">
        <v>-18.32</v>
      </c>
      <c r="BB258" s="434">
        <v>55.99794142117284</v>
      </c>
      <c r="BC258" s="431" t="s">
        <v>727</v>
      </c>
      <c r="BD258" s="435">
        <v>6.05</v>
      </c>
      <c r="BE258" s="432">
        <v>2023</v>
      </c>
      <c r="BF258" s="425"/>
      <c r="BG258" s="433"/>
      <c r="BH258" s="425"/>
      <c r="BI258" s="433"/>
      <c r="BJ258" s="434"/>
      <c r="BK258" s="431"/>
      <c r="BL258" s="435"/>
      <c r="BM258" s="432">
        <v>2024</v>
      </c>
      <c r="BN258" s="425"/>
      <c r="BO258" s="433"/>
      <c r="BP258" s="425"/>
      <c r="BQ258" s="433"/>
      <c r="BR258" s="434"/>
      <c r="BS258" s="431"/>
      <c r="BT258" s="435"/>
      <c r="BU258" s="1805" t="s">
        <v>687</v>
      </c>
      <c r="BV258" s="1806" t="s">
        <v>728</v>
      </c>
      <c r="BW258" s="1807" t="s">
        <v>688</v>
      </c>
      <c r="BX258" s="1808"/>
      <c r="BY258" s="1809">
        <v>2021</v>
      </c>
      <c r="BZ258" s="424"/>
      <c r="CA258" s="424"/>
      <c r="CB258" s="430"/>
      <c r="CC258" s="431"/>
      <c r="CD258" s="432">
        <v>2024</v>
      </c>
      <c r="CE258" s="425"/>
      <c r="CF258" s="433"/>
      <c r="CG258" s="425"/>
      <c r="CH258" s="433"/>
      <c r="CI258" s="434"/>
      <c r="CJ258" s="431"/>
      <c r="CK258" s="435"/>
      <c r="CL258" s="432">
        <v>2022</v>
      </c>
      <c r="CM258" s="425">
        <v>0</v>
      </c>
      <c r="CN258" s="433"/>
      <c r="CO258" s="425">
        <v>0</v>
      </c>
      <c r="CP258" s="433"/>
      <c r="CQ258" s="434"/>
      <c r="CR258" s="431"/>
      <c r="CS258" s="435">
        <v>0</v>
      </c>
      <c r="CT258" s="432">
        <v>2023</v>
      </c>
      <c r="CU258" s="425"/>
      <c r="CV258" s="433"/>
      <c r="CW258" s="425"/>
      <c r="CX258" s="433"/>
      <c r="CY258" s="434"/>
      <c r="CZ258" s="431"/>
      <c r="DA258" s="435"/>
      <c r="DB258" s="432">
        <v>2024</v>
      </c>
      <c r="DC258" s="425"/>
      <c r="DD258" s="433"/>
      <c r="DE258" s="425"/>
      <c r="DF258" s="433"/>
      <c r="DG258" s="434"/>
      <c r="DH258" s="431"/>
      <c r="DI258" s="435"/>
      <c r="DJ258" s="1805"/>
      <c r="DK258" s="1806"/>
      <c r="DL258" s="1807"/>
      <c r="DM258" s="1808"/>
      <c r="DN258" s="1810">
        <v>0</v>
      </c>
      <c r="DO258" s="1799">
        <v>0</v>
      </c>
      <c r="DP258" s="1800">
        <v>0</v>
      </c>
      <c r="DQ258" s="1799">
        <v>0</v>
      </c>
      <c r="DR258" s="1800">
        <v>0</v>
      </c>
      <c r="DS258" s="1799">
        <v>0</v>
      </c>
    </row>
    <row r="259" spans="1:123" ht="81">
      <c r="A259" s="1801" t="s">
        <v>2368</v>
      </c>
      <c r="B259" s="1788" t="s">
        <v>2369</v>
      </c>
      <c r="C259" s="426">
        <v>2020</v>
      </c>
      <c r="D259" s="417" t="s">
        <v>681</v>
      </c>
      <c r="E259" s="1802">
        <v>1065370</v>
      </c>
      <c r="F259" s="1803" t="s">
        <v>2369</v>
      </c>
      <c r="G259" s="419">
        <v>45125</v>
      </c>
      <c r="H259" s="1790" t="s">
        <v>2370</v>
      </c>
      <c r="I259" s="1791" t="s">
        <v>2369</v>
      </c>
      <c r="J259" s="1793" t="s">
        <v>5144</v>
      </c>
      <c r="K259" s="1788" t="s">
        <v>2369</v>
      </c>
      <c r="L259" s="1791" t="s">
        <v>5144</v>
      </c>
      <c r="M259" s="1793" t="s">
        <v>2370</v>
      </c>
      <c r="N259" s="1790" t="s">
        <v>70</v>
      </c>
      <c r="O259" s="1793" t="s">
        <v>74</v>
      </c>
      <c r="P259" s="420" t="s">
        <v>683</v>
      </c>
      <c r="Q259" s="421"/>
      <c r="R259" s="421"/>
      <c r="S259" s="422"/>
      <c r="T259" s="1794"/>
      <c r="U259" s="423">
        <v>1647.5106000000001</v>
      </c>
      <c r="V259" s="424">
        <v>5</v>
      </c>
      <c r="W259" s="424">
        <v>0</v>
      </c>
      <c r="X259" s="425"/>
      <c r="Y259" s="426">
        <v>2020</v>
      </c>
      <c r="Z259" s="417">
        <v>2022</v>
      </c>
      <c r="AA259" s="1804">
        <v>2022</v>
      </c>
      <c r="AB259" s="427"/>
      <c r="AC259" s="1793"/>
      <c r="AD259" s="428" t="s">
        <v>5863</v>
      </c>
      <c r="AE259" s="1791" t="s">
        <v>2371</v>
      </c>
      <c r="AF259" s="1791" t="s">
        <v>2372</v>
      </c>
      <c r="AG259" s="1793" t="s">
        <v>2291</v>
      </c>
      <c r="AH259" s="428"/>
      <c r="AI259" s="1793"/>
      <c r="AJ259" s="429">
        <v>2019</v>
      </c>
      <c r="AK259" s="424">
        <v>3291</v>
      </c>
      <c r="AL259" s="424">
        <v>4124</v>
      </c>
      <c r="AM259" s="430"/>
      <c r="AN259" s="431"/>
      <c r="AO259" s="432">
        <v>2022</v>
      </c>
      <c r="AP259" s="425">
        <v>3192.27</v>
      </c>
      <c r="AQ259" s="433">
        <v>3</v>
      </c>
      <c r="AR259" s="425">
        <v>4000.2799999999997</v>
      </c>
      <c r="AS259" s="433">
        <v>3</v>
      </c>
      <c r="AT259" s="434"/>
      <c r="AU259" s="431"/>
      <c r="AV259" s="435"/>
      <c r="AW259" s="432">
        <v>2020</v>
      </c>
      <c r="AX259" s="425">
        <v>3089</v>
      </c>
      <c r="AY259" s="433">
        <v>6.13</v>
      </c>
      <c r="AZ259" s="425">
        <v>3523</v>
      </c>
      <c r="BA259" s="433">
        <v>14.57</v>
      </c>
      <c r="BB259" s="434"/>
      <c r="BC259" s="431"/>
      <c r="BD259" s="435"/>
      <c r="BE259" s="432">
        <v>2021</v>
      </c>
      <c r="BF259" s="425">
        <v>2851</v>
      </c>
      <c r="BG259" s="433">
        <v>13.36</v>
      </c>
      <c r="BH259" s="425">
        <v>3162</v>
      </c>
      <c r="BI259" s="433">
        <v>23.32</v>
      </c>
      <c r="BJ259" s="434"/>
      <c r="BK259" s="431"/>
      <c r="BL259" s="435"/>
      <c r="BM259" s="432">
        <v>2022</v>
      </c>
      <c r="BN259" s="425">
        <v>3128</v>
      </c>
      <c r="BO259" s="433">
        <v>4.95</v>
      </c>
      <c r="BP259" s="425">
        <v>2177</v>
      </c>
      <c r="BQ259" s="433">
        <v>47.21</v>
      </c>
      <c r="BR259" s="434"/>
      <c r="BS259" s="431"/>
      <c r="BT259" s="435"/>
      <c r="BU259" s="1805" t="s">
        <v>687</v>
      </c>
      <c r="BV259" s="1806" t="s">
        <v>728</v>
      </c>
      <c r="BW259" s="1807" t="s">
        <v>678</v>
      </c>
      <c r="BX259" s="1808" t="s">
        <v>5145</v>
      </c>
      <c r="BY259" s="1809">
        <v>2019</v>
      </c>
      <c r="BZ259" s="424"/>
      <c r="CA259" s="424"/>
      <c r="CB259" s="430"/>
      <c r="CC259" s="431"/>
      <c r="CD259" s="432">
        <v>2022</v>
      </c>
      <c r="CE259" s="425"/>
      <c r="CF259" s="433"/>
      <c r="CG259" s="425"/>
      <c r="CH259" s="433"/>
      <c r="CI259" s="434"/>
      <c r="CJ259" s="431"/>
      <c r="CK259" s="435"/>
      <c r="CL259" s="432">
        <v>2020</v>
      </c>
      <c r="CM259" s="425"/>
      <c r="CN259" s="433"/>
      <c r="CO259" s="425"/>
      <c r="CP259" s="433"/>
      <c r="CQ259" s="434"/>
      <c r="CR259" s="431"/>
      <c r="CS259" s="435"/>
      <c r="CT259" s="432">
        <v>2021</v>
      </c>
      <c r="CU259" s="425"/>
      <c r="CV259" s="433"/>
      <c r="CW259" s="425"/>
      <c r="CX259" s="433"/>
      <c r="CY259" s="434"/>
      <c r="CZ259" s="431"/>
      <c r="DA259" s="435"/>
      <c r="DB259" s="432">
        <v>2022</v>
      </c>
      <c r="DC259" s="425">
        <v>0</v>
      </c>
      <c r="DD259" s="433"/>
      <c r="DE259" s="425">
        <v>0</v>
      </c>
      <c r="DF259" s="433"/>
      <c r="DG259" s="434"/>
      <c r="DH259" s="431"/>
      <c r="DI259" s="435">
        <v>0</v>
      </c>
      <c r="DJ259" s="1805"/>
      <c r="DK259" s="1806"/>
      <c r="DL259" s="1807"/>
      <c r="DM259" s="1808"/>
      <c r="DN259" s="1810">
        <v>0</v>
      </c>
      <c r="DO259" s="1799">
        <v>0</v>
      </c>
      <c r="DP259" s="1800">
        <v>0</v>
      </c>
      <c r="DQ259" s="1799">
        <v>0</v>
      </c>
      <c r="DR259" s="1800">
        <v>0</v>
      </c>
      <c r="DS259" s="1799">
        <v>0</v>
      </c>
    </row>
    <row r="260" spans="1:123" ht="40.5">
      <c r="A260" s="1801" t="s">
        <v>2373</v>
      </c>
      <c r="B260" s="1788" t="s">
        <v>2374</v>
      </c>
      <c r="C260" s="426">
        <v>2020</v>
      </c>
      <c r="D260" s="417" t="s">
        <v>681</v>
      </c>
      <c r="E260" s="1802">
        <v>1052371</v>
      </c>
      <c r="F260" s="1803" t="s">
        <v>2374</v>
      </c>
      <c r="G260" s="419">
        <v>45138</v>
      </c>
      <c r="H260" s="1790" t="s">
        <v>2375</v>
      </c>
      <c r="I260" s="1791" t="s">
        <v>2374</v>
      </c>
      <c r="J260" s="1793" t="s">
        <v>2376</v>
      </c>
      <c r="K260" s="1788" t="s">
        <v>2374</v>
      </c>
      <c r="L260" s="1791" t="s">
        <v>2377</v>
      </c>
      <c r="M260" s="1793" t="s">
        <v>2375</v>
      </c>
      <c r="N260" s="1790" t="s">
        <v>57</v>
      </c>
      <c r="O260" s="1793" t="s">
        <v>60</v>
      </c>
      <c r="P260" s="420" t="s">
        <v>683</v>
      </c>
      <c r="Q260" s="421"/>
      <c r="R260" s="421"/>
      <c r="S260" s="422"/>
      <c r="T260" s="1794"/>
      <c r="U260" s="423">
        <v>2360.5709999999999</v>
      </c>
      <c r="V260" s="424">
        <v>6</v>
      </c>
      <c r="W260" s="424">
        <v>2</v>
      </c>
      <c r="X260" s="425"/>
      <c r="Y260" s="426">
        <v>2020</v>
      </c>
      <c r="Z260" s="417">
        <v>2022</v>
      </c>
      <c r="AA260" s="1804">
        <v>2022</v>
      </c>
      <c r="AB260" s="427"/>
      <c r="AC260" s="1793"/>
      <c r="AD260" s="428" t="s">
        <v>5863</v>
      </c>
      <c r="AE260" s="1791" t="s">
        <v>2378</v>
      </c>
      <c r="AF260" s="1791" t="s">
        <v>2375</v>
      </c>
      <c r="AG260" s="1793" t="s">
        <v>2379</v>
      </c>
      <c r="AH260" s="428"/>
      <c r="AI260" s="1793"/>
      <c r="AJ260" s="429">
        <v>2019</v>
      </c>
      <c r="AK260" s="424">
        <v>4465</v>
      </c>
      <c r="AL260" s="424">
        <v>4344</v>
      </c>
      <c r="AM260" s="430"/>
      <c r="AN260" s="431"/>
      <c r="AO260" s="432">
        <v>2022</v>
      </c>
      <c r="AP260" s="425">
        <v>4331</v>
      </c>
      <c r="AQ260" s="433">
        <v>3</v>
      </c>
      <c r="AR260" s="425">
        <v>4214</v>
      </c>
      <c r="AS260" s="433">
        <v>2.99</v>
      </c>
      <c r="AT260" s="434"/>
      <c r="AU260" s="431"/>
      <c r="AV260" s="435"/>
      <c r="AW260" s="432">
        <v>2020</v>
      </c>
      <c r="AX260" s="425">
        <v>4321</v>
      </c>
      <c r="AY260" s="433">
        <v>3.22</v>
      </c>
      <c r="AZ260" s="425">
        <v>4086</v>
      </c>
      <c r="BA260" s="433">
        <v>5.93</v>
      </c>
      <c r="BB260" s="434"/>
      <c r="BC260" s="431"/>
      <c r="BD260" s="435"/>
      <c r="BE260" s="432">
        <v>2021</v>
      </c>
      <c r="BF260" s="425">
        <v>4060</v>
      </c>
      <c r="BG260" s="433">
        <v>9.07</v>
      </c>
      <c r="BH260" s="425">
        <v>4025</v>
      </c>
      <c r="BI260" s="433">
        <v>7.34</v>
      </c>
      <c r="BJ260" s="434"/>
      <c r="BK260" s="431"/>
      <c r="BL260" s="435"/>
      <c r="BM260" s="432">
        <v>2022</v>
      </c>
      <c r="BN260" s="425">
        <v>4038</v>
      </c>
      <c r="BO260" s="433">
        <v>9.56</v>
      </c>
      <c r="BP260" s="425">
        <v>815</v>
      </c>
      <c r="BQ260" s="433">
        <v>81.23</v>
      </c>
      <c r="BR260" s="434"/>
      <c r="BS260" s="431"/>
      <c r="BT260" s="435"/>
      <c r="BU260" s="1805" t="s">
        <v>687</v>
      </c>
      <c r="BV260" s="1806" t="s">
        <v>728</v>
      </c>
      <c r="BW260" s="1807" t="s">
        <v>678</v>
      </c>
      <c r="BX260" s="1808" t="s">
        <v>5146</v>
      </c>
      <c r="BY260" s="1809">
        <v>2019</v>
      </c>
      <c r="BZ260" s="424"/>
      <c r="CA260" s="424"/>
      <c r="CB260" s="430"/>
      <c r="CC260" s="431"/>
      <c r="CD260" s="432">
        <v>2022</v>
      </c>
      <c r="CE260" s="425"/>
      <c r="CF260" s="433"/>
      <c r="CG260" s="425"/>
      <c r="CH260" s="433"/>
      <c r="CI260" s="434"/>
      <c r="CJ260" s="431"/>
      <c r="CK260" s="435"/>
      <c r="CL260" s="432">
        <v>2020</v>
      </c>
      <c r="CM260" s="425"/>
      <c r="CN260" s="433"/>
      <c r="CO260" s="425"/>
      <c r="CP260" s="433"/>
      <c r="CQ260" s="434"/>
      <c r="CR260" s="431"/>
      <c r="CS260" s="435"/>
      <c r="CT260" s="432">
        <v>2021</v>
      </c>
      <c r="CU260" s="425"/>
      <c r="CV260" s="433"/>
      <c r="CW260" s="425"/>
      <c r="CX260" s="433"/>
      <c r="CY260" s="434"/>
      <c r="CZ260" s="431"/>
      <c r="DA260" s="435"/>
      <c r="DB260" s="432">
        <v>2022</v>
      </c>
      <c r="DC260" s="425">
        <v>0</v>
      </c>
      <c r="DD260" s="433"/>
      <c r="DE260" s="425">
        <v>0</v>
      </c>
      <c r="DF260" s="433"/>
      <c r="DG260" s="434"/>
      <c r="DH260" s="431"/>
      <c r="DI260" s="435">
        <v>0</v>
      </c>
      <c r="DJ260" s="1805"/>
      <c r="DK260" s="1806"/>
      <c r="DL260" s="1807"/>
      <c r="DM260" s="1808"/>
      <c r="DN260" s="1810">
        <v>0</v>
      </c>
      <c r="DO260" s="1799">
        <v>0</v>
      </c>
      <c r="DP260" s="1800">
        <v>0</v>
      </c>
      <c r="DQ260" s="1799">
        <v>0</v>
      </c>
      <c r="DR260" s="1800">
        <v>0</v>
      </c>
      <c r="DS260" s="1799">
        <v>0</v>
      </c>
    </row>
    <row r="261" spans="1:123" ht="67.5">
      <c r="A261" s="1801" t="s">
        <v>2380</v>
      </c>
      <c r="B261" s="1788" t="s">
        <v>2381</v>
      </c>
      <c r="C261" s="426">
        <v>2020</v>
      </c>
      <c r="D261" s="417" t="s">
        <v>681</v>
      </c>
      <c r="E261" s="1802">
        <v>1083374</v>
      </c>
      <c r="F261" s="1803" t="s">
        <v>2381</v>
      </c>
      <c r="G261" s="419">
        <v>45138</v>
      </c>
      <c r="H261" s="1790" t="s">
        <v>2382</v>
      </c>
      <c r="I261" s="1791" t="s">
        <v>2381</v>
      </c>
      <c r="J261" s="1793" t="s">
        <v>2383</v>
      </c>
      <c r="K261" s="1788" t="s">
        <v>2381</v>
      </c>
      <c r="L261" s="1791" t="s">
        <v>2383</v>
      </c>
      <c r="M261" s="1793" t="s">
        <v>2382</v>
      </c>
      <c r="N261" s="1790" t="s">
        <v>523</v>
      </c>
      <c r="O261" s="1793" t="s">
        <v>96</v>
      </c>
      <c r="P261" s="420" t="s">
        <v>683</v>
      </c>
      <c r="Q261" s="421"/>
      <c r="R261" s="421"/>
      <c r="S261" s="422"/>
      <c r="T261" s="1794"/>
      <c r="U261" s="423">
        <v>12813.054</v>
      </c>
      <c r="V261" s="424">
        <v>5</v>
      </c>
      <c r="W261" s="424">
        <v>4</v>
      </c>
      <c r="X261" s="425"/>
      <c r="Y261" s="426">
        <v>2020</v>
      </c>
      <c r="Z261" s="417">
        <v>2022</v>
      </c>
      <c r="AA261" s="1804">
        <v>2022</v>
      </c>
      <c r="AB261" s="427"/>
      <c r="AC261" s="1793"/>
      <c r="AD261" s="428" t="s">
        <v>5863</v>
      </c>
      <c r="AE261" s="1791" t="s">
        <v>2384</v>
      </c>
      <c r="AF261" s="1791" t="s">
        <v>2385</v>
      </c>
      <c r="AG261" s="1793" t="s">
        <v>765</v>
      </c>
      <c r="AH261" s="428"/>
      <c r="AI261" s="1793"/>
      <c r="AJ261" s="429">
        <v>2019</v>
      </c>
      <c r="AK261" s="424">
        <v>24160</v>
      </c>
      <c r="AL261" s="424">
        <v>23744</v>
      </c>
      <c r="AM261" s="430">
        <v>158.33000000000001</v>
      </c>
      <c r="AN261" s="431" t="s">
        <v>727</v>
      </c>
      <c r="AO261" s="432">
        <v>2022</v>
      </c>
      <c r="AP261" s="425">
        <v>23435</v>
      </c>
      <c r="AQ261" s="433">
        <v>3</v>
      </c>
      <c r="AR261" s="425">
        <v>23031.68</v>
      </c>
      <c r="AS261" s="433">
        <v>3</v>
      </c>
      <c r="AT261" s="434">
        <v>153.58010000000002</v>
      </c>
      <c r="AU261" s="431" t="s">
        <v>727</v>
      </c>
      <c r="AV261" s="435">
        <v>3</v>
      </c>
      <c r="AW261" s="432">
        <v>2020</v>
      </c>
      <c r="AX261" s="425">
        <v>24624</v>
      </c>
      <c r="AY261" s="433">
        <v>-1.93</v>
      </c>
      <c r="AZ261" s="425">
        <v>23772</v>
      </c>
      <c r="BA261" s="433">
        <v>-0.12</v>
      </c>
      <c r="BB261" s="434">
        <v>161.38</v>
      </c>
      <c r="BC261" s="431" t="s">
        <v>727</v>
      </c>
      <c r="BD261" s="435">
        <v>-1.93</v>
      </c>
      <c r="BE261" s="432">
        <v>2021</v>
      </c>
      <c r="BF261" s="425">
        <v>23519</v>
      </c>
      <c r="BG261" s="433">
        <v>2.65</v>
      </c>
      <c r="BH261" s="425">
        <v>23388</v>
      </c>
      <c r="BI261" s="433">
        <v>1.49</v>
      </c>
      <c r="BJ261" s="434">
        <v>154.13999999999999</v>
      </c>
      <c r="BK261" s="431" t="s">
        <v>727</v>
      </c>
      <c r="BL261" s="435">
        <v>2.64</v>
      </c>
      <c r="BM261" s="432">
        <v>2022</v>
      </c>
      <c r="BN261" s="425">
        <v>24139</v>
      </c>
      <c r="BO261" s="433">
        <v>0.08</v>
      </c>
      <c r="BP261" s="425">
        <v>21644</v>
      </c>
      <c r="BQ261" s="433">
        <v>8.84</v>
      </c>
      <c r="BR261" s="434">
        <v>158.19827377168437</v>
      </c>
      <c r="BS261" s="431" t="s">
        <v>727</v>
      </c>
      <c r="BT261" s="435">
        <v>0.08</v>
      </c>
      <c r="BU261" s="1805" t="s">
        <v>719</v>
      </c>
      <c r="BV261" s="1806" t="s">
        <v>728</v>
      </c>
      <c r="BW261" s="1807" t="s">
        <v>688</v>
      </c>
      <c r="BX261" s="1808"/>
      <c r="BY261" s="1809">
        <v>2019</v>
      </c>
      <c r="BZ261" s="424"/>
      <c r="CA261" s="424"/>
      <c r="CB261" s="430"/>
      <c r="CC261" s="431" t="s">
        <v>727</v>
      </c>
      <c r="CD261" s="432">
        <v>2022</v>
      </c>
      <c r="CE261" s="425"/>
      <c r="CF261" s="433"/>
      <c r="CG261" s="425"/>
      <c r="CH261" s="433"/>
      <c r="CI261" s="434"/>
      <c r="CJ261" s="431"/>
      <c r="CK261" s="435"/>
      <c r="CL261" s="432">
        <v>2020</v>
      </c>
      <c r="CM261" s="425"/>
      <c r="CN261" s="433"/>
      <c r="CO261" s="425"/>
      <c r="CP261" s="433"/>
      <c r="CQ261" s="434"/>
      <c r="CR261" s="431"/>
      <c r="CS261" s="435"/>
      <c r="CT261" s="432">
        <v>2021</v>
      </c>
      <c r="CU261" s="425"/>
      <c r="CV261" s="433"/>
      <c r="CW261" s="425"/>
      <c r="CX261" s="433"/>
      <c r="CY261" s="434"/>
      <c r="CZ261" s="431"/>
      <c r="DA261" s="435"/>
      <c r="DB261" s="432">
        <v>2022</v>
      </c>
      <c r="DC261" s="425">
        <v>0</v>
      </c>
      <c r="DD261" s="433"/>
      <c r="DE261" s="425">
        <v>0</v>
      </c>
      <c r="DF261" s="433"/>
      <c r="DG261" s="434"/>
      <c r="DH261" s="431"/>
      <c r="DI261" s="435">
        <v>0</v>
      </c>
      <c r="DJ261" s="1805"/>
      <c r="DK261" s="1806"/>
      <c r="DL261" s="1807"/>
      <c r="DM261" s="1808"/>
      <c r="DN261" s="1810">
        <v>0</v>
      </c>
      <c r="DO261" s="1799">
        <v>0</v>
      </c>
      <c r="DP261" s="1800">
        <v>0</v>
      </c>
      <c r="DQ261" s="1799">
        <v>0</v>
      </c>
      <c r="DR261" s="1800">
        <v>0</v>
      </c>
      <c r="DS261" s="1799">
        <v>0</v>
      </c>
    </row>
    <row r="262" spans="1:123" ht="54">
      <c r="A262" s="1801" t="s">
        <v>2386</v>
      </c>
      <c r="B262" s="1788" t="s">
        <v>2387</v>
      </c>
      <c r="C262" s="426">
        <v>2020</v>
      </c>
      <c r="D262" s="417" t="s">
        <v>681</v>
      </c>
      <c r="E262" s="1802">
        <v>1078375</v>
      </c>
      <c r="F262" s="1803" t="s">
        <v>2387</v>
      </c>
      <c r="G262" s="419">
        <v>45151</v>
      </c>
      <c r="H262" s="1790" t="s">
        <v>2388</v>
      </c>
      <c r="I262" s="1791" t="s">
        <v>2387</v>
      </c>
      <c r="J262" s="1793" t="s">
        <v>2389</v>
      </c>
      <c r="K262" s="1788" t="s">
        <v>2387</v>
      </c>
      <c r="L262" s="1791" t="s">
        <v>2389</v>
      </c>
      <c r="M262" s="1793" t="s">
        <v>2388</v>
      </c>
      <c r="N262" s="1790" t="s">
        <v>90</v>
      </c>
      <c r="O262" s="1793" t="s">
        <v>1763</v>
      </c>
      <c r="P262" s="420" t="s">
        <v>683</v>
      </c>
      <c r="Q262" s="421"/>
      <c r="R262" s="421"/>
      <c r="S262" s="422"/>
      <c r="T262" s="1794"/>
      <c r="U262" s="423">
        <v>572.96640000000002</v>
      </c>
      <c r="V262" s="424">
        <v>1</v>
      </c>
      <c r="W262" s="424">
        <v>1</v>
      </c>
      <c r="X262" s="425"/>
      <c r="Y262" s="426">
        <v>2020</v>
      </c>
      <c r="Z262" s="417">
        <v>2022</v>
      </c>
      <c r="AA262" s="1804">
        <v>2022</v>
      </c>
      <c r="AB262" s="427"/>
      <c r="AC262" s="1793"/>
      <c r="AD262" s="428" t="s">
        <v>5863</v>
      </c>
      <c r="AE262" s="1791" t="s">
        <v>1123</v>
      </c>
      <c r="AF262" s="1791" t="s">
        <v>2390</v>
      </c>
      <c r="AG262" s="1793" t="s">
        <v>1990</v>
      </c>
      <c r="AH262" s="428"/>
      <c r="AI262" s="1793"/>
      <c r="AJ262" s="429">
        <v>2019</v>
      </c>
      <c r="AK262" s="424">
        <v>3607</v>
      </c>
      <c r="AL262" s="424">
        <v>3586</v>
      </c>
      <c r="AM262" s="430">
        <v>340.6</v>
      </c>
      <c r="AN262" s="431" t="s">
        <v>897</v>
      </c>
      <c r="AO262" s="432">
        <v>2022</v>
      </c>
      <c r="AP262" s="425">
        <v>3549.288</v>
      </c>
      <c r="AQ262" s="433">
        <v>1.6</v>
      </c>
      <c r="AR262" s="425">
        <v>3550.14</v>
      </c>
      <c r="AS262" s="433">
        <v>1</v>
      </c>
      <c r="AT262" s="434">
        <v>340.6</v>
      </c>
      <c r="AU262" s="431" t="s">
        <v>897</v>
      </c>
      <c r="AV262" s="435">
        <v>0</v>
      </c>
      <c r="AW262" s="432">
        <v>2020</v>
      </c>
      <c r="AX262" s="425">
        <v>976</v>
      </c>
      <c r="AY262" s="433">
        <v>72.94</v>
      </c>
      <c r="AZ262" s="425">
        <v>962</v>
      </c>
      <c r="BA262" s="433">
        <v>73.17</v>
      </c>
      <c r="BB262" s="434">
        <v>707.25</v>
      </c>
      <c r="BC262" s="431" t="s">
        <v>897</v>
      </c>
      <c r="BD262" s="435">
        <v>-107.65</v>
      </c>
      <c r="BE262" s="432">
        <v>2021</v>
      </c>
      <c r="BF262" s="425">
        <v>863</v>
      </c>
      <c r="BG262" s="433">
        <v>76.069999999999993</v>
      </c>
      <c r="BH262" s="425">
        <v>862</v>
      </c>
      <c r="BI262" s="433">
        <v>75.959999999999994</v>
      </c>
      <c r="BJ262" s="434">
        <v>644.03</v>
      </c>
      <c r="BK262" s="431" t="s">
        <v>897</v>
      </c>
      <c r="BL262" s="435">
        <v>-89.09</v>
      </c>
      <c r="BM262" s="432">
        <v>2022</v>
      </c>
      <c r="BN262" s="425">
        <v>1080</v>
      </c>
      <c r="BO262" s="433">
        <v>70.05</v>
      </c>
      <c r="BP262" s="425">
        <v>1080</v>
      </c>
      <c r="BQ262" s="433">
        <v>69.88</v>
      </c>
      <c r="BR262" s="434">
        <v>611.20543293718174</v>
      </c>
      <c r="BS262" s="431" t="s">
        <v>897</v>
      </c>
      <c r="BT262" s="435">
        <v>-79.45</v>
      </c>
      <c r="BU262" s="1805" t="s">
        <v>687</v>
      </c>
      <c r="BV262" s="1806" t="s">
        <v>728</v>
      </c>
      <c r="BW262" s="1807" t="s">
        <v>678</v>
      </c>
      <c r="BX262" s="1808" t="s">
        <v>5147</v>
      </c>
      <c r="BY262" s="1809">
        <v>2019</v>
      </c>
      <c r="BZ262" s="424"/>
      <c r="CA262" s="424"/>
      <c r="CB262" s="430"/>
      <c r="CC262" s="431"/>
      <c r="CD262" s="432">
        <v>2022</v>
      </c>
      <c r="CE262" s="425"/>
      <c r="CF262" s="433"/>
      <c r="CG262" s="425"/>
      <c r="CH262" s="433"/>
      <c r="CI262" s="434"/>
      <c r="CJ262" s="431"/>
      <c r="CK262" s="435"/>
      <c r="CL262" s="432">
        <v>2020</v>
      </c>
      <c r="CM262" s="425"/>
      <c r="CN262" s="433"/>
      <c r="CO262" s="425"/>
      <c r="CP262" s="433"/>
      <c r="CQ262" s="434"/>
      <c r="CR262" s="431"/>
      <c r="CS262" s="435"/>
      <c r="CT262" s="432">
        <v>2021</v>
      </c>
      <c r="CU262" s="425"/>
      <c r="CV262" s="433"/>
      <c r="CW262" s="425"/>
      <c r="CX262" s="433"/>
      <c r="CY262" s="434"/>
      <c r="CZ262" s="431"/>
      <c r="DA262" s="435"/>
      <c r="DB262" s="432">
        <v>2022</v>
      </c>
      <c r="DC262" s="425">
        <v>0</v>
      </c>
      <c r="DD262" s="433"/>
      <c r="DE262" s="425">
        <v>0</v>
      </c>
      <c r="DF262" s="433"/>
      <c r="DG262" s="434"/>
      <c r="DH262" s="431"/>
      <c r="DI262" s="435">
        <v>0</v>
      </c>
      <c r="DJ262" s="1805"/>
      <c r="DK262" s="1806"/>
      <c r="DL262" s="1807"/>
      <c r="DM262" s="1808"/>
      <c r="DN262" s="1810">
        <v>0</v>
      </c>
      <c r="DO262" s="1799">
        <v>0</v>
      </c>
      <c r="DP262" s="1800">
        <v>0</v>
      </c>
      <c r="DQ262" s="1799">
        <v>0</v>
      </c>
      <c r="DR262" s="1800">
        <v>0</v>
      </c>
      <c r="DS262" s="1799">
        <v>0</v>
      </c>
    </row>
    <row r="263" spans="1:123" ht="108">
      <c r="A263" s="1801" t="s">
        <v>2391</v>
      </c>
      <c r="B263" s="1788" t="s">
        <v>5151</v>
      </c>
      <c r="C263" s="426">
        <v>2020</v>
      </c>
      <c r="D263" s="417" t="s">
        <v>681</v>
      </c>
      <c r="E263" s="1802">
        <v>1069376</v>
      </c>
      <c r="F263" s="1803" t="s">
        <v>5151</v>
      </c>
      <c r="G263" s="419">
        <v>45132</v>
      </c>
      <c r="H263" s="1790" t="s">
        <v>5149</v>
      </c>
      <c r="I263" s="1791" t="s">
        <v>5148</v>
      </c>
      <c r="J263" s="1793" t="s">
        <v>5150</v>
      </c>
      <c r="K263" s="1788" t="s">
        <v>5151</v>
      </c>
      <c r="L263" s="1791" t="s">
        <v>5152</v>
      </c>
      <c r="M263" s="1793" t="s">
        <v>2392</v>
      </c>
      <c r="N263" s="1790" t="s">
        <v>77</v>
      </c>
      <c r="O263" s="1793" t="s">
        <v>79</v>
      </c>
      <c r="P263" s="420" t="s">
        <v>683</v>
      </c>
      <c r="Q263" s="421"/>
      <c r="R263" s="421"/>
      <c r="S263" s="422"/>
      <c r="T263" s="1794"/>
      <c r="U263" s="423">
        <v>4107.5922</v>
      </c>
      <c r="V263" s="424">
        <v>1</v>
      </c>
      <c r="W263" s="424">
        <v>1</v>
      </c>
      <c r="X263" s="425"/>
      <c r="Y263" s="426">
        <v>2020</v>
      </c>
      <c r="Z263" s="417">
        <v>2022</v>
      </c>
      <c r="AA263" s="1804">
        <v>2022</v>
      </c>
      <c r="AB263" s="427"/>
      <c r="AC263" s="1793"/>
      <c r="AD263" s="428" t="s">
        <v>5863</v>
      </c>
      <c r="AE263" s="1791" t="s">
        <v>2393</v>
      </c>
      <c r="AF263" s="1791" t="s">
        <v>2394</v>
      </c>
      <c r="AG263" s="1793" t="s">
        <v>1192</v>
      </c>
      <c r="AH263" s="428"/>
      <c r="AI263" s="1793"/>
      <c r="AJ263" s="429">
        <v>2019</v>
      </c>
      <c r="AK263" s="424">
        <v>5815</v>
      </c>
      <c r="AL263" s="424">
        <v>5490</v>
      </c>
      <c r="AM263" s="430">
        <v>72.540000000000006</v>
      </c>
      <c r="AN263" s="431" t="s">
        <v>727</v>
      </c>
      <c r="AO263" s="432">
        <v>2022</v>
      </c>
      <c r="AP263" s="425">
        <v>6251</v>
      </c>
      <c r="AQ263" s="433">
        <v>-7.5</v>
      </c>
      <c r="AR263" s="425">
        <v>5840</v>
      </c>
      <c r="AS263" s="433">
        <v>-6.38</v>
      </c>
      <c r="AT263" s="434">
        <v>70.726500000000001</v>
      </c>
      <c r="AU263" s="431" t="s">
        <v>727</v>
      </c>
      <c r="AV263" s="435">
        <v>2.5</v>
      </c>
      <c r="AW263" s="432">
        <v>2020</v>
      </c>
      <c r="AX263" s="425">
        <v>5900</v>
      </c>
      <c r="AY263" s="433">
        <v>-1.47</v>
      </c>
      <c r="AZ263" s="425">
        <v>5201</v>
      </c>
      <c r="BA263" s="433">
        <v>5.26</v>
      </c>
      <c r="BB263" s="434">
        <v>69.28</v>
      </c>
      <c r="BC263" s="431" t="s">
        <v>727</v>
      </c>
      <c r="BD263" s="435">
        <v>4.49</v>
      </c>
      <c r="BE263" s="432">
        <v>2021</v>
      </c>
      <c r="BF263" s="425">
        <v>7078</v>
      </c>
      <c r="BG263" s="433">
        <v>-21.72</v>
      </c>
      <c r="BH263" s="425">
        <v>6970</v>
      </c>
      <c r="BI263" s="433">
        <v>-26.96</v>
      </c>
      <c r="BJ263" s="434">
        <v>82.26</v>
      </c>
      <c r="BK263" s="431" t="s">
        <v>727</v>
      </c>
      <c r="BL263" s="435">
        <v>-13.4</v>
      </c>
      <c r="BM263" s="432">
        <v>2022</v>
      </c>
      <c r="BN263" s="425">
        <v>7333</v>
      </c>
      <c r="BO263" s="433">
        <v>-26.11</v>
      </c>
      <c r="BP263" s="425">
        <v>6893</v>
      </c>
      <c r="BQ263" s="433">
        <v>-25.56</v>
      </c>
      <c r="BR263" s="434">
        <v>85.227335462021529</v>
      </c>
      <c r="BS263" s="431" t="s">
        <v>727</v>
      </c>
      <c r="BT263" s="435">
        <v>-17.5</v>
      </c>
      <c r="BU263" s="1805" t="s">
        <v>676</v>
      </c>
      <c r="BV263" s="1806" t="s">
        <v>728</v>
      </c>
      <c r="BW263" s="1807" t="s">
        <v>678</v>
      </c>
      <c r="BX263" s="1808" t="s">
        <v>2395</v>
      </c>
      <c r="BY263" s="1809">
        <v>2019</v>
      </c>
      <c r="BZ263" s="424"/>
      <c r="CA263" s="424"/>
      <c r="CB263" s="430"/>
      <c r="CC263" s="431"/>
      <c r="CD263" s="432">
        <v>2022</v>
      </c>
      <c r="CE263" s="425"/>
      <c r="CF263" s="433"/>
      <c r="CG263" s="425"/>
      <c r="CH263" s="433"/>
      <c r="CI263" s="434"/>
      <c r="CJ263" s="431"/>
      <c r="CK263" s="435"/>
      <c r="CL263" s="432">
        <v>2020</v>
      </c>
      <c r="CM263" s="425"/>
      <c r="CN263" s="433"/>
      <c r="CO263" s="425"/>
      <c r="CP263" s="433"/>
      <c r="CQ263" s="434"/>
      <c r="CR263" s="431"/>
      <c r="CS263" s="435"/>
      <c r="CT263" s="432">
        <v>2021</v>
      </c>
      <c r="CU263" s="425"/>
      <c r="CV263" s="433"/>
      <c r="CW263" s="425"/>
      <c r="CX263" s="433"/>
      <c r="CY263" s="434"/>
      <c r="CZ263" s="431"/>
      <c r="DA263" s="435"/>
      <c r="DB263" s="432">
        <v>2022</v>
      </c>
      <c r="DC263" s="425">
        <v>0</v>
      </c>
      <c r="DD263" s="433"/>
      <c r="DE263" s="425">
        <v>0</v>
      </c>
      <c r="DF263" s="433"/>
      <c r="DG263" s="434"/>
      <c r="DH263" s="431"/>
      <c r="DI263" s="435">
        <v>0</v>
      </c>
      <c r="DJ263" s="1805"/>
      <c r="DK263" s="1806"/>
      <c r="DL263" s="1807"/>
      <c r="DM263" s="1808"/>
      <c r="DN263" s="1810">
        <v>0</v>
      </c>
      <c r="DO263" s="1799">
        <v>0</v>
      </c>
      <c r="DP263" s="1800">
        <v>0</v>
      </c>
      <c r="DQ263" s="1799">
        <v>0</v>
      </c>
      <c r="DR263" s="1800">
        <v>0</v>
      </c>
      <c r="DS263" s="1799">
        <v>0</v>
      </c>
    </row>
    <row r="264" spans="1:123" ht="67.5">
      <c r="A264" s="1801" t="s">
        <v>2396</v>
      </c>
      <c r="B264" s="1788" t="s">
        <v>2397</v>
      </c>
      <c r="C264" s="426">
        <v>2020</v>
      </c>
      <c r="D264" s="417" t="s">
        <v>681</v>
      </c>
      <c r="E264" s="1802">
        <v>1095377</v>
      </c>
      <c r="F264" s="1803" t="s">
        <v>2397</v>
      </c>
      <c r="G264" s="419">
        <v>45127</v>
      </c>
      <c r="H264" s="1790" t="s">
        <v>2398</v>
      </c>
      <c r="I264" s="1791" t="s">
        <v>2397</v>
      </c>
      <c r="J264" s="1793" t="s">
        <v>2399</v>
      </c>
      <c r="K264" s="1788" t="s">
        <v>2397</v>
      </c>
      <c r="L264" s="1791" t="s">
        <v>2399</v>
      </c>
      <c r="M264" s="1793" t="s">
        <v>2398</v>
      </c>
      <c r="N264" s="1790" t="s">
        <v>102</v>
      </c>
      <c r="O264" s="1793" t="s">
        <v>110</v>
      </c>
      <c r="P264" s="420" t="s">
        <v>683</v>
      </c>
      <c r="Q264" s="421"/>
      <c r="R264" s="421"/>
      <c r="S264" s="422"/>
      <c r="T264" s="1794"/>
      <c r="U264" s="423">
        <v>1917.6366</v>
      </c>
      <c r="V264" s="424">
        <v>27</v>
      </c>
      <c r="W264" s="424">
        <v>0</v>
      </c>
      <c r="X264" s="425"/>
      <c r="Y264" s="426">
        <v>2020</v>
      </c>
      <c r="Z264" s="417">
        <v>2022</v>
      </c>
      <c r="AA264" s="1804">
        <v>2022</v>
      </c>
      <c r="AB264" s="427"/>
      <c r="AC264" s="1793"/>
      <c r="AD264" s="428" t="s">
        <v>5863</v>
      </c>
      <c r="AE264" s="1791" t="s">
        <v>2400</v>
      </c>
      <c r="AF264" s="1791" t="s">
        <v>2401</v>
      </c>
      <c r="AG264" s="1793" t="s">
        <v>2402</v>
      </c>
      <c r="AH264" s="428"/>
      <c r="AI264" s="1793"/>
      <c r="AJ264" s="429">
        <v>2019</v>
      </c>
      <c r="AK264" s="424">
        <v>3042</v>
      </c>
      <c r="AL264" s="424">
        <v>3035</v>
      </c>
      <c r="AM264" s="430">
        <v>16.84</v>
      </c>
      <c r="AN264" s="431" t="s">
        <v>848</v>
      </c>
      <c r="AO264" s="432">
        <v>2022</v>
      </c>
      <c r="AP264" s="425">
        <v>2950.74</v>
      </c>
      <c r="AQ264" s="433">
        <v>3</v>
      </c>
      <c r="AR264" s="425">
        <v>2943.95</v>
      </c>
      <c r="AS264" s="433">
        <v>3</v>
      </c>
      <c r="AT264" s="434">
        <v>16.334799999999998</v>
      </c>
      <c r="AU264" s="431" t="s">
        <v>848</v>
      </c>
      <c r="AV264" s="435">
        <v>3</v>
      </c>
      <c r="AW264" s="432">
        <v>2020</v>
      </c>
      <c r="AX264" s="425">
        <v>2954</v>
      </c>
      <c r="AY264" s="433">
        <v>2.89</v>
      </c>
      <c r="AZ264" s="425">
        <v>2749</v>
      </c>
      <c r="BA264" s="433">
        <v>9.42</v>
      </c>
      <c r="BB264" s="434">
        <v>15.81</v>
      </c>
      <c r="BC264" s="431" t="s">
        <v>848</v>
      </c>
      <c r="BD264" s="435">
        <v>6.11</v>
      </c>
      <c r="BE264" s="432">
        <v>2021</v>
      </c>
      <c r="BF264" s="425">
        <v>2949</v>
      </c>
      <c r="BG264" s="433">
        <v>3.05</v>
      </c>
      <c r="BH264" s="425">
        <v>2958</v>
      </c>
      <c r="BI264" s="433">
        <v>2.5299999999999998</v>
      </c>
      <c r="BJ264" s="434">
        <v>15.599047870933614</v>
      </c>
      <c r="BK264" s="431" t="s">
        <v>848</v>
      </c>
      <c r="BL264" s="435">
        <v>7.36</v>
      </c>
      <c r="BM264" s="432">
        <v>2022</v>
      </c>
      <c r="BN264" s="425">
        <v>3287</v>
      </c>
      <c r="BO264" s="433">
        <v>-8.06</v>
      </c>
      <c r="BP264" s="425">
        <v>3297</v>
      </c>
      <c r="BQ264" s="433">
        <v>-8.64</v>
      </c>
      <c r="BR264" s="434">
        <v>16.279530483878958</v>
      </c>
      <c r="BS264" s="431" t="s">
        <v>848</v>
      </c>
      <c r="BT264" s="435">
        <v>3.32</v>
      </c>
      <c r="BU264" s="1805" t="s">
        <v>719</v>
      </c>
      <c r="BV264" s="1806" t="s">
        <v>677</v>
      </c>
      <c r="BW264" s="1807" t="s">
        <v>688</v>
      </c>
      <c r="BX264" s="1808" t="s">
        <v>5153</v>
      </c>
      <c r="BY264" s="1809">
        <v>2019</v>
      </c>
      <c r="BZ264" s="424"/>
      <c r="CA264" s="424"/>
      <c r="CB264" s="430"/>
      <c r="CC264" s="431"/>
      <c r="CD264" s="432">
        <v>2022</v>
      </c>
      <c r="CE264" s="425"/>
      <c r="CF264" s="433"/>
      <c r="CG264" s="425"/>
      <c r="CH264" s="433"/>
      <c r="CI264" s="434"/>
      <c r="CJ264" s="431"/>
      <c r="CK264" s="435"/>
      <c r="CL264" s="432">
        <v>2020</v>
      </c>
      <c r="CM264" s="425"/>
      <c r="CN264" s="433"/>
      <c r="CO264" s="425"/>
      <c r="CP264" s="433"/>
      <c r="CQ264" s="434"/>
      <c r="CR264" s="431"/>
      <c r="CS264" s="435"/>
      <c r="CT264" s="432">
        <v>2021</v>
      </c>
      <c r="CU264" s="425"/>
      <c r="CV264" s="433"/>
      <c r="CW264" s="425"/>
      <c r="CX264" s="433"/>
      <c r="CY264" s="434"/>
      <c r="CZ264" s="431"/>
      <c r="DA264" s="435"/>
      <c r="DB264" s="432">
        <v>2022</v>
      </c>
      <c r="DC264" s="425">
        <v>0</v>
      </c>
      <c r="DD264" s="433"/>
      <c r="DE264" s="425">
        <v>0</v>
      </c>
      <c r="DF264" s="433"/>
      <c r="DG264" s="434"/>
      <c r="DH264" s="431"/>
      <c r="DI264" s="435"/>
      <c r="DJ264" s="1805"/>
      <c r="DK264" s="1806"/>
      <c r="DL264" s="1807"/>
      <c r="DM264" s="1808"/>
      <c r="DN264" s="1810">
        <v>0</v>
      </c>
      <c r="DO264" s="1799">
        <v>0</v>
      </c>
      <c r="DP264" s="1800">
        <v>0</v>
      </c>
      <c r="DQ264" s="1799">
        <v>0</v>
      </c>
      <c r="DR264" s="1800">
        <v>0</v>
      </c>
      <c r="DS264" s="1799">
        <v>0</v>
      </c>
    </row>
    <row r="265" spans="1:123" ht="67.5">
      <c r="A265" s="1801" t="s">
        <v>2403</v>
      </c>
      <c r="B265" s="1788" t="s">
        <v>2404</v>
      </c>
      <c r="C265" s="426">
        <v>2020</v>
      </c>
      <c r="D265" s="417" t="s">
        <v>681</v>
      </c>
      <c r="E265" s="1802">
        <v>1011378</v>
      </c>
      <c r="F265" s="1803" t="s">
        <v>2404</v>
      </c>
      <c r="G265" s="419">
        <v>45127</v>
      </c>
      <c r="H265" s="1790" t="s">
        <v>2405</v>
      </c>
      <c r="I265" s="1791" t="s">
        <v>2406</v>
      </c>
      <c r="J265" s="1793" t="s">
        <v>2407</v>
      </c>
      <c r="K265" s="1788" t="s">
        <v>2404</v>
      </c>
      <c r="L265" s="1791" t="s">
        <v>2408</v>
      </c>
      <c r="M265" s="1793" t="s">
        <v>2409</v>
      </c>
      <c r="N265" s="1790" t="s">
        <v>12</v>
      </c>
      <c r="O265" s="1793" t="s">
        <v>31</v>
      </c>
      <c r="P265" s="420" t="s">
        <v>683</v>
      </c>
      <c r="Q265" s="421"/>
      <c r="R265" s="421"/>
      <c r="S265" s="422"/>
      <c r="T265" s="1794"/>
      <c r="U265" s="423">
        <v>1793.8224</v>
      </c>
      <c r="V265" s="424">
        <v>2</v>
      </c>
      <c r="W265" s="424">
        <v>1</v>
      </c>
      <c r="X265" s="425"/>
      <c r="Y265" s="426">
        <v>2020</v>
      </c>
      <c r="Z265" s="417">
        <v>2022</v>
      </c>
      <c r="AA265" s="1804">
        <v>2022</v>
      </c>
      <c r="AB265" s="427"/>
      <c r="AC265" s="1793"/>
      <c r="AD265" s="428" t="s">
        <v>5863</v>
      </c>
      <c r="AE265" s="1791" t="s">
        <v>2410</v>
      </c>
      <c r="AF265" s="1791" t="s">
        <v>2405</v>
      </c>
      <c r="AG265" s="1793" t="s">
        <v>2411</v>
      </c>
      <c r="AH265" s="428"/>
      <c r="AI265" s="1793"/>
      <c r="AJ265" s="429">
        <v>2019</v>
      </c>
      <c r="AK265" s="424">
        <v>3472</v>
      </c>
      <c r="AL265" s="424">
        <v>3397</v>
      </c>
      <c r="AM265" s="430"/>
      <c r="AN265" s="431"/>
      <c r="AO265" s="432">
        <v>2022</v>
      </c>
      <c r="AP265" s="425">
        <v>3437</v>
      </c>
      <c r="AQ265" s="433">
        <v>1</v>
      </c>
      <c r="AR265" s="425">
        <v>3363.0299999999997</v>
      </c>
      <c r="AS265" s="433">
        <v>1</v>
      </c>
      <c r="AT265" s="434"/>
      <c r="AU265" s="431"/>
      <c r="AV265" s="435"/>
      <c r="AW265" s="432">
        <v>2020</v>
      </c>
      <c r="AX265" s="425">
        <v>3310</v>
      </c>
      <c r="AY265" s="433">
        <v>4.66</v>
      </c>
      <c r="AZ265" s="425">
        <v>3168</v>
      </c>
      <c r="BA265" s="433">
        <v>6.74</v>
      </c>
      <c r="BB265" s="434"/>
      <c r="BC265" s="431"/>
      <c r="BD265" s="435"/>
      <c r="BE265" s="432">
        <v>2021</v>
      </c>
      <c r="BF265" s="425">
        <v>3388</v>
      </c>
      <c r="BG265" s="433">
        <v>2.41</v>
      </c>
      <c r="BH265" s="425">
        <v>4061</v>
      </c>
      <c r="BI265" s="433">
        <v>-19.55</v>
      </c>
      <c r="BJ265" s="434"/>
      <c r="BK265" s="431"/>
      <c r="BL265" s="435"/>
      <c r="BM265" s="432">
        <v>2022</v>
      </c>
      <c r="BN265" s="425">
        <v>3254</v>
      </c>
      <c r="BO265" s="433">
        <v>6.27</v>
      </c>
      <c r="BP265" s="425">
        <v>3276</v>
      </c>
      <c r="BQ265" s="433">
        <v>3.56</v>
      </c>
      <c r="BR265" s="434"/>
      <c r="BS265" s="431"/>
      <c r="BT265" s="435"/>
      <c r="BU265" s="1805" t="s">
        <v>687</v>
      </c>
      <c r="BV265" s="1806" t="s">
        <v>728</v>
      </c>
      <c r="BW265" s="1807" t="s">
        <v>688</v>
      </c>
      <c r="BX265" s="1808" t="s">
        <v>5154</v>
      </c>
      <c r="BY265" s="1809">
        <v>2019</v>
      </c>
      <c r="BZ265" s="424"/>
      <c r="CA265" s="424"/>
      <c r="CB265" s="430"/>
      <c r="CC265" s="431"/>
      <c r="CD265" s="432">
        <v>2022</v>
      </c>
      <c r="CE265" s="425"/>
      <c r="CF265" s="433"/>
      <c r="CG265" s="425"/>
      <c r="CH265" s="433"/>
      <c r="CI265" s="434"/>
      <c r="CJ265" s="431"/>
      <c r="CK265" s="435"/>
      <c r="CL265" s="432">
        <v>2020</v>
      </c>
      <c r="CM265" s="425"/>
      <c r="CN265" s="433"/>
      <c r="CO265" s="425"/>
      <c r="CP265" s="433"/>
      <c r="CQ265" s="434"/>
      <c r="CR265" s="431"/>
      <c r="CS265" s="435"/>
      <c r="CT265" s="432">
        <v>2021</v>
      </c>
      <c r="CU265" s="425"/>
      <c r="CV265" s="433"/>
      <c r="CW265" s="425"/>
      <c r="CX265" s="433"/>
      <c r="CY265" s="434"/>
      <c r="CZ265" s="431"/>
      <c r="DA265" s="435"/>
      <c r="DB265" s="432">
        <v>2022</v>
      </c>
      <c r="DC265" s="425">
        <v>0</v>
      </c>
      <c r="DD265" s="433"/>
      <c r="DE265" s="425">
        <v>0</v>
      </c>
      <c r="DF265" s="433"/>
      <c r="DG265" s="434"/>
      <c r="DH265" s="431"/>
      <c r="DI265" s="435">
        <v>0</v>
      </c>
      <c r="DJ265" s="1805"/>
      <c r="DK265" s="1806"/>
      <c r="DL265" s="1807"/>
      <c r="DM265" s="1808"/>
      <c r="DN265" s="1810">
        <v>0</v>
      </c>
      <c r="DO265" s="1799">
        <v>0</v>
      </c>
      <c r="DP265" s="1800">
        <v>0</v>
      </c>
      <c r="DQ265" s="1799">
        <v>0</v>
      </c>
      <c r="DR265" s="1800">
        <v>2</v>
      </c>
      <c r="DS265" s="1799">
        <v>3</v>
      </c>
    </row>
    <row r="266" spans="1:123" ht="94.5">
      <c r="A266" s="1801" t="s">
        <v>2412</v>
      </c>
      <c r="B266" s="1788" t="s">
        <v>2414</v>
      </c>
      <c r="C266" s="426">
        <v>2020</v>
      </c>
      <c r="D266" s="417" t="s">
        <v>681</v>
      </c>
      <c r="E266" s="1802">
        <v>1011379</v>
      </c>
      <c r="F266" s="1803" t="s">
        <v>2414</v>
      </c>
      <c r="G266" s="419">
        <v>45100</v>
      </c>
      <c r="H266" s="1790" t="s">
        <v>2413</v>
      </c>
      <c r="I266" s="1791" t="s">
        <v>2414</v>
      </c>
      <c r="J266" s="1793" t="s">
        <v>2415</v>
      </c>
      <c r="K266" s="1788" t="s">
        <v>2414</v>
      </c>
      <c r="L266" s="1791" t="s">
        <v>2415</v>
      </c>
      <c r="M266" s="1793" t="s">
        <v>2416</v>
      </c>
      <c r="N266" s="1790" t="s">
        <v>48</v>
      </c>
      <c r="O266" s="1793" t="s">
        <v>55</v>
      </c>
      <c r="P266" s="420" t="s">
        <v>683</v>
      </c>
      <c r="Q266" s="421"/>
      <c r="R266" s="421"/>
      <c r="S266" s="422"/>
      <c r="T266" s="1794"/>
      <c r="U266" s="423">
        <v>2169.1866</v>
      </c>
      <c r="V266" s="424">
        <v>1</v>
      </c>
      <c r="W266" s="424">
        <v>1</v>
      </c>
      <c r="X266" s="425"/>
      <c r="Y266" s="426">
        <v>2020</v>
      </c>
      <c r="Z266" s="417">
        <v>2022</v>
      </c>
      <c r="AA266" s="1804">
        <v>2022</v>
      </c>
      <c r="AB266" s="427" t="s">
        <v>5863</v>
      </c>
      <c r="AC266" s="1793" t="s">
        <v>2417</v>
      </c>
      <c r="AD266" s="428" t="s">
        <v>5863</v>
      </c>
      <c r="AE266" s="1791" t="s">
        <v>2418</v>
      </c>
      <c r="AF266" s="1791" t="s">
        <v>2419</v>
      </c>
      <c r="AG266" s="1793" t="s">
        <v>2420</v>
      </c>
      <c r="AH266" s="428"/>
      <c r="AI266" s="1793"/>
      <c r="AJ266" s="429">
        <v>2019</v>
      </c>
      <c r="AK266" s="424">
        <v>4569</v>
      </c>
      <c r="AL266" s="424">
        <v>4491</v>
      </c>
      <c r="AM266" s="430">
        <v>23.08</v>
      </c>
      <c r="AN266" s="431" t="s">
        <v>2421</v>
      </c>
      <c r="AO266" s="432">
        <v>2022</v>
      </c>
      <c r="AP266" s="425">
        <v>4569</v>
      </c>
      <c r="AQ266" s="433">
        <v>0</v>
      </c>
      <c r="AR266" s="425">
        <v>4491</v>
      </c>
      <c r="AS266" s="433">
        <v>0</v>
      </c>
      <c r="AT266" s="434">
        <v>23.08</v>
      </c>
      <c r="AU266" s="431" t="s">
        <v>2421</v>
      </c>
      <c r="AV266" s="435">
        <v>0</v>
      </c>
      <c r="AW266" s="432">
        <v>2020</v>
      </c>
      <c r="AX266" s="425">
        <v>3751</v>
      </c>
      <c r="AY266" s="433">
        <v>17.899999999999999</v>
      </c>
      <c r="AZ266" s="425">
        <v>3638</v>
      </c>
      <c r="BA266" s="433">
        <v>18.989999999999998</v>
      </c>
      <c r="BB266" s="434">
        <v>17.78</v>
      </c>
      <c r="BC266" s="431" t="s">
        <v>2421</v>
      </c>
      <c r="BD266" s="435">
        <v>22.96</v>
      </c>
      <c r="BE266" s="432">
        <v>2021</v>
      </c>
      <c r="BF266" s="425">
        <v>2798</v>
      </c>
      <c r="BG266" s="433">
        <v>38.76</v>
      </c>
      <c r="BH266" s="425">
        <v>2789</v>
      </c>
      <c r="BI266" s="433">
        <v>37.89</v>
      </c>
      <c r="BJ266" s="434">
        <v>6.37</v>
      </c>
      <c r="BK266" s="431" t="s">
        <v>2421</v>
      </c>
      <c r="BL266" s="435">
        <v>72.400000000000006</v>
      </c>
      <c r="BM266" s="432">
        <v>2022</v>
      </c>
      <c r="BN266" s="425">
        <v>4426</v>
      </c>
      <c r="BO266" s="433">
        <v>3.12</v>
      </c>
      <c r="BP266" s="425">
        <v>4421</v>
      </c>
      <c r="BQ266" s="433">
        <v>1.55</v>
      </c>
      <c r="BR266" s="434">
        <v>17.76083467094703</v>
      </c>
      <c r="BS266" s="431" t="s">
        <v>2421</v>
      </c>
      <c r="BT266" s="435">
        <v>23.04</v>
      </c>
      <c r="BU266" s="1805" t="s">
        <v>687</v>
      </c>
      <c r="BV266" s="1806" t="s">
        <v>728</v>
      </c>
      <c r="BW266" s="1807" t="s">
        <v>678</v>
      </c>
      <c r="BX266" s="1808" t="s">
        <v>5155</v>
      </c>
      <c r="BY266" s="1809">
        <v>2019</v>
      </c>
      <c r="BZ266" s="424"/>
      <c r="CA266" s="424"/>
      <c r="CB266" s="430"/>
      <c r="CC266" s="431"/>
      <c r="CD266" s="432">
        <v>2022</v>
      </c>
      <c r="CE266" s="425"/>
      <c r="CF266" s="433"/>
      <c r="CG266" s="425"/>
      <c r="CH266" s="433"/>
      <c r="CI266" s="434"/>
      <c r="CJ266" s="431"/>
      <c r="CK266" s="435"/>
      <c r="CL266" s="432">
        <v>2020</v>
      </c>
      <c r="CM266" s="425"/>
      <c r="CN266" s="433"/>
      <c r="CO266" s="425"/>
      <c r="CP266" s="433"/>
      <c r="CQ266" s="434"/>
      <c r="CR266" s="431"/>
      <c r="CS266" s="435"/>
      <c r="CT266" s="432">
        <v>2021</v>
      </c>
      <c r="CU266" s="425"/>
      <c r="CV266" s="433"/>
      <c r="CW266" s="425"/>
      <c r="CX266" s="433"/>
      <c r="CY266" s="434"/>
      <c r="CZ266" s="431"/>
      <c r="DA266" s="435"/>
      <c r="DB266" s="432">
        <v>2022</v>
      </c>
      <c r="DC266" s="425">
        <v>0</v>
      </c>
      <c r="DD266" s="433"/>
      <c r="DE266" s="425">
        <v>0</v>
      </c>
      <c r="DF266" s="433"/>
      <c r="DG266" s="434">
        <v>0</v>
      </c>
      <c r="DH266" s="431"/>
      <c r="DI266" s="435"/>
      <c r="DJ266" s="1805"/>
      <c r="DK266" s="1806"/>
      <c r="DL266" s="1807"/>
      <c r="DM266" s="1808"/>
      <c r="DN266" s="1810">
        <v>0</v>
      </c>
      <c r="DO266" s="1799">
        <v>0</v>
      </c>
      <c r="DP266" s="1800">
        <v>0</v>
      </c>
      <c r="DQ266" s="1799">
        <v>0</v>
      </c>
      <c r="DR266" s="1800">
        <v>0</v>
      </c>
      <c r="DS266" s="1799">
        <v>0</v>
      </c>
    </row>
    <row r="267" spans="1:123" ht="67.5">
      <c r="A267" s="1801" t="s">
        <v>2422</v>
      </c>
      <c r="B267" s="1788" t="s">
        <v>2423</v>
      </c>
      <c r="C267" s="426">
        <v>2020</v>
      </c>
      <c r="D267" s="417" t="s">
        <v>681</v>
      </c>
      <c r="E267" s="1802">
        <v>1011380</v>
      </c>
      <c r="F267" s="1803" t="s">
        <v>2423</v>
      </c>
      <c r="G267" s="419">
        <v>45133</v>
      </c>
      <c r="H267" s="1790" t="s">
        <v>2424</v>
      </c>
      <c r="I267" s="1791" t="s">
        <v>2423</v>
      </c>
      <c r="J267" s="1793" t="s">
        <v>5156</v>
      </c>
      <c r="K267" s="1788" t="s">
        <v>2423</v>
      </c>
      <c r="L267" s="1791" t="s">
        <v>5157</v>
      </c>
      <c r="M267" s="1793" t="s">
        <v>2425</v>
      </c>
      <c r="N267" s="1790" t="s">
        <v>12</v>
      </c>
      <c r="O267" s="1793" t="s">
        <v>32</v>
      </c>
      <c r="P267" s="420" t="s">
        <v>683</v>
      </c>
      <c r="Q267" s="421"/>
      <c r="R267" s="421"/>
      <c r="S267" s="422"/>
      <c r="T267" s="1794"/>
      <c r="U267" s="423">
        <v>1699.962</v>
      </c>
      <c r="V267" s="424">
        <v>2</v>
      </c>
      <c r="W267" s="424">
        <v>2</v>
      </c>
      <c r="X267" s="425"/>
      <c r="Y267" s="426">
        <v>2020</v>
      </c>
      <c r="Z267" s="417">
        <v>2022</v>
      </c>
      <c r="AA267" s="1804">
        <v>2022</v>
      </c>
      <c r="AB267" s="427"/>
      <c r="AC267" s="1793"/>
      <c r="AD267" s="428" t="s">
        <v>5863</v>
      </c>
      <c r="AE267" s="1791" t="s">
        <v>2426</v>
      </c>
      <c r="AF267" s="1791" t="s">
        <v>2424</v>
      </c>
      <c r="AG267" s="1793" t="s">
        <v>2427</v>
      </c>
      <c r="AH267" s="428"/>
      <c r="AI267" s="1793"/>
      <c r="AJ267" s="429">
        <v>2019</v>
      </c>
      <c r="AK267" s="424">
        <v>3491</v>
      </c>
      <c r="AL267" s="424">
        <v>3413</v>
      </c>
      <c r="AM267" s="430">
        <v>1.58</v>
      </c>
      <c r="AN267" s="431" t="s">
        <v>675</v>
      </c>
      <c r="AO267" s="432">
        <v>2022</v>
      </c>
      <c r="AP267" s="425">
        <v>3456</v>
      </c>
      <c r="AQ267" s="433">
        <v>1</v>
      </c>
      <c r="AR267" s="425">
        <v>3379</v>
      </c>
      <c r="AS267" s="433">
        <v>0.99</v>
      </c>
      <c r="AT267" s="434">
        <v>1.5642</v>
      </c>
      <c r="AU267" s="431" t="s">
        <v>675</v>
      </c>
      <c r="AV267" s="435">
        <v>1</v>
      </c>
      <c r="AW267" s="432">
        <v>2020</v>
      </c>
      <c r="AX267" s="425">
        <v>3741</v>
      </c>
      <c r="AY267" s="433">
        <v>-7.17</v>
      </c>
      <c r="AZ267" s="425">
        <v>3258</v>
      </c>
      <c r="BA267" s="433">
        <v>4.54</v>
      </c>
      <c r="BB267" s="434">
        <v>1.66</v>
      </c>
      <c r="BC267" s="431" t="s">
        <v>675</v>
      </c>
      <c r="BD267" s="435">
        <v>-5.07</v>
      </c>
      <c r="BE267" s="432">
        <v>2021</v>
      </c>
      <c r="BF267" s="425">
        <v>3072</v>
      </c>
      <c r="BG267" s="433">
        <v>12</v>
      </c>
      <c r="BH267" s="425">
        <v>2876</v>
      </c>
      <c r="BI267" s="433">
        <v>15.73</v>
      </c>
      <c r="BJ267" s="434">
        <v>1.35</v>
      </c>
      <c r="BK267" s="431" t="s">
        <v>675</v>
      </c>
      <c r="BL267" s="435">
        <v>14.55</v>
      </c>
      <c r="BM267" s="432">
        <v>2022</v>
      </c>
      <c r="BN267" s="425">
        <v>2873</v>
      </c>
      <c r="BO267" s="433">
        <v>17.7</v>
      </c>
      <c r="BP267" s="425">
        <v>2784</v>
      </c>
      <c r="BQ267" s="433">
        <v>18.420000000000002</v>
      </c>
      <c r="BR267" s="434">
        <v>1.655907780979827</v>
      </c>
      <c r="BS267" s="431" t="s">
        <v>675</v>
      </c>
      <c r="BT267" s="435">
        <v>-4.8099999999999996</v>
      </c>
      <c r="BU267" s="1805" t="s">
        <v>676</v>
      </c>
      <c r="BV267" s="1806" t="s">
        <v>728</v>
      </c>
      <c r="BW267" s="1807" t="s">
        <v>697</v>
      </c>
      <c r="BX267" s="1808" t="s">
        <v>5158</v>
      </c>
      <c r="BY267" s="1809">
        <v>2019</v>
      </c>
      <c r="BZ267" s="424"/>
      <c r="CA267" s="424"/>
      <c r="CB267" s="430"/>
      <c r="CC267" s="431"/>
      <c r="CD267" s="432">
        <v>2022</v>
      </c>
      <c r="CE267" s="425"/>
      <c r="CF267" s="433"/>
      <c r="CG267" s="425"/>
      <c r="CH267" s="433"/>
      <c r="CI267" s="434"/>
      <c r="CJ267" s="431"/>
      <c r="CK267" s="435"/>
      <c r="CL267" s="432">
        <v>2020</v>
      </c>
      <c r="CM267" s="425"/>
      <c r="CN267" s="433"/>
      <c r="CO267" s="425"/>
      <c r="CP267" s="433"/>
      <c r="CQ267" s="434"/>
      <c r="CR267" s="431"/>
      <c r="CS267" s="435"/>
      <c r="CT267" s="432">
        <v>2021</v>
      </c>
      <c r="CU267" s="425"/>
      <c r="CV267" s="433"/>
      <c r="CW267" s="425"/>
      <c r="CX267" s="433"/>
      <c r="CY267" s="434"/>
      <c r="CZ267" s="431"/>
      <c r="DA267" s="435"/>
      <c r="DB267" s="432">
        <v>2022</v>
      </c>
      <c r="DC267" s="425">
        <v>0</v>
      </c>
      <c r="DD267" s="433"/>
      <c r="DE267" s="425">
        <v>-105</v>
      </c>
      <c r="DF267" s="433"/>
      <c r="DG267" s="434"/>
      <c r="DH267" s="431"/>
      <c r="DI267" s="435">
        <v>0</v>
      </c>
      <c r="DJ267" s="1805"/>
      <c r="DK267" s="1806"/>
      <c r="DL267" s="1807"/>
      <c r="DM267" s="1808"/>
      <c r="DN267" s="1810">
        <v>0</v>
      </c>
      <c r="DO267" s="1799">
        <v>0</v>
      </c>
      <c r="DP267" s="1800">
        <v>0</v>
      </c>
      <c r="DQ267" s="1799">
        <v>0</v>
      </c>
      <c r="DR267" s="1800">
        <v>0</v>
      </c>
      <c r="DS267" s="1799">
        <v>0</v>
      </c>
    </row>
    <row r="268" spans="1:123" ht="54">
      <c r="A268" s="1801" t="s">
        <v>2428</v>
      </c>
      <c r="B268" s="1788" t="s">
        <v>2429</v>
      </c>
      <c r="C268" s="426">
        <v>2020</v>
      </c>
      <c r="D268" s="417" t="s">
        <v>681</v>
      </c>
      <c r="E268" s="1802">
        <v>1011382</v>
      </c>
      <c r="F268" s="1803" t="s">
        <v>2429</v>
      </c>
      <c r="G268" s="419">
        <v>45188</v>
      </c>
      <c r="H268" s="1790" t="s">
        <v>2430</v>
      </c>
      <c r="I268" s="1791" t="s">
        <v>2429</v>
      </c>
      <c r="J268" s="1793" t="s">
        <v>2431</v>
      </c>
      <c r="K268" s="1788" t="s">
        <v>2429</v>
      </c>
      <c r="L268" s="1791" t="s">
        <v>2431</v>
      </c>
      <c r="M268" s="1793" t="s">
        <v>2430</v>
      </c>
      <c r="N268" s="1790" t="s">
        <v>77</v>
      </c>
      <c r="O268" s="1793" t="s">
        <v>80</v>
      </c>
      <c r="P268" s="420" t="s">
        <v>683</v>
      </c>
      <c r="Q268" s="421"/>
      <c r="R268" s="421"/>
      <c r="S268" s="422"/>
      <c r="T268" s="1794"/>
      <c r="U268" s="423">
        <v>1022.8925999999999</v>
      </c>
      <c r="V268" s="424">
        <v>2</v>
      </c>
      <c r="W268" s="424">
        <v>1</v>
      </c>
      <c r="X268" s="425"/>
      <c r="Y268" s="426">
        <v>2020</v>
      </c>
      <c r="Z268" s="417">
        <v>2022</v>
      </c>
      <c r="AA268" s="1804">
        <v>2022</v>
      </c>
      <c r="AB268" s="427"/>
      <c r="AC268" s="1793"/>
      <c r="AD268" s="428" t="s">
        <v>5863</v>
      </c>
      <c r="AE268" s="1791" t="s">
        <v>2432</v>
      </c>
      <c r="AF268" s="1791" t="s">
        <v>2433</v>
      </c>
      <c r="AG268" s="1793" t="s">
        <v>2434</v>
      </c>
      <c r="AH268" s="428"/>
      <c r="AI268" s="1793"/>
      <c r="AJ268" s="429">
        <v>2019</v>
      </c>
      <c r="AK268" s="424">
        <v>11646</v>
      </c>
      <c r="AL268" s="424">
        <v>11436</v>
      </c>
      <c r="AM268" s="430">
        <v>110.02</v>
      </c>
      <c r="AN268" s="431" t="s">
        <v>727</v>
      </c>
      <c r="AO268" s="432">
        <v>2022</v>
      </c>
      <c r="AP268" s="425">
        <v>11646</v>
      </c>
      <c r="AQ268" s="433">
        <v>0</v>
      </c>
      <c r="AR268" s="425">
        <v>11436</v>
      </c>
      <c r="AS268" s="433">
        <v>0</v>
      </c>
      <c r="AT268" s="434">
        <v>110.02</v>
      </c>
      <c r="AU268" s="431" t="s">
        <v>727</v>
      </c>
      <c r="AV268" s="435">
        <v>0</v>
      </c>
      <c r="AW268" s="432">
        <v>2020</v>
      </c>
      <c r="AX268" s="425">
        <v>10396</v>
      </c>
      <c r="AY268" s="433">
        <v>10.73</v>
      </c>
      <c r="AZ268" s="425">
        <v>10011</v>
      </c>
      <c r="BA268" s="433">
        <v>12.46</v>
      </c>
      <c r="BB268" s="434">
        <v>98.21</v>
      </c>
      <c r="BC268" s="431" t="s">
        <v>727</v>
      </c>
      <c r="BD268" s="435">
        <v>10.73</v>
      </c>
      <c r="BE268" s="432">
        <v>2021</v>
      </c>
      <c r="BF268" s="425">
        <v>11507</v>
      </c>
      <c r="BG268" s="433">
        <v>1.19</v>
      </c>
      <c r="BH268" s="425">
        <v>11440</v>
      </c>
      <c r="BI268" s="433">
        <v>-0.04</v>
      </c>
      <c r="BJ268" s="434">
        <v>105.47</v>
      </c>
      <c r="BK268" s="431" t="s">
        <v>727</v>
      </c>
      <c r="BL268" s="435">
        <v>4.13</v>
      </c>
      <c r="BM268" s="432">
        <v>2022</v>
      </c>
      <c r="BN268" s="425">
        <v>1778</v>
      </c>
      <c r="BO268" s="433">
        <v>84.73</v>
      </c>
      <c r="BP268" s="425">
        <v>1778</v>
      </c>
      <c r="BQ268" s="433">
        <v>84.45</v>
      </c>
      <c r="BR268" s="434">
        <v>0.98862031296249486</v>
      </c>
      <c r="BS268" s="431" t="s">
        <v>727</v>
      </c>
      <c r="BT268" s="435">
        <v>99.1</v>
      </c>
      <c r="BU268" s="1805" t="s">
        <v>719</v>
      </c>
      <c r="BV268" s="1806" t="s">
        <v>728</v>
      </c>
      <c r="BW268" s="1807" t="s">
        <v>688</v>
      </c>
      <c r="BX268" s="1808" t="s">
        <v>5159</v>
      </c>
      <c r="BY268" s="1809">
        <v>2019</v>
      </c>
      <c r="BZ268" s="424"/>
      <c r="CA268" s="424"/>
      <c r="CB268" s="430"/>
      <c r="CC268" s="431"/>
      <c r="CD268" s="432">
        <v>2022</v>
      </c>
      <c r="CE268" s="425"/>
      <c r="CF268" s="433"/>
      <c r="CG268" s="425"/>
      <c r="CH268" s="433"/>
      <c r="CI268" s="434"/>
      <c r="CJ268" s="431"/>
      <c r="CK268" s="435"/>
      <c r="CL268" s="432">
        <v>2020</v>
      </c>
      <c r="CM268" s="425"/>
      <c r="CN268" s="433"/>
      <c r="CO268" s="425"/>
      <c r="CP268" s="433"/>
      <c r="CQ268" s="434"/>
      <c r="CR268" s="431"/>
      <c r="CS268" s="435"/>
      <c r="CT268" s="432">
        <v>2021</v>
      </c>
      <c r="CU268" s="425"/>
      <c r="CV268" s="433"/>
      <c r="CW268" s="425"/>
      <c r="CX268" s="433"/>
      <c r="CY268" s="434"/>
      <c r="CZ268" s="431"/>
      <c r="DA268" s="435"/>
      <c r="DB268" s="432">
        <v>2022</v>
      </c>
      <c r="DC268" s="425">
        <v>0</v>
      </c>
      <c r="DD268" s="433"/>
      <c r="DE268" s="425">
        <v>0</v>
      </c>
      <c r="DF268" s="433"/>
      <c r="DG268" s="434"/>
      <c r="DH268" s="431"/>
      <c r="DI268" s="435">
        <v>0</v>
      </c>
      <c r="DJ268" s="1805"/>
      <c r="DK268" s="1806"/>
      <c r="DL268" s="1807"/>
      <c r="DM268" s="1808"/>
      <c r="DN268" s="1810">
        <v>0</v>
      </c>
      <c r="DO268" s="1799">
        <v>0</v>
      </c>
      <c r="DP268" s="1800">
        <v>0</v>
      </c>
      <c r="DQ268" s="1799">
        <v>0</v>
      </c>
      <c r="DR268" s="1800">
        <v>0</v>
      </c>
      <c r="DS268" s="1799">
        <v>0</v>
      </c>
    </row>
    <row r="269" spans="1:123" ht="67.5">
      <c r="A269" s="1801" t="s">
        <v>2435</v>
      </c>
      <c r="B269" s="1788" t="s">
        <v>2436</v>
      </c>
      <c r="C269" s="426">
        <v>2021</v>
      </c>
      <c r="D269" s="417" t="s">
        <v>681</v>
      </c>
      <c r="E269" s="1802">
        <v>1028383</v>
      </c>
      <c r="F269" s="1803" t="s">
        <v>2436</v>
      </c>
      <c r="G269" s="419">
        <v>45135</v>
      </c>
      <c r="H269" s="1790" t="s">
        <v>2437</v>
      </c>
      <c r="I269" s="1791" t="s">
        <v>2436</v>
      </c>
      <c r="J269" s="1793" t="s">
        <v>2438</v>
      </c>
      <c r="K269" s="1788" t="s">
        <v>2436</v>
      </c>
      <c r="L269" s="1791" t="s">
        <v>2438</v>
      </c>
      <c r="M269" s="1793" t="s">
        <v>2437</v>
      </c>
      <c r="N269" s="1790" t="s">
        <v>12</v>
      </c>
      <c r="O269" s="1793" t="s">
        <v>32</v>
      </c>
      <c r="P269" s="420" t="s">
        <v>683</v>
      </c>
      <c r="Q269" s="421"/>
      <c r="R269" s="421"/>
      <c r="S269" s="422"/>
      <c r="T269" s="1794"/>
      <c r="U269" s="423">
        <v>7116.8010000000004</v>
      </c>
      <c r="V269" s="424">
        <v>2</v>
      </c>
      <c r="W269" s="424">
        <v>2</v>
      </c>
      <c r="X269" s="425"/>
      <c r="Y269" s="426">
        <v>2021</v>
      </c>
      <c r="Z269" s="417">
        <v>2023</v>
      </c>
      <c r="AA269" s="1804">
        <v>2022</v>
      </c>
      <c r="AB269" s="427"/>
      <c r="AC269" s="1793"/>
      <c r="AD269" s="428" t="s">
        <v>5863</v>
      </c>
      <c r="AE269" s="1791" t="s">
        <v>5160</v>
      </c>
      <c r="AF269" s="1791" t="s">
        <v>908</v>
      </c>
      <c r="AG269" s="1793" t="s">
        <v>905</v>
      </c>
      <c r="AH269" s="428"/>
      <c r="AI269" s="1793"/>
      <c r="AJ269" s="429">
        <v>2020</v>
      </c>
      <c r="AK269" s="424">
        <v>11841</v>
      </c>
      <c r="AL269" s="424">
        <v>11454</v>
      </c>
      <c r="AM269" s="430">
        <v>22.95</v>
      </c>
      <c r="AN269" s="431" t="s">
        <v>1953</v>
      </c>
      <c r="AO269" s="432">
        <v>2023</v>
      </c>
      <c r="AP269" s="425">
        <v>13204</v>
      </c>
      <c r="AQ269" s="433">
        <v>-11.52</v>
      </c>
      <c r="AR269" s="425">
        <v>12773</v>
      </c>
      <c r="AS269" s="433">
        <v>-11.52</v>
      </c>
      <c r="AT269" s="434">
        <v>24.4</v>
      </c>
      <c r="AU269" s="431" t="s">
        <v>1953</v>
      </c>
      <c r="AV269" s="435">
        <v>-6.32</v>
      </c>
      <c r="AW269" s="432">
        <v>2021</v>
      </c>
      <c r="AX269" s="425">
        <v>12081</v>
      </c>
      <c r="AY269" s="433">
        <v>-2.0299999999999998</v>
      </c>
      <c r="AZ269" s="425">
        <v>11974</v>
      </c>
      <c r="BA269" s="433">
        <v>-4.54</v>
      </c>
      <c r="BB269" s="434">
        <v>23.41</v>
      </c>
      <c r="BC269" s="431" t="s">
        <v>1953</v>
      </c>
      <c r="BD269" s="435">
        <v>-2.0099999999999998</v>
      </c>
      <c r="BE269" s="432">
        <v>2022</v>
      </c>
      <c r="BF269" s="425">
        <v>12742</v>
      </c>
      <c r="BG269" s="433">
        <v>-7.61</v>
      </c>
      <c r="BH269" s="425">
        <v>12714</v>
      </c>
      <c r="BI269" s="433">
        <v>-11.01</v>
      </c>
      <c r="BJ269" s="434">
        <v>24.959354371119076</v>
      </c>
      <c r="BK269" s="431" t="s">
        <v>1953</v>
      </c>
      <c r="BL269" s="435">
        <v>-8.76</v>
      </c>
      <c r="BM269" s="432">
        <v>2023</v>
      </c>
      <c r="BN269" s="425"/>
      <c r="BO269" s="433"/>
      <c r="BP269" s="425"/>
      <c r="BQ269" s="433"/>
      <c r="BR269" s="434"/>
      <c r="BS269" s="431"/>
      <c r="BT269" s="435"/>
      <c r="BU269" s="1805" t="s">
        <v>719</v>
      </c>
      <c r="BV269" s="1806" t="s">
        <v>728</v>
      </c>
      <c r="BW269" s="1807" t="s">
        <v>688</v>
      </c>
      <c r="BX269" s="1808"/>
      <c r="BY269" s="1809">
        <v>2020</v>
      </c>
      <c r="BZ269" s="424"/>
      <c r="CA269" s="424"/>
      <c r="CB269" s="430"/>
      <c r="CC269" s="431"/>
      <c r="CD269" s="432">
        <v>2023</v>
      </c>
      <c r="CE269" s="425"/>
      <c r="CF269" s="433"/>
      <c r="CG269" s="425"/>
      <c r="CH269" s="433"/>
      <c r="CI269" s="434"/>
      <c r="CJ269" s="431"/>
      <c r="CK269" s="435"/>
      <c r="CL269" s="432">
        <v>2021</v>
      </c>
      <c r="CM269" s="425"/>
      <c r="CN269" s="433"/>
      <c r="CO269" s="425"/>
      <c r="CP269" s="433"/>
      <c r="CQ269" s="434"/>
      <c r="CR269" s="431"/>
      <c r="CS269" s="435"/>
      <c r="CT269" s="432">
        <v>2022</v>
      </c>
      <c r="CU269" s="425">
        <v>0</v>
      </c>
      <c r="CV269" s="433"/>
      <c r="CW269" s="425">
        <v>0</v>
      </c>
      <c r="CX269" s="433"/>
      <c r="CY269" s="434"/>
      <c r="CZ269" s="431"/>
      <c r="DA269" s="435"/>
      <c r="DB269" s="432">
        <v>2023</v>
      </c>
      <c r="DC269" s="425"/>
      <c r="DD269" s="433"/>
      <c r="DE269" s="425"/>
      <c r="DF269" s="433"/>
      <c r="DG269" s="434"/>
      <c r="DH269" s="431"/>
      <c r="DI269" s="435"/>
      <c r="DJ269" s="1805"/>
      <c r="DK269" s="1806"/>
      <c r="DL269" s="1807"/>
      <c r="DM269" s="1808"/>
      <c r="DN269" s="1810">
        <v>0</v>
      </c>
      <c r="DO269" s="1799">
        <v>0</v>
      </c>
      <c r="DP269" s="1800">
        <v>0</v>
      </c>
      <c r="DQ269" s="1799">
        <v>0</v>
      </c>
      <c r="DR269" s="1800">
        <v>0</v>
      </c>
      <c r="DS269" s="1799">
        <v>0</v>
      </c>
    </row>
    <row r="270" spans="1:123" ht="81">
      <c r="A270" s="1801" t="s">
        <v>2439</v>
      </c>
      <c r="B270" s="1788" t="s">
        <v>2440</v>
      </c>
      <c r="C270" s="426">
        <v>2021</v>
      </c>
      <c r="D270" s="417" t="s">
        <v>681</v>
      </c>
      <c r="E270" s="1802">
        <v>1029384</v>
      </c>
      <c r="F270" s="1803" t="s">
        <v>2440</v>
      </c>
      <c r="G270" s="419">
        <v>45138</v>
      </c>
      <c r="H270" s="1790" t="s">
        <v>2441</v>
      </c>
      <c r="I270" s="1791" t="s">
        <v>2440</v>
      </c>
      <c r="J270" s="1793" t="s">
        <v>2442</v>
      </c>
      <c r="K270" s="1788" t="s">
        <v>2440</v>
      </c>
      <c r="L270" s="1791" t="s">
        <v>2442</v>
      </c>
      <c r="M270" s="1793" t="s">
        <v>2441</v>
      </c>
      <c r="N270" s="1790" t="s">
        <v>12</v>
      </c>
      <c r="O270" s="1793" t="s">
        <v>33</v>
      </c>
      <c r="P270" s="420" t="s">
        <v>683</v>
      </c>
      <c r="Q270" s="421"/>
      <c r="R270" s="421"/>
      <c r="S270" s="422"/>
      <c r="T270" s="1794"/>
      <c r="U270" s="423">
        <v>12512.277599999999</v>
      </c>
      <c r="V270" s="424">
        <v>3</v>
      </c>
      <c r="W270" s="424">
        <v>3</v>
      </c>
      <c r="X270" s="425"/>
      <c r="Y270" s="426">
        <v>2021</v>
      </c>
      <c r="Z270" s="417">
        <v>2023</v>
      </c>
      <c r="AA270" s="1804">
        <v>2022</v>
      </c>
      <c r="AB270" s="427"/>
      <c r="AC270" s="1793"/>
      <c r="AD270" s="428" t="s">
        <v>5863</v>
      </c>
      <c r="AE270" s="1791" t="s">
        <v>2443</v>
      </c>
      <c r="AF270" s="1791" t="s">
        <v>2444</v>
      </c>
      <c r="AG270" s="1793" t="s">
        <v>905</v>
      </c>
      <c r="AH270" s="428"/>
      <c r="AI270" s="1793"/>
      <c r="AJ270" s="429">
        <v>2020</v>
      </c>
      <c r="AK270" s="424">
        <v>27443</v>
      </c>
      <c r="AL270" s="424">
        <v>26857</v>
      </c>
      <c r="AM270" s="430"/>
      <c r="AN270" s="431"/>
      <c r="AO270" s="432">
        <v>2023</v>
      </c>
      <c r="AP270" s="425">
        <v>26400</v>
      </c>
      <c r="AQ270" s="433">
        <v>3.8</v>
      </c>
      <c r="AR270" s="425">
        <v>26000</v>
      </c>
      <c r="AS270" s="433">
        <v>3.19</v>
      </c>
      <c r="AT270" s="434"/>
      <c r="AU270" s="431"/>
      <c r="AV270" s="435">
        <v>21.6</v>
      </c>
      <c r="AW270" s="432">
        <v>2021</v>
      </c>
      <c r="AX270" s="425">
        <v>23427</v>
      </c>
      <c r="AY270" s="433">
        <v>14.63</v>
      </c>
      <c r="AZ270" s="425">
        <v>23287</v>
      </c>
      <c r="BA270" s="433">
        <v>13.29</v>
      </c>
      <c r="BB270" s="434"/>
      <c r="BC270" s="431"/>
      <c r="BD270" s="435">
        <v>16.829999999999998</v>
      </c>
      <c r="BE270" s="432">
        <v>2022</v>
      </c>
      <c r="BF270" s="425">
        <v>23239</v>
      </c>
      <c r="BG270" s="433">
        <v>15.31</v>
      </c>
      <c r="BH270" s="425">
        <v>23208</v>
      </c>
      <c r="BI270" s="433">
        <v>13.58</v>
      </c>
      <c r="BJ270" s="434"/>
      <c r="BK270" s="431"/>
      <c r="BL270" s="435"/>
      <c r="BM270" s="432">
        <v>2023</v>
      </c>
      <c r="BN270" s="425"/>
      <c r="BO270" s="433"/>
      <c r="BP270" s="425"/>
      <c r="BQ270" s="433"/>
      <c r="BR270" s="434"/>
      <c r="BS270" s="431"/>
      <c r="BT270" s="435"/>
      <c r="BU270" s="1805" t="s">
        <v>687</v>
      </c>
      <c r="BV270" s="1806" t="s">
        <v>728</v>
      </c>
      <c r="BW270" s="1807" t="s">
        <v>688</v>
      </c>
      <c r="BX270" s="1808"/>
      <c r="BY270" s="1809">
        <v>2020</v>
      </c>
      <c r="BZ270" s="424"/>
      <c r="CA270" s="424"/>
      <c r="CB270" s="430"/>
      <c r="CC270" s="431"/>
      <c r="CD270" s="432">
        <v>2023</v>
      </c>
      <c r="CE270" s="425"/>
      <c r="CF270" s="433"/>
      <c r="CG270" s="425"/>
      <c r="CH270" s="433"/>
      <c r="CI270" s="434"/>
      <c r="CJ270" s="431"/>
      <c r="CK270" s="435"/>
      <c r="CL270" s="432">
        <v>2021</v>
      </c>
      <c r="CM270" s="425"/>
      <c r="CN270" s="433"/>
      <c r="CO270" s="425"/>
      <c r="CP270" s="433"/>
      <c r="CQ270" s="434"/>
      <c r="CR270" s="431"/>
      <c r="CS270" s="435"/>
      <c r="CT270" s="432">
        <v>2022</v>
      </c>
      <c r="CU270" s="425">
        <v>0</v>
      </c>
      <c r="CV270" s="433"/>
      <c r="CW270" s="425">
        <v>0</v>
      </c>
      <c r="CX270" s="433"/>
      <c r="CY270" s="434"/>
      <c r="CZ270" s="431"/>
      <c r="DA270" s="435">
        <v>0</v>
      </c>
      <c r="DB270" s="432">
        <v>2023</v>
      </c>
      <c r="DC270" s="425"/>
      <c r="DD270" s="433"/>
      <c r="DE270" s="425"/>
      <c r="DF270" s="433"/>
      <c r="DG270" s="434"/>
      <c r="DH270" s="431"/>
      <c r="DI270" s="435"/>
      <c r="DJ270" s="1805"/>
      <c r="DK270" s="1806"/>
      <c r="DL270" s="1807"/>
      <c r="DM270" s="1808"/>
      <c r="DN270" s="1810">
        <v>0</v>
      </c>
      <c r="DO270" s="1799">
        <v>1</v>
      </c>
      <c r="DP270" s="1800">
        <v>0</v>
      </c>
      <c r="DQ270" s="1799">
        <v>2</v>
      </c>
      <c r="DR270" s="1800">
        <v>0</v>
      </c>
      <c r="DS270" s="1799">
        <v>0</v>
      </c>
    </row>
    <row r="271" spans="1:123" ht="94.5">
      <c r="A271" s="1801" t="s">
        <v>2445</v>
      </c>
      <c r="B271" s="1788" t="s">
        <v>2447</v>
      </c>
      <c r="C271" s="426">
        <v>2021</v>
      </c>
      <c r="D271" s="417" t="s">
        <v>681</v>
      </c>
      <c r="E271" s="1802">
        <v>1069385</v>
      </c>
      <c r="F271" s="1803" t="s">
        <v>2447</v>
      </c>
      <c r="G271" s="419">
        <v>45118</v>
      </c>
      <c r="H271" s="1790" t="s">
        <v>2446</v>
      </c>
      <c r="I271" s="1791" t="s">
        <v>2447</v>
      </c>
      <c r="J271" s="1793" t="s">
        <v>2448</v>
      </c>
      <c r="K271" s="1788" t="s">
        <v>2447</v>
      </c>
      <c r="L271" s="1791" t="s">
        <v>2449</v>
      </c>
      <c r="M271" s="1793" t="s">
        <v>2446</v>
      </c>
      <c r="N271" s="1790" t="s">
        <v>77</v>
      </c>
      <c r="O271" s="1793" t="s">
        <v>79</v>
      </c>
      <c r="P271" s="420" t="s">
        <v>683</v>
      </c>
      <c r="Q271" s="421"/>
      <c r="R271" s="421"/>
      <c r="S271" s="422"/>
      <c r="T271" s="1794"/>
      <c r="U271" s="423">
        <v>1730.4576</v>
      </c>
      <c r="V271" s="424">
        <v>1</v>
      </c>
      <c r="W271" s="424">
        <v>1</v>
      </c>
      <c r="X271" s="425"/>
      <c r="Y271" s="426">
        <v>2021</v>
      </c>
      <c r="Z271" s="417">
        <v>2023</v>
      </c>
      <c r="AA271" s="1804">
        <v>2022</v>
      </c>
      <c r="AB271" s="427"/>
      <c r="AC271" s="1793"/>
      <c r="AD271" s="428" t="s">
        <v>5863</v>
      </c>
      <c r="AE271" s="1791" t="s">
        <v>2450</v>
      </c>
      <c r="AF271" s="1791" t="s">
        <v>2451</v>
      </c>
      <c r="AG271" s="1793" t="s">
        <v>2452</v>
      </c>
      <c r="AH271" s="428"/>
      <c r="AI271" s="1793"/>
      <c r="AJ271" s="429">
        <v>2020</v>
      </c>
      <c r="AK271" s="424">
        <v>2830</v>
      </c>
      <c r="AL271" s="424">
        <v>2771</v>
      </c>
      <c r="AM271" s="430"/>
      <c r="AN271" s="431"/>
      <c r="AO271" s="432">
        <v>2023</v>
      </c>
      <c r="AP271" s="425">
        <v>2745.1</v>
      </c>
      <c r="AQ271" s="433">
        <v>3</v>
      </c>
      <c r="AR271" s="425">
        <v>2687.87</v>
      </c>
      <c r="AS271" s="433">
        <v>3</v>
      </c>
      <c r="AT271" s="434"/>
      <c r="AU271" s="431"/>
      <c r="AV271" s="435"/>
      <c r="AW271" s="432">
        <v>2021</v>
      </c>
      <c r="AX271" s="425">
        <v>2779</v>
      </c>
      <c r="AY271" s="433">
        <v>1.8</v>
      </c>
      <c r="AZ271" s="425">
        <v>2763</v>
      </c>
      <c r="BA271" s="433">
        <v>0.28000000000000003</v>
      </c>
      <c r="BB271" s="434"/>
      <c r="BC271" s="431"/>
      <c r="BD271" s="435"/>
      <c r="BE271" s="432">
        <v>2022</v>
      </c>
      <c r="BF271" s="425">
        <v>2987</v>
      </c>
      <c r="BG271" s="433">
        <v>-5.55</v>
      </c>
      <c r="BH271" s="425">
        <v>2983</v>
      </c>
      <c r="BI271" s="433">
        <v>-7.66</v>
      </c>
      <c r="BJ271" s="434"/>
      <c r="BK271" s="431"/>
      <c r="BL271" s="435"/>
      <c r="BM271" s="432">
        <v>2023</v>
      </c>
      <c r="BN271" s="425"/>
      <c r="BO271" s="433"/>
      <c r="BP271" s="425"/>
      <c r="BQ271" s="433"/>
      <c r="BR271" s="434"/>
      <c r="BS271" s="431"/>
      <c r="BT271" s="435"/>
      <c r="BU271" s="1805" t="s">
        <v>687</v>
      </c>
      <c r="BV271" s="1806" t="s">
        <v>728</v>
      </c>
      <c r="BW271" s="1807"/>
      <c r="BX271" s="1808"/>
      <c r="BY271" s="1809">
        <v>2020</v>
      </c>
      <c r="BZ271" s="424"/>
      <c r="CA271" s="424"/>
      <c r="CB271" s="430"/>
      <c r="CC271" s="431"/>
      <c r="CD271" s="432">
        <v>2023</v>
      </c>
      <c r="CE271" s="425"/>
      <c r="CF271" s="433"/>
      <c r="CG271" s="425"/>
      <c r="CH271" s="433"/>
      <c r="CI271" s="434"/>
      <c r="CJ271" s="431"/>
      <c r="CK271" s="435"/>
      <c r="CL271" s="432">
        <v>2021</v>
      </c>
      <c r="CM271" s="425"/>
      <c r="CN271" s="433"/>
      <c r="CO271" s="425"/>
      <c r="CP271" s="433"/>
      <c r="CQ271" s="434"/>
      <c r="CR271" s="431"/>
      <c r="CS271" s="435"/>
      <c r="CT271" s="432">
        <v>2022</v>
      </c>
      <c r="CU271" s="425">
        <v>0</v>
      </c>
      <c r="CV271" s="433"/>
      <c r="CW271" s="425">
        <v>0</v>
      </c>
      <c r="CX271" s="433"/>
      <c r="CY271" s="434"/>
      <c r="CZ271" s="431"/>
      <c r="DA271" s="435">
        <v>0</v>
      </c>
      <c r="DB271" s="432">
        <v>2023</v>
      </c>
      <c r="DC271" s="425"/>
      <c r="DD271" s="433"/>
      <c r="DE271" s="425"/>
      <c r="DF271" s="433"/>
      <c r="DG271" s="434"/>
      <c r="DH271" s="431"/>
      <c r="DI271" s="435"/>
      <c r="DJ271" s="1805"/>
      <c r="DK271" s="1806"/>
      <c r="DL271" s="1807"/>
      <c r="DM271" s="1808"/>
      <c r="DN271" s="1810">
        <v>0</v>
      </c>
      <c r="DO271" s="1799">
        <v>0</v>
      </c>
      <c r="DP271" s="1800">
        <v>0</v>
      </c>
      <c r="DQ271" s="1799">
        <v>0</v>
      </c>
      <c r="DR271" s="1800">
        <v>0</v>
      </c>
      <c r="DS271" s="1799">
        <v>0</v>
      </c>
    </row>
    <row r="272" spans="1:123" ht="108">
      <c r="A272" s="1801" t="s">
        <v>2453</v>
      </c>
      <c r="B272" s="1788" t="s">
        <v>2454</v>
      </c>
      <c r="C272" s="426">
        <v>2021</v>
      </c>
      <c r="D272" s="417" t="s">
        <v>681</v>
      </c>
      <c r="E272" s="1802">
        <v>1056386</v>
      </c>
      <c r="F272" s="1803" t="s">
        <v>2454</v>
      </c>
      <c r="G272" s="419">
        <v>45134</v>
      </c>
      <c r="H272" s="1790" t="s">
        <v>1105</v>
      </c>
      <c r="I272" s="1791" t="s">
        <v>2455</v>
      </c>
      <c r="J272" s="1793" t="s">
        <v>2456</v>
      </c>
      <c r="K272" s="1788" t="s">
        <v>2454</v>
      </c>
      <c r="L272" s="1791" t="s">
        <v>1107</v>
      </c>
      <c r="M272" s="1793" t="s">
        <v>1108</v>
      </c>
      <c r="N272" s="1790" t="s">
        <v>57</v>
      </c>
      <c r="O272" s="1793" t="s">
        <v>64</v>
      </c>
      <c r="P272" s="420" t="s">
        <v>683</v>
      </c>
      <c r="Q272" s="421"/>
      <c r="R272" s="421"/>
      <c r="S272" s="422"/>
      <c r="T272" s="1794"/>
      <c r="U272" s="423">
        <v>3820.98</v>
      </c>
      <c r="V272" s="424">
        <v>2</v>
      </c>
      <c r="W272" s="424">
        <v>2</v>
      </c>
      <c r="X272" s="425"/>
      <c r="Y272" s="426">
        <v>2021</v>
      </c>
      <c r="Z272" s="417">
        <v>2023</v>
      </c>
      <c r="AA272" s="1804">
        <v>2022</v>
      </c>
      <c r="AB272" s="427"/>
      <c r="AC272" s="1793"/>
      <c r="AD272" s="428" t="s">
        <v>5863</v>
      </c>
      <c r="AE272" s="1791" t="s">
        <v>2457</v>
      </c>
      <c r="AF272" s="1791" t="s">
        <v>2458</v>
      </c>
      <c r="AG272" s="1793" t="s">
        <v>1111</v>
      </c>
      <c r="AH272" s="428"/>
      <c r="AI272" s="1793"/>
      <c r="AJ272" s="429">
        <v>2020</v>
      </c>
      <c r="AK272" s="424">
        <v>7269</v>
      </c>
      <c r="AL272" s="424">
        <v>7056</v>
      </c>
      <c r="AM272" s="430">
        <v>64.91</v>
      </c>
      <c r="AN272" s="431" t="s">
        <v>727</v>
      </c>
      <c r="AO272" s="432">
        <v>2023</v>
      </c>
      <c r="AP272" s="425">
        <v>7051</v>
      </c>
      <c r="AQ272" s="433">
        <v>2.99</v>
      </c>
      <c r="AR272" s="425">
        <v>6844</v>
      </c>
      <c r="AS272" s="433">
        <v>3</v>
      </c>
      <c r="AT272" s="434">
        <v>62.96</v>
      </c>
      <c r="AU272" s="431" t="s">
        <v>727</v>
      </c>
      <c r="AV272" s="435">
        <v>3</v>
      </c>
      <c r="AW272" s="432">
        <v>2021</v>
      </c>
      <c r="AX272" s="425">
        <v>7026</v>
      </c>
      <c r="AY272" s="433">
        <v>3.34</v>
      </c>
      <c r="AZ272" s="425">
        <v>6968</v>
      </c>
      <c r="BA272" s="433">
        <v>1.24</v>
      </c>
      <c r="BB272" s="434">
        <v>62.74</v>
      </c>
      <c r="BC272" s="431" t="s">
        <v>727</v>
      </c>
      <c r="BD272" s="435">
        <v>3.34</v>
      </c>
      <c r="BE272" s="432">
        <v>2022</v>
      </c>
      <c r="BF272" s="425">
        <v>6840</v>
      </c>
      <c r="BG272" s="433">
        <v>5.9</v>
      </c>
      <c r="BH272" s="425">
        <v>6826</v>
      </c>
      <c r="BI272" s="433">
        <v>3.25</v>
      </c>
      <c r="BJ272" s="434">
        <v>61.077503601697529</v>
      </c>
      <c r="BK272" s="431" t="s">
        <v>727</v>
      </c>
      <c r="BL272" s="435">
        <v>5.9</v>
      </c>
      <c r="BM272" s="432">
        <v>2023</v>
      </c>
      <c r="BN272" s="425"/>
      <c r="BO272" s="433"/>
      <c r="BP272" s="425"/>
      <c r="BQ272" s="433"/>
      <c r="BR272" s="434"/>
      <c r="BS272" s="431"/>
      <c r="BT272" s="435"/>
      <c r="BU272" s="1805" t="s">
        <v>687</v>
      </c>
      <c r="BV272" s="1806" t="s">
        <v>728</v>
      </c>
      <c r="BW272" s="1807" t="s">
        <v>688</v>
      </c>
      <c r="BX272" s="1808"/>
      <c r="BY272" s="1809">
        <v>2020</v>
      </c>
      <c r="BZ272" s="424"/>
      <c r="CA272" s="424"/>
      <c r="CB272" s="430"/>
      <c r="CC272" s="431"/>
      <c r="CD272" s="432">
        <v>2023</v>
      </c>
      <c r="CE272" s="425"/>
      <c r="CF272" s="433"/>
      <c r="CG272" s="425"/>
      <c r="CH272" s="433"/>
      <c r="CI272" s="434"/>
      <c r="CJ272" s="431"/>
      <c r="CK272" s="435"/>
      <c r="CL272" s="432">
        <v>2021</v>
      </c>
      <c r="CM272" s="425"/>
      <c r="CN272" s="433"/>
      <c r="CO272" s="425"/>
      <c r="CP272" s="433"/>
      <c r="CQ272" s="434"/>
      <c r="CR272" s="431"/>
      <c r="CS272" s="435"/>
      <c r="CT272" s="432">
        <v>2022</v>
      </c>
      <c r="CU272" s="425">
        <v>0</v>
      </c>
      <c r="CV272" s="433"/>
      <c r="CW272" s="425">
        <v>0</v>
      </c>
      <c r="CX272" s="433"/>
      <c r="CY272" s="434"/>
      <c r="CZ272" s="431"/>
      <c r="DA272" s="435">
        <v>0</v>
      </c>
      <c r="DB272" s="432">
        <v>2023</v>
      </c>
      <c r="DC272" s="425"/>
      <c r="DD272" s="433"/>
      <c r="DE272" s="425"/>
      <c r="DF272" s="433"/>
      <c r="DG272" s="434"/>
      <c r="DH272" s="431"/>
      <c r="DI272" s="435"/>
      <c r="DJ272" s="1805"/>
      <c r="DK272" s="1806"/>
      <c r="DL272" s="1807"/>
      <c r="DM272" s="1808"/>
      <c r="DN272" s="1810">
        <v>0</v>
      </c>
      <c r="DO272" s="1799">
        <v>0</v>
      </c>
      <c r="DP272" s="1800">
        <v>0</v>
      </c>
      <c r="DQ272" s="1799">
        <v>0</v>
      </c>
      <c r="DR272" s="1800">
        <v>0</v>
      </c>
      <c r="DS272" s="1799">
        <v>0</v>
      </c>
    </row>
    <row r="273" spans="1:123" ht="67.5">
      <c r="A273" s="1801" t="s">
        <v>2459</v>
      </c>
      <c r="B273" s="1788" t="s">
        <v>2460</v>
      </c>
      <c r="C273" s="426">
        <v>2021</v>
      </c>
      <c r="D273" s="417" t="s">
        <v>681</v>
      </c>
      <c r="E273" s="1802">
        <v>1029387</v>
      </c>
      <c r="F273" s="1803" t="s">
        <v>2460</v>
      </c>
      <c r="G273" s="419">
        <v>45135</v>
      </c>
      <c r="H273" s="1790" t="s">
        <v>2461</v>
      </c>
      <c r="I273" s="1791" t="s">
        <v>2460</v>
      </c>
      <c r="J273" s="1793" t="s">
        <v>2462</v>
      </c>
      <c r="K273" s="1788" t="s">
        <v>2460</v>
      </c>
      <c r="L273" s="1791" t="s">
        <v>2462</v>
      </c>
      <c r="M273" s="1793" t="s">
        <v>2463</v>
      </c>
      <c r="N273" s="1790" t="s">
        <v>12</v>
      </c>
      <c r="O273" s="1793" t="s">
        <v>33</v>
      </c>
      <c r="P273" s="420" t="s">
        <v>683</v>
      </c>
      <c r="Q273" s="421"/>
      <c r="R273" s="421"/>
      <c r="S273" s="422"/>
      <c r="T273" s="1794"/>
      <c r="U273" s="423">
        <v>6121.3338000000003</v>
      </c>
      <c r="V273" s="424">
        <v>1</v>
      </c>
      <c r="W273" s="424">
        <v>1</v>
      </c>
      <c r="X273" s="425"/>
      <c r="Y273" s="426">
        <v>2021</v>
      </c>
      <c r="Z273" s="417">
        <v>2023</v>
      </c>
      <c r="AA273" s="1804">
        <v>2022</v>
      </c>
      <c r="AB273" s="427"/>
      <c r="AC273" s="1793"/>
      <c r="AD273" s="428" t="s">
        <v>5863</v>
      </c>
      <c r="AE273" s="1791" t="s">
        <v>2464</v>
      </c>
      <c r="AF273" s="1791" t="s">
        <v>2465</v>
      </c>
      <c r="AG273" s="1793" t="s">
        <v>2466</v>
      </c>
      <c r="AH273" s="428"/>
      <c r="AI273" s="1793"/>
      <c r="AJ273" s="429">
        <v>2020</v>
      </c>
      <c r="AK273" s="424">
        <v>11019</v>
      </c>
      <c r="AL273" s="424">
        <v>10722</v>
      </c>
      <c r="AM273" s="430">
        <v>1.55</v>
      </c>
      <c r="AN273" s="431" t="s">
        <v>2467</v>
      </c>
      <c r="AO273" s="432">
        <v>2023</v>
      </c>
      <c r="AP273" s="425">
        <v>10688</v>
      </c>
      <c r="AQ273" s="433">
        <v>3</v>
      </c>
      <c r="AR273" s="425">
        <v>10400</v>
      </c>
      <c r="AS273" s="433">
        <v>3</v>
      </c>
      <c r="AT273" s="434">
        <v>1.5029999999999999</v>
      </c>
      <c r="AU273" s="431" t="s">
        <v>2467</v>
      </c>
      <c r="AV273" s="435">
        <v>3.03</v>
      </c>
      <c r="AW273" s="432">
        <v>2021</v>
      </c>
      <c r="AX273" s="425">
        <v>10555</v>
      </c>
      <c r="AY273" s="433">
        <v>4.21</v>
      </c>
      <c r="AZ273" s="425">
        <v>1685</v>
      </c>
      <c r="BA273" s="433">
        <v>84.28</v>
      </c>
      <c r="BB273" s="434">
        <v>1.46</v>
      </c>
      <c r="BC273" s="431" t="s">
        <v>2467</v>
      </c>
      <c r="BD273" s="435">
        <v>5.8</v>
      </c>
      <c r="BE273" s="432">
        <v>2022</v>
      </c>
      <c r="BF273" s="425">
        <v>11343</v>
      </c>
      <c r="BG273" s="433">
        <v>-2.95</v>
      </c>
      <c r="BH273" s="425">
        <v>1611</v>
      </c>
      <c r="BI273" s="433">
        <v>84.97</v>
      </c>
      <c r="BJ273" s="434">
        <v>1.5743233865371269</v>
      </c>
      <c r="BK273" s="431" t="s">
        <v>2467</v>
      </c>
      <c r="BL273" s="435">
        <v>-1.57</v>
      </c>
      <c r="BM273" s="432">
        <v>2023</v>
      </c>
      <c r="BN273" s="425"/>
      <c r="BO273" s="433"/>
      <c r="BP273" s="425"/>
      <c r="BQ273" s="433"/>
      <c r="BR273" s="434"/>
      <c r="BS273" s="431"/>
      <c r="BT273" s="435"/>
      <c r="BU273" s="1805" t="s">
        <v>676</v>
      </c>
      <c r="BV273" s="1806" t="s">
        <v>728</v>
      </c>
      <c r="BW273" s="1807" t="s">
        <v>678</v>
      </c>
      <c r="BX273" s="1808" t="s">
        <v>5161</v>
      </c>
      <c r="BY273" s="1809">
        <v>2020</v>
      </c>
      <c r="BZ273" s="424"/>
      <c r="CA273" s="424"/>
      <c r="CB273" s="430"/>
      <c r="CC273" s="431"/>
      <c r="CD273" s="432">
        <v>2023</v>
      </c>
      <c r="CE273" s="425"/>
      <c r="CF273" s="433"/>
      <c r="CG273" s="425"/>
      <c r="CH273" s="433"/>
      <c r="CI273" s="434"/>
      <c r="CJ273" s="431"/>
      <c r="CK273" s="435"/>
      <c r="CL273" s="432">
        <v>2021</v>
      </c>
      <c r="CM273" s="425"/>
      <c r="CN273" s="433"/>
      <c r="CO273" s="425"/>
      <c r="CP273" s="433"/>
      <c r="CQ273" s="434"/>
      <c r="CR273" s="431"/>
      <c r="CS273" s="435"/>
      <c r="CT273" s="432">
        <v>2022</v>
      </c>
      <c r="CU273" s="425">
        <v>0</v>
      </c>
      <c r="CV273" s="433"/>
      <c r="CW273" s="425">
        <v>0</v>
      </c>
      <c r="CX273" s="433"/>
      <c r="CY273" s="434"/>
      <c r="CZ273" s="431"/>
      <c r="DA273" s="435"/>
      <c r="DB273" s="432">
        <v>2023</v>
      </c>
      <c r="DC273" s="425"/>
      <c r="DD273" s="433"/>
      <c r="DE273" s="425"/>
      <c r="DF273" s="433"/>
      <c r="DG273" s="434"/>
      <c r="DH273" s="431"/>
      <c r="DI273" s="435"/>
      <c r="DJ273" s="1805"/>
      <c r="DK273" s="1806"/>
      <c r="DL273" s="1807"/>
      <c r="DM273" s="1808"/>
      <c r="DN273" s="1810">
        <v>0</v>
      </c>
      <c r="DO273" s="1799">
        <v>0</v>
      </c>
      <c r="DP273" s="1800">
        <v>0</v>
      </c>
      <c r="DQ273" s="1799">
        <v>0</v>
      </c>
      <c r="DR273" s="1800">
        <v>0</v>
      </c>
      <c r="DS273" s="1799">
        <v>0</v>
      </c>
    </row>
    <row r="274" spans="1:123" ht="121.5">
      <c r="A274" s="1801" t="s">
        <v>2468</v>
      </c>
      <c r="B274" s="1788" t="s">
        <v>2470</v>
      </c>
      <c r="C274" s="426">
        <v>2022</v>
      </c>
      <c r="D274" s="417" t="s">
        <v>681</v>
      </c>
      <c r="E274" s="1802">
        <v>1069388</v>
      </c>
      <c r="F274" s="1803" t="s">
        <v>2470</v>
      </c>
      <c r="G274" s="419">
        <v>45127</v>
      </c>
      <c r="H274" s="1790" t="s">
        <v>5162</v>
      </c>
      <c r="I274" s="1791" t="s">
        <v>2469</v>
      </c>
      <c r="J274" s="1793" t="s">
        <v>5163</v>
      </c>
      <c r="K274" s="1788" t="s">
        <v>2470</v>
      </c>
      <c r="L274" s="1791" t="s">
        <v>5163</v>
      </c>
      <c r="M274" s="1793" t="s">
        <v>5162</v>
      </c>
      <c r="N274" s="1790" t="s">
        <v>77</v>
      </c>
      <c r="O274" s="1793" t="s">
        <v>79</v>
      </c>
      <c r="P274" s="420" t="s">
        <v>683</v>
      </c>
      <c r="Q274" s="421"/>
      <c r="R274" s="421"/>
      <c r="S274" s="422"/>
      <c r="T274" s="1794"/>
      <c r="U274" s="423">
        <v>1747.1502</v>
      </c>
      <c r="V274" s="424">
        <v>1</v>
      </c>
      <c r="W274" s="424">
        <v>1</v>
      </c>
      <c r="X274" s="425"/>
      <c r="Y274" s="426">
        <v>2022</v>
      </c>
      <c r="Z274" s="417">
        <v>2024</v>
      </c>
      <c r="AA274" s="1804">
        <v>2022</v>
      </c>
      <c r="AB274" s="427"/>
      <c r="AC274" s="1793"/>
      <c r="AD274" s="428" t="s">
        <v>5863</v>
      </c>
      <c r="AE274" s="1791" t="s">
        <v>2469</v>
      </c>
      <c r="AF274" s="1791" t="s">
        <v>5162</v>
      </c>
      <c r="AG274" s="1793" t="s">
        <v>765</v>
      </c>
      <c r="AH274" s="428"/>
      <c r="AI274" s="1793"/>
      <c r="AJ274" s="429">
        <v>2021</v>
      </c>
      <c r="AK274" s="424">
        <v>3656</v>
      </c>
      <c r="AL274" s="424">
        <v>3645</v>
      </c>
      <c r="AM274" s="430">
        <v>0</v>
      </c>
      <c r="AN274" s="431" t="s">
        <v>501</v>
      </c>
      <c r="AO274" s="432">
        <v>2024</v>
      </c>
      <c r="AP274" s="425">
        <v>3546</v>
      </c>
      <c r="AQ274" s="433">
        <v>3</v>
      </c>
      <c r="AR274" s="425">
        <v>3536</v>
      </c>
      <c r="AS274" s="433">
        <v>2.99</v>
      </c>
      <c r="AT274" s="434"/>
      <c r="AU274" s="431"/>
      <c r="AV274" s="435"/>
      <c r="AW274" s="432">
        <v>2022</v>
      </c>
      <c r="AX274" s="425">
        <v>3707</v>
      </c>
      <c r="AY274" s="433">
        <v>-1.4</v>
      </c>
      <c r="AZ274" s="425">
        <v>3642</v>
      </c>
      <c r="BA274" s="433">
        <v>0.08</v>
      </c>
      <c r="BB274" s="434"/>
      <c r="BC274" s="431"/>
      <c r="BD274" s="435"/>
      <c r="BE274" s="432">
        <v>2023</v>
      </c>
      <c r="BF274" s="425"/>
      <c r="BG274" s="433"/>
      <c r="BH274" s="425"/>
      <c r="BI274" s="433"/>
      <c r="BJ274" s="434"/>
      <c r="BK274" s="431"/>
      <c r="BL274" s="435"/>
      <c r="BM274" s="432">
        <v>2024</v>
      </c>
      <c r="BN274" s="425"/>
      <c r="BO274" s="433"/>
      <c r="BP274" s="425"/>
      <c r="BQ274" s="433"/>
      <c r="BR274" s="434"/>
      <c r="BS274" s="431"/>
      <c r="BT274" s="435"/>
      <c r="BU274" s="1805" t="s">
        <v>676</v>
      </c>
      <c r="BV274" s="1806" t="s">
        <v>728</v>
      </c>
      <c r="BW274" s="1807" t="s">
        <v>697</v>
      </c>
      <c r="BX274" s="1808" t="s">
        <v>5164</v>
      </c>
      <c r="BY274" s="1809">
        <v>2021</v>
      </c>
      <c r="BZ274" s="424"/>
      <c r="CA274" s="424"/>
      <c r="CB274" s="430"/>
      <c r="CC274" s="431"/>
      <c r="CD274" s="432">
        <v>2024</v>
      </c>
      <c r="CE274" s="425"/>
      <c r="CF274" s="433"/>
      <c r="CG274" s="425"/>
      <c r="CH274" s="433"/>
      <c r="CI274" s="434"/>
      <c r="CJ274" s="431"/>
      <c r="CK274" s="435"/>
      <c r="CL274" s="432">
        <v>2022</v>
      </c>
      <c r="CM274" s="425">
        <v>0</v>
      </c>
      <c r="CN274" s="433"/>
      <c r="CO274" s="425">
        <v>0</v>
      </c>
      <c r="CP274" s="433"/>
      <c r="CQ274" s="434"/>
      <c r="CR274" s="431"/>
      <c r="CS274" s="435"/>
      <c r="CT274" s="432">
        <v>2023</v>
      </c>
      <c r="CU274" s="425"/>
      <c r="CV274" s="433"/>
      <c r="CW274" s="425"/>
      <c r="CX274" s="433"/>
      <c r="CY274" s="434"/>
      <c r="CZ274" s="431"/>
      <c r="DA274" s="435"/>
      <c r="DB274" s="432">
        <v>2024</v>
      </c>
      <c r="DC274" s="425"/>
      <c r="DD274" s="433"/>
      <c r="DE274" s="425"/>
      <c r="DF274" s="433"/>
      <c r="DG274" s="434"/>
      <c r="DH274" s="431"/>
      <c r="DI274" s="435"/>
      <c r="DJ274" s="1805"/>
      <c r="DK274" s="1806"/>
      <c r="DL274" s="1807"/>
      <c r="DM274" s="1808"/>
      <c r="DN274" s="1810">
        <v>0</v>
      </c>
      <c r="DO274" s="1799">
        <v>0</v>
      </c>
      <c r="DP274" s="1800">
        <v>0</v>
      </c>
      <c r="DQ274" s="1799">
        <v>0</v>
      </c>
      <c r="DR274" s="1800">
        <v>0</v>
      </c>
      <c r="DS274" s="1799">
        <v>0</v>
      </c>
    </row>
    <row r="275" spans="1:123" ht="54">
      <c r="A275" s="1801" t="s">
        <v>2471</v>
      </c>
      <c r="B275" s="1788" t="s">
        <v>2472</v>
      </c>
      <c r="C275" s="426">
        <v>2022</v>
      </c>
      <c r="D275" s="417" t="s">
        <v>714</v>
      </c>
      <c r="E275" s="1802">
        <v>3043389</v>
      </c>
      <c r="F275" s="1803" t="s">
        <v>2472</v>
      </c>
      <c r="G275" s="419">
        <v>45152</v>
      </c>
      <c r="H275" s="1790" t="s">
        <v>2473</v>
      </c>
      <c r="I275" s="1791" t="s">
        <v>2472</v>
      </c>
      <c r="J275" s="1793" t="s">
        <v>2474</v>
      </c>
      <c r="K275" s="1788" t="s">
        <v>2472</v>
      </c>
      <c r="L275" s="1791" t="s">
        <v>2474</v>
      </c>
      <c r="M275" s="1793" t="s">
        <v>2473</v>
      </c>
      <c r="N275" s="1790" t="s">
        <v>48</v>
      </c>
      <c r="O275" s="1793" t="s">
        <v>50</v>
      </c>
      <c r="P275" s="420"/>
      <c r="Q275" s="421"/>
      <c r="R275" s="421" t="s">
        <v>717</v>
      </c>
      <c r="S275" s="422"/>
      <c r="T275" s="1794"/>
      <c r="U275" s="423"/>
      <c r="V275" s="424"/>
      <c r="W275" s="424"/>
      <c r="X275" s="425">
        <v>109</v>
      </c>
      <c r="Y275" s="426">
        <v>2022</v>
      </c>
      <c r="Z275" s="417">
        <v>2024</v>
      </c>
      <c r="AA275" s="1804">
        <v>2022</v>
      </c>
      <c r="AB275" s="427"/>
      <c r="AC275" s="1793"/>
      <c r="AD275" s="428" t="s">
        <v>5863</v>
      </c>
      <c r="AE275" s="1791" t="s">
        <v>2475</v>
      </c>
      <c r="AF275" s="1791" t="s">
        <v>2476</v>
      </c>
      <c r="AG275" s="1793" t="s">
        <v>919</v>
      </c>
      <c r="AH275" s="428"/>
      <c r="AI275" s="1793"/>
      <c r="AJ275" s="429">
        <v>2021</v>
      </c>
      <c r="AK275" s="424">
        <v>0</v>
      </c>
      <c r="AL275" s="424"/>
      <c r="AM275" s="430"/>
      <c r="AN275" s="431"/>
      <c r="AO275" s="432">
        <v>2024</v>
      </c>
      <c r="AP275" s="425">
        <v>0</v>
      </c>
      <c r="AQ275" s="433"/>
      <c r="AR275" s="425">
        <v>0</v>
      </c>
      <c r="AS275" s="433"/>
      <c r="AT275" s="434"/>
      <c r="AU275" s="431"/>
      <c r="AV275" s="435"/>
      <c r="AW275" s="432">
        <v>2022</v>
      </c>
      <c r="AX275" s="425"/>
      <c r="AY275" s="433"/>
      <c r="AZ275" s="425"/>
      <c r="BA275" s="433"/>
      <c r="BB275" s="434"/>
      <c r="BC275" s="431"/>
      <c r="BD275" s="435"/>
      <c r="BE275" s="432">
        <v>2023</v>
      </c>
      <c r="BF275" s="425"/>
      <c r="BG275" s="433"/>
      <c r="BH275" s="425"/>
      <c r="BI275" s="433"/>
      <c r="BJ275" s="434"/>
      <c r="BK275" s="431"/>
      <c r="BL275" s="435"/>
      <c r="BM275" s="432">
        <v>2024</v>
      </c>
      <c r="BN275" s="425"/>
      <c r="BO275" s="433"/>
      <c r="BP275" s="425"/>
      <c r="BQ275" s="433"/>
      <c r="BR275" s="434"/>
      <c r="BS275" s="431"/>
      <c r="BT275" s="435"/>
      <c r="BU275" s="1805"/>
      <c r="BV275" s="1806"/>
      <c r="BW275" s="1807"/>
      <c r="BX275" s="1808"/>
      <c r="BY275" s="1809">
        <v>2021</v>
      </c>
      <c r="BZ275" s="424">
        <v>1173</v>
      </c>
      <c r="CA275" s="424">
        <v>1173</v>
      </c>
      <c r="CB275" s="430"/>
      <c r="CC275" s="431"/>
      <c r="CD275" s="432">
        <v>2024</v>
      </c>
      <c r="CE275" s="425">
        <v>1169</v>
      </c>
      <c r="CF275" s="433">
        <v>0.34</v>
      </c>
      <c r="CG275" s="425">
        <v>1169</v>
      </c>
      <c r="CH275" s="433">
        <v>0.34</v>
      </c>
      <c r="CI275" s="434"/>
      <c r="CJ275" s="431"/>
      <c r="CK275" s="435"/>
      <c r="CL275" s="432">
        <v>2022</v>
      </c>
      <c r="CM275" s="425">
        <v>737.09104000000013</v>
      </c>
      <c r="CN275" s="433">
        <v>37.159999999999997</v>
      </c>
      <c r="CO275" s="425">
        <v>737.09104000000013</v>
      </c>
      <c r="CP275" s="433">
        <v>37.159999999999997</v>
      </c>
      <c r="CQ275" s="434"/>
      <c r="CR275" s="431"/>
      <c r="CS275" s="435"/>
      <c r="CT275" s="432">
        <v>2023</v>
      </c>
      <c r="CU275" s="425"/>
      <c r="CV275" s="433"/>
      <c r="CW275" s="425"/>
      <c r="CX275" s="433"/>
      <c r="CY275" s="434"/>
      <c r="CZ275" s="431"/>
      <c r="DA275" s="435"/>
      <c r="DB275" s="432">
        <v>2024</v>
      </c>
      <c r="DC275" s="425"/>
      <c r="DD275" s="433"/>
      <c r="DE275" s="425"/>
      <c r="DF275" s="433"/>
      <c r="DG275" s="434"/>
      <c r="DH275" s="431"/>
      <c r="DI275" s="435"/>
      <c r="DJ275" s="1805" t="s">
        <v>687</v>
      </c>
      <c r="DK275" s="1806" t="s">
        <v>728</v>
      </c>
      <c r="DL275" s="1807" t="s">
        <v>697</v>
      </c>
      <c r="DM275" s="1808" t="s">
        <v>5165</v>
      </c>
      <c r="DN275" s="1810">
        <v>0</v>
      </c>
      <c r="DO275" s="1799">
        <v>0</v>
      </c>
      <c r="DP275" s="1800">
        <v>0</v>
      </c>
      <c r="DQ275" s="1799">
        <v>0</v>
      </c>
      <c r="DR275" s="1800">
        <v>0</v>
      </c>
      <c r="DS275" s="1799">
        <v>0</v>
      </c>
    </row>
    <row r="276" spans="1:123" ht="67.5">
      <c r="A276" s="1801" t="s">
        <v>2477</v>
      </c>
      <c r="B276" s="1788" t="s">
        <v>2478</v>
      </c>
      <c r="C276" s="426">
        <v>2022</v>
      </c>
      <c r="D276" s="417" t="s">
        <v>681</v>
      </c>
      <c r="E276" s="1802">
        <v>1027390</v>
      </c>
      <c r="F276" s="1803" t="s">
        <v>2478</v>
      </c>
      <c r="G276" s="419">
        <v>45135</v>
      </c>
      <c r="H276" s="1790" t="s">
        <v>2479</v>
      </c>
      <c r="I276" s="1791" t="s">
        <v>2478</v>
      </c>
      <c r="J276" s="1793" t="s">
        <v>2480</v>
      </c>
      <c r="K276" s="1788" t="s">
        <v>2478</v>
      </c>
      <c r="L276" s="1791" t="s">
        <v>2480</v>
      </c>
      <c r="M276" s="1793" t="s">
        <v>2479</v>
      </c>
      <c r="N276" s="1790" t="s">
        <v>12</v>
      </c>
      <c r="O276" s="1793" t="s">
        <v>31</v>
      </c>
      <c r="P276" s="420" t="s">
        <v>683</v>
      </c>
      <c r="Q276" s="421"/>
      <c r="R276" s="421"/>
      <c r="S276" s="422"/>
      <c r="T276" s="1794"/>
      <c r="U276" s="423">
        <v>1740.9582</v>
      </c>
      <c r="V276" s="424">
        <v>1</v>
      </c>
      <c r="W276" s="424">
        <v>1</v>
      </c>
      <c r="X276" s="425"/>
      <c r="Y276" s="426">
        <v>2022</v>
      </c>
      <c r="Z276" s="417">
        <v>2024</v>
      </c>
      <c r="AA276" s="1804">
        <v>2022</v>
      </c>
      <c r="AB276" s="427"/>
      <c r="AC276" s="1793"/>
      <c r="AD276" s="428" t="s">
        <v>5863</v>
      </c>
      <c r="AE276" s="1791" t="s">
        <v>2481</v>
      </c>
      <c r="AF276" s="1791" t="s">
        <v>2479</v>
      </c>
      <c r="AG276" s="1793" t="s">
        <v>1071</v>
      </c>
      <c r="AH276" s="428"/>
      <c r="AI276" s="1793"/>
      <c r="AJ276" s="429">
        <v>2021</v>
      </c>
      <c r="AK276" s="424">
        <v>3076</v>
      </c>
      <c r="AL276" s="424">
        <v>3048</v>
      </c>
      <c r="AM276" s="430">
        <v>45.04</v>
      </c>
      <c r="AN276" s="431" t="s">
        <v>912</v>
      </c>
      <c r="AO276" s="432">
        <v>2024</v>
      </c>
      <c r="AP276" s="425">
        <v>3430</v>
      </c>
      <c r="AQ276" s="433">
        <v>-11.51</v>
      </c>
      <c r="AR276" s="425">
        <v>3399</v>
      </c>
      <c r="AS276" s="433">
        <v>-11.52</v>
      </c>
      <c r="AT276" s="434">
        <v>43.7</v>
      </c>
      <c r="AU276" s="431" t="s">
        <v>912</v>
      </c>
      <c r="AV276" s="435">
        <v>2.97</v>
      </c>
      <c r="AW276" s="432">
        <v>2022</v>
      </c>
      <c r="AX276" s="425">
        <v>3164</v>
      </c>
      <c r="AY276" s="433">
        <v>-2.87</v>
      </c>
      <c r="AZ276" s="425">
        <v>3158</v>
      </c>
      <c r="BA276" s="433">
        <v>-3.61</v>
      </c>
      <c r="BB276" s="434">
        <v>40.637040842537886</v>
      </c>
      <c r="BC276" s="431" t="s">
        <v>912</v>
      </c>
      <c r="BD276" s="435">
        <v>9.77</v>
      </c>
      <c r="BE276" s="432">
        <v>2023</v>
      </c>
      <c r="BF276" s="425"/>
      <c r="BG276" s="433"/>
      <c r="BH276" s="425"/>
      <c r="BI276" s="433"/>
      <c r="BJ276" s="434"/>
      <c r="BK276" s="431"/>
      <c r="BL276" s="435"/>
      <c r="BM276" s="432">
        <v>2024</v>
      </c>
      <c r="BN276" s="425"/>
      <c r="BO276" s="433"/>
      <c r="BP276" s="425"/>
      <c r="BQ276" s="433"/>
      <c r="BR276" s="434"/>
      <c r="BS276" s="431"/>
      <c r="BT276" s="435"/>
      <c r="BU276" s="1805" t="s">
        <v>687</v>
      </c>
      <c r="BV276" s="1806" t="s">
        <v>728</v>
      </c>
      <c r="BW276" s="1807" t="s">
        <v>678</v>
      </c>
      <c r="BX276" s="1808" t="s">
        <v>5166</v>
      </c>
      <c r="BY276" s="1809">
        <v>2021</v>
      </c>
      <c r="BZ276" s="424"/>
      <c r="CA276" s="424"/>
      <c r="CB276" s="430"/>
      <c r="CC276" s="431"/>
      <c r="CD276" s="432">
        <v>2024</v>
      </c>
      <c r="CE276" s="425"/>
      <c r="CF276" s="433"/>
      <c r="CG276" s="425"/>
      <c r="CH276" s="433"/>
      <c r="CI276" s="434"/>
      <c r="CJ276" s="431"/>
      <c r="CK276" s="435"/>
      <c r="CL276" s="432">
        <v>2022</v>
      </c>
      <c r="CM276" s="425">
        <v>0</v>
      </c>
      <c r="CN276" s="433"/>
      <c r="CO276" s="425">
        <v>0</v>
      </c>
      <c r="CP276" s="433"/>
      <c r="CQ276" s="434"/>
      <c r="CR276" s="431"/>
      <c r="CS276" s="435">
        <v>0</v>
      </c>
      <c r="CT276" s="432">
        <v>2023</v>
      </c>
      <c r="CU276" s="425"/>
      <c r="CV276" s="433"/>
      <c r="CW276" s="425"/>
      <c r="CX276" s="433"/>
      <c r="CY276" s="434"/>
      <c r="CZ276" s="431"/>
      <c r="DA276" s="435"/>
      <c r="DB276" s="432">
        <v>2024</v>
      </c>
      <c r="DC276" s="425"/>
      <c r="DD276" s="433"/>
      <c r="DE276" s="425"/>
      <c r="DF276" s="433"/>
      <c r="DG276" s="434"/>
      <c r="DH276" s="431"/>
      <c r="DI276" s="435"/>
      <c r="DJ276" s="1805"/>
      <c r="DK276" s="1806"/>
      <c r="DL276" s="1807"/>
      <c r="DM276" s="1808"/>
      <c r="DN276" s="1810">
        <v>0</v>
      </c>
      <c r="DO276" s="1799">
        <v>0</v>
      </c>
      <c r="DP276" s="1800">
        <v>0</v>
      </c>
      <c r="DQ276" s="1799">
        <v>0</v>
      </c>
      <c r="DR276" s="1800">
        <v>0</v>
      </c>
      <c r="DS276" s="1799">
        <v>0</v>
      </c>
    </row>
    <row r="277" spans="1:123" ht="67.5">
      <c r="A277" s="1801" t="s">
        <v>2482</v>
      </c>
      <c r="B277" s="1788" t="s">
        <v>2483</v>
      </c>
      <c r="C277" s="426">
        <v>2022</v>
      </c>
      <c r="D277" s="417" t="s">
        <v>681</v>
      </c>
      <c r="E277" s="1802">
        <v>1017391</v>
      </c>
      <c r="F277" s="1803" t="s">
        <v>2483</v>
      </c>
      <c r="G277" s="419">
        <v>45079</v>
      </c>
      <c r="H277" s="1790" t="s">
        <v>2484</v>
      </c>
      <c r="I277" s="1791" t="s">
        <v>2483</v>
      </c>
      <c r="J277" s="1793" t="s">
        <v>2485</v>
      </c>
      <c r="K277" s="1788" t="s">
        <v>2483</v>
      </c>
      <c r="L277" s="1791" t="s">
        <v>2486</v>
      </c>
      <c r="M277" s="1793" t="s">
        <v>2484</v>
      </c>
      <c r="N277" s="1790" t="s">
        <v>12</v>
      </c>
      <c r="O277" s="1793" t="s">
        <v>21</v>
      </c>
      <c r="P277" s="420" t="s">
        <v>683</v>
      </c>
      <c r="Q277" s="421"/>
      <c r="R277" s="421"/>
      <c r="S277" s="422"/>
      <c r="T277" s="1794"/>
      <c r="U277" s="423">
        <v>2144.6766000000002</v>
      </c>
      <c r="V277" s="424">
        <v>2</v>
      </c>
      <c r="W277" s="424">
        <v>1</v>
      </c>
      <c r="X277" s="425"/>
      <c r="Y277" s="426">
        <v>2022</v>
      </c>
      <c r="Z277" s="417">
        <v>2024</v>
      </c>
      <c r="AA277" s="1804">
        <v>2022</v>
      </c>
      <c r="AB277" s="427"/>
      <c r="AC277" s="1793"/>
      <c r="AD277" s="428" t="s">
        <v>5863</v>
      </c>
      <c r="AE277" s="1791" t="s">
        <v>2487</v>
      </c>
      <c r="AF277" s="1791" t="s">
        <v>2484</v>
      </c>
      <c r="AG277" s="1793" t="s">
        <v>2488</v>
      </c>
      <c r="AH277" s="428"/>
      <c r="AI277" s="1793"/>
      <c r="AJ277" s="429">
        <v>2021</v>
      </c>
      <c r="AK277" s="424">
        <v>5825</v>
      </c>
      <c r="AL277" s="424">
        <v>5656</v>
      </c>
      <c r="AM277" s="430"/>
      <c r="AN277" s="431"/>
      <c r="AO277" s="432">
        <v>2024</v>
      </c>
      <c r="AP277" s="425">
        <v>5700</v>
      </c>
      <c r="AQ277" s="433">
        <v>2.14</v>
      </c>
      <c r="AR277" s="425">
        <v>5561</v>
      </c>
      <c r="AS277" s="433">
        <v>1.67</v>
      </c>
      <c r="AT277" s="434"/>
      <c r="AU277" s="431"/>
      <c r="AV277" s="435"/>
      <c r="AW277" s="432">
        <v>2022</v>
      </c>
      <c r="AX277" s="425">
        <v>5234</v>
      </c>
      <c r="AY277" s="433">
        <v>10.14</v>
      </c>
      <c r="AZ277" s="425">
        <v>4308</v>
      </c>
      <c r="BA277" s="433">
        <v>23.83</v>
      </c>
      <c r="BB277" s="434"/>
      <c r="BC277" s="431"/>
      <c r="BD277" s="435"/>
      <c r="BE277" s="432">
        <v>2023</v>
      </c>
      <c r="BF277" s="425"/>
      <c r="BG277" s="433"/>
      <c r="BH277" s="425"/>
      <c r="BI277" s="433"/>
      <c r="BJ277" s="434"/>
      <c r="BK277" s="431"/>
      <c r="BL277" s="435"/>
      <c r="BM277" s="432">
        <v>2024</v>
      </c>
      <c r="BN277" s="425"/>
      <c r="BO277" s="433"/>
      <c r="BP277" s="425"/>
      <c r="BQ277" s="433"/>
      <c r="BR277" s="434"/>
      <c r="BS277" s="431"/>
      <c r="BT277" s="435"/>
      <c r="BU277" s="1805" t="s">
        <v>719</v>
      </c>
      <c r="BV277" s="1806" t="s">
        <v>728</v>
      </c>
      <c r="BW277" s="1807" t="s">
        <v>688</v>
      </c>
      <c r="BX277" s="1808"/>
      <c r="BY277" s="1809">
        <v>2021</v>
      </c>
      <c r="BZ277" s="424"/>
      <c r="CA277" s="424"/>
      <c r="CB277" s="430"/>
      <c r="CC277" s="431"/>
      <c r="CD277" s="432">
        <v>2024</v>
      </c>
      <c r="CE277" s="425"/>
      <c r="CF277" s="433"/>
      <c r="CG277" s="425"/>
      <c r="CH277" s="433"/>
      <c r="CI277" s="434"/>
      <c r="CJ277" s="431"/>
      <c r="CK277" s="435"/>
      <c r="CL277" s="432">
        <v>2022</v>
      </c>
      <c r="CM277" s="425">
        <v>7376</v>
      </c>
      <c r="CN277" s="433"/>
      <c r="CO277" s="425">
        <v>7376</v>
      </c>
      <c r="CP277" s="433"/>
      <c r="CQ277" s="434"/>
      <c r="CR277" s="431"/>
      <c r="CS277" s="435"/>
      <c r="CT277" s="432">
        <v>2023</v>
      </c>
      <c r="CU277" s="425"/>
      <c r="CV277" s="433"/>
      <c r="CW277" s="425"/>
      <c r="CX277" s="433"/>
      <c r="CY277" s="434"/>
      <c r="CZ277" s="431"/>
      <c r="DA277" s="435"/>
      <c r="DB277" s="432">
        <v>2024</v>
      </c>
      <c r="DC277" s="425"/>
      <c r="DD277" s="433"/>
      <c r="DE277" s="425"/>
      <c r="DF277" s="433"/>
      <c r="DG277" s="434"/>
      <c r="DH277" s="431"/>
      <c r="DI277" s="435"/>
      <c r="DJ277" s="1805"/>
      <c r="DK277" s="1806"/>
      <c r="DL277" s="1807"/>
      <c r="DM277" s="1808"/>
      <c r="DN277" s="1810">
        <v>0</v>
      </c>
      <c r="DO277" s="1799">
        <v>0</v>
      </c>
      <c r="DP277" s="1800">
        <v>0</v>
      </c>
      <c r="DQ277" s="1799">
        <v>0</v>
      </c>
      <c r="DR277" s="1800">
        <v>0</v>
      </c>
      <c r="DS277" s="1799">
        <v>0</v>
      </c>
    </row>
    <row r="278" spans="1:123" ht="81">
      <c r="A278" s="1801" t="s">
        <v>2489</v>
      </c>
      <c r="B278" s="1788" t="s">
        <v>2490</v>
      </c>
      <c r="C278" s="426">
        <v>2022</v>
      </c>
      <c r="D278" s="417" t="s">
        <v>681</v>
      </c>
      <c r="E278" s="1802">
        <v>1069392</v>
      </c>
      <c r="F278" s="1803" t="s">
        <v>2490</v>
      </c>
      <c r="G278" s="419">
        <v>45138</v>
      </c>
      <c r="H278" s="1790" t="s">
        <v>2491</v>
      </c>
      <c r="I278" s="1791" t="s">
        <v>2490</v>
      </c>
      <c r="J278" s="1793" t="s">
        <v>2492</v>
      </c>
      <c r="K278" s="1788" t="s">
        <v>2490</v>
      </c>
      <c r="L278" s="1791" t="s">
        <v>2492</v>
      </c>
      <c r="M278" s="1793" t="s">
        <v>2491</v>
      </c>
      <c r="N278" s="1790" t="s">
        <v>77</v>
      </c>
      <c r="O278" s="1793" t="s">
        <v>79</v>
      </c>
      <c r="P278" s="420" t="s">
        <v>683</v>
      </c>
      <c r="Q278" s="421"/>
      <c r="R278" s="421"/>
      <c r="S278" s="422"/>
      <c r="T278" s="1794"/>
      <c r="U278" s="423">
        <v>6406.3980000000001</v>
      </c>
      <c r="V278" s="424">
        <v>13</v>
      </c>
      <c r="W278" s="424">
        <v>5</v>
      </c>
      <c r="X278" s="425"/>
      <c r="Y278" s="426">
        <v>2022</v>
      </c>
      <c r="Z278" s="417">
        <v>2024</v>
      </c>
      <c r="AA278" s="1804">
        <v>2022</v>
      </c>
      <c r="AB278" s="427"/>
      <c r="AC278" s="1793"/>
      <c r="AD278" s="428" t="s">
        <v>5863</v>
      </c>
      <c r="AE278" s="1791" t="s">
        <v>2493</v>
      </c>
      <c r="AF278" s="1791" t="s">
        <v>2494</v>
      </c>
      <c r="AG278" s="1793" t="s">
        <v>1155</v>
      </c>
      <c r="AH278" s="428"/>
      <c r="AI278" s="1793" t="s">
        <v>2495</v>
      </c>
      <c r="AJ278" s="429">
        <v>2021</v>
      </c>
      <c r="AK278" s="424">
        <v>11567</v>
      </c>
      <c r="AL278" s="424">
        <v>11014</v>
      </c>
      <c r="AM278" s="430">
        <v>2.44</v>
      </c>
      <c r="AN278" s="431" t="s">
        <v>2496</v>
      </c>
      <c r="AO278" s="432">
        <v>2024</v>
      </c>
      <c r="AP278" s="425">
        <v>11509</v>
      </c>
      <c r="AQ278" s="433">
        <v>0.5</v>
      </c>
      <c r="AR278" s="425">
        <v>10958</v>
      </c>
      <c r="AS278" s="433">
        <v>0.5</v>
      </c>
      <c r="AT278" s="434">
        <v>2.42</v>
      </c>
      <c r="AU278" s="431" t="s">
        <v>2496</v>
      </c>
      <c r="AV278" s="435">
        <v>0.81</v>
      </c>
      <c r="AW278" s="432">
        <v>2022</v>
      </c>
      <c r="AX278" s="425">
        <v>11376</v>
      </c>
      <c r="AY278" s="433">
        <v>1.65</v>
      </c>
      <c r="AZ278" s="425">
        <v>10741</v>
      </c>
      <c r="BA278" s="433">
        <v>2.4700000000000002</v>
      </c>
      <c r="BB278" s="434">
        <v>2.4040574809805579</v>
      </c>
      <c r="BC278" s="431" t="s">
        <v>2496</v>
      </c>
      <c r="BD278" s="435">
        <v>1.47</v>
      </c>
      <c r="BE278" s="432">
        <v>2023</v>
      </c>
      <c r="BF278" s="425"/>
      <c r="BG278" s="433"/>
      <c r="BH278" s="425"/>
      <c r="BI278" s="433"/>
      <c r="BJ278" s="434"/>
      <c r="BK278" s="431"/>
      <c r="BL278" s="435"/>
      <c r="BM278" s="432">
        <v>2024</v>
      </c>
      <c r="BN278" s="425"/>
      <c r="BO278" s="433"/>
      <c r="BP278" s="425"/>
      <c r="BQ278" s="433"/>
      <c r="BR278" s="434"/>
      <c r="BS278" s="431"/>
      <c r="BT278" s="435"/>
      <c r="BU278" s="1805" t="s">
        <v>687</v>
      </c>
      <c r="BV278" s="1806" t="s">
        <v>728</v>
      </c>
      <c r="BW278" s="1807" t="s">
        <v>688</v>
      </c>
      <c r="BX278" s="1808" t="s">
        <v>5167</v>
      </c>
      <c r="BY278" s="1809">
        <v>2021</v>
      </c>
      <c r="BZ278" s="424"/>
      <c r="CA278" s="424"/>
      <c r="CB278" s="430"/>
      <c r="CC278" s="431"/>
      <c r="CD278" s="432">
        <v>2024</v>
      </c>
      <c r="CE278" s="425"/>
      <c r="CF278" s="433"/>
      <c r="CG278" s="425"/>
      <c r="CH278" s="433"/>
      <c r="CI278" s="434"/>
      <c r="CJ278" s="431"/>
      <c r="CK278" s="435"/>
      <c r="CL278" s="432">
        <v>2022</v>
      </c>
      <c r="CM278" s="425">
        <v>0</v>
      </c>
      <c r="CN278" s="433"/>
      <c r="CO278" s="425">
        <v>0</v>
      </c>
      <c r="CP278" s="433"/>
      <c r="CQ278" s="434"/>
      <c r="CR278" s="431"/>
      <c r="CS278" s="435"/>
      <c r="CT278" s="432">
        <v>2023</v>
      </c>
      <c r="CU278" s="425"/>
      <c r="CV278" s="433"/>
      <c r="CW278" s="425"/>
      <c r="CX278" s="433"/>
      <c r="CY278" s="434"/>
      <c r="CZ278" s="431"/>
      <c r="DA278" s="435"/>
      <c r="DB278" s="432">
        <v>2024</v>
      </c>
      <c r="DC278" s="425"/>
      <c r="DD278" s="433"/>
      <c r="DE278" s="425"/>
      <c r="DF278" s="433"/>
      <c r="DG278" s="434"/>
      <c r="DH278" s="431"/>
      <c r="DI278" s="435"/>
      <c r="DJ278" s="1805"/>
      <c r="DK278" s="1806"/>
      <c r="DL278" s="1807"/>
      <c r="DM278" s="1808"/>
      <c r="DN278" s="1810">
        <v>0</v>
      </c>
      <c r="DO278" s="1799">
        <v>0</v>
      </c>
      <c r="DP278" s="1800">
        <v>0</v>
      </c>
      <c r="DQ278" s="1799">
        <v>0</v>
      </c>
      <c r="DR278" s="1800">
        <v>0</v>
      </c>
      <c r="DS278" s="1799">
        <v>0</v>
      </c>
    </row>
    <row r="279" spans="1:123" ht="94.5">
      <c r="A279" s="1801" t="s">
        <v>2497</v>
      </c>
      <c r="B279" s="1788" t="s">
        <v>2498</v>
      </c>
      <c r="C279" s="426">
        <v>2022</v>
      </c>
      <c r="D279" s="417" t="s">
        <v>681</v>
      </c>
      <c r="E279" s="1802">
        <v>1069393</v>
      </c>
      <c r="F279" s="1803" t="s">
        <v>2498</v>
      </c>
      <c r="G279" s="419">
        <v>45133</v>
      </c>
      <c r="H279" s="1790" t="s">
        <v>2499</v>
      </c>
      <c r="I279" s="1791" t="s">
        <v>2498</v>
      </c>
      <c r="J279" s="1793" t="s">
        <v>2500</v>
      </c>
      <c r="K279" s="1788" t="s">
        <v>2498</v>
      </c>
      <c r="L279" s="1791" t="s">
        <v>2500</v>
      </c>
      <c r="M279" s="1793" t="s">
        <v>2501</v>
      </c>
      <c r="N279" s="1790" t="s">
        <v>77</v>
      </c>
      <c r="O279" s="1793" t="s">
        <v>79</v>
      </c>
      <c r="P279" s="420" t="s">
        <v>683</v>
      </c>
      <c r="Q279" s="421"/>
      <c r="R279" s="421"/>
      <c r="S279" s="422"/>
      <c r="T279" s="1794"/>
      <c r="U279" s="423">
        <v>2156.9058</v>
      </c>
      <c r="V279" s="424">
        <v>1</v>
      </c>
      <c r="W279" s="424">
        <v>1</v>
      </c>
      <c r="X279" s="425"/>
      <c r="Y279" s="426">
        <v>2022</v>
      </c>
      <c r="Z279" s="417">
        <v>2024</v>
      </c>
      <c r="AA279" s="1804">
        <v>2022</v>
      </c>
      <c r="AB279" s="427"/>
      <c r="AC279" s="1793"/>
      <c r="AD279" s="428" t="s">
        <v>5863</v>
      </c>
      <c r="AE279" s="1791" t="s">
        <v>2502</v>
      </c>
      <c r="AF279" s="1791" t="s">
        <v>2503</v>
      </c>
      <c r="AG279" s="1793" t="s">
        <v>2150</v>
      </c>
      <c r="AH279" s="428"/>
      <c r="AI279" s="1793"/>
      <c r="AJ279" s="429">
        <v>2021</v>
      </c>
      <c r="AK279" s="424">
        <v>3041</v>
      </c>
      <c r="AL279" s="424">
        <v>3650</v>
      </c>
      <c r="AM279" s="430"/>
      <c r="AN279" s="431"/>
      <c r="AO279" s="432">
        <v>2024</v>
      </c>
      <c r="AP279" s="425">
        <v>2956</v>
      </c>
      <c r="AQ279" s="433">
        <v>2.79</v>
      </c>
      <c r="AR279" s="425">
        <v>3559</v>
      </c>
      <c r="AS279" s="433">
        <v>2.4900000000000002</v>
      </c>
      <c r="AT279" s="434"/>
      <c r="AU279" s="431"/>
      <c r="AV279" s="435"/>
      <c r="AW279" s="432">
        <v>2022</v>
      </c>
      <c r="AX279" s="425">
        <v>3178</v>
      </c>
      <c r="AY279" s="433">
        <v>-4.51</v>
      </c>
      <c r="AZ279" s="425">
        <v>3522</v>
      </c>
      <c r="BA279" s="433">
        <v>3.5</v>
      </c>
      <c r="BB279" s="434"/>
      <c r="BC279" s="431"/>
      <c r="BD279" s="435"/>
      <c r="BE279" s="432">
        <v>2023</v>
      </c>
      <c r="BF279" s="425"/>
      <c r="BG279" s="433"/>
      <c r="BH279" s="425"/>
      <c r="BI279" s="433"/>
      <c r="BJ279" s="434"/>
      <c r="BK279" s="431"/>
      <c r="BL279" s="435"/>
      <c r="BM279" s="432">
        <v>2024</v>
      </c>
      <c r="BN279" s="425"/>
      <c r="BO279" s="433"/>
      <c r="BP279" s="425"/>
      <c r="BQ279" s="433"/>
      <c r="BR279" s="434"/>
      <c r="BS279" s="431"/>
      <c r="BT279" s="435"/>
      <c r="BU279" s="1805" t="s">
        <v>719</v>
      </c>
      <c r="BV279" s="1806" t="s">
        <v>677</v>
      </c>
      <c r="BW279" s="1807" t="s">
        <v>688</v>
      </c>
      <c r="BX279" s="1808" t="s">
        <v>5168</v>
      </c>
      <c r="BY279" s="1809">
        <v>2021</v>
      </c>
      <c r="BZ279" s="424"/>
      <c r="CA279" s="424"/>
      <c r="CB279" s="430"/>
      <c r="CC279" s="431"/>
      <c r="CD279" s="432">
        <v>2024</v>
      </c>
      <c r="CE279" s="425"/>
      <c r="CF279" s="433"/>
      <c r="CG279" s="425"/>
      <c r="CH279" s="433"/>
      <c r="CI279" s="434"/>
      <c r="CJ279" s="431"/>
      <c r="CK279" s="435"/>
      <c r="CL279" s="432">
        <v>2022</v>
      </c>
      <c r="CM279" s="425">
        <v>0</v>
      </c>
      <c r="CN279" s="433"/>
      <c r="CO279" s="425">
        <v>0</v>
      </c>
      <c r="CP279" s="433"/>
      <c r="CQ279" s="434"/>
      <c r="CR279" s="431"/>
      <c r="CS279" s="435"/>
      <c r="CT279" s="432">
        <v>2023</v>
      </c>
      <c r="CU279" s="425"/>
      <c r="CV279" s="433"/>
      <c r="CW279" s="425"/>
      <c r="CX279" s="433"/>
      <c r="CY279" s="434"/>
      <c r="CZ279" s="431"/>
      <c r="DA279" s="435"/>
      <c r="DB279" s="432">
        <v>2024</v>
      </c>
      <c r="DC279" s="425"/>
      <c r="DD279" s="433"/>
      <c r="DE279" s="425"/>
      <c r="DF279" s="433"/>
      <c r="DG279" s="434"/>
      <c r="DH279" s="431"/>
      <c r="DI279" s="435"/>
      <c r="DJ279" s="1805"/>
      <c r="DK279" s="1806"/>
      <c r="DL279" s="1807"/>
      <c r="DM279" s="1808"/>
      <c r="DN279" s="1810">
        <v>0</v>
      </c>
      <c r="DO279" s="1799">
        <v>0</v>
      </c>
      <c r="DP279" s="1800">
        <v>0</v>
      </c>
      <c r="DQ279" s="1799">
        <v>0</v>
      </c>
      <c r="DR279" s="1800">
        <v>0</v>
      </c>
      <c r="DS279" s="1799">
        <v>0</v>
      </c>
    </row>
    <row r="280" spans="1:123" ht="108">
      <c r="A280" s="1801" t="s">
        <v>2504</v>
      </c>
      <c r="B280" s="1788" t="s">
        <v>2505</v>
      </c>
      <c r="C280" s="426">
        <v>2020</v>
      </c>
      <c r="D280" s="417" t="s">
        <v>714</v>
      </c>
      <c r="E280" s="1802">
        <v>3006395</v>
      </c>
      <c r="F280" s="1803" t="s">
        <v>2505</v>
      </c>
      <c r="G280" s="419">
        <v>45113</v>
      </c>
      <c r="H280" s="1790" t="s">
        <v>2506</v>
      </c>
      <c r="I280" s="1791" t="s">
        <v>2505</v>
      </c>
      <c r="J280" s="1793" t="s">
        <v>2507</v>
      </c>
      <c r="K280" s="1788" t="s">
        <v>2505</v>
      </c>
      <c r="L280" s="1791" t="s">
        <v>2507</v>
      </c>
      <c r="M280" s="1793" t="s">
        <v>2506</v>
      </c>
      <c r="N280" s="1790" t="s">
        <v>8</v>
      </c>
      <c r="O280" s="1793" t="s">
        <v>9</v>
      </c>
      <c r="P280" s="420"/>
      <c r="Q280" s="421"/>
      <c r="R280" s="421" t="s">
        <v>717</v>
      </c>
      <c r="S280" s="422"/>
      <c r="T280" s="1794"/>
      <c r="U280" s="423"/>
      <c r="V280" s="424"/>
      <c r="W280" s="424"/>
      <c r="X280" s="425">
        <v>133</v>
      </c>
      <c r="Y280" s="426">
        <v>2020</v>
      </c>
      <c r="Z280" s="417">
        <v>2022</v>
      </c>
      <c r="AA280" s="1804">
        <v>2022</v>
      </c>
      <c r="AB280" s="427"/>
      <c r="AC280" s="1793"/>
      <c r="AD280" s="428" t="s">
        <v>5863</v>
      </c>
      <c r="AE280" s="1791" t="s">
        <v>2508</v>
      </c>
      <c r="AF280" s="1791" t="s">
        <v>2509</v>
      </c>
      <c r="AG280" s="1793" t="s">
        <v>2510</v>
      </c>
      <c r="AH280" s="428"/>
      <c r="AI280" s="1793"/>
      <c r="AJ280" s="429">
        <v>2019</v>
      </c>
      <c r="AK280" s="424"/>
      <c r="AL280" s="424"/>
      <c r="AM280" s="430"/>
      <c r="AN280" s="431"/>
      <c r="AO280" s="432">
        <v>2022</v>
      </c>
      <c r="AP280" s="425"/>
      <c r="AQ280" s="433"/>
      <c r="AR280" s="425"/>
      <c r="AS280" s="433"/>
      <c r="AT280" s="434"/>
      <c r="AU280" s="431"/>
      <c r="AV280" s="435"/>
      <c r="AW280" s="432">
        <v>2020</v>
      </c>
      <c r="AX280" s="425"/>
      <c r="AY280" s="433"/>
      <c r="AZ280" s="425"/>
      <c r="BA280" s="433"/>
      <c r="BB280" s="434"/>
      <c r="BC280" s="431"/>
      <c r="BD280" s="435"/>
      <c r="BE280" s="432">
        <v>2021</v>
      </c>
      <c r="BF280" s="425"/>
      <c r="BG280" s="433"/>
      <c r="BH280" s="425"/>
      <c r="BI280" s="433"/>
      <c r="BJ280" s="434"/>
      <c r="BK280" s="431"/>
      <c r="BL280" s="435"/>
      <c r="BM280" s="432">
        <v>2022</v>
      </c>
      <c r="BN280" s="425"/>
      <c r="BO280" s="433"/>
      <c r="BP280" s="425"/>
      <c r="BQ280" s="433"/>
      <c r="BR280" s="434"/>
      <c r="BS280" s="431"/>
      <c r="BT280" s="435"/>
      <c r="BU280" s="1805"/>
      <c r="BV280" s="1806"/>
      <c r="BW280" s="1807"/>
      <c r="BX280" s="1808"/>
      <c r="BY280" s="1809">
        <v>2019</v>
      </c>
      <c r="BZ280" s="424">
        <v>259</v>
      </c>
      <c r="CA280" s="424">
        <v>259</v>
      </c>
      <c r="CB280" s="430">
        <v>1.7</v>
      </c>
      <c r="CC280" s="431" t="s">
        <v>2511</v>
      </c>
      <c r="CD280" s="432">
        <v>2022</v>
      </c>
      <c r="CE280" s="425">
        <v>256</v>
      </c>
      <c r="CF280" s="433">
        <v>1.1499999999999999</v>
      </c>
      <c r="CG280" s="425">
        <v>256</v>
      </c>
      <c r="CH280" s="433">
        <v>1.1499999999999999</v>
      </c>
      <c r="CI280" s="434">
        <v>1.68</v>
      </c>
      <c r="CJ280" s="431" t="s">
        <v>2511</v>
      </c>
      <c r="CK280" s="435">
        <v>1.17</v>
      </c>
      <c r="CL280" s="432">
        <v>2020</v>
      </c>
      <c r="CM280" s="425">
        <v>259</v>
      </c>
      <c r="CN280" s="433">
        <v>0</v>
      </c>
      <c r="CO280" s="425">
        <v>259</v>
      </c>
      <c r="CP280" s="433">
        <v>0</v>
      </c>
      <c r="CQ280" s="434">
        <v>1.65</v>
      </c>
      <c r="CR280" s="431" t="s">
        <v>2511</v>
      </c>
      <c r="CS280" s="435">
        <v>2.94</v>
      </c>
      <c r="CT280" s="432">
        <v>2021</v>
      </c>
      <c r="CU280" s="425">
        <v>287</v>
      </c>
      <c r="CV280" s="433">
        <v>-10.82</v>
      </c>
      <c r="CW280" s="425">
        <v>287</v>
      </c>
      <c r="CX280" s="433">
        <v>-10.82</v>
      </c>
      <c r="CY280" s="434">
        <v>1.55</v>
      </c>
      <c r="CZ280" s="431" t="s">
        <v>2511</v>
      </c>
      <c r="DA280" s="435">
        <v>8.82</v>
      </c>
      <c r="DB280" s="432">
        <v>2022</v>
      </c>
      <c r="DC280" s="425">
        <v>249.36984000000001</v>
      </c>
      <c r="DD280" s="433">
        <v>3.71</v>
      </c>
      <c r="DE280" s="425">
        <v>249.36984000000001</v>
      </c>
      <c r="DF280" s="433">
        <v>3.71</v>
      </c>
      <c r="DG280" s="434">
        <v>1.5626429279975638</v>
      </c>
      <c r="DH280" s="431" t="s">
        <v>2511</v>
      </c>
      <c r="DI280" s="435">
        <v>8.07</v>
      </c>
      <c r="DJ280" s="1805" t="s">
        <v>687</v>
      </c>
      <c r="DK280" s="1806" t="s">
        <v>728</v>
      </c>
      <c r="DL280" s="1807" t="s">
        <v>688</v>
      </c>
      <c r="DM280" s="1808"/>
      <c r="DN280" s="1810">
        <v>0</v>
      </c>
      <c r="DO280" s="1799">
        <v>0</v>
      </c>
      <c r="DP280" s="1800">
        <v>0</v>
      </c>
      <c r="DQ280" s="1799">
        <v>0</v>
      </c>
      <c r="DR280" s="1800">
        <v>0</v>
      </c>
      <c r="DS280" s="1799">
        <v>0</v>
      </c>
    </row>
    <row r="281" spans="1:123" ht="94.5">
      <c r="A281" s="1801" t="s">
        <v>2512</v>
      </c>
      <c r="B281" s="1788" t="s">
        <v>2513</v>
      </c>
      <c r="C281" s="426">
        <v>2020</v>
      </c>
      <c r="D281" s="417" t="s">
        <v>681</v>
      </c>
      <c r="E281" s="1802">
        <v>1010396</v>
      </c>
      <c r="F281" s="1803" t="s">
        <v>2513</v>
      </c>
      <c r="G281" s="419">
        <v>45092</v>
      </c>
      <c r="H281" s="1790" t="s">
        <v>2514</v>
      </c>
      <c r="I281" s="1791" t="s">
        <v>2513</v>
      </c>
      <c r="J281" s="1793" t="s">
        <v>2515</v>
      </c>
      <c r="K281" s="1788" t="s">
        <v>2513</v>
      </c>
      <c r="L281" s="1791" t="s">
        <v>2516</v>
      </c>
      <c r="M281" s="1793" t="s">
        <v>2514</v>
      </c>
      <c r="N281" s="1790" t="s">
        <v>12</v>
      </c>
      <c r="O281" s="1793" t="s">
        <v>14</v>
      </c>
      <c r="P281" s="420" t="s">
        <v>683</v>
      </c>
      <c r="Q281" s="421"/>
      <c r="R281" s="421"/>
      <c r="S281" s="422"/>
      <c r="T281" s="1794"/>
      <c r="U281" s="423">
        <v>1075.3697999999999</v>
      </c>
      <c r="V281" s="424">
        <v>1</v>
      </c>
      <c r="W281" s="424">
        <v>1</v>
      </c>
      <c r="X281" s="425"/>
      <c r="Y281" s="426">
        <v>2020</v>
      </c>
      <c r="Z281" s="417">
        <v>2022</v>
      </c>
      <c r="AA281" s="1804">
        <v>2022</v>
      </c>
      <c r="AB281" s="427"/>
      <c r="AC281" s="1793"/>
      <c r="AD281" s="428" t="s">
        <v>5863</v>
      </c>
      <c r="AE281" s="1791" t="s">
        <v>5169</v>
      </c>
      <c r="AF281" s="1791" t="s">
        <v>5170</v>
      </c>
      <c r="AG281" s="1793" t="s">
        <v>2517</v>
      </c>
      <c r="AH281" s="428"/>
      <c r="AI281" s="1793"/>
      <c r="AJ281" s="429">
        <v>2019</v>
      </c>
      <c r="AK281" s="424">
        <v>3494</v>
      </c>
      <c r="AL281" s="424">
        <v>3409</v>
      </c>
      <c r="AM281" s="430">
        <v>40.840000000000003</v>
      </c>
      <c r="AN281" s="431" t="s">
        <v>848</v>
      </c>
      <c r="AO281" s="432">
        <v>2022</v>
      </c>
      <c r="AP281" s="425">
        <v>3389</v>
      </c>
      <c r="AQ281" s="433">
        <v>3</v>
      </c>
      <c r="AR281" s="425">
        <v>3307</v>
      </c>
      <c r="AS281" s="433">
        <v>2.99</v>
      </c>
      <c r="AT281" s="434">
        <v>39.614800000000002</v>
      </c>
      <c r="AU281" s="431" t="s">
        <v>848</v>
      </c>
      <c r="AV281" s="435">
        <v>3</v>
      </c>
      <c r="AW281" s="432">
        <v>2020</v>
      </c>
      <c r="AX281" s="425">
        <v>3504</v>
      </c>
      <c r="AY281" s="433">
        <v>-0.28999999999999998</v>
      </c>
      <c r="AZ281" s="425">
        <v>3337</v>
      </c>
      <c r="BA281" s="433">
        <v>2.11</v>
      </c>
      <c r="BB281" s="434">
        <v>40.96</v>
      </c>
      <c r="BC281" s="431" t="s">
        <v>848</v>
      </c>
      <c r="BD281" s="435">
        <v>-0.3</v>
      </c>
      <c r="BE281" s="432">
        <v>2021</v>
      </c>
      <c r="BF281" s="425">
        <v>2927</v>
      </c>
      <c r="BG281" s="433">
        <v>16.22</v>
      </c>
      <c r="BH281" s="425">
        <v>2904</v>
      </c>
      <c r="BI281" s="433">
        <v>14.81</v>
      </c>
      <c r="BJ281" s="434">
        <v>34.21</v>
      </c>
      <c r="BK281" s="431" t="s">
        <v>848</v>
      </c>
      <c r="BL281" s="435">
        <v>16.23</v>
      </c>
      <c r="BM281" s="432">
        <v>2022</v>
      </c>
      <c r="BN281" s="425">
        <v>1986</v>
      </c>
      <c r="BO281" s="433">
        <v>43.15</v>
      </c>
      <c r="BP281" s="425">
        <v>1982</v>
      </c>
      <c r="BQ281" s="433">
        <v>41.85</v>
      </c>
      <c r="BR281" s="434">
        <v>23.215199994389078</v>
      </c>
      <c r="BS281" s="431" t="s">
        <v>848</v>
      </c>
      <c r="BT281" s="435">
        <v>43.15</v>
      </c>
      <c r="BU281" s="1805" t="s">
        <v>676</v>
      </c>
      <c r="BV281" s="1806" t="s">
        <v>677</v>
      </c>
      <c r="BW281" s="1807" t="s">
        <v>697</v>
      </c>
      <c r="BX281" s="1808" t="s">
        <v>5171</v>
      </c>
      <c r="BY281" s="1809">
        <v>2019</v>
      </c>
      <c r="BZ281" s="424"/>
      <c r="CA281" s="424"/>
      <c r="CB281" s="430"/>
      <c r="CC281" s="431"/>
      <c r="CD281" s="432">
        <v>2022</v>
      </c>
      <c r="CE281" s="425"/>
      <c r="CF281" s="433"/>
      <c r="CG281" s="425"/>
      <c r="CH281" s="433"/>
      <c r="CI281" s="434"/>
      <c r="CJ281" s="431"/>
      <c r="CK281" s="435"/>
      <c r="CL281" s="432">
        <v>2020</v>
      </c>
      <c r="CM281" s="425"/>
      <c r="CN281" s="433"/>
      <c r="CO281" s="425"/>
      <c r="CP281" s="433"/>
      <c r="CQ281" s="434"/>
      <c r="CR281" s="431"/>
      <c r="CS281" s="435"/>
      <c r="CT281" s="432">
        <v>2021</v>
      </c>
      <c r="CU281" s="425"/>
      <c r="CV281" s="433"/>
      <c r="CW281" s="425"/>
      <c r="CX281" s="433"/>
      <c r="CY281" s="434"/>
      <c r="CZ281" s="431"/>
      <c r="DA281" s="435"/>
      <c r="DB281" s="432">
        <v>2022</v>
      </c>
      <c r="DC281" s="425">
        <v>0</v>
      </c>
      <c r="DD281" s="433"/>
      <c r="DE281" s="425">
        <v>0</v>
      </c>
      <c r="DF281" s="433"/>
      <c r="DG281" s="434"/>
      <c r="DH281" s="431"/>
      <c r="DI281" s="435">
        <v>0</v>
      </c>
      <c r="DJ281" s="1805"/>
      <c r="DK281" s="1806"/>
      <c r="DL281" s="1807"/>
      <c r="DM281" s="1808"/>
      <c r="DN281" s="1810">
        <v>0</v>
      </c>
      <c r="DO281" s="1799">
        <v>0</v>
      </c>
      <c r="DP281" s="1800">
        <v>0</v>
      </c>
      <c r="DQ281" s="1799">
        <v>0</v>
      </c>
      <c r="DR281" s="1800">
        <v>0</v>
      </c>
      <c r="DS281" s="1799">
        <v>0</v>
      </c>
    </row>
    <row r="282" spans="1:123" ht="108">
      <c r="A282" s="1801" t="s">
        <v>2518</v>
      </c>
      <c r="B282" s="1788" t="s">
        <v>2519</v>
      </c>
      <c r="C282" s="426">
        <v>2020</v>
      </c>
      <c r="D282" s="417" t="s">
        <v>681</v>
      </c>
      <c r="E282" s="1802">
        <v>1055397</v>
      </c>
      <c r="F282" s="1803" t="s">
        <v>2519</v>
      </c>
      <c r="G282" s="419">
        <v>45137</v>
      </c>
      <c r="H282" s="1790" t="s">
        <v>2520</v>
      </c>
      <c r="I282" s="1791" t="s">
        <v>2519</v>
      </c>
      <c r="J282" s="1793" t="s">
        <v>2521</v>
      </c>
      <c r="K282" s="1788" t="s">
        <v>2519</v>
      </c>
      <c r="L282" s="1791" t="s">
        <v>2521</v>
      </c>
      <c r="M282" s="1793" t="s">
        <v>2520</v>
      </c>
      <c r="N282" s="1790" t="s">
        <v>57</v>
      </c>
      <c r="O282" s="1793" t="s">
        <v>63</v>
      </c>
      <c r="P282" s="420" t="s">
        <v>683</v>
      </c>
      <c r="Q282" s="421"/>
      <c r="R282" s="421"/>
      <c r="S282" s="422"/>
      <c r="T282" s="1794"/>
      <c r="U282" s="423">
        <v>3942.81</v>
      </c>
      <c r="V282" s="424">
        <v>1</v>
      </c>
      <c r="W282" s="424">
        <v>1</v>
      </c>
      <c r="X282" s="425"/>
      <c r="Y282" s="426">
        <v>2020</v>
      </c>
      <c r="Z282" s="417">
        <v>2022</v>
      </c>
      <c r="AA282" s="1804">
        <v>2022</v>
      </c>
      <c r="AB282" s="427"/>
      <c r="AC282" s="1793"/>
      <c r="AD282" s="428"/>
      <c r="AE282" s="1791"/>
      <c r="AF282" s="1791"/>
      <c r="AG282" s="1793"/>
      <c r="AH282" s="428" t="s">
        <v>5863</v>
      </c>
      <c r="AI282" s="1793" t="s">
        <v>2522</v>
      </c>
      <c r="AJ282" s="429">
        <v>2019</v>
      </c>
      <c r="AK282" s="424">
        <v>6072</v>
      </c>
      <c r="AL282" s="424">
        <v>0</v>
      </c>
      <c r="AM282" s="430">
        <v>1.66</v>
      </c>
      <c r="AN282" s="431" t="s">
        <v>1019</v>
      </c>
      <c r="AO282" s="432">
        <v>2022</v>
      </c>
      <c r="AP282" s="425">
        <v>6072</v>
      </c>
      <c r="AQ282" s="433">
        <v>0</v>
      </c>
      <c r="AR282" s="425">
        <v>0</v>
      </c>
      <c r="AS282" s="433"/>
      <c r="AT282" s="434">
        <v>1.6101999999999999</v>
      </c>
      <c r="AU282" s="431" t="s">
        <v>1019</v>
      </c>
      <c r="AV282" s="435">
        <v>3</v>
      </c>
      <c r="AW282" s="432">
        <v>2020</v>
      </c>
      <c r="AX282" s="425">
        <v>6133</v>
      </c>
      <c r="AY282" s="433">
        <v>-1.01</v>
      </c>
      <c r="AZ282" s="425">
        <v>-4468.3469811199993</v>
      </c>
      <c r="BA282" s="433"/>
      <c r="BB282" s="434">
        <v>1.1399999999999999</v>
      </c>
      <c r="BC282" s="431" t="s">
        <v>1019</v>
      </c>
      <c r="BD282" s="435">
        <v>31.32</v>
      </c>
      <c r="BE282" s="432">
        <v>2021</v>
      </c>
      <c r="BF282" s="425">
        <v>6417</v>
      </c>
      <c r="BG282" s="433">
        <v>-5.69</v>
      </c>
      <c r="BH282" s="425">
        <v>-7252.3469811199993</v>
      </c>
      <c r="BI282" s="433"/>
      <c r="BJ282" s="434">
        <v>0.99</v>
      </c>
      <c r="BK282" s="431" t="s">
        <v>1019</v>
      </c>
      <c r="BL282" s="435">
        <v>40.36</v>
      </c>
      <c r="BM282" s="432">
        <v>2022</v>
      </c>
      <c r="BN282" s="425">
        <v>6779</v>
      </c>
      <c r="BO282" s="433">
        <v>-11.65</v>
      </c>
      <c r="BP282" s="425">
        <v>1179.6530188800007</v>
      </c>
      <c r="BQ282" s="433"/>
      <c r="BR282" s="434">
        <v>1.1212371816076745</v>
      </c>
      <c r="BS282" s="431" t="s">
        <v>1019</v>
      </c>
      <c r="BT282" s="435">
        <v>32.450000000000003</v>
      </c>
      <c r="BU282" s="1805" t="s">
        <v>687</v>
      </c>
      <c r="BV282" s="1806" t="s">
        <v>728</v>
      </c>
      <c r="BW282" s="1807" t="s">
        <v>678</v>
      </c>
      <c r="BX282" s="1808" t="s">
        <v>5172</v>
      </c>
      <c r="BY282" s="1809">
        <v>2019</v>
      </c>
      <c r="BZ282" s="424"/>
      <c r="CA282" s="424"/>
      <c r="CB282" s="430"/>
      <c r="CC282" s="431"/>
      <c r="CD282" s="432">
        <v>2022</v>
      </c>
      <c r="CE282" s="425"/>
      <c r="CF282" s="433"/>
      <c r="CG282" s="425"/>
      <c r="CH282" s="433"/>
      <c r="CI282" s="434"/>
      <c r="CJ282" s="431"/>
      <c r="CK282" s="435"/>
      <c r="CL282" s="432">
        <v>2020</v>
      </c>
      <c r="CM282" s="425"/>
      <c r="CN282" s="433"/>
      <c r="CO282" s="425"/>
      <c r="CP282" s="433"/>
      <c r="CQ282" s="434"/>
      <c r="CR282" s="431"/>
      <c r="CS282" s="435"/>
      <c r="CT282" s="432">
        <v>2021</v>
      </c>
      <c r="CU282" s="425"/>
      <c r="CV282" s="433"/>
      <c r="CW282" s="425"/>
      <c r="CX282" s="433"/>
      <c r="CY282" s="434"/>
      <c r="CZ282" s="431"/>
      <c r="DA282" s="435"/>
      <c r="DB282" s="432">
        <v>2022</v>
      </c>
      <c r="DC282" s="425">
        <v>0</v>
      </c>
      <c r="DD282" s="433"/>
      <c r="DE282" s="425">
        <v>-5589.3469811199993</v>
      </c>
      <c r="DF282" s="433"/>
      <c r="DG282" s="434"/>
      <c r="DH282" s="431"/>
      <c r="DI282" s="435"/>
      <c r="DJ282" s="1805"/>
      <c r="DK282" s="1806"/>
      <c r="DL282" s="1807"/>
      <c r="DM282" s="1808"/>
      <c r="DN282" s="1810">
        <v>0</v>
      </c>
      <c r="DO282" s="1799">
        <v>0</v>
      </c>
      <c r="DP282" s="1800">
        <v>0</v>
      </c>
      <c r="DQ282" s="1799">
        <v>0</v>
      </c>
      <c r="DR282" s="1800">
        <v>0</v>
      </c>
      <c r="DS282" s="1799">
        <v>0</v>
      </c>
    </row>
    <row r="283" spans="1:123" ht="94.5">
      <c r="A283" s="1801" t="s">
        <v>2523</v>
      </c>
      <c r="B283" s="1788" t="s">
        <v>2524</v>
      </c>
      <c r="C283" s="426">
        <v>2020</v>
      </c>
      <c r="D283" s="417" t="s">
        <v>681</v>
      </c>
      <c r="E283" s="1802">
        <v>1092398</v>
      </c>
      <c r="F283" s="1803" t="s">
        <v>2524</v>
      </c>
      <c r="G283" s="419">
        <v>45128</v>
      </c>
      <c r="H283" s="1790" t="s">
        <v>2525</v>
      </c>
      <c r="I283" s="1791" t="s">
        <v>2524</v>
      </c>
      <c r="J283" s="1793" t="s">
        <v>2526</v>
      </c>
      <c r="K283" s="1788" t="s">
        <v>2524</v>
      </c>
      <c r="L283" s="1791" t="s">
        <v>2526</v>
      </c>
      <c r="M283" s="1793" t="s">
        <v>2525</v>
      </c>
      <c r="N283" s="1790" t="s">
        <v>102</v>
      </c>
      <c r="O283" s="1793" t="s">
        <v>107</v>
      </c>
      <c r="P283" s="420" t="s">
        <v>683</v>
      </c>
      <c r="Q283" s="421"/>
      <c r="R283" s="421"/>
      <c r="S283" s="422"/>
      <c r="T283" s="1794"/>
      <c r="U283" s="423">
        <v>1212.5999999999999</v>
      </c>
      <c r="V283" s="424">
        <v>1</v>
      </c>
      <c r="W283" s="424">
        <v>1</v>
      </c>
      <c r="X283" s="425"/>
      <c r="Y283" s="426">
        <v>2020</v>
      </c>
      <c r="Z283" s="417">
        <v>2022</v>
      </c>
      <c r="AA283" s="1804">
        <v>2022</v>
      </c>
      <c r="AB283" s="427" t="s">
        <v>5863</v>
      </c>
      <c r="AC283" s="1793" t="s">
        <v>2527</v>
      </c>
      <c r="AD283" s="428"/>
      <c r="AE283" s="1791"/>
      <c r="AF283" s="1791"/>
      <c r="AG283" s="1793"/>
      <c r="AH283" s="428"/>
      <c r="AI283" s="1793"/>
      <c r="AJ283" s="429">
        <v>2019</v>
      </c>
      <c r="AK283" s="424">
        <v>3224</v>
      </c>
      <c r="AL283" s="424">
        <v>3632</v>
      </c>
      <c r="AM283" s="430">
        <v>2.59</v>
      </c>
      <c r="AN283" s="431" t="s">
        <v>675</v>
      </c>
      <c r="AO283" s="432">
        <v>2022</v>
      </c>
      <c r="AP283" s="425">
        <v>2740</v>
      </c>
      <c r="AQ283" s="433">
        <v>15.01</v>
      </c>
      <c r="AR283" s="425">
        <v>3087</v>
      </c>
      <c r="AS283" s="433">
        <v>15</v>
      </c>
      <c r="AT283" s="434">
        <v>2.2014999999999998</v>
      </c>
      <c r="AU283" s="431" t="s">
        <v>675</v>
      </c>
      <c r="AV283" s="435">
        <v>15</v>
      </c>
      <c r="AW283" s="432">
        <v>2020</v>
      </c>
      <c r="AX283" s="425">
        <v>2667</v>
      </c>
      <c r="AY283" s="433">
        <v>17.27</v>
      </c>
      <c r="AZ283" s="425">
        <v>3615</v>
      </c>
      <c r="BA283" s="433">
        <v>0.46</v>
      </c>
      <c r="BB283" s="434">
        <v>2.94</v>
      </c>
      <c r="BC283" s="431" t="s">
        <v>675</v>
      </c>
      <c r="BD283" s="435">
        <v>-13.52</v>
      </c>
      <c r="BE283" s="432">
        <v>2021</v>
      </c>
      <c r="BF283" s="425">
        <v>2757</v>
      </c>
      <c r="BG283" s="433">
        <v>14.48</v>
      </c>
      <c r="BH283" s="425">
        <v>4383</v>
      </c>
      <c r="BI283" s="433">
        <v>-20.68</v>
      </c>
      <c r="BJ283" s="434">
        <v>1.82</v>
      </c>
      <c r="BK283" s="431" t="s">
        <v>675</v>
      </c>
      <c r="BL283" s="435">
        <v>29.72</v>
      </c>
      <c r="BM283" s="432">
        <v>2022</v>
      </c>
      <c r="BN283" s="425">
        <v>2486</v>
      </c>
      <c r="BO283" s="433">
        <v>22.89</v>
      </c>
      <c r="BP283" s="425">
        <v>2623</v>
      </c>
      <c r="BQ283" s="433">
        <v>27.78</v>
      </c>
      <c r="BR283" s="434">
        <v>1.3757609297177642</v>
      </c>
      <c r="BS283" s="431" t="s">
        <v>675</v>
      </c>
      <c r="BT283" s="435">
        <v>46.88</v>
      </c>
      <c r="BU283" s="1805" t="s">
        <v>719</v>
      </c>
      <c r="BV283" s="1806" t="s">
        <v>728</v>
      </c>
      <c r="BW283" s="1807" t="s">
        <v>697</v>
      </c>
      <c r="BX283" s="1808" t="s">
        <v>5173</v>
      </c>
      <c r="BY283" s="1809">
        <v>2019</v>
      </c>
      <c r="BZ283" s="424"/>
      <c r="CA283" s="424"/>
      <c r="CB283" s="430"/>
      <c r="CC283" s="431"/>
      <c r="CD283" s="432">
        <v>2022</v>
      </c>
      <c r="CE283" s="425"/>
      <c r="CF283" s="433"/>
      <c r="CG283" s="425"/>
      <c r="CH283" s="433"/>
      <c r="CI283" s="434"/>
      <c r="CJ283" s="431"/>
      <c r="CK283" s="435"/>
      <c r="CL283" s="432">
        <v>2020</v>
      </c>
      <c r="CM283" s="425"/>
      <c r="CN283" s="433"/>
      <c r="CO283" s="425"/>
      <c r="CP283" s="433"/>
      <c r="CQ283" s="434"/>
      <c r="CR283" s="431"/>
      <c r="CS283" s="435"/>
      <c r="CT283" s="432">
        <v>2021</v>
      </c>
      <c r="CU283" s="425"/>
      <c r="CV283" s="433"/>
      <c r="CW283" s="425"/>
      <c r="CX283" s="433"/>
      <c r="CY283" s="434"/>
      <c r="CZ283" s="431"/>
      <c r="DA283" s="435"/>
      <c r="DB283" s="432">
        <v>2022</v>
      </c>
      <c r="DC283" s="425">
        <v>0</v>
      </c>
      <c r="DD283" s="433"/>
      <c r="DE283" s="425">
        <v>0</v>
      </c>
      <c r="DF283" s="433"/>
      <c r="DG283" s="434"/>
      <c r="DH283" s="431"/>
      <c r="DI283" s="435">
        <v>0</v>
      </c>
      <c r="DJ283" s="1805"/>
      <c r="DK283" s="1806"/>
      <c r="DL283" s="1807" t="s">
        <v>688</v>
      </c>
      <c r="DM283" s="1808"/>
      <c r="DN283" s="1810">
        <v>0</v>
      </c>
      <c r="DO283" s="1799">
        <v>0</v>
      </c>
      <c r="DP283" s="1800">
        <v>0</v>
      </c>
      <c r="DQ283" s="1799">
        <v>0</v>
      </c>
      <c r="DR283" s="1800">
        <v>0</v>
      </c>
      <c r="DS283" s="1799">
        <v>0</v>
      </c>
    </row>
    <row r="284" spans="1:123" ht="108">
      <c r="A284" s="1801" t="s">
        <v>2528</v>
      </c>
      <c r="B284" s="1788" t="s">
        <v>2529</v>
      </c>
      <c r="C284" s="426">
        <v>2020</v>
      </c>
      <c r="D284" s="417" t="s">
        <v>681</v>
      </c>
      <c r="E284" s="1802">
        <v>1075399</v>
      </c>
      <c r="F284" s="1803" t="s">
        <v>2529</v>
      </c>
      <c r="G284" s="419">
        <v>45121</v>
      </c>
      <c r="H284" s="1790" t="s">
        <v>2530</v>
      </c>
      <c r="I284" s="1791" t="s">
        <v>2529</v>
      </c>
      <c r="J284" s="1793" t="s">
        <v>2531</v>
      </c>
      <c r="K284" s="1788" t="s">
        <v>2529</v>
      </c>
      <c r="L284" s="1791" t="s">
        <v>2531</v>
      </c>
      <c r="M284" s="1793" t="s">
        <v>2530</v>
      </c>
      <c r="N284" s="1790" t="s">
        <v>86</v>
      </c>
      <c r="O284" s="1793" t="s">
        <v>87</v>
      </c>
      <c r="P284" s="420" t="s">
        <v>683</v>
      </c>
      <c r="Q284" s="421"/>
      <c r="R284" s="421"/>
      <c r="S284" s="422"/>
      <c r="T284" s="1794"/>
      <c r="U284" s="423">
        <v>1949.0868</v>
      </c>
      <c r="V284" s="424">
        <v>2</v>
      </c>
      <c r="W284" s="424">
        <v>1</v>
      </c>
      <c r="X284" s="425"/>
      <c r="Y284" s="426">
        <v>2020</v>
      </c>
      <c r="Z284" s="417">
        <v>2022</v>
      </c>
      <c r="AA284" s="1804">
        <v>2022</v>
      </c>
      <c r="AB284" s="427"/>
      <c r="AC284" s="1793"/>
      <c r="AD284" s="428" t="s">
        <v>5863</v>
      </c>
      <c r="AE284" s="1791" t="s">
        <v>2532</v>
      </c>
      <c r="AF284" s="1791" t="s">
        <v>5174</v>
      </c>
      <c r="AG284" s="1793" t="s">
        <v>2533</v>
      </c>
      <c r="AH284" s="428"/>
      <c r="AI284" s="1793"/>
      <c r="AJ284" s="429">
        <v>2019</v>
      </c>
      <c r="AK284" s="424">
        <v>4153</v>
      </c>
      <c r="AL284" s="424">
        <v>4099</v>
      </c>
      <c r="AM284" s="430">
        <v>57.57</v>
      </c>
      <c r="AN284" s="431" t="s">
        <v>727</v>
      </c>
      <c r="AO284" s="432">
        <v>2022</v>
      </c>
      <c r="AP284" s="425">
        <v>6777</v>
      </c>
      <c r="AQ284" s="433">
        <v>-63.19</v>
      </c>
      <c r="AR284" s="425">
        <v>6688</v>
      </c>
      <c r="AS284" s="433">
        <v>-63.17</v>
      </c>
      <c r="AT284" s="434">
        <v>93.93</v>
      </c>
      <c r="AU284" s="431" t="s">
        <v>727</v>
      </c>
      <c r="AV284" s="435">
        <v>-63.16</v>
      </c>
      <c r="AW284" s="432">
        <v>2020</v>
      </c>
      <c r="AX284" s="425">
        <v>4456</v>
      </c>
      <c r="AY284" s="433">
        <v>-7.3</v>
      </c>
      <c r="AZ284" s="425">
        <v>4333</v>
      </c>
      <c r="BA284" s="433">
        <v>-5.71</v>
      </c>
      <c r="BB284" s="434">
        <v>61.77</v>
      </c>
      <c r="BC284" s="431" t="s">
        <v>727</v>
      </c>
      <c r="BD284" s="435">
        <v>-7.3</v>
      </c>
      <c r="BE284" s="432">
        <v>2021</v>
      </c>
      <c r="BF284" s="425">
        <v>3710</v>
      </c>
      <c r="BG284" s="433">
        <v>10.66</v>
      </c>
      <c r="BH284" s="425">
        <v>3693</v>
      </c>
      <c r="BI284" s="433">
        <v>9.9</v>
      </c>
      <c r="BJ284" s="434">
        <v>51.43</v>
      </c>
      <c r="BK284" s="431" t="s">
        <v>727</v>
      </c>
      <c r="BL284" s="435">
        <v>10.66</v>
      </c>
      <c r="BM284" s="432">
        <v>2022</v>
      </c>
      <c r="BN284" s="425">
        <v>3653</v>
      </c>
      <c r="BO284" s="433">
        <v>12.03</v>
      </c>
      <c r="BP284" s="425">
        <v>3649</v>
      </c>
      <c r="BQ284" s="433">
        <v>10.97</v>
      </c>
      <c r="BR284" s="434">
        <v>50.635346771036744</v>
      </c>
      <c r="BS284" s="431" t="s">
        <v>727</v>
      </c>
      <c r="BT284" s="435">
        <v>12.04</v>
      </c>
      <c r="BU284" s="1805" t="s">
        <v>687</v>
      </c>
      <c r="BV284" s="1806" t="s">
        <v>728</v>
      </c>
      <c r="BW284" s="1807" t="s">
        <v>678</v>
      </c>
      <c r="BX284" s="1808" t="s">
        <v>5175</v>
      </c>
      <c r="BY284" s="1809">
        <v>2019</v>
      </c>
      <c r="BZ284" s="424"/>
      <c r="CA284" s="424"/>
      <c r="CB284" s="430"/>
      <c r="CC284" s="431"/>
      <c r="CD284" s="432">
        <v>2022</v>
      </c>
      <c r="CE284" s="425"/>
      <c r="CF284" s="433"/>
      <c r="CG284" s="425"/>
      <c r="CH284" s="433"/>
      <c r="CI284" s="434"/>
      <c r="CJ284" s="431"/>
      <c r="CK284" s="435"/>
      <c r="CL284" s="432">
        <v>2020</v>
      </c>
      <c r="CM284" s="425"/>
      <c r="CN284" s="433"/>
      <c r="CO284" s="425"/>
      <c r="CP284" s="433"/>
      <c r="CQ284" s="434"/>
      <c r="CR284" s="431"/>
      <c r="CS284" s="435"/>
      <c r="CT284" s="432">
        <v>2021</v>
      </c>
      <c r="CU284" s="425"/>
      <c r="CV284" s="433"/>
      <c r="CW284" s="425"/>
      <c r="CX284" s="433"/>
      <c r="CY284" s="434"/>
      <c r="CZ284" s="431"/>
      <c r="DA284" s="435"/>
      <c r="DB284" s="432">
        <v>2022</v>
      </c>
      <c r="DC284" s="425">
        <v>0</v>
      </c>
      <c r="DD284" s="433"/>
      <c r="DE284" s="425">
        <v>0</v>
      </c>
      <c r="DF284" s="433"/>
      <c r="DG284" s="434"/>
      <c r="DH284" s="431"/>
      <c r="DI284" s="435">
        <v>0</v>
      </c>
      <c r="DJ284" s="1805"/>
      <c r="DK284" s="1806"/>
      <c r="DL284" s="1807"/>
      <c r="DM284" s="1808"/>
      <c r="DN284" s="1810"/>
      <c r="DO284" s="1799"/>
      <c r="DP284" s="1800"/>
      <c r="DQ284" s="1799"/>
      <c r="DR284" s="1800"/>
      <c r="DS284" s="1799"/>
    </row>
    <row r="285" spans="1:123" ht="67.5">
      <c r="A285" s="1801" t="s">
        <v>2534</v>
      </c>
      <c r="B285" s="1788" t="s">
        <v>2535</v>
      </c>
      <c r="C285" s="426">
        <v>2020</v>
      </c>
      <c r="D285" s="417" t="s">
        <v>681</v>
      </c>
      <c r="E285" s="1802">
        <v>1021400</v>
      </c>
      <c r="F285" s="1803" t="s">
        <v>2535</v>
      </c>
      <c r="G285" s="419">
        <v>45174</v>
      </c>
      <c r="H285" s="1790" t="s">
        <v>2536</v>
      </c>
      <c r="I285" s="1791" t="s">
        <v>2535</v>
      </c>
      <c r="J285" s="1793" t="s">
        <v>2537</v>
      </c>
      <c r="K285" s="1788" t="s">
        <v>2535</v>
      </c>
      <c r="L285" s="1791" t="s">
        <v>2537</v>
      </c>
      <c r="M285" s="1793" t="s">
        <v>2536</v>
      </c>
      <c r="N285" s="1790" t="s">
        <v>12</v>
      </c>
      <c r="O285" s="1793" t="s">
        <v>25</v>
      </c>
      <c r="P285" s="420" t="s">
        <v>683</v>
      </c>
      <c r="Q285" s="421"/>
      <c r="R285" s="421"/>
      <c r="S285" s="422"/>
      <c r="T285" s="1794"/>
      <c r="U285" s="423">
        <v>14201.9712</v>
      </c>
      <c r="V285" s="424">
        <v>1</v>
      </c>
      <c r="W285" s="424">
        <v>1</v>
      </c>
      <c r="X285" s="425"/>
      <c r="Y285" s="426">
        <v>2020</v>
      </c>
      <c r="Z285" s="417">
        <v>2022</v>
      </c>
      <c r="AA285" s="1804">
        <v>2022</v>
      </c>
      <c r="AB285" s="427"/>
      <c r="AC285" s="1793"/>
      <c r="AD285" s="428" t="s">
        <v>5863</v>
      </c>
      <c r="AE285" s="1791" t="s">
        <v>2538</v>
      </c>
      <c r="AF285" s="1791" t="s">
        <v>2539</v>
      </c>
      <c r="AG285" s="1793" t="s">
        <v>2540</v>
      </c>
      <c r="AH285" s="428"/>
      <c r="AI285" s="1793"/>
      <c r="AJ285" s="429">
        <v>2019</v>
      </c>
      <c r="AK285" s="424">
        <v>23220</v>
      </c>
      <c r="AL285" s="424">
        <v>22591</v>
      </c>
      <c r="AM285" s="430"/>
      <c r="AN285" s="431"/>
      <c r="AO285" s="432">
        <v>2022</v>
      </c>
      <c r="AP285" s="425">
        <v>22530</v>
      </c>
      <c r="AQ285" s="433">
        <v>2.97</v>
      </c>
      <c r="AR285" s="425">
        <v>21901</v>
      </c>
      <c r="AS285" s="433">
        <v>3.05</v>
      </c>
      <c r="AT285" s="434"/>
      <c r="AU285" s="431"/>
      <c r="AV285" s="435"/>
      <c r="AW285" s="432">
        <v>2020</v>
      </c>
      <c r="AX285" s="425">
        <v>24168</v>
      </c>
      <c r="AY285" s="433">
        <v>-4.09</v>
      </c>
      <c r="AZ285" s="425">
        <v>22861</v>
      </c>
      <c r="BA285" s="433">
        <v>-1.2</v>
      </c>
      <c r="BB285" s="434"/>
      <c r="BC285" s="431"/>
      <c r="BD285" s="435"/>
      <c r="BE285" s="432">
        <v>2021</v>
      </c>
      <c r="BF285" s="425">
        <v>25566</v>
      </c>
      <c r="BG285" s="433">
        <v>-10.11</v>
      </c>
      <c r="BH285" s="425">
        <v>25344</v>
      </c>
      <c r="BI285" s="433">
        <v>-12.19</v>
      </c>
      <c r="BJ285" s="434"/>
      <c r="BK285" s="431"/>
      <c r="BL285" s="435"/>
      <c r="BM285" s="432">
        <v>2022</v>
      </c>
      <c r="BN285" s="425">
        <v>25326</v>
      </c>
      <c r="BO285" s="433">
        <v>-9.07</v>
      </c>
      <c r="BP285" s="425">
        <v>25273</v>
      </c>
      <c r="BQ285" s="433">
        <v>-11.88</v>
      </c>
      <c r="BR285" s="434"/>
      <c r="BS285" s="431"/>
      <c r="BT285" s="435"/>
      <c r="BU285" s="1805" t="s">
        <v>676</v>
      </c>
      <c r="BV285" s="1806" t="s">
        <v>728</v>
      </c>
      <c r="BW285" s="1807" t="s">
        <v>678</v>
      </c>
      <c r="BX285" s="1808" t="s">
        <v>5176</v>
      </c>
      <c r="BY285" s="1809">
        <v>2019</v>
      </c>
      <c r="BZ285" s="424"/>
      <c r="CA285" s="424"/>
      <c r="CB285" s="430"/>
      <c r="CC285" s="431"/>
      <c r="CD285" s="432">
        <v>2022</v>
      </c>
      <c r="CE285" s="425"/>
      <c r="CF285" s="433"/>
      <c r="CG285" s="425"/>
      <c r="CH285" s="433"/>
      <c r="CI285" s="434"/>
      <c r="CJ285" s="431"/>
      <c r="CK285" s="435"/>
      <c r="CL285" s="432">
        <v>2020</v>
      </c>
      <c r="CM285" s="425"/>
      <c r="CN285" s="433"/>
      <c r="CO285" s="425"/>
      <c r="CP285" s="433"/>
      <c r="CQ285" s="434"/>
      <c r="CR285" s="431"/>
      <c r="CS285" s="435"/>
      <c r="CT285" s="432">
        <v>2021</v>
      </c>
      <c r="CU285" s="425"/>
      <c r="CV285" s="433"/>
      <c r="CW285" s="425"/>
      <c r="CX285" s="433"/>
      <c r="CY285" s="434"/>
      <c r="CZ285" s="431"/>
      <c r="DA285" s="435"/>
      <c r="DB285" s="432">
        <v>2022</v>
      </c>
      <c r="DC285" s="425">
        <v>0</v>
      </c>
      <c r="DD285" s="433"/>
      <c r="DE285" s="425">
        <v>0</v>
      </c>
      <c r="DF285" s="433"/>
      <c r="DG285" s="434"/>
      <c r="DH285" s="431"/>
      <c r="DI285" s="435">
        <v>0</v>
      </c>
      <c r="DJ285" s="1805"/>
      <c r="DK285" s="1806"/>
      <c r="DL285" s="1807"/>
      <c r="DM285" s="1808"/>
      <c r="DN285" s="1810">
        <v>0</v>
      </c>
      <c r="DO285" s="1799">
        <v>0</v>
      </c>
      <c r="DP285" s="1800">
        <v>0</v>
      </c>
      <c r="DQ285" s="1799">
        <v>0</v>
      </c>
      <c r="DR285" s="1800">
        <v>0</v>
      </c>
      <c r="DS285" s="1799">
        <v>0</v>
      </c>
    </row>
    <row r="286" spans="1:123" ht="67.5">
      <c r="A286" s="1801" t="s">
        <v>2541</v>
      </c>
      <c r="B286" s="1788" t="s">
        <v>2542</v>
      </c>
      <c r="C286" s="426">
        <v>2020</v>
      </c>
      <c r="D286" s="417" t="s">
        <v>681</v>
      </c>
      <c r="E286" s="1802">
        <v>1028401</v>
      </c>
      <c r="F286" s="1803" t="s">
        <v>2542</v>
      </c>
      <c r="G286" s="419">
        <v>45135</v>
      </c>
      <c r="H286" s="1790" t="s">
        <v>902</v>
      </c>
      <c r="I286" s="1791" t="s">
        <v>2542</v>
      </c>
      <c r="J286" s="1793" t="s">
        <v>2543</v>
      </c>
      <c r="K286" s="1788" t="s">
        <v>2542</v>
      </c>
      <c r="L286" s="1791" t="s">
        <v>2543</v>
      </c>
      <c r="M286" s="1793" t="s">
        <v>902</v>
      </c>
      <c r="N286" s="1790" t="s">
        <v>12</v>
      </c>
      <c r="O286" s="1793" t="s">
        <v>32</v>
      </c>
      <c r="P286" s="420" t="s">
        <v>683</v>
      </c>
      <c r="Q286" s="421"/>
      <c r="R286" s="421"/>
      <c r="S286" s="422"/>
      <c r="T286" s="1794"/>
      <c r="U286" s="423">
        <v>4181.5608000000002</v>
      </c>
      <c r="V286" s="424">
        <v>2</v>
      </c>
      <c r="W286" s="424">
        <v>1</v>
      </c>
      <c r="X286" s="425"/>
      <c r="Y286" s="426">
        <v>2020</v>
      </c>
      <c r="Z286" s="417">
        <v>2022</v>
      </c>
      <c r="AA286" s="1804">
        <v>2022</v>
      </c>
      <c r="AB286" s="427"/>
      <c r="AC286" s="1793"/>
      <c r="AD286" s="428" t="s">
        <v>5863</v>
      </c>
      <c r="AE286" s="1791" t="s">
        <v>2544</v>
      </c>
      <c r="AF286" s="1791" t="s">
        <v>902</v>
      </c>
      <c r="AG286" s="1793" t="s">
        <v>2540</v>
      </c>
      <c r="AH286" s="428"/>
      <c r="AI286" s="1793"/>
      <c r="AJ286" s="429">
        <v>2019</v>
      </c>
      <c r="AK286" s="424">
        <v>7550</v>
      </c>
      <c r="AL286" s="424">
        <v>7348</v>
      </c>
      <c r="AM286" s="430"/>
      <c r="AN286" s="431"/>
      <c r="AO286" s="432">
        <v>2022</v>
      </c>
      <c r="AP286" s="425">
        <v>7326</v>
      </c>
      <c r="AQ286" s="433">
        <v>2.96</v>
      </c>
      <c r="AR286" s="425">
        <v>7124</v>
      </c>
      <c r="AS286" s="433">
        <v>3.04</v>
      </c>
      <c r="AT286" s="434"/>
      <c r="AU286" s="431"/>
      <c r="AV286" s="435"/>
      <c r="AW286" s="432">
        <v>2020</v>
      </c>
      <c r="AX286" s="425">
        <v>6952</v>
      </c>
      <c r="AY286" s="433">
        <v>7.92</v>
      </c>
      <c r="AZ286" s="425">
        <v>6586</v>
      </c>
      <c r="BA286" s="433">
        <v>10.37</v>
      </c>
      <c r="BB286" s="434"/>
      <c r="BC286" s="431"/>
      <c r="BD286" s="435"/>
      <c r="BE286" s="432">
        <v>2021</v>
      </c>
      <c r="BF286" s="425">
        <v>7162</v>
      </c>
      <c r="BG286" s="433">
        <v>5.13</v>
      </c>
      <c r="BH286" s="425">
        <v>7102</v>
      </c>
      <c r="BI286" s="433">
        <v>3.34</v>
      </c>
      <c r="BJ286" s="434"/>
      <c r="BK286" s="431"/>
      <c r="BL286" s="435"/>
      <c r="BM286" s="432">
        <v>2022</v>
      </c>
      <c r="BN286" s="425">
        <v>7625</v>
      </c>
      <c r="BO286" s="433">
        <v>-1</v>
      </c>
      <c r="BP286" s="425">
        <v>7611</v>
      </c>
      <c r="BQ286" s="433">
        <v>-3.58</v>
      </c>
      <c r="BR286" s="434"/>
      <c r="BS286" s="431"/>
      <c r="BT286" s="435"/>
      <c r="BU286" s="1805" t="s">
        <v>676</v>
      </c>
      <c r="BV286" s="1806" t="s">
        <v>728</v>
      </c>
      <c r="BW286" s="1807" t="s">
        <v>688</v>
      </c>
      <c r="BX286" s="1808" t="s">
        <v>5177</v>
      </c>
      <c r="BY286" s="1809">
        <v>2019</v>
      </c>
      <c r="BZ286" s="424"/>
      <c r="CA286" s="424"/>
      <c r="CB286" s="430"/>
      <c r="CC286" s="431"/>
      <c r="CD286" s="432">
        <v>2022</v>
      </c>
      <c r="CE286" s="425"/>
      <c r="CF286" s="433"/>
      <c r="CG286" s="425"/>
      <c r="CH286" s="433"/>
      <c r="CI286" s="434"/>
      <c r="CJ286" s="431"/>
      <c r="CK286" s="435"/>
      <c r="CL286" s="432">
        <v>2020</v>
      </c>
      <c r="CM286" s="425"/>
      <c r="CN286" s="433"/>
      <c r="CO286" s="425"/>
      <c r="CP286" s="433"/>
      <c r="CQ286" s="434"/>
      <c r="CR286" s="431"/>
      <c r="CS286" s="435"/>
      <c r="CT286" s="432">
        <v>2021</v>
      </c>
      <c r="CU286" s="425"/>
      <c r="CV286" s="433"/>
      <c r="CW286" s="425"/>
      <c r="CX286" s="433"/>
      <c r="CY286" s="434"/>
      <c r="CZ286" s="431"/>
      <c r="DA286" s="435"/>
      <c r="DB286" s="432">
        <v>2022</v>
      </c>
      <c r="DC286" s="425">
        <v>0</v>
      </c>
      <c r="DD286" s="433"/>
      <c r="DE286" s="425">
        <v>0</v>
      </c>
      <c r="DF286" s="433"/>
      <c r="DG286" s="434"/>
      <c r="DH286" s="431"/>
      <c r="DI286" s="435"/>
      <c r="DJ286" s="1805"/>
      <c r="DK286" s="1806"/>
      <c r="DL286" s="1807"/>
      <c r="DM286" s="1808"/>
      <c r="DN286" s="1810">
        <v>0</v>
      </c>
      <c r="DO286" s="1799">
        <v>0</v>
      </c>
      <c r="DP286" s="1800">
        <v>0</v>
      </c>
      <c r="DQ286" s="1799">
        <v>0</v>
      </c>
      <c r="DR286" s="1800">
        <v>0</v>
      </c>
      <c r="DS286" s="1799">
        <v>0</v>
      </c>
    </row>
    <row r="287" spans="1:123" ht="81">
      <c r="A287" s="1801" t="s">
        <v>2545</v>
      </c>
      <c r="B287" s="1788" t="s">
        <v>2546</v>
      </c>
      <c r="C287" s="426">
        <v>2020</v>
      </c>
      <c r="D287" s="417" t="s">
        <v>681</v>
      </c>
      <c r="E287" s="1802">
        <v>1065402</v>
      </c>
      <c r="F287" s="1803" t="s">
        <v>2546</v>
      </c>
      <c r="G287" s="419">
        <v>45121</v>
      </c>
      <c r="H287" s="1790" t="s">
        <v>2370</v>
      </c>
      <c r="I287" s="1791" t="s">
        <v>2546</v>
      </c>
      <c r="J287" s="1793" t="s">
        <v>2547</v>
      </c>
      <c r="K287" s="1788" t="s">
        <v>2546</v>
      </c>
      <c r="L287" s="1791" t="s">
        <v>2547</v>
      </c>
      <c r="M287" s="1793" t="s">
        <v>2370</v>
      </c>
      <c r="N287" s="1790" t="s">
        <v>70</v>
      </c>
      <c r="O287" s="1793" t="s">
        <v>74</v>
      </c>
      <c r="P287" s="420" t="s">
        <v>683</v>
      </c>
      <c r="Q287" s="421"/>
      <c r="R287" s="421"/>
      <c r="S287" s="422"/>
      <c r="T287" s="1794"/>
      <c r="U287" s="423">
        <v>2194.6511999999998</v>
      </c>
      <c r="V287" s="424">
        <v>6</v>
      </c>
      <c r="W287" s="424">
        <v>1</v>
      </c>
      <c r="X287" s="425"/>
      <c r="Y287" s="426">
        <v>2020</v>
      </c>
      <c r="Z287" s="417">
        <v>2022</v>
      </c>
      <c r="AA287" s="1804">
        <v>2022</v>
      </c>
      <c r="AB287" s="427"/>
      <c r="AC287" s="1793"/>
      <c r="AD287" s="428" t="s">
        <v>5863</v>
      </c>
      <c r="AE287" s="1791" t="s">
        <v>2548</v>
      </c>
      <c r="AF287" s="1791" t="s">
        <v>2372</v>
      </c>
      <c r="AG287" s="1793" t="s">
        <v>2291</v>
      </c>
      <c r="AH287" s="428"/>
      <c r="AI287" s="1793"/>
      <c r="AJ287" s="429">
        <v>2019</v>
      </c>
      <c r="AK287" s="424">
        <v>3508</v>
      </c>
      <c r="AL287" s="424">
        <v>3322</v>
      </c>
      <c r="AM287" s="430">
        <v>104.72</v>
      </c>
      <c r="AN287" s="431" t="s">
        <v>727</v>
      </c>
      <c r="AO287" s="432">
        <v>2022</v>
      </c>
      <c r="AP287" s="425">
        <v>3402.7599999999998</v>
      </c>
      <c r="AQ287" s="433">
        <v>3</v>
      </c>
      <c r="AR287" s="425">
        <v>3222.3399999999997</v>
      </c>
      <c r="AS287" s="433">
        <v>3</v>
      </c>
      <c r="AT287" s="434">
        <v>101.5784</v>
      </c>
      <c r="AU287" s="431" t="s">
        <v>727</v>
      </c>
      <c r="AV287" s="435">
        <v>3</v>
      </c>
      <c r="AW287" s="432">
        <v>2020</v>
      </c>
      <c r="AX287" s="425">
        <v>3340</v>
      </c>
      <c r="AY287" s="433">
        <v>4.78</v>
      </c>
      <c r="AZ287" s="425">
        <v>2993</v>
      </c>
      <c r="BA287" s="433">
        <v>9.9</v>
      </c>
      <c r="BB287" s="434">
        <v>98.6</v>
      </c>
      <c r="BC287" s="431" t="s">
        <v>727</v>
      </c>
      <c r="BD287" s="435">
        <v>5.84</v>
      </c>
      <c r="BE287" s="432">
        <v>2021</v>
      </c>
      <c r="BF287" s="425">
        <v>3442</v>
      </c>
      <c r="BG287" s="433">
        <v>1.88</v>
      </c>
      <c r="BH287" s="425">
        <v>3016</v>
      </c>
      <c r="BI287" s="433">
        <v>9.2100000000000009</v>
      </c>
      <c r="BJ287" s="434">
        <v>62.44</v>
      </c>
      <c r="BK287" s="431" t="s">
        <v>727</v>
      </c>
      <c r="BL287" s="435">
        <v>40.369999999999997</v>
      </c>
      <c r="BM287" s="432">
        <v>2022</v>
      </c>
      <c r="BN287" s="425">
        <v>3849</v>
      </c>
      <c r="BO287" s="433">
        <v>-9.73</v>
      </c>
      <c r="BP287" s="425">
        <v>3883</v>
      </c>
      <c r="BQ287" s="433">
        <v>-16.89</v>
      </c>
      <c r="BR287" s="434">
        <v>69.829462989840351</v>
      </c>
      <c r="BS287" s="431" t="s">
        <v>727</v>
      </c>
      <c r="BT287" s="435">
        <v>33.31</v>
      </c>
      <c r="BU287" s="1805" t="s">
        <v>719</v>
      </c>
      <c r="BV287" s="1806" t="s">
        <v>728</v>
      </c>
      <c r="BW287" s="1807" t="s">
        <v>678</v>
      </c>
      <c r="BX287" s="1808" t="s">
        <v>5178</v>
      </c>
      <c r="BY287" s="1809">
        <v>2019</v>
      </c>
      <c r="BZ287" s="424"/>
      <c r="CA287" s="424"/>
      <c r="CB287" s="430"/>
      <c r="CC287" s="431"/>
      <c r="CD287" s="432">
        <v>2022</v>
      </c>
      <c r="CE287" s="425"/>
      <c r="CF287" s="433"/>
      <c r="CG287" s="425"/>
      <c r="CH287" s="433"/>
      <c r="CI287" s="434"/>
      <c r="CJ287" s="431"/>
      <c r="CK287" s="435"/>
      <c r="CL287" s="432">
        <v>2020</v>
      </c>
      <c r="CM287" s="425"/>
      <c r="CN287" s="433"/>
      <c r="CO287" s="425"/>
      <c r="CP287" s="433"/>
      <c r="CQ287" s="434"/>
      <c r="CR287" s="431"/>
      <c r="CS287" s="435"/>
      <c r="CT287" s="432">
        <v>2021</v>
      </c>
      <c r="CU287" s="425"/>
      <c r="CV287" s="433"/>
      <c r="CW287" s="425"/>
      <c r="CX287" s="433"/>
      <c r="CY287" s="434"/>
      <c r="CZ287" s="431"/>
      <c r="DA287" s="435"/>
      <c r="DB287" s="432">
        <v>2022</v>
      </c>
      <c r="DC287" s="425">
        <v>0</v>
      </c>
      <c r="DD287" s="433"/>
      <c r="DE287" s="425">
        <v>0</v>
      </c>
      <c r="DF287" s="433"/>
      <c r="DG287" s="434"/>
      <c r="DH287" s="431"/>
      <c r="DI287" s="435">
        <v>0</v>
      </c>
      <c r="DJ287" s="1805"/>
      <c r="DK287" s="1806"/>
      <c r="DL287" s="1807"/>
      <c r="DM287" s="1808"/>
      <c r="DN287" s="1810">
        <v>0</v>
      </c>
      <c r="DO287" s="1799">
        <v>0</v>
      </c>
      <c r="DP287" s="1800">
        <v>0</v>
      </c>
      <c r="DQ287" s="1799">
        <v>0</v>
      </c>
      <c r="DR287" s="1800">
        <v>0</v>
      </c>
      <c r="DS287" s="1799">
        <v>0</v>
      </c>
    </row>
    <row r="288" spans="1:123" ht="67.5">
      <c r="A288" s="1801" t="s">
        <v>2549</v>
      </c>
      <c r="B288" s="1788" t="s">
        <v>2553</v>
      </c>
      <c r="C288" s="426">
        <v>2020</v>
      </c>
      <c r="D288" s="417" t="s">
        <v>681</v>
      </c>
      <c r="E288" s="1802">
        <v>1016403</v>
      </c>
      <c r="F288" s="1803" t="s">
        <v>2553</v>
      </c>
      <c r="G288" s="419">
        <v>45195</v>
      </c>
      <c r="H288" s="1790" t="s">
        <v>2551</v>
      </c>
      <c r="I288" s="1791" t="s">
        <v>2550</v>
      </c>
      <c r="J288" s="1793" t="s">
        <v>2552</v>
      </c>
      <c r="K288" s="1788" t="s">
        <v>2553</v>
      </c>
      <c r="L288" s="1791" t="s">
        <v>2552</v>
      </c>
      <c r="M288" s="1793" t="s">
        <v>2554</v>
      </c>
      <c r="N288" s="1790" t="s">
        <v>12</v>
      </c>
      <c r="O288" s="1793" t="s">
        <v>20</v>
      </c>
      <c r="P288" s="420" t="s">
        <v>683</v>
      </c>
      <c r="Q288" s="421"/>
      <c r="R288" s="421"/>
      <c r="S288" s="422"/>
      <c r="T288" s="1794"/>
      <c r="U288" s="423">
        <v>988.68179999999995</v>
      </c>
      <c r="V288" s="424">
        <v>1</v>
      </c>
      <c r="W288" s="424">
        <v>1</v>
      </c>
      <c r="X288" s="425"/>
      <c r="Y288" s="426">
        <v>2020</v>
      </c>
      <c r="Z288" s="417">
        <v>2022</v>
      </c>
      <c r="AA288" s="1804">
        <v>2022</v>
      </c>
      <c r="AB288" s="427"/>
      <c r="AC288" s="1793"/>
      <c r="AD288" s="428" t="s">
        <v>5863</v>
      </c>
      <c r="AE288" s="1791" t="s">
        <v>2555</v>
      </c>
      <c r="AF288" s="1791" t="s">
        <v>2554</v>
      </c>
      <c r="AG288" s="1793" t="s">
        <v>2556</v>
      </c>
      <c r="AH288" s="428"/>
      <c r="AI288" s="1793"/>
      <c r="AJ288" s="429">
        <v>2019</v>
      </c>
      <c r="AK288" s="424">
        <v>3285</v>
      </c>
      <c r="AL288" s="424">
        <v>3258</v>
      </c>
      <c r="AM288" s="430"/>
      <c r="AN288" s="431"/>
      <c r="AO288" s="432">
        <v>2022</v>
      </c>
      <c r="AP288" s="425">
        <v>3186</v>
      </c>
      <c r="AQ288" s="433">
        <v>3.01</v>
      </c>
      <c r="AR288" s="425">
        <v>3160</v>
      </c>
      <c r="AS288" s="433">
        <v>3</v>
      </c>
      <c r="AT288" s="434"/>
      <c r="AU288" s="431"/>
      <c r="AV288" s="435"/>
      <c r="AW288" s="432">
        <v>2020</v>
      </c>
      <c r="AX288" s="425">
        <v>3459</v>
      </c>
      <c r="AY288" s="433">
        <v>-5.3</v>
      </c>
      <c r="AZ288" s="425">
        <v>3637</v>
      </c>
      <c r="BA288" s="433">
        <v>-11.64</v>
      </c>
      <c r="BB288" s="434"/>
      <c r="BC288" s="431"/>
      <c r="BD288" s="435"/>
      <c r="BE288" s="432">
        <v>2021</v>
      </c>
      <c r="BF288" s="425">
        <v>3037</v>
      </c>
      <c r="BG288" s="433">
        <v>7.54</v>
      </c>
      <c r="BH288" s="425">
        <v>3010</v>
      </c>
      <c r="BI288" s="433">
        <v>7.61</v>
      </c>
      <c r="BJ288" s="434"/>
      <c r="BK288" s="431"/>
      <c r="BL288" s="435"/>
      <c r="BM288" s="432">
        <v>2022</v>
      </c>
      <c r="BN288" s="425">
        <v>1741</v>
      </c>
      <c r="BO288" s="433">
        <v>47</v>
      </c>
      <c r="BP288" s="425">
        <v>1756</v>
      </c>
      <c r="BQ288" s="433">
        <v>46.1</v>
      </c>
      <c r="BR288" s="434"/>
      <c r="BS288" s="431"/>
      <c r="BT288" s="435"/>
      <c r="BU288" s="1805" t="s">
        <v>676</v>
      </c>
      <c r="BV288" s="1806" t="s">
        <v>728</v>
      </c>
      <c r="BW288" s="1807" t="s">
        <v>697</v>
      </c>
      <c r="BX288" s="1808" t="s">
        <v>5179</v>
      </c>
      <c r="BY288" s="1809">
        <v>2019</v>
      </c>
      <c r="BZ288" s="424"/>
      <c r="CA288" s="424"/>
      <c r="CB288" s="430"/>
      <c r="CC288" s="431"/>
      <c r="CD288" s="432">
        <v>2022</v>
      </c>
      <c r="CE288" s="425"/>
      <c r="CF288" s="433"/>
      <c r="CG288" s="425"/>
      <c r="CH288" s="433"/>
      <c r="CI288" s="434"/>
      <c r="CJ288" s="431"/>
      <c r="CK288" s="435"/>
      <c r="CL288" s="432">
        <v>2020</v>
      </c>
      <c r="CM288" s="425"/>
      <c r="CN288" s="433"/>
      <c r="CO288" s="425"/>
      <c r="CP288" s="433"/>
      <c r="CQ288" s="434"/>
      <c r="CR288" s="431"/>
      <c r="CS288" s="435"/>
      <c r="CT288" s="432">
        <v>2021</v>
      </c>
      <c r="CU288" s="425"/>
      <c r="CV288" s="433"/>
      <c r="CW288" s="425"/>
      <c r="CX288" s="433"/>
      <c r="CY288" s="434"/>
      <c r="CZ288" s="431"/>
      <c r="DA288" s="435"/>
      <c r="DB288" s="432">
        <v>2022</v>
      </c>
      <c r="DC288" s="425">
        <v>1739.93208</v>
      </c>
      <c r="DD288" s="433"/>
      <c r="DE288" s="425">
        <v>1754.93208</v>
      </c>
      <c r="DF288" s="433"/>
      <c r="DG288" s="434"/>
      <c r="DH288" s="431"/>
      <c r="DI288" s="435"/>
      <c r="DJ288" s="1805"/>
      <c r="DK288" s="1806"/>
      <c r="DL288" s="1807"/>
      <c r="DM288" s="1808"/>
      <c r="DN288" s="1810">
        <v>0</v>
      </c>
      <c r="DO288" s="1799">
        <v>0</v>
      </c>
      <c r="DP288" s="1800">
        <v>0</v>
      </c>
      <c r="DQ288" s="1799">
        <v>0</v>
      </c>
      <c r="DR288" s="1800">
        <v>0</v>
      </c>
      <c r="DS288" s="1799">
        <v>0</v>
      </c>
    </row>
    <row r="289" spans="1:123" ht="94.5">
      <c r="A289" s="1801" t="s">
        <v>2557</v>
      </c>
      <c r="B289" s="1788" t="s">
        <v>2558</v>
      </c>
      <c r="C289" s="426">
        <v>2020</v>
      </c>
      <c r="D289" s="417" t="s">
        <v>681</v>
      </c>
      <c r="E289" s="1802">
        <v>1056404</v>
      </c>
      <c r="F289" s="1803" t="s">
        <v>2558</v>
      </c>
      <c r="G289" s="419">
        <v>45138</v>
      </c>
      <c r="H289" s="1790" t="s">
        <v>2559</v>
      </c>
      <c r="I289" s="1791" t="s">
        <v>2558</v>
      </c>
      <c r="J289" s="1793" t="s">
        <v>2560</v>
      </c>
      <c r="K289" s="1788" t="s">
        <v>2558</v>
      </c>
      <c r="L289" s="1791" t="s">
        <v>2560</v>
      </c>
      <c r="M289" s="1793" t="s">
        <v>2559</v>
      </c>
      <c r="N289" s="1790" t="s">
        <v>57</v>
      </c>
      <c r="O289" s="1793" t="s">
        <v>64</v>
      </c>
      <c r="P289" s="420" t="s">
        <v>683</v>
      </c>
      <c r="Q289" s="421"/>
      <c r="R289" s="421"/>
      <c r="S289" s="422"/>
      <c r="T289" s="1794"/>
      <c r="U289" s="423">
        <v>4137.4427999999998</v>
      </c>
      <c r="V289" s="424">
        <v>10</v>
      </c>
      <c r="W289" s="424">
        <v>1</v>
      </c>
      <c r="X289" s="425"/>
      <c r="Y289" s="426">
        <v>2020</v>
      </c>
      <c r="Z289" s="417">
        <v>2022</v>
      </c>
      <c r="AA289" s="1804">
        <v>2022</v>
      </c>
      <c r="AB289" s="427"/>
      <c r="AC289" s="1793"/>
      <c r="AD289" s="428"/>
      <c r="AE289" s="1791"/>
      <c r="AF289" s="1791"/>
      <c r="AG289" s="1793"/>
      <c r="AH289" s="428" t="s">
        <v>5863</v>
      </c>
      <c r="AI289" s="1793" t="s">
        <v>2561</v>
      </c>
      <c r="AJ289" s="429">
        <v>2019</v>
      </c>
      <c r="AK289" s="424">
        <v>8900</v>
      </c>
      <c r="AL289" s="424">
        <v>9526</v>
      </c>
      <c r="AM289" s="430">
        <v>32.799999999999997</v>
      </c>
      <c r="AN289" s="431" t="s">
        <v>2562</v>
      </c>
      <c r="AO289" s="432">
        <v>2022</v>
      </c>
      <c r="AP289" s="425">
        <v>8366</v>
      </c>
      <c r="AQ289" s="433">
        <v>6</v>
      </c>
      <c r="AR289" s="425">
        <v>8954</v>
      </c>
      <c r="AS289" s="433">
        <v>6</v>
      </c>
      <c r="AT289" s="434">
        <v>30.83</v>
      </c>
      <c r="AU289" s="431" t="s">
        <v>2562</v>
      </c>
      <c r="AV289" s="435">
        <v>6</v>
      </c>
      <c r="AW289" s="432">
        <v>2020</v>
      </c>
      <c r="AX289" s="425">
        <v>8689</v>
      </c>
      <c r="AY289" s="433">
        <v>2.37</v>
      </c>
      <c r="AZ289" s="425">
        <v>7856</v>
      </c>
      <c r="BA289" s="433">
        <v>17.53</v>
      </c>
      <c r="BB289" s="434">
        <v>32.020000000000003</v>
      </c>
      <c r="BC289" s="431" t="s">
        <v>2562</v>
      </c>
      <c r="BD289" s="435">
        <v>2.37</v>
      </c>
      <c r="BE289" s="432">
        <v>2021</v>
      </c>
      <c r="BF289" s="425">
        <v>7272</v>
      </c>
      <c r="BG289" s="433">
        <v>18.29</v>
      </c>
      <c r="BH289" s="425">
        <v>7198</v>
      </c>
      <c r="BI289" s="433">
        <v>24.43</v>
      </c>
      <c r="BJ289" s="434">
        <v>33.119999999999997</v>
      </c>
      <c r="BK289" s="431" t="s">
        <v>2562</v>
      </c>
      <c r="BL289" s="435">
        <v>-0.98</v>
      </c>
      <c r="BM289" s="432">
        <v>2022</v>
      </c>
      <c r="BN289" s="425">
        <v>7518</v>
      </c>
      <c r="BO289" s="433">
        <v>15.52</v>
      </c>
      <c r="BP289" s="425">
        <v>7504</v>
      </c>
      <c r="BQ289" s="433">
        <v>21.22</v>
      </c>
      <c r="BR289" s="434">
        <v>34.237467210725733</v>
      </c>
      <c r="BS289" s="431" t="s">
        <v>2562</v>
      </c>
      <c r="BT289" s="435">
        <v>-4.3899999999999997</v>
      </c>
      <c r="BU289" s="1805" t="s">
        <v>676</v>
      </c>
      <c r="BV289" s="1806" t="s">
        <v>728</v>
      </c>
      <c r="BW289" s="1807" t="s">
        <v>697</v>
      </c>
      <c r="BX289" s="1808" t="s">
        <v>5180</v>
      </c>
      <c r="BY289" s="1809">
        <v>2019</v>
      </c>
      <c r="BZ289" s="424"/>
      <c r="CA289" s="424"/>
      <c r="CB289" s="430"/>
      <c r="CC289" s="431"/>
      <c r="CD289" s="432">
        <v>2022</v>
      </c>
      <c r="CE289" s="425"/>
      <c r="CF289" s="433"/>
      <c r="CG289" s="425"/>
      <c r="CH289" s="433"/>
      <c r="CI289" s="434"/>
      <c r="CJ289" s="431"/>
      <c r="CK289" s="435"/>
      <c r="CL289" s="432">
        <v>2020</v>
      </c>
      <c r="CM289" s="425"/>
      <c r="CN289" s="433"/>
      <c r="CO289" s="425"/>
      <c r="CP289" s="433"/>
      <c r="CQ289" s="434"/>
      <c r="CR289" s="431"/>
      <c r="CS289" s="435"/>
      <c r="CT289" s="432">
        <v>2021</v>
      </c>
      <c r="CU289" s="425"/>
      <c r="CV289" s="433"/>
      <c r="CW289" s="425"/>
      <c r="CX289" s="433"/>
      <c r="CY289" s="434"/>
      <c r="CZ289" s="431"/>
      <c r="DA289" s="435"/>
      <c r="DB289" s="432">
        <v>2022</v>
      </c>
      <c r="DC289" s="425">
        <v>0</v>
      </c>
      <c r="DD289" s="433"/>
      <c r="DE289" s="425">
        <v>0</v>
      </c>
      <c r="DF289" s="433"/>
      <c r="DG289" s="434"/>
      <c r="DH289" s="431"/>
      <c r="DI289" s="435">
        <v>0</v>
      </c>
      <c r="DJ289" s="1805"/>
      <c r="DK289" s="1806"/>
      <c r="DL289" s="1807"/>
      <c r="DM289" s="1808"/>
      <c r="DN289" s="1810">
        <v>0</v>
      </c>
      <c r="DO289" s="1799">
        <v>0</v>
      </c>
      <c r="DP289" s="1800">
        <v>0</v>
      </c>
      <c r="DQ289" s="1799">
        <v>0</v>
      </c>
      <c r="DR289" s="1800">
        <v>0</v>
      </c>
      <c r="DS289" s="1799">
        <v>0</v>
      </c>
    </row>
    <row r="290" spans="1:123" ht="67.5">
      <c r="A290" s="1801" t="s">
        <v>2563</v>
      </c>
      <c r="B290" s="1788" t="s">
        <v>2564</v>
      </c>
      <c r="C290" s="426">
        <v>2021</v>
      </c>
      <c r="D290" s="417" t="s">
        <v>681</v>
      </c>
      <c r="E290" s="1802">
        <v>1075405</v>
      </c>
      <c r="F290" s="1803" t="s">
        <v>2564</v>
      </c>
      <c r="G290" s="419">
        <v>45119</v>
      </c>
      <c r="H290" s="1790" t="s">
        <v>2565</v>
      </c>
      <c r="I290" s="1791" t="s">
        <v>2564</v>
      </c>
      <c r="J290" s="1793" t="s">
        <v>2566</v>
      </c>
      <c r="K290" s="1788" t="s">
        <v>2564</v>
      </c>
      <c r="L290" s="1791" t="s">
        <v>2566</v>
      </c>
      <c r="M290" s="1793" t="s">
        <v>2565</v>
      </c>
      <c r="N290" s="1790" t="s">
        <v>86</v>
      </c>
      <c r="O290" s="1793" t="s">
        <v>87</v>
      </c>
      <c r="P290" s="420" t="s">
        <v>683</v>
      </c>
      <c r="Q290" s="421"/>
      <c r="R290" s="421"/>
      <c r="S290" s="422"/>
      <c r="T290" s="1794"/>
      <c r="U290" s="423">
        <v>3152.3987999999999</v>
      </c>
      <c r="V290" s="424">
        <v>1</v>
      </c>
      <c r="W290" s="424">
        <v>1</v>
      </c>
      <c r="X290" s="425">
        <v>55</v>
      </c>
      <c r="Y290" s="426">
        <v>2021</v>
      </c>
      <c r="Z290" s="417">
        <v>2023</v>
      </c>
      <c r="AA290" s="1804">
        <v>2022</v>
      </c>
      <c r="AB290" s="427" t="s">
        <v>5863</v>
      </c>
      <c r="AC290" s="1793" t="s">
        <v>2567</v>
      </c>
      <c r="AD290" s="428"/>
      <c r="AE290" s="1791"/>
      <c r="AF290" s="1791"/>
      <c r="AG290" s="1793"/>
      <c r="AH290" s="428"/>
      <c r="AI290" s="1793"/>
      <c r="AJ290" s="429">
        <v>2020</v>
      </c>
      <c r="AK290" s="424">
        <v>2762</v>
      </c>
      <c r="AL290" s="424">
        <v>2718</v>
      </c>
      <c r="AM290" s="430">
        <v>57.41</v>
      </c>
      <c r="AN290" s="431" t="s">
        <v>727</v>
      </c>
      <c r="AO290" s="432">
        <v>2023</v>
      </c>
      <c r="AP290" s="425">
        <v>5500</v>
      </c>
      <c r="AQ290" s="433">
        <v>-99.14</v>
      </c>
      <c r="AR290" s="425">
        <v>5436</v>
      </c>
      <c r="AS290" s="433">
        <v>-100</v>
      </c>
      <c r="AT290" s="434">
        <v>114.32</v>
      </c>
      <c r="AU290" s="431" t="s">
        <v>727</v>
      </c>
      <c r="AV290" s="435">
        <v>-99.13</v>
      </c>
      <c r="AW290" s="432">
        <v>2021</v>
      </c>
      <c r="AX290" s="425">
        <v>4791</v>
      </c>
      <c r="AY290" s="433">
        <v>-73.47</v>
      </c>
      <c r="AZ290" s="425">
        <v>4770</v>
      </c>
      <c r="BA290" s="433">
        <v>-75.5</v>
      </c>
      <c r="BB290" s="434">
        <v>99.58</v>
      </c>
      <c r="BC290" s="431" t="s">
        <v>727</v>
      </c>
      <c r="BD290" s="435">
        <v>-73.459999999999994</v>
      </c>
      <c r="BE290" s="432">
        <v>2022</v>
      </c>
      <c r="BF290" s="425">
        <v>5469</v>
      </c>
      <c r="BG290" s="433">
        <v>-98.01</v>
      </c>
      <c r="BH290" s="425">
        <v>5463</v>
      </c>
      <c r="BI290" s="433">
        <v>-101</v>
      </c>
      <c r="BJ290" s="434">
        <v>113.66645287092487</v>
      </c>
      <c r="BK290" s="431" t="s">
        <v>727</v>
      </c>
      <c r="BL290" s="435">
        <v>-98</v>
      </c>
      <c r="BM290" s="432">
        <v>2023</v>
      </c>
      <c r="BN290" s="425"/>
      <c r="BO290" s="433"/>
      <c r="BP290" s="425"/>
      <c r="BQ290" s="433"/>
      <c r="BR290" s="434"/>
      <c r="BS290" s="431"/>
      <c r="BT290" s="435"/>
      <c r="BU290" s="1805" t="s">
        <v>719</v>
      </c>
      <c r="BV290" s="1806" t="s">
        <v>728</v>
      </c>
      <c r="BW290" s="1807" t="s">
        <v>678</v>
      </c>
      <c r="BX290" s="1808"/>
      <c r="BY290" s="1809">
        <v>2020</v>
      </c>
      <c r="BZ290" s="424"/>
      <c r="CA290" s="424"/>
      <c r="CB290" s="430"/>
      <c r="CC290" s="431"/>
      <c r="CD290" s="432">
        <v>2023</v>
      </c>
      <c r="CE290" s="425"/>
      <c r="CF290" s="433"/>
      <c r="CG290" s="425"/>
      <c r="CH290" s="433"/>
      <c r="CI290" s="434"/>
      <c r="CJ290" s="431"/>
      <c r="CK290" s="435"/>
      <c r="CL290" s="432">
        <v>2021</v>
      </c>
      <c r="CM290" s="425"/>
      <c r="CN290" s="433"/>
      <c r="CO290" s="425"/>
      <c r="CP290" s="433"/>
      <c r="CQ290" s="434"/>
      <c r="CR290" s="431"/>
      <c r="CS290" s="435"/>
      <c r="CT290" s="432">
        <v>2022</v>
      </c>
      <c r="CU290" s="425">
        <v>2.2271999999999998</v>
      </c>
      <c r="CV290" s="433"/>
      <c r="CW290" s="425">
        <v>2.2271999999999998</v>
      </c>
      <c r="CX290" s="433"/>
      <c r="CY290" s="434"/>
      <c r="CZ290" s="431"/>
      <c r="DA290" s="435">
        <v>0</v>
      </c>
      <c r="DB290" s="432">
        <v>2023</v>
      </c>
      <c r="DC290" s="425"/>
      <c r="DD290" s="433"/>
      <c r="DE290" s="425"/>
      <c r="DF290" s="433"/>
      <c r="DG290" s="434"/>
      <c r="DH290" s="431"/>
      <c r="DI290" s="435"/>
      <c r="DJ290" s="1805"/>
      <c r="DK290" s="1806"/>
      <c r="DL290" s="1807"/>
      <c r="DM290" s="1808"/>
      <c r="DN290" s="1810">
        <v>0</v>
      </c>
      <c r="DO290" s="1799">
        <v>0</v>
      </c>
      <c r="DP290" s="1800">
        <v>0</v>
      </c>
      <c r="DQ290" s="1799">
        <v>0</v>
      </c>
      <c r="DR290" s="1800">
        <v>0</v>
      </c>
      <c r="DS290" s="1799">
        <v>0</v>
      </c>
    </row>
    <row r="291" spans="1:123" ht="81">
      <c r="A291" s="1801" t="s">
        <v>2568</v>
      </c>
      <c r="B291" s="1788" t="s">
        <v>2572</v>
      </c>
      <c r="C291" s="426">
        <v>2021</v>
      </c>
      <c r="D291" s="417" t="s">
        <v>681</v>
      </c>
      <c r="E291" s="1802">
        <v>1059406</v>
      </c>
      <c r="F291" s="1803" t="s">
        <v>2572</v>
      </c>
      <c r="G291" s="419">
        <v>45138</v>
      </c>
      <c r="H291" s="1790" t="s">
        <v>2569</v>
      </c>
      <c r="I291" s="1791" t="s">
        <v>2570</v>
      </c>
      <c r="J291" s="1793" t="s">
        <v>2571</v>
      </c>
      <c r="K291" s="1788" t="s">
        <v>2572</v>
      </c>
      <c r="L291" s="1791" t="s">
        <v>2573</v>
      </c>
      <c r="M291" s="1793" t="s">
        <v>2574</v>
      </c>
      <c r="N291" s="1790" t="s">
        <v>57</v>
      </c>
      <c r="O291" s="1793" t="s">
        <v>67</v>
      </c>
      <c r="P291" s="420" t="s">
        <v>683</v>
      </c>
      <c r="Q291" s="421"/>
      <c r="R291" s="421"/>
      <c r="S291" s="422"/>
      <c r="T291" s="1794"/>
      <c r="U291" s="423">
        <v>2733.2777999999998</v>
      </c>
      <c r="V291" s="424">
        <v>31</v>
      </c>
      <c r="W291" s="424">
        <v>0</v>
      </c>
      <c r="X291" s="425"/>
      <c r="Y291" s="426">
        <v>2021</v>
      </c>
      <c r="Z291" s="417">
        <v>2023</v>
      </c>
      <c r="AA291" s="1804">
        <v>2022</v>
      </c>
      <c r="AB291" s="427"/>
      <c r="AC291" s="1793"/>
      <c r="AD291" s="428" t="s">
        <v>5863</v>
      </c>
      <c r="AE291" s="1791" t="s">
        <v>2575</v>
      </c>
      <c r="AF291" s="1791" t="s">
        <v>2576</v>
      </c>
      <c r="AG291" s="1793" t="s">
        <v>807</v>
      </c>
      <c r="AH291" s="428"/>
      <c r="AI291" s="1793"/>
      <c r="AJ291" s="429">
        <v>2020</v>
      </c>
      <c r="AK291" s="424">
        <v>4634</v>
      </c>
      <c r="AL291" s="424">
        <v>4482</v>
      </c>
      <c r="AM291" s="430">
        <v>58.22</v>
      </c>
      <c r="AN291" s="431" t="s">
        <v>727</v>
      </c>
      <c r="AO291" s="432">
        <v>2023</v>
      </c>
      <c r="AP291" s="425">
        <v>4565</v>
      </c>
      <c r="AQ291" s="433">
        <v>1.48</v>
      </c>
      <c r="AR291" s="425">
        <v>4415</v>
      </c>
      <c r="AS291" s="433">
        <v>1.49</v>
      </c>
      <c r="AT291" s="434">
        <v>57.35</v>
      </c>
      <c r="AU291" s="431" t="s">
        <v>727</v>
      </c>
      <c r="AV291" s="435">
        <v>1.49</v>
      </c>
      <c r="AW291" s="432">
        <v>2021</v>
      </c>
      <c r="AX291" s="425">
        <v>3918</v>
      </c>
      <c r="AY291" s="433">
        <v>15.45</v>
      </c>
      <c r="AZ291" s="425">
        <v>3882</v>
      </c>
      <c r="BA291" s="433">
        <v>13.38</v>
      </c>
      <c r="BB291" s="434">
        <v>47.87</v>
      </c>
      <c r="BC291" s="431" t="s">
        <v>727</v>
      </c>
      <c r="BD291" s="435">
        <v>17.77</v>
      </c>
      <c r="BE291" s="432">
        <v>2022</v>
      </c>
      <c r="BF291" s="425">
        <v>4856</v>
      </c>
      <c r="BG291" s="433">
        <v>-4.8</v>
      </c>
      <c r="BH291" s="425">
        <v>4845</v>
      </c>
      <c r="BI291" s="433">
        <v>-8.1</v>
      </c>
      <c r="BJ291" s="434">
        <v>54.911628012167398</v>
      </c>
      <c r="BK291" s="431" t="s">
        <v>727</v>
      </c>
      <c r="BL291" s="435">
        <v>5.68</v>
      </c>
      <c r="BM291" s="432">
        <v>2023</v>
      </c>
      <c r="BN291" s="425"/>
      <c r="BO291" s="433"/>
      <c r="BP291" s="425"/>
      <c r="BQ291" s="433"/>
      <c r="BR291" s="434"/>
      <c r="BS291" s="431"/>
      <c r="BT291" s="435"/>
      <c r="BU291" s="1805" t="s">
        <v>687</v>
      </c>
      <c r="BV291" s="1806" t="s">
        <v>728</v>
      </c>
      <c r="BW291" s="1807" t="s">
        <v>688</v>
      </c>
      <c r="BX291" s="1808" t="s">
        <v>2577</v>
      </c>
      <c r="BY291" s="1809">
        <v>2020</v>
      </c>
      <c r="BZ291" s="424"/>
      <c r="CA291" s="424"/>
      <c r="CB291" s="430"/>
      <c r="CC291" s="431"/>
      <c r="CD291" s="432">
        <v>2023</v>
      </c>
      <c r="CE291" s="425"/>
      <c r="CF291" s="433"/>
      <c r="CG291" s="425"/>
      <c r="CH291" s="433"/>
      <c r="CI291" s="434"/>
      <c r="CJ291" s="431"/>
      <c r="CK291" s="435"/>
      <c r="CL291" s="432">
        <v>2021</v>
      </c>
      <c r="CM291" s="425"/>
      <c r="CN291" s="433"/>
      <c r="CO291" s="425"/>
      <c r="CP291" s="433"/>
      <c r="CQ291" s="434"/>
      <c r="CR291" s="431"/>
      <c r="CS291" s="435"/>
      <c r="CT291" s="432">
        <v>2022</v>
      </c>
      <c r="CU291" s="425">
        <v>0</v>
      </c>
      <c r="CV291" s="433"/>
      <c r="CW291" s="425">
        <v>0</v>
      </c>
      <c r="CX291" s="433"/>
      <c r="CY291" s="434"/>
      <c r="CZ291" s="431"/>
      <c r="DA291" s="435">
        <v>0</v>
      </c>
      <c r="DB291" s="432">
        <v>2023</v>
      </c>
      <c r="DC291" s="425"/>
      <c r="DD291" s="433"/>
      <c r="DE291" s="425"/>
      <c r="DF291" s="433"/>
      <c r="DG291" s="434"/>
      <c r="DH291" s="431"/>
      <c r="DI291" s="435"/>
      <c r="DJ291" s="1805"/>
      <c r="DK291" s="1806"/>
      <c r="DL291" s="1807"/>
      <c r="DM291" s="1808"/>
      <c r="DN291" s="1810">
        <v>0</v>
      </c>
      <c r="DO291" s="1799">
        <v>0</v>
      </c>
      <c r="DP291" s="1800">
        <v>0</v>
      </c>
      <c r="DQ291" s="1799">
        <v>0</v>
      </c>
      <c r="DR291" s="1800">
        <v>0</v>
      </c>
      <c r="DS291" s="1799">
        <v>0</v>
      </c>
    </row>
    <row r="292" spans="1:123" ht="67.5">
      <c r="A292" s="1801" t="s">
        <v>2578</v>
      </c>
      <c r="B292" s="1788" t="s">
        <v>2579</v>
      </c>
      <c r="C292" s="426">
        <v>2021</v>
      </c>
      <c r="D292" s="417" t="s">
        <v>681</v>
      </c>
      <c r="E292" s="1802">
        <v>1083407</v>
      </c>
      <c r="F292" s="1803" t="s">
        <v>2579</v>
      </c>
      <c r="G292" s="419">
        <v>45125</v>
      </c>
      <c r="H292" s="1790" t="s">
        <v>2580</v>
      </c>
      <c r="I292" s="1791" t="s">
        <v>2579</v>
      </c>
      <c r="J292" s="1793" t="s">
        <v>2581</v>
      </c>
      <c r="K292" s="1788" t="s">
        <v>2579</v>
      </c>
      <c r="L292" s="1791" t="s">
        <v>2581</v>
      </c>
      <c r="M292" s="1793" t="s">
        <v>2580</v>
      </c>
      <c r="N292" s="1790" t="s">
        <v>523</v>
      </c>
      <c r="O292" s="1793" t="s">
        <v>96</v>
      </c>
      <c r="P292" s="420" t="s">
        <v>683</v>
      </c>
      <c r="Q292" s="421"/>
      <c r="R292" s="421"/>
      <c r="S292" s="422"/>
      <c r="T292" s="1794"/>
      <c r="U292" s="423">
        <v>3407.9994000000002</v>
      </c>
      <c r="V292" s="424">
        <v>47</v>
      </c>
      <c r="W292" s="424">
        <v>0</v>
      </c>
      <c r="X292" s="425"/>
      <c r="Y292" s="426">
        <v>2021</v>
      </c>
      <c r="Z292" s="417">
        <v>2023</v>
      </c>
      <c r="AA292" s="1804">
        <v>2022</v>
      </c>
      <c r="AB292" s="427"/>
      <c r="AC292" s="1793"/>
      <c r="AD292" s="428" t="s">
        <v>5863</v>
      </c>
      <c r="AE292" s="1791" t="s">
        <v>5181</v>
      </c>
      <c r="AF292" s="1791" t="s">
        <v>2582</v>
      </c>
      <c r="AG292" s="1793" t="s">
        <v>2583</v>
      </c>
      <c r="AH292" s="428"/>
      <c r="AI292" s="1793"/>
      <c r="AJ292" s="429">
        <v>2020</v>
      </c>
      <c r="AK292" s="424">
        <v>4653</v>
      </c>
      <c r="AL292" s="424">
        <v>4505</v>
      </c>
      <c r="AM292" s="430"/>
      <c r="AN292" s="431"/>
      <c r="AO292" s="432">
        <v>2023</v>
      </c>
      <c r="AP292" s="425">
        <v>4653</v>
      </c>
      <c r="AQ292" s="433">
        <v>0</v>
      </c>
      <c r="AR292" s="425">
        <v>4505</v>
      </c>
      <c r="AS292" s="433">
        <v>0</v>
      </c>
      <c r="AT292" s="434"/>
      <c r="AU292" s="431"/>
      <c r="AV292" s="435"/>
      <c r="AW292" s="432">
        <v>2021</v>
      </c>
      <c r="AX292" s="425">
        <v>5848</v>
      </c>
      <c r="AY292" s="433">
        <v>-25.69</v>
      </c>
      <c r="AZ292" s="425">
        <v>5800</v>
      </c>
      <c r="BA292" s="433">
        <v>-28.75</v>
      </c>
      <c r="BB292" s="434"/>
      <c r="BC292" s="431"/>
      <c r="BD292" s="435"/>
      <c r="BE292" s="432">
        <v>2022</v>
      </c>
      <c r="BF292" s="425">
        <v>6337</v>
      </c>
      <c r="BG292" s="433">
        <v>-36.200000000000003</v>
      </c>
      <c r="BH292" s="425">
        <v>6325</v>
      </c>
      <c r="BI292" s="433">
        <v>-40.4</v>
      </c>
      <c r="BJ292" s="434"/>
      <c r="BK292" s="431"/>
      <c r="BL292" s="435"/>
      <c r="BM292" s="432">
        <v>2023</v>
      </c>
      <c r="BN292" s="425"/>
      <c r="BO292" s="433"/>
      <c r="BP292" s="425"/>
      <c r="BQ292" s="433"/>
      <c r="BR292" s="434"/>
      <c r="BS292" s="431"/>
      <c r="BT292" s="435"/>
      <c r="BU292" s="1805" t="s">
        <v>676</v>
      </c>
      <c r="BV292" s="1806" t="s">
        <v>728</v>
      </c>
      <c r="BW292" s="1807" t="s">
        <v>678</v>
      </c>
      <c r="BX292" s="1808" t="s">
        <v>5182</v>
      </c>
      <c r="BY292" s="1809">
        <v>2020</v>
      </c>
      <c r="BZ292" s="424"/>
      <c r="CA292" s="424"/>
      <c r="CB292" s="430"/>
      <c r="CC292" s="431"/>
      <c r="CD292" s="432">
        <v>2023</v>
      </c>
      <c r="CE292" s="425"/>
      <c r="CF292" s="433"/>
      <c r="CG292" s="425"/>
      <c r="CH292" s="433"/>
      <c r="CI292" s="434"/>
      <c r="CJ292" s="431"/>
      <c r="CK292" s="435"/>
      <c r="CL292" s="432">
        <v>2021</v>
      </c>
      <c r="CM292" s="425"/>
      <c r="CN292" s="433"/>
      <c r="CO292" s="425"/>
      <c r="CP292" s="433"/>
      <c r="CQ292" s="434"/>
      <c r="CR292" s="431"/>
      <c r="CS292" s="435"/>
      <c r="CT292" s="432">
        <v>2022</v>
      </c>
      <c r="CU292" s="425">
        <v>742.14965800000004</v>
      </c>
      <c r="CV292" s="433"/>
      <c r="CW292" s="425">
        <v>742.14965800000004</v>
      </c>
      <c r="CX292" s="433"/>
      <c r="CY292" s="434"/>
      <c r="CZ292" s="431"/>
      <c r="DA292" s="435"/>
      <c r="DB292" s="432">
        <v>2023</v>
      </c>
      <c r="DC292" s="425"/>
      <c r="DD292" s="433"/>
      <c r="DE292" s="425"/>
      <c r="DF292" s="433"/>
      <c r="DG292" s="434"/>
      <c r="DH292" s="431"/>
      <c r="DI292" s="435"/>
      <c r="DJ292" s="1805"/>
      <c r="DK292" s="1806"/>
      <c r="DL292" s="1807"/>
      <c r="DM292" s="1808"/>
      <c r="DN292" s="1810">
        <v>0</v>
      </c>
      <c r="DO292" s="1799">
        <v>0</v>
      </c>
      <c r="DP292" s="1800">
        <v>0</v>
      </c>
      <c r="DQ292" s="1799">
        <v>0</v>
      </c>
      <c r="DR292" s="1800">
        <v>0</v>
      </c>
      <c r="DS292" s="1799">
        <v>0</v>
      </c>
    </row>
    <row r="293" spans="1:123" ht="148.5">
      <c r="A293" s="1801" t="s">
        <v>2608</v>
      </c>
      <c r="B293" s="1788" t="s">
        <v>2609</v>
      </c>
      <c r="C293" s="426">
        <v>2022</v>
      </c>
      <c r="D293" s="417" t="s">
        <v>681</v>
      </c>
      <c r="E293" s="1802">
        <v>1037408</v>
      </c>
      <c r="F293" s="1803" t="s">
        <v>2609</v>
      </c>
      <c r="G293" s="419">
        <v>45132</v>
      </c>
      <c r="H293" s="1790" t="s">
        <v>5183</v>
      </c>
      <c r="I293" s="1791" t="s">
        <v>2609</v>
      </c>
      <c r="J293" s="1793" t="s">
        <v>2610</v>
      </c>
      <c r="K293" s="1788" t="s">
        <v>2609</v>
      </c>
      <c r="L293" s="1791" t="s">
        <v>2610</v>
      </c>
      <c r="M293" s="1793" t="s">
        <v>2611</v>
      </c>
      <c r="N293" s="1790" t="s">
        <v>42</v>
      </c>
      <c r="O293" s="1793" t="s">
        <v>43</v>
      </c>
      <c r="P293" s="420" t="s">
        <v>683</v>
      </c>
      <c r="Q293" s="421"/>
      <c r="R293" s="421"/>
      <c r="S293" s="422"/>
      <c r="T293" s="1794"/>
      <c r="U293" s="423">
        <v>16443.0108</v>
      </c>
      <c r="V293" s="424">
        <v>1</v>
      </c>
      <c r="W293" s="424">
        <v>1</v>
      </c>
      <c r="X293" s="425"/>
      <c r="Y293" s="426">
        <v>2022</v>
      </c>
      <c r="Z293" s="417">
        <v>2024</v>
      </c>
      <c r="AA293" s="1804">
        <v>2022</v>
      </c>
      <c r="AB293" s="427"/>
      <c r="AC293" s="1793"/>
      <c r="AD293" s="428" t="s">
        <v>5863</v>
      </c>
      <c r="AE293" s="1791" t="s">
        <v>2612</v>
      </c>
      <c r="AF293" s="1791" t="s">
        <v>5183</v>
      </c>
      <c r="AG293" s="1793" t="s">
        <v>2613</v>
      </c>
      <c r="AH293" s="428"/>
      <c r="AI293" s="1793"/>
      <c r="AJ293" s="429">
        <v>2021</v>
      </c>
      <c r="AK293" s="424">
        <v>31280</v>
      </c>
      <c r="AL293" s="424">
        <v>31006</v>
      </c>
      <c r="AM293" s="430">
        <v>93.9</v>
      </c>
      <c r="AN293" s="431" t="s">
        <v>2614</v>
      </c>
      <c r="AO293" s="432">
        <v>2024</v>
      </c>
      <c r="AP293" s="425">
        <v>31280</v>
      </c>
      <c r="AQ293" s="433">
        <v>0</v>
      </c>
      <c r="AR293" s="425">
        <v>31006</v>
      </c>
      <c r="AS293" s="433">
        <v>0</v>
      </c>
      <c r="AT293" s="434">
        <v>91.111076099999991</v>
      </c>
      <c r="AU293" s="431" t="s">
        <v>2614</v>
      </c>
      <c r="AV293" s="435">
        <v>2.97</v>
      </c>
      <c r="AW293" s="432">
        <v>2022</v>
      </c>
      <c r="AX293" s="425">
        <v>30122</v>
      </c>
      <c r="AY293" s="433">
        <v>3.7</v>
      </c>
      <c r="AZ293" s="425">
        <v>30058</v>
      </c>
      <c r="BA293" s="433">
        <v>3.05</v>
      </c>
      <c r="BB293" s="434">
        <v>86.997458410351214</v>
      </c>
      <c r="BC293" s="431" t="s">
        <v>2614</v>
      </c>
      <c r="BD293" s="435">
        <v>7.35</v>
      </c>
      <c r="BE293" s="432">
        <v>2023</v>
      </c>
      <c r="BF293" s="425"/>
      <c r="BG293" s="433"/>
      <c r="BH293" s="425"/>
      <c r="BI293" s="433"/>
      <c r="BJ293" s="434"/>
      <c r="BK293" s="431"/>
      <c r="BL293" s="435"/>
      <c r="BM293" s="432">
        <v>2024</v>
      </c>
      <c r="BN293" s="425"/>
      <c r="BO293" s="433"/>
      <c r="BP293" s="425"/>
      <c r="BQ293" s="433"/>
      <c r="BR293" s="434"/>
      <c r="BS293" s="431"/>
      <c r="BT293" s="435"/>
      <c r="BU293" s="1805" t="s">
        <v>687</v>
      </c>
      <c r="BV293" s="1806" t="s">
        <v>728</v>
      </c>
      <c r="BW293" s="1807" t="s">
        <v>697</v>
      </c>
      <c r="BX293" s="1808"/>
      <c r="BY293" s="1809">
        <v>2021</v>
      </c>
      <c r="BZ293" s="424"/>
      <c r="CA293" s="424"/>
      <c r="CB293" s="430"/>
      <c r="CC293" s="431"/>
      <c r="CD293" s="432">
        <v>2024</v>
      </c>
      <c r="CE293" s="425"/>
      <c r="CF293" s="433"/>
      <c r="CG293" s="425"/>
      <c r="CH293" s="433"/>
      <c r="CI293" s="434"/>
      <c r="CJ293" s="431"/>
      <c r="CK293" s="435"/>
      <c r="CL293" s="432">
        <v>2022</v>
      </c>
      <c r="CM293" s="425">
        <v>0</v>
      </c>
      <c r="CN293" s="433"/>
      <c r="CO293" s="425">
        <v>0</v>
      </c>
      <c r="CP293" s="433"/>
      <c r="CQ293" s="434"/>
      <c r="CR293" s="431"/>
      <c r="CS293" s="435">
        <v>0</v>
      </c>
      <c r="CT293" s="432">
        <v>2023</v>
      </c>
      <c r="CU293" s="425"/>
      <c r="CV293" s="433"/>
      <c r="CW293" s="425"/>
      <c r="CX293" s="433"/>
      <c r="CY293" s="434"/>
      <c r="CZ293" s="431"/>
      <c r="DA293" s="435"/>
      <c r="DB293" s="432">
        <v>2024</v>
      </c>
      <c r="DC293" s="425"/>
      <c r="DD293" s="433"/>
      <c r="DE293" s="425"/>
      <c r="DF293" s="433"/>
      <c r="DG293" s="434"/>
      <c r="DH293" s="431"/>
      <c r="DI293" s="435"/>
      <c r="DJ293" s="1805"/>
      <c r="DK293" s="1806"/>
      <c r="DL293" s="1807"/>
      <c r="DM293" s="1808"/>
      <c r="DN293" s="1810">
        <v>0</v>
      </c>
      <c r="DO293" s="1799">
        <v>0</v>
      </c>
      <c r="DP293" s="1800">
        <v>0</v>
      </c>
      <c r="DQ293" s="1799">
        <v>0</v>
      </c>
      <c r="DR293" s="1800">
        <v>0</v>
      </c>
      <c r="DS293" s="1799">
        <v>0</v>
      </c>
    </row>
    <row r="294" spans="1:123" ht="148.5">
      <c r="A294" s="1801" t="s">
        <v>2615</v>
      </c>
      <c r="B294" s="1788" t="s">
        <v>2616</v>
      </c>
      <c r="C294" s="426">
        <v>2022</v>
      </c>
      <c r="D294" s="417" t="s">
        <v>681</v>
      </c>
      <c r="E294" s="1802">
        <v>1029409</v>
      </c>
      <c r="F294" s="1803" t="s">
        <v>2616</v>
      </c>
      <c r="G294" s="419">
        <v>45135</v>
      </c>
      <c r="H294" s="1790" t="s">
        <v>2617</v>
      </c>
      <c r="I294" s="1791" t="s">
        <v>2616</v>
      </c>
      <c r="J294" s="1793" t="s">
        <v>2618</v>
      </c>
      <c r="K294" s="1788" t="s">
        <v>2616</v>
      </c>
      <c r="L294" s="1791" t="s">
        <v>2618</v>
      </c>
      <c r="M294" s="1793" t="s">
        <v>2617</v>
      </c>
      <c r="N294" s="1790" t="s">
        <v>12</v>
      </c>
      <c r="O294" s="1793" t="s">
        <v>33</v>
      </c>
      <c r="P294" s="420" t="s">
        <v>683</v>
      </c>
      <c r="Q294" s="421"/>
      <c r="R294" s="421"/>
      <c r="S294" s="422"/>
      <c r="T294" s="1794"/>
      <c r="U294" s="423">
        <v>3078.5334000000003</v>
      </c>
      <c r="V294" s="424">
        <v>3</v>
      </c>
      <c r="W294" s="424">
        <v>2</v>
      </c>
      <c r="X294" s="425"/>
      <c r="Y294" s="426">
        <v>2022</v>
      </c>
      <c r="Z294" s="417">
        <v>2024</v>
      </c>
      <c r="AA294" s="1804">
        <v>2022</v>
      </c>
      <c r="AB294" s="427"/>
      <c r="AC294" s="1793"/>
      <c r="AD294" s="428" t="s">
        <v>5863</v>
      </c>
      <c r="AE294" s="1791" t="s">
        <v>2619</v>
      </c>
      <c r="AF294" s="1791" t="s">
        <v>2617</v>
      </c>
      <c r="AG294" s="1793" t="s">
        <v>5184</v>
      </c>
      <c r="AH294" s="428"/>
      <c r="AI294" s="1793"/>
      <c r="AJ294" s="429">
        <v>2021</v>
      </c>
      <c r="AK294" s="424">
        <v>3910</v>
      </c>
      <c r="AL294" s="424">
        <v>4846.8999999999996</v>
      </c>
      <c r="AM294" s="430">
        <v>59.79</v>
      </c>
      <c r="AN294" s="431" t="s">
        <v>727</v>
      </c>
      <c r="AO294" s="432">
        <v>2024</v>
      </c>
      <c r="AP294" s="425">
        <v>5276</v>
      </c>
      <c r="AQ294" s="433">
        <v>-34.94</v>
      </c>
      <c r="AR294" s="425">
        <v>2288</v>
      </c>
      <c r="AS294" s="433">
        <v>52.79</v>
      </c>
      <c r="AT294" s="434">
        <v>80.680000000000007</v>
      </c>
      <c r="AU294" s="431" t="s">
        <v>727</v>
      </c>
      <c r="AV294" s="435">
        <v>-34.94</v>
      </c>
      <c r="AW294" s="432">
        <v>2022</v>
      </c>
      <c r="AX294" s="425">
        <v>5549</v>
      </c>
      <c r="AY294" s="433">
        <v>-41.92</v>
      </c>
      <c r="AZ294" s="425">
        <v>2492</v>
      </c>
      <c r="BA294" s="433">
        <v>48.58</v>
      </c>
      <c r="BB294" s="434">
        <v>85.154379718863169</v>
      </c>
      <c r="BC294" s="431" t="s">
        <v>727</v>
      </c>
      <c r="BD294" s="435">
        <v>-42.43</v>
      </c>
      <c r="BE294" s="432">
        <v>2023</v>
      </c>
      <c r="BF294" s="425"/>
      <c r="BG294" s="433"/>
      <c r="BH294" s="425"/>
      <c r="BI294" s="433"/>
      <c r="BJ294" s="434"/>
      <c r="BK294" s="431"/>
      <c r="BL294" s="435"/>
      <c r="BM294" s="432">
        <v>2024</v>
      </c>
      <c r="BN294" s="425"/>
      <c r="BO294" s="433"/>
      <c r="BP294" s="425"/>
      <c r="BQ294" s="433"/>
      <c r="BR294" s="434"/>
      <c r="BS294" s="431"/>
      <c r="BT294" s="435"/>
      <c r="BU294" s="1805" t="s">
        <v>687</v>
      </c>
      <c r="BV294" s="1806" t="s">
        <v>728</v>
      </c>
      <c r="BW294" s="1807" t="s">
        <v>678</v>
      </c>
      <c r="BX294" s="1808" t="s">
        <v>5185</v>
      </c>
      <c r="BY294" s="1809">
        <v>2021</v>
      </c>
      <c r="BZ294" s="424"/>
      <c r="CA294" s="424"/>
      <c r="CB294" s="430"/>
      <c r="CC294" s="431"/>
      <c r="CD294" s="432">
        <v>2024</v>
      </c>
      <c r="CE294" s="425"/>
      <c r="CF294" s="433"/>
      <c r="CG294" s="425"/>
      <c r="CH294" s="433"/>
      <c r="CI294" s="434"/>
      <c r="CJ294" s="431"/>
      <c r="CK294" s="435"/>
      <c r="CL294" s="432">
        <v>2022</v>
      </c>
      <c r="CM294" s="425">
        <v>0</v>
      </c>
      <c r="CN294" s="433"/>
      <c r="CO294" s="425">
        <v>-3047</v>
      </c>
      <c r="CP294" s="433"/>
      <c r="CQ294" s="434"/>
      <c r="CR294" s="431"/>
      <c r="CS294" s="435"/>
      <c r="CT294" s="432">
        <v>2023</v>
      </c>
      <c r="CU294" s="425"/>
      <c r="CV294" s="433"/>
      <c r="CW294" s="425"/>
      <c r="CX294" s="433"/>
      <c r="CY294" s="434"/>
      <c r="CZ294" s="431"/>
      <c r="DA294" s="435"/>
      <c r="DB294" s="432">
        <v>2024</v>
      </c>
      <c r="DC294" s="425"/>
      <c r="DD294" s="433"/>
      <c r="DE294" s="425"/>
      <c r="DF294" s="433"/>
      <c r="DG294" s="434"/>
      <c r="DH294" s="431"/>
      <c r="DI294" s="435"/>
      <c r="DJ294" s="1805"/>
      <c r="DK294" s="1806"/>
      <c r="DL294" s="1807"/>
      <c r="DM294" s="1808"/>
      <c r="DN294" s="1810">
        <v>0</v>
      </c>
      <c r="DO294" s="1799">
        <v>1</v>
      </c>
      <c r="DP294" s="1800">
        <v>0</v>
      </c>
      <c r="DQ294" s="1799">
        <v>3</v>
      </c>
      <c r="DR294" s="1800">
        <v>0</v>
      </c>
      <c r="DS294" s="1799">
        <v>0</v>
      </c>
    </row>
    <row r="295" spans="1:123" ht="81">
      <c r="A295" s="1801" t="s">
        <v>2620</v>
      </c>
      <c r="B295" s="1788" t="s">
        <v>2621</v>
      </c>
      <c r="C295" s="426">
        <v>2022</v>
      </c>
      <c r="D295" s="417" t="s">
        <v>681</v>
      </c>
      <c r="E295" s="1802">
        <v>1065410</v>
      </c>
      <c r="F295" s="1803" t="s">
        <v>2621</v>
      </c>
      <c r="G295" s="419">
        <v>45127</v>
      </c>
      <c r="H295" s="1790" t="s">
        <v>2622</v>
      </c>
      <c r="I295" s="1791" t="s">
        <v>2621</v>
      </c>
      <c r="J295" s="1793" t="s">
        <v>2623</v>
      </c>
      <c r="K295" s="1788" t="s">
        <v>2621</v>
      </c>
      <c r="L295" s="1791" t="s">
        <v>2623</v>
      </c>
      <c r="M295" s="1793" t="s">
        <v>2622</v>
      </c>
      <c r="N295" s="1790" t="s">
        <v>70</v>
      </c>
      <c r="O295" s="1793" t="s">
        <v>74</v>
      </c>
      <c r="P295" s="420" t="s">
        <v>683</v>
      </c>
      <c r="Q295" s="421"/>
      <c r="R295" s="421"/>
      <c r="S295" s="422"/>
      <c r="T295" s="1794"/>
      <c r="U295" s="423">
        <v>2523.2658000000001</v>
      </c>
      <c r="V295" s="424">
        <v>1</v>
      </c>
      <c r="W295" s="424">
        <v>1</v>
      </c>
      <c r="X295" s="425"/>
      <c r="Y295" s="426">
        <v>2022</v>
      </c>
      <c r="Z295" s="417">
        <v>2024</v>
      </c>
      <c r="AA295" s="1804">
        <v>2022</v>
      </c>
      <c r="AB295" s="427"/>
      <c r="AC295" s="1793"/>
      <c r="AD295" s="428" t="s">
        <v>5863</v>
      </c>
      <c r="AE295" s="1791" t="s">
        <v>2624</v>
      </c>
      <c r="AF295" s="1791" t="s">
        <v>2625</v>
      </c>
      <c r="AG295" s="1793" t="s">
        <v>2291</v>
      </c>
      <c r="AH295" s="428"/>
      <c r="AI295" s="1793"/>
      <c r="AJ295" s="429">
        <v>2021</v>
      </c>
      <c r="AK295" s="424">
        <v>4112</v>
      </c>
      <c r="AL295" s="424">
        <v>2707</v>
      </c>
      <c r="AM295" s="430">
        <v>0.05</v>
      </c>
      <c r="AN295" s="431" t="s">
        <v>1976</v>
      </c>
      <c r="AO295" s="432">
        <v>2024</v>
      </c>
      <c r="AP295" s="425">
        <v>4112</v>
      </c>
      <c r="AQ295" s="433">
        <v>0</v>
      </c>
      <c r="AR295" s="425">
        <v>1895</v>
      </c>
      <c r="AS295" s="433">
        <v>29.99</v>
      </c>
      <c r="AT295" s="434">
        <v>0.05</v>
      </c>
      <c r="AU295" s="431" t="s">
        <v>1976</v>
      </c>
      <c r="AV295" s="435">
        <v>0</v>
      </c>
      <c r="AW295" s="432">
        <v>2022</v>
      </c>
      <c r="AX295" s="425">
        <v>4078</v>
      </c>
      <c r="AY295" s="433">
        <v>0.82</v>
      </c>
      <c r="AZ295" s="425">
        <v>1844</v>
      </c>
      <c r="BA295" s="433">
        <v>31.88</v>
      </c>
      <c r="BB295" s="434">
        <v>5.0007976995840066E-2</v>
      </c>
      <c r="BC295" s="431" t="s">
        <v>1976</v>
      </c>
      <c r="BD295" s="435">
        <v>-0.02</v>
      </c>
      <c r="BE295" s="432">
        <v>2023</v>
      </c>
      <c r="BF295" s="425"/>
      <c r="BG295" s="433"/>
      <c r="BH295" s="425"/>
      <c r="BI295" s="433"/>
      <c r="BJ295" s="434"/>
      <c r="BK295" s="431"/>
      <c r="BL295" s="435"/>
      <c r="BM295" s="432">
        <v>2024</v>
      </c>
      <c r="BN295" s="425"/>
      <c r="BO295" s="433"/>
      <c r="BP295" s="425"/>
      <c r="BQ295" s="433"/>
      <c r="BR295" s="434"/>
      <c r="BS295" s="431"/>
      <c r="BT295" s="435"/>
      <c r="BU295" s="1805" t="s">
        <v>687</v>
      </c>
      <c r="BV295" s="1806" t="s">
        <v>728</v>
      </c>
      <c r="BW295" s="1807" t="s">
        <v>688</v>
      </c>
      <c r="BX295" s="1808" t="s">
        <v>5186</v>
      </c>
      <c r="BY295" s="1809">
        <v>2021</v>
      </c>
      <c r="BZ295" s="424"/>
      <c r="CA295" s="424"/>
      <c r="CB295" s="430"/>
      <c r="CC295" s="431"/>
      <c r="CD295" s="432">
        <v>2024</v>
      </c>
      <c r="CE295" s="425"/>
      <c r="CF295" s="433"/>
      <c r="CG295" s="425"/>
      <c r="CH295" s="433"/>
      <c r="CI295" s="434"/>
      <c r="CJ295" s="431"/>
      <c r="CK295" s="435"/>
      <c r="CL295" s="432">
        <v>2022</v>
      </c>
      <c r="CM295" s="425">
        <v>0</v>
      </c>
      <c r="CN295" s="433"/>
      <c r="CO295" s="425">
        <v>0</v>
      </c>
      <c r="CP295" s="433"/>
      <c r="CQ295" s="434"/>
      <c r="CR295" s="431"/>
      <c r="CS295" s="435">
        <v>0</v>
      </c>
      <c r="CT295" s="432">
        <v>2023</v>
      </c>
      <c r="CU295" s="425"/>
      <c r="CV295" s="433"/>
      <c r="CW295" s="425"/>
      <c r="CX295" s="433"/>
      <c r="CY295" s="434"/>
      <c r="CZ295" s="431"/>
      <c r="DA295" s="435"/>
      <c r="DB295" s="432">
        <v>2024</v>
      </c>
      <c r="DC295" s="425"/>
      <c r="DD295" s="433"/>
      <c r="DE295" s="425"/>
      <c r="DF295" s="433"/>
      <c r="DG295" s="434"/>
      <c r="DH295" s="431"/>
      <c r="DI295" s="435"/>
      <c r="DJ295" s="1805"/>
      <c r="DK295" s="1806"/>
      <c r="DL295" s="1807"/>
      <c r="DM295" s="1808"/>
      <c r="DN295" s="1810">
        <v>0</v>
      </c>
      <c r="DO295" s="1799">
        <v>0</v>
      </c>
      <c r="DP295" s="1800">
        <v>0</v>
      </c>
      <c r="DQ295" s="1799">
        <v>0</v>
      </c>
      <c r="DR295" s="1800">
        <v>0</v>
      </c>
      <c r="DS295" s="1799">
        <v>0</v>
      </c>
    </row>
    <row r="296" spans="1:123" ht="67.5">
      <c r="A296" s="1801" t="s">
        <v>2626</v>
      </c>
      <c r="B296" s="1788" t="s">
        <v>2627</v>
      </c>
      <c r="C296" s="426">
        <v>2022</v>
      </c>
      <c r="D296" s="417" t="s">
        <v>681</v>
      </c>
      <c r="E296" s="1802">
        <v>1028411</v>
      </c>
      <c r="F296" s="1803" t="s">
        <v>2627</v>
      </c>
      <c r="G296" s="419">
        <v>45097</v>
      </c>
      <c r="H296" s="1790" t="s">
        <v>2628</v>
      </c>
      <c r="I296" s="1791" t="s">
        <v>2627</v>
      </c>
      <c r="J296" s="1793" t="s">
        <v>2629</v>
      </c>
      <c r="K296" s="1788" t="s">
        <v>2627</v>
      </c>
      <c r="L296" s="1791" t="s">
        <v>2629</v>
      </c>
      <c r="M296" s="1793" t="s">
        <v>2628</v>
      </c>
      <c r="N296" s="1790" t="s">
        <v>12</v>
      </c>
      <c r="O296" s="1793" t="s">
        <v>32</v>
      </c>
      <c r="P296" s="420" t="s">
        <v>683</v>
      </c>
      <c r="Q296" s="421"/>
      <c r="R296" s="421"/>
      <c r="S296" s="422"/>
      <c r="T296" s="1794"/>
      <c r="U296" s="423">
        <v>4287.2892000000002</v>
      </c>
      <c r="V296" s="424">
        <v>1</v>
      </c>
      <c r="W296" s="424">
        <v>1</v>
      </c>
      <c r="X296" s="425"/>
      <c r="Y296" s="426">
        <v>2022</v>
      </c>
      <c r="Z296" s="417">
        <v>2024</v>
      </c>
      <c r="AA296" s="1804">
        <v>2022</v>
      </c>
      <c r="AB296" s="427"/>
      <c r="AC296" s="1793"/>
      <c r="AD296" s="428" t="s">
        <v>5863</v>
      </c>
      <c r="AE296" s="1791" t="s">
        <v>2630</v>
      </c>
      <c r="AF296" s="1791" t="s">
        <v>2631</v>
      </c>
      <c r="AG296" s="1793" t="s">
        <v>2632</v>
      </c>
      <c r="AH296" s="428"/>
      <c r="AI296" s="1793"/>
      <c r="AJ296" s="429">
        <v>2021</v>
      </c>
      <c r="AK296" s="424">
        <v>6687</v>
      </c>
      <c r="AL296" s="424">
        <v>3153</v>
      </c>
      <c r="AM296" s="430">
        <v>0.61</v>
      </c>
      <c r="AN296" s="431" t="s">
        <v>1019</v>
      </c>
      <c r="AO296" s="432">
        <v>2024</v>
      </c>
      <c r="AP296" s="425">
        <v>6429</v>
      </c>
      <c r="AQ296" s="433">
        <v>3.85</v>
      </c>
      <c r="AR296" s="425">
        <v>3024</v>
      </c>
      <c r="AS296" s="433">
        <v>4.09</v>
      </c>
      <c r="AT296" s="434">
        <v>0.59799999999999998</v>
      </c>
      <c r="AU296" s="431" t="s">
        <v>1019</v>
      </c>
      <c r="AV296" s="435">
        <v>1.96</v>
      </c>
      <c r="AW296" s="432">
        <v>2022</v>
      </c>
      <c r="AX296" s="425">
        <v>7388</v>
      </c>
      <c r="AY296" s="433">
        <v>-10.49</v>
      </c>
      <c r="AZ296" s="425">
        <v>3362</v>
      </c>
      <c r="BA296" s="433">
        <v>-6.63</v>
      </c>
      <c r="BB296" s="434">
        <v>0.48014557743549752</v>
      </c>
      <c r="BC296" s="431" t="s">
        <v>1019</v>
      </c>
      <c r="BD296" s="435">
        <v>21.28</v>
      </c>
      <c r="BE296" s="432">
        <v>2023</v>
      </c>
      <c r="BF296" s="425"/>
      <c r="BG296" s="433"/>
      <c r="BH296" s="425"/>
      <c r="BI296" s="433"/>
      <c r="BJ296" s="434"/>
      <c r="BK296" s="431"/>
      <c r="BL296" s="435"/>
      <c r="BM296" s="432">
        <v>2024</v>
      </c>
      <c r="BN296" s="425"/>
      <c r="BO296" s="433"/>
      <c r="BP296" s="425"/>
      <c r="BQ296" s="433"/>
      <c r="BR296" s="434"/>
      <c r="BS296" s="431"/>
      <c r="BT296" s="435"/>
      <c r="BU296" s="1805" t="s">
        <v>687</v>
      </c>
      <c r="BV296" s="1806" t="s">
        <v>728</v>
      </c>
      <c r="BW296" s="1807" t="s">
        <v>678</v>
      </c>
      <c r="BX296" s="1808" t="s">
        <v>5187</v>
      </c>
      <c r="BY296" s="1809">
        <v>2021</v>
      </c>
      <c r="BZ296" s="424"/>
      <c r="CA296" s="424"/>
      <c r="CB296" s="430"/>
      <c r="CC296" s="431"/>
      <c r="CD296" s="432">
        <v>2024</v>
      </c>
      <c r="CE296" s="425"/>
      <c r="CF296" s="433"/>
      <c r="CG296" s="425"/>
      <c r="CH296" s="433"/>
      <c r="CI296" s="434"/>
      <c r="CJ296" s="431"/>
      <c r="CK296" s="435"/>
      <c r="CL296" s="432">
        <v>2022</v>
      </c>
      <c r="CM296" s="425">
        <v>0</v>
      </c>
      <c r="CN296" s="433"/>
      <c r="CO296" s="425">
        <v>0</v>
      </c>
      <c r="CP296" s="433"/>
      <c r="CQ296" s="434"/>
      <c r="CR296" s="431"/>
      <c r="CS296" s="435">
        <v>0</v>
      </c>
      <c r="CT296" s="432">
        <v>2023</v>
      </c>
      <c r="CU296" s="425"/>
      <c r="CV296" s="433"/>
      <c r="CW296" s="425"/>
      <c r="CX296" s="433"/>
      <c r="CY296" s="434"/>
      <c r="CZ296" s="431"/>
      <c r="DA296" s="435"/>
      <c r="DB296" s="432">
        <v>2024</v>
      </c>
      <c r="DC296" s="425"/>
      <c r="DD296" s="433"/>
      <c r="DE296" s="425"/>
      <c r="DF296" s="433"/>
      <c r="DG296" s="434"/>
      <c r="DH296" s="431"/>
      <c r="DI296" s="435"/>
      <c r="DJ296" s="1805"/>
      <c r="DK296" s="1806"/>
      <c r="DL296" s="1807"/>
      <c r="DM296" s="1808"/>
      <c r="DN296" s="1810">
        <v>0</v>
      </c>
      <c r="DO296" s="1799">
        <v>0</v>
      </c>
      <c r="DP296" s="1800">
        <v>0</v>
      </c>
      <c r="DQ296" s="1799">
        <v>0</v>
      </c>
      <c r="DR296" s="1800">
        <v>0</v>
      </c>
      <c r="DS296" s="1799">
        <v>0</v>
      </c>
    </row>
    <row r="297" spans="1:123" ht="108">
      <c r="A297" s="1801" t="s">
        <v>2633</v>
      </c>
      <c r="B297" s="1788" t="s">
        <v>2634</v>
      </c>
      <c r="C297" s="426">
        <v>2022</v>
      </c>
      <c r="D297" s="417" t="s">
        <v>681</v>
      </c>
      <c r="E297" s="1802">
        <v>1029412</v>
      </c>
      <c r="F297" s="1803" t="s">
        <v>2634</v>
      </c>
      <c r="G297" s="419">
        <v>45138</v>
      </c>
      <c r="H297" s="1790" t="s">
        <v>2635</v>
      </c>
      <c r="I297" s="1791" t="s">
        <v>2634</v>
      </c>
      <c r="J297" s="1793" t="s">
        <v>2636</v>
      </c>
      <c r="K297" s="1788" t="s">
        <v>2634</v>
      </c>
      <c r="L297" s="1791" t="s">
        <v>2636</v>
      </c>
      <c r="M297" s="1793" t="s">
        <v>2635</v>
      </c>
      <c r="N297" s="1790" t="s">
        <v>12</v>
      </c>
      <c r="O297" s="1793" t="s">
        <v>33</v>
      </c>
      <c r="P297" s="420" t="s">
        <v>683</v>
      </c>
      <c r="Q297" s="421"/>
      <c r="R297" s="421"/>
      <c r="S297" s="422"/>
      <c r="T297" s="1794"/>
      <c r="U297" s="423">
        <v>2911.788</v>
      </c>
      <c r="V297" s="424">
        <v>4</v>
      </c>
      <c r="W297" s="424">
        <v>1</v>
      </c>
      <c r="X297" s="425"/>
      <c r="Y297" s="426">
        <v>2022</v>
      </c>
      <c r="Z297" s="417">
        <v>2024</v>
      </c>
      <c r="AA297" s="1804">
        <v>2022</v>
      </c>
      <c r="AB297" s="427" t="s">
        <v>5863</v>
      </c>
      <c r="AC297" s="1793" t="s">
        <v>1086</v>
      </c>
      <c r="AD297" s="428"/>
      <c r="AE297" s="1791"/>
      <c r="AF297" s="1791"/>
      <c r="AG297" s="1793"/>
      <c r="AH297" s="428"/>
      <c r="AI297" s="1793"/>
      <c r="AJ297" s="429">
        <v>2021</v>
      </c>
      <c r="AK297" s="424">
        <v>5023</v>
      </c>
      <c r="AL297" s="424">
        <v>5109</v>
      </c>
      <c r="AM297" s="430"/>
      <c r="AN297" s="431"/>
      <c r="AO297" s="432">
        <v>2024</v>
      </c>
      <c r="AP297" s="425">
        <v>4814</v>
      </c>
      <c r="AQ297" s="433">
        <v>4.16</v>
      </c>
      <c r="AR297" s="425">
        <v>4900</v>
      </c>
      <c r="AS297" s="433">
        <v>4.09</v>
      </c>
      <c r="AT297" s="434"/>
      <c r="AU297" s="431"/>
      <c r="AV297" s="435"/>
      <c r="AW297" s="432">
        <v>2022</v>
      </c>
      <c r="AX297" s="425">
        <v>5190</v>
      </c>
      <c r="AY297" s="433">
        <v>-3.33</v>
      </c>
      <c r="AZ297" s="425">
        <v>5289</v>
      </c>
      <c r="BA297" s="433">
        <v>-3.53</v>
      </c>
      <c r="BB297" s="434"/>
      <c r="BC297" s="431"/>
      <c r="BD297" s="435"/>
      <c r="BE297" s="432">
        <v>2023</v>
      </c>
      <c r="BF297" s="425"/>
      <c r="BG297" s="433"/>
      <c r="BH297" s="425"/>
      <c r="BI297" s="433"/>
      <c r="BJ297" s="434"/>
      <c r="BK297" s="431"/>
      <c r="BL297" s="435"/>
      <c r="BM297" s="432">
        <v>2024</v>
      </c>
      <c r="BN297" s="425"/>
      <c r="BO297" s="433"/>
      <c r="BP297" s="425"/>
      <c r="BQ297" s="433"/>
      <c r="BR297" s="434"/>
      <c r="BS297" s="431"/>
      <c r="BT297" s="435"/>
      <c r="BU297" s="1805" t="s">
        <v>676</v>
      </c>
      <c r="BV297" s="1806" t="s">
        <v>728</v>
      </c>
      <c r="BW297" s="1807" t="s">
        <v>688</v>
      </c>
      <c r="BX297" s="1808" t="s">
        <v>5188</v>
      </c>
      <c r="BY297" s="1809">
        <v>2021</v>
      </c>
      <c r="BZ297" s="424"/>
      <c r="CA297" s="424"/>
      <c r="CB297" s="430"/>
      <c r="CC297" s="431"/>
      <c r="CD297" s="432">
        <v>2024</v>
      </c>
      <c r="CE297" s="425"/>
      <c r="CF297" s="433"/>
      <c r="CG297" s="425"/>
      <c r="CH297" s="433"/>
      <c r="CI297" s="434"/>
      <c r="CJ297" s="431"/>
      <c r="CK297" s="435"/>
      <c r="CL297" s="432">
        <v>2022</v>
      </c>
      <c r="CM297" s="425">
        <v>0</v>
      </c>
      <c r="CN297" s="433"/>
      <c r="CO297" s="425">
        <v>0</v>
      </c>
      <c r="CP297" s="433"/>
      <c r="CQ297" s="434"/>
      <c r="CR297" s="431"/>
      <c r="CS297" s="435">
        <v>0</v>
      </c>
      <c r="CT297" s="432">
        <v>2023</v>
      </c>
      <c r="CU297" s="425"/>
      <c r="CV297" s="433"/>
      <c r="CW297" s="425"/>
      <c r="CX297" s="433"/>
      <c r="CY297" s="434"/>
      <c r="CZ297" s="431"/>
      <c r="DA297" s="435"/>
      <c r="DB297" s="432">
        <v>2024</v>
      </c>
      <c r="DC297" s="425"/>
      <c r="DD297" s="433"/>
      <c r="DE297" s="425"/>
      <c r="DF297" s="433"/>
      <c r="DG297" s="434"/>
      <c r="DH297" s="431"/>
      <c r="DI297" s="435"/>
      <c r="DJ297" s="1805"/>
      <c r="DK297" s="1806"/>
      <c r="DL297" s="1807"/>
      <c r="DM297" s="1808"/>
      <c r="DN297" s="1810">
        <v>0</v>
      </c>
      <c r="DO297" s="1799">
        <v>0</v>
      </c>
      <c r="DP297" s="1800">
        <v>0</v>
      </c>
      <c r="DQ297" s="1799">
        <v>0</v>
      </c>
      <c r="DR297" s="1800">
        <v>0</v>
      </c>
      <c r="DS297" s="1799">
        <v>0</v>
      </c>
    </row>
    <row r="298" spans="1:123" ht="81">
      <c r="A298" s="1801" t="s">
        <v>2637</v>
      </c>
      <c r="B298" s="1788" t="s">
        <v>2641</v>
      </c>
      <c r="C298" s="426">
        <v>2022</v>
      </c>
      <c r="D298" s="417" t="s">
        <v>681</v>
      </c>
      <c r="E298" s="1802">
        <v>1065413</v>
      </c>
      <c r="F298" s="1803" t="s">
        <v>2641</v>
      </c>
      <c r="G298" s="419"/>
      <c r="H298" s="1790" t="s">
        <v>2638</v>
      </c>
      <c r="I298" s="1791" t="s">
        <v>2639</v>
      </c>
      <c r="J298" s="1793" t="s">
        <v>2640</v>
      </c>
      <c r="K298" s="1788" t="s">
        <v>2641</v>
      </c>
      <c r="L298" s="1791" t="s">
        <v>2640</v>
      </c>
      <c r="M298" s="1793" t="s">
        <v>2638</v>
      </c>
      <c r="N298" s="1790" t="s">
        <v>70</v>
      </c>
      <c r="O298" s="1793" t="s">
        <v>74</v>
      </c>
      <c r="P298" s="420" t="s">
        <v>683</v>
      </c>
      <c r="Q298" s="421"/>
      <c r="R298" s="421"/>
      <c r="S298" s="422"/>
      <c r="T298" s="1794"/>
      <c r="U298" s="423">
        <v>2819.1918000000001</v>
      </c>
      <c r="V298" s="424">
        <v>1</v>
      </c>
      <c r="W298" s="424">
        <v>1</v>
      </c>
      <c r="X298" s="425"/>
      <c r="Y298" s="426">
        <v>2022</v>
      </c>
      <c r="Z298" s="417">
        <v>2024</v>
      </c>
      <c r="AA298" s="1804">
        <v>2022</v>
      </c>
      <c r="AB298" s="427"/>
      <c r="AC298" s="1793"/>
      <c r="AD298" s="428" t="s">
        <v>5863</v>
      </c>
      <c r="AE298" s="1791" t="s">
        <v>2642</v>
      </c>
      <c r="AF298" s="1791" t="s">
        <v>2643</v>
      </c>
      <c r="AG298" s="1793" t="s">
        <v>2342</v>
      </c>
      <c r="AH298" s="428"/>
      <c r="AI298" s="1793"/>
      <c r="AJ298" s="429">
        <v>2021</v>
      </c>
      <c r="AK298" s="424">
        <v>4309</v>
      </c>
      <c r="AL298" s="424">
        <v>4507</v>
      </c>
      <c r="AM298" s="430">
        <v>49.27</v>
      </c>
      <c r="AN298" s="431" t="s">
        <v>727</v>
      </c>
      <c r="AO298" s="432">
        <v>2024</v>
      </c>
      <c r="AP298" s="425">
        <v>4181</v>
      </c>
      <c r="AQ298" s="433">
        <v>2.97</v>
      </c>
      <c r="AR298" s="425">
        <v>4372</v>
      </c>
      <c r="AS298" s="433">
        <v>2.99</v>
      </c>
      <c r="AT298" s="434">
        <v>47.81</v>
      </c>
      <c r="AU298" s="431" t="s">
        <v>727</v>
      </c>
      <c r="AV298" s="435">
        <v>2.96</v>
      </c>
      <c r="AW298" s="432">
        <v>2022</v>
      </c>
      <c r="AX298" s="425">
        <v>4976</v>
      </c>
      <c r="AY298" s="433">
        <v>-15.48</v>
      </c>
      <c r="AZ298" s="425">
        <v>5008</v>
      </c>
      <c r="BA298" s="433">
        <v>-11.12</v>
      </c>
      <c r="BB298" s="434">
        <v>56.901216469334408</v>
      </c>
      <c r="BC298" s="431" t="s">
        <v>727</v>
      </c>
      <c r="BD298" s="435">
        <v>-15.49</v>
      </c>
      <c r="BE298" s="432">
        <v>2023</v>
      </c>
      <c r="BF298" s="425"/>
      <c r="BG298" s="433"/>
      <c r="BH298" s="425"/>
      <c r="BI298" s="433"/>
      <c r="BJ298" s="434"/>
      <c r="BK298" s="431"/>
      <c r="BL298" s="435"/>
      <c r="BM298" s="432">
        <v>2024</v>
      </c>
      <c r="BN298" s="425"/>
      <c r="BO298" s="433"/>
      <c r="BP298" s="425"/>
      <c r="BQ298" s="433"/>
      <c r="BR298" s="434"/>
      <c r="BS298" s="431"/>
      <c r="BT298" s="435"/>
      <c r="BU298" s="1805" t="s">
        <v>676</v>
      </c>
      <c r="BV298" s="1806" t="s">
        <v>677</v>
      </c>
      <c r="BW298" s="1807" t="s">
        <v>678</v>
      </c>
      <c r="BX298" s="1808" t="s">
        <v>5189</v>
      </c>
      <c r="BY298" s="1809">
        <v>2021</v>
      </c>
      <c r="BZ298" s="424"/>
      <c r="CA298" s="424"/>
      <c r="CB298" s="430"/>
      <c r="CC298" s="431"/>
      <c r="CD298" s="432">
        <v>2024</v>
      </c>
      <c r="CE298" s="425"/>
      <c r="CF298" s="433"/>
      <c r="CG298" s="425"/>
      <c r="CH298" s="433"/>
      <c r="CI298" s="434"/>
      <c r="CJ298" s="431"/>
      <c r="CK298" s="435"/>
      <c r="CL298" s="432">
        <v>2022</v>
      </c>
      <c r="CM298" s="425">
        <v>0</v>
      </c>
      <c r="CN298" s="433"/>
      <c r="CO298" s="425">
        <v>-55</v>
      </c>
      <c r="CP298" s="433"/>
      <c r="CQ298" s="434"/>
      <c r="CR298" s="431"/>
      <c r="CS298" s="435">
        <v>0</v>
      </c>
      <c r="CT298" s="432">
        <v>2023</v>
      </c>
      <c r="CU298" s="425"/>
      <c r="CV298" s="433"/>
      <c r="CW298" s="425"/>
      <c r="CX298" s="433"/>
      <c r="CY298" s="434"/>
      <c r="CZ298" s="431"/>
      <c r="DA298" s="435"/>
      <c r="DB298" s="432">
        <v>2024</v>
      </c>
      <c r="DC298" s="425"/>
      <c r="DD298" s="433"/>
      <c r="DE298" s="425"/>
      <c r="DF298" s="433"/>
      <c r="DG298" s="434"/>
      <c r="DH298" s="431"/>
      <c r="DI298" s="435"/>
      <c r="DJ298" s="1805"/>
      <c r="DK298" s="1806"/>
      <c r="DL298" s="1807"/>
      <c r="DM298" s="1808"/>
      <c r="DN298" s="1810">
        <v>0</v>
      </c>
      <c r="DO298" s="1799">
        <v>0</v>
      </c>
      <c r="DP298" s="1800">
        <v>0</v>
      </c>
      <c r="DQ298" s="1799">
        <v>0</v>
      </c>
      <c r="DR298" s="1800">
        <v>0</v>
      </c>
      <c r="DS298" s="1799">
        <v>0</v>
      </c>
    </row>
    <row r="299" spans="1:123" ht="202.5">
      <c r="A299" s="1801" t="s">
        <v>2644</v>
      </c>
      <c r="B299" s="1788" t="s">
        <v>2645</v>
      </c>
      <c r="C299" s="426">
        <v>2022</v>
      </c>
      <c r="D299" s="417" t="s">
        <v>681</v>
      </c>
      <c r="E299" s="1802">
        <v>1028414</v>
      </c>
      <c r="F299" s="1803" t="s">
        <v>2645</v>
      </c>
      <c r="G299" s="419">
        <v>45133</v>
      </c>
      <c r="H299" s="1790" t="s">
        <v>2646</v>
      </c>
      <c r="I299" s="1791" t="s">
        <v>2645</v>
      </c>
      <c r="J299" s="1793" t="s">
        <v>2647</v>
      </c>
      <c r="K299" s="1788" t="s">
        <v>2645</v>
      </c>
      <c r="L299" s="1791" t="s">
        <v>2647</v>
      </c>
      <c r="M299" s="1793" t="s">
        <v>2648</v>
      </c>
      <c r="N299" s="1790" t="s">
        <v>12</v>
      </c>
      <c r="O299" s="1793" t="s">
        <v>32</v>
      </c>
      <c r="P299" s="420" t="s">
        <v>683</v>
      </c>
      <c r="Q299" s="421"/>
      <c r="R299" s="421"/>
      <c r="S299" s="422"/>
      <c r="T299" s="1794"/>
      <c r="U299" s="423">
        <v>5003.1875999999993</v>
      </c>
      <c r="V299" s="424">
        <v>2</v>
      </c>
      <c r="W299" s="424">
        <v>2</v>
      </c>
      <c r="X299" s="425"/>
      <c r="Y299" s="426">
        <v>2022</v>
      </c>
      <c r="Z299" s="417">
        <v>2024</v>
      </c>
      <c r="AA299" s="1804">
        <v>2022</v>
      </c>
      <c r="AB299" s="427"/>
      <c r="AC299" s="1793"/>
      <c r="AD299" s="428" t="s">
        <v>5863</v>
      </c>
      <c r="AE299" s="1791" t="s">
        <v>2649</v>
      </c>
      <c r="AF299" s="1791" t="s">
        <v>2650</v>
      </c>
      <c r="AG299" s="1793" t="s">
        <v>2651</v>
      </c>
      <c r="AH299" s="428"/>
      <c r="AI299" s="1793"/>
      <c r="AJ299" s="429">
        <v>2021</v>
      </c>
      <c r="AK299" s="424">
        <v>9297</v>
      </c>
      <c r="AL299" s="424">
        <v>8940</v>
      </c>
      <c r="AM299" s="430">
        <v>10.63</v>
      </c>
      <c r="AN299" s="431" t="s">
        <v>1019</v>
      </c>
      <c r="AO299" s="432">
        <v>2024</v>
      </c>
      <c r="AP299" s="425">
        <v>8265</v>
      </c>
      <c r="AQ299" s="433">
        <v>11.1</v>
      </c>
      <c r="AR299" s="425">
        <v>7948</v>
      </c>
      <c r="AS299" s="433">
        <v>11.09</v>
      </c>
      <c r="AT299" s="434">
        <v>9.4499999999999993</v>
      </c>
      <c r="AU299" s="431" t="s">
        <v>1019</v>
      </c>
      <c r="AV299" s="435">
        <v>11.1</v>
      </c>
      <c r="AW299" s="432">
        <v>2022</v>
      </c>
      <c r="AX299" s="425">
        <v>9262</v>
      </c>
      <c r="AY299" s="433">
        <v>0.37</v>
      </c>
      <c r="AZ299" s="425">
        <v>5625</v>
      </c>
      <c r="BA299" s="433">
        <v>37.08</v>
      </c>
      <c r="BB299" s="434">
        <v>8.1174408413672214</v>
      </c>
      <c r="BC299" s="431" t="s">
        <v>1019</v>
      </c>
      <c r="BD299" s="435">
        <v>23.63</v>
      </c>
      <c r="BE299" s="432">
        <v>2023</v>
      </c>
      <c r="BF299" s="425"/>
      <c r="BG299" s="433"/>
      <c r="BH299" s="425"/>
      <c r="BI299" s="433"/>
      <c r="BJ299" s="434"/>
      <c r="BK299" s="431"/>
      <c r="BL299" s="435"/>
      <c r="BM299" s="432">
        <v>2024</v>
      </c>
      <c r="BN299" s="425"/>
      <c r="BO299" s="433"/>
      <c r="BP299" s="425"/>
      <c r="BQ299" s="433"/>
      <c r="BR299" s="434"/>
      <c r="BS299" s="431"/>
      <c r="BT299" s="435"/>
      <c r="BU299" s="1805" t="s">
        <v>719</v>
      </c>
      <c r="BV299" s="1806" t="s">
        <v>728</v>
      </c>
      <c r="BW299" s="1807" t="s">
        <v>678</v>
      </c>
      <c r="BX299" s="1808" t="s">
        <v>5190</v>
      </c>
      <c r="BY299" s="1809">
        <v>2021</v>
      </c>
      <c r="BZ299" s="424"/>
      <c r="CA299" s="424"/>
      <c r="CB299" s="430"/>
      <c r="CC299" s="431"/>
      <c r="CD299" s="432">
        <v>2024</v>
      </c>
      <c r="CE299" s="425"/>
      <c r="CF299" s="433"/>
      <c r="CG299" s="425"/>
      <c r="CH299" s="433"/>
      <c r="CI299" s="434"/>
      <c r="CJ299" s="431"/>
      <c r="CK299" s="435"/>
      <c r="CL299" s="432">
        <v>2022</v>
      </c>
      <c r="CM299" s="425">
        <v>0</v>
      </c>
      <c r="CN299" s="433"/>
      <c r="CO299" s="425">
        <v>0</v>
      </c>
      <c r="CP299" s="433"/>
      <c r="CQ299" s="434"/>
      <c r="CR299" s="431"/>
      <c r="CS299" s="435">
        <v>0</v>
      </c>
      <c r="CT299" s="432">
        <v>2023</v>
      </c>
      <c r="CU299" s="425"/>
      <c r="CV299" s="433"/>
      <c r="CW299" s="425"/>
      <c r="CX299" s="433"/>
      <c r="CY299" s="434"/>
      <c r="CZ299" s="431"/>
      <c r="DA299" s="435"/>
      <c r="DB299" s="432">
        <v>2024</v>
      </c>
      <c r="DC299" s="425"/>
      <c r="DD299" s="433"/>
      <c r="DE299" s="425"/>
      <c r="DF299" s="433"/>
      <c r="DG299" s="434"/>
      <c r="DH299" s="431"/>
      <c r="DI299" s="435"/>
      <c r="DJ299" s="1805"/>
      <c r="DK299" s="1806"/>
      <c r="DL299" s="1807"/>
      <c r="DM299" s="1808"/>
      <c r="DN299" s="1810">
        <v>0</v>
      </c>
      <c r="DO299" s="1799">
        <v>0</v>
      </c>
      <c r="DP299" s="1800">
        <v>0</v>
      </c>
      <c r="DQ299" s="1799">
        <v>1</v>
      </c>
      <c r="DR299" s="1800">
        <v>0</v>
      </c>
      <c r="DS299" s="1799">
        <v>0</v>
      </c>
    </row>
    <row r="300" spans="1:123" ht="94.5">
      <c r="A300" s="1801" t="s">
        <v>2652</v>
      </c>
      <c r="B300" s="1788" t="s">
        <v>2653</v>
      </c>
      <c r="C300" s="426">
        <v>2022</v>
      </c>
      <c r="D300" s="417" t="s">
        <v>681</v>
      </c>
      <c r="E300" s="1802">
        <v>1056415</v>
      </c>
      <c r="F300" s="1803" t="s">
        <v>2653</v>
      </c>
      <c r="G300" s="419">
        <v>45138</v>
      </c>
      <c r="H300" s="1790" t="s">
        <v>2654</v>
      </c>
      <c r="I300" s="1791" t="s">
        <v>2653</v>
      </c>
      <c r="J300" s="1793" t="s">
        <v>2655</v>
      </c>
      <c r="K300" s="1788" t="s">
        <v>2653</v>
      </c>
      <c r="L300" s="1791" t="s">
        <v>2656</v>
      </c>
      <c r="M300" s="1793" t="s">
        <v>5191</v>
      </c>
      <c r="N300" s="1790" t="s">
        <v>57</v>
      </c>
      <c r="O300" s="1793" t="s">
        <v>64</v>
      </c>
      <c r="P300" s="420" t="s">
        <v>683</v>
      </c>
      <c r="Q300" s="421"/>
      <c r="R300" s="421"/>
      <c r="S300" s="422"/>
      <c r="T300" s="1794"/>
      <c r="U300" s="423">
        <v>1572.252</v>
      </c>
      <c r="V300" s="424">
        <v>43</v>
      </c>
      <c r="W300" s="424">
        <v>0</v>
      </c>
      <c r="X300" s="425"/>
      <c r="Y300" s="426">
        <v>2022</v>
      </c>
      <c r="Z300" s="417">
        <v>2024</v>
      </c>
      <c r="AA300" s="1804">
        <v>2022</v>
      </c>
      <c r="AB300" s="427" t="s">
        <v>5863</v>
      </c>
      <c r="AC300" s="1793" t="s">
        <v>2657</v>
      </c>
      <c r="AD300" s="428"/>
      <c r="AE300" s="1791"/>
      <c r="AF300" s="1791"/>
      <c r="AG300" s="1793"/>
      <c r="AH300" s="428"/>
      <c r="AI300" s="1793"/>
      <c r="AJ300" s="429">
        <v>2021</v>
      </c>
      <c r="AK300" s="424">
        <v>2031</v>
      </c>
      <c r="AL300" s="424">
        <v>2022</v>
      </c>
      <c r="AM300" s="430">
        <v>0.2</v>
      </c>
      <c r="AN300" s="431" t="s">
        <v>675</v>
      </c>
      <c r="AO300" s="432">
        <v>2024</v>
      </c>
      <c r="AP300" s="425">
        <v>2011</v>
      </c>
      <c r="AQ300" s="433">
        <v>0.98</v>
      </c>
      <c r="AR300" s="425">
        <v>2002</v>
      </c>
      <c r="AS300" s="433">
        <v>0.98</v>
      </c>
      <c r="AT300" s="434">
        <v>0.2</v>
      </c>
      <c r="AU300" s="431" t="s">
        <v>675</v>
      </c>
      <c r="AV300" s="435">
        <v>0</v>
      </c>
      <c r="AW300" s="432">
        <v>2022</v>
      </c>
      <c r="AX300" s="425">
        <v>1963</v>
      </c>
      <c r="AY300" s="433">
        <v>3.34</v>
      </c>
      <c r="AZ300" s="425">
        <v>1975</v>
      </c>
      <c r="BA300" s="433">
        <v>2.3199999999999998</v>
      </c>
      <c r="BB300" s="434">
        <v>0.17622820646009693</v>
      </c>
      <c r="BC300" s="431" t="s">
        <v>675</v>
      </c>
      <c r="BD300" s="435">
        <v>11.88</v>
      </c>
      <c r="BE300" s="432">
        <v>2023</v>
      </c>
      <c r="BF300" s="425"/>
      <c r="BG300" s="433"/>
      <c r="BH300" s="425"/>
      <c r="BI300" s="433"/>
      <c r="BJ300" s="434"/>
      <c r="BK300" s="431"/>
      <c r="BL300" s="435"/>
      <c r="BM300" s="432">
        <v>2024</v>
      </c>
      <c r="BN300" s="425"/>
      <c r="BO300" s="433"/>
      <c r="BP300" s="425"/>
      <c r="BQ300" s="433"/>
      <c r="BR300" s="434"/>
      <c r="BS300" s="431"/>
      <c r="BT300" s="435"/>
      <c r="BU300" s="1805" t="s">
        <v>687</v>
      </c>
      <c r="BV300" s="1806" t="s">
        <v>728</v>
      </c>
      <c r="BW300" s="1807" t="s">
        <v>678</v>
      </c>
      <c r="BX300" s="1808" t="s">
        <v>5192</v>
      </c>
      <c r="BY300" s="1809">
        <v>2021</v>
      </c>
      <c r="BZ300" s="424"/>
      <c r="CA300" s="424"/>
      <c r="CB300" s="430"/>
      <c r="CC300" s="431"/>
      <c r="CD300" s="432">
        <v>2024</v>
      </c>
      <c r="CE300" s="425"/>
      <c r="CF300" s="433"/>
      <c r="CG300" s="425"/>
      <c r="CH300" s="433"/>
      <c r="CI300" s="434"/>
      <c r="CJ300" s="431"/>
      <c r="CK300" s="435"/>
      <c r="CL300" s="432">
        <v>2022</v>
      </c>
      <c r="CM300" s="425">
        <v>0</v>
      </c>
      <c r="CN300" s="433"/>
      <c r="CO300" s="425">
        <v>0</v>
      </c>
      <c r="CP300" s="433"/>
      <c r="CQ300" s="434"/>
      <c r="CR300" s="431"/>
      <c r="CS300" s="435"/>
      <c r="CT300" s="432">
        <v>2023</v>
      </c>
      <c r="CU300" s="425"/>
      <c r="CV300" s="433"/>
      <c r="CW300" s="425"/>
      <c r="CX300" s="433"/>
      <c r="CY300" s="434"/>
      <c r="CZ300" s="431"/>
      <c r="DA300" s="435"/>
      <c r="DB300" s="432">
        <v>2024</v>
      </c>
      <c r="DC300" s="425"/>
      <c r="DD300" s="433"/>
      <c r="DE300" s="425"/>
      <c r="DF300" s="433"/>
      <c r="DG300" s="434"/>
      <c r="DH300" s="431"/>
      <c r="DI300" s="435"/>
      <c r="DJ300" s="1805"/>
      <c r="DK300" s="1806"/>
      <c r="DL300" s="1807"/>
      <c r="DM300" s="1808"/>
      <c r="DN300" s="1810">
        <v>0</v>
      </c>
      <c r="DO300" s="1799">
        <v>0</v>
      </c>
      <c r="DP300" s="1800">
        <v>0</v>
      </c>
      <c r="DQ300" s="1799">
        <v>0</v>
      </c>
      <c r="DR300" s="1800">
        <v>0</v>
      </c>
      <c r="DS300" s="1799">
        <v>0</v>
      </c>
    </row>
    <row r="301" spans="1:123" ht="67.5">
      <c r="A301" s="1801" t="s">
        <v>2658</v>
      </c>
      <c r="B301" s="1788" t="s">
        <v>2659</v>
      </c>
      <c r="C301" s="426">
        <v>2022</v>
      </c>
      <c r="D301" s="417" t="s">
        <v>681</v>
      </c>
      <c r="E301" s="1802">
        <v>1028416</v>
      </c>
      <c r="F301" s="1803" t="s">
        <v>2659</v>
      </c>
      <c r="G301" s="419">
        <v>45119</v>
      </c>
      <c r="H301" s="1790" t="s">
        <v>2660</v>
      </c>
      <c r="I301" s="1791" t="s">
        <v>2659</v>
      </c>
      <c r="J301" s="1793" t="s">
        <v>2661</v>
      </c>
      <c r="K301" s="1788" t="s">
        <v>2659</v>
      </c>
      <c r="L301" s="1791" t="s">
        <v>2661</v>
      </c>
      <c r="M301" s="1793" t="s">
        <v>2660</v>
      </c>
      <c r="N301" s="1790" t="s">
        <v>12</v>
      </c>
      <c r="O301" s="1793" t="s">
        <v>32</v>
      </c>
      <c r="P301" s="420" t="s">
        <v>683</v>
      </c>
      <c r="Q301" s="421"/>
      <c r="R301" s="421"/>
      <c r="S301" s="422"/>
      <c r="T301" s="1794"/>
      <c r="U301" s="423">
        <v>2628.2718</v>
      </c>
      <c r="V301" s="424">
        <v>1</v>
      </c>
      <c r="W301" s="424">
        <v>1</v>
      </c>
      <c r="X301" s="425"/>
      <c r="Y301" s="426">
        <v>2022</v>
      </c>
      <c r="Z301" s="417">
        <v>2024</v>
      </c>
      <c r="AA301" s="1804">
        <v>2022</v>
      </c>
      <c r="AB301" s="427"/>
      <c r="AC301" s="1793"/>
      <c r="AD301" s="428" t="s">
        <v>5863</v>
      </c>
      <c r="AE301" s="1791" t="s">
        <v>2662</v>
      </c>
      <c r="AF301" s="1791" t="s">
        <v>2660</v>
      </c>
      <c r="AG301" s="1793" t="s">
        <v>2663</v>
      </c>
      <c r="AH301" s="428"/>
      <c r="AI301" s="1793"/>
      <c r="AJ301" s="429">
        <v>2021</v>
      </c>
      <c r="AK301" s="424">
        <v>5034</v>
      </c>
      <c r="AL301" s="424">
        <v>4988.9530201342286</v>
      </c>
      <c r="AM301" s="430"/>
      <c r="AN301" s="431"/>
      <c r="AO301" s="432">
        <v>2024</v>
      </c>
      <c r="AP301" s="425">
        <v>3902</v>
      </c>
      <c r="AQ301" s="433">
        <v>22.48</v>
      </c>
      <c r="AR301" s="425">
        <v>3867</v>
      </c>
      <c r="AS301" s="433">
        <v>22.48</v>
      </c>
      <c r="AT301" s="434"/>
      <c r="AU301" s="431"/>
      <c r="AV301" s="435"/>
      <c r="AW301" s="432">
        <v>2022</v>
      </c>
      <c r="AX301" s="425">
        <v>4840</v>
      </c>
      <c r="AY301" s="433">
        <v>3.85</v>
      </c>
      <c r="AZ301" s="425">
        <v>4830</v>
      </c>
      <c r="BA301" s="433">
        <v>3.18</v>
      </c>
      <c r="BB301" s="434"/>
      <c r="BC301" s="431"/>
      <c r="BD301" s="435"/>
      <c r="BE301" s="432">
        <v>2023</v>
      </c>
      <c r="BF301" s="425"/>
      <c r="BG301" s="433"/>
      <c r="BH301" s="425"/>
      <c r="BI301" s="433"/>
      <c r="BJ301" s="434"/>
      <c r="BK301" s="431"/>
      <c r="BL301" s="435"/>
      <c r="BM301" s="432">
        <v>2024</v>
      </c>
      <c r="BN301" s="425"/>
      <c r="BO301" s="433"/>
      <c r="BP301" s="425"/>
      <c r="BQ301" s="433"/>
      <c r="BR301" s="434"/>
      <c r="BS301" s="431"/>
      <c r="BT301" s="435"/>
      <c r="BU301" s="1805" t="s">
        <v>687</v>
      </c>
      <c r="BV301" s="1806" t="s">
        <v>728</v>
      </c>
      <c r="BW301" s="1807" t="s">
        <v>678</v>
      </c>
      <c r="BX301" s="1808" t="s">
        <v>5193</v>
      </c>
      <c r="BY301" s="1809">
        <v>2021</v>
      </c>
      <c r="BZ301" s="424"/>
      <c r="CA301" s="424"/>
      <c r="CB301" s="430"/>
      <c r="CC301" s="431"/>
      <c r="CD301" s="432">
        <v>2024</v>
      </c>
      <c r="CE301" s="425"/>
      <c r="CF301" s="433"/>
      <c r="CG301" s="425"/>
      <c r="CH301" s="433"/>
      <c r="CI301" s="434"/>
      <c r="CJ301" s="431"/>
      <c r="CK301" s="435"/>
      <c r="CL301" s="432">
        <v>2022</v>
      </c>
      <c r="CM301" s="425">
        <v>0.32187680000000002</v>
      </c>
      <c r="CN301" s="433"/>
      <c r="CO301" s="425">
        <v>0.32187680000000002</v>
      </c>
      <c r="CP301" s="433"/>
      <c r="CQ301" s="434"/>
      <c r="CR301" s="431"/>
      <c r="CS301" s="435"/>
      <c r="CT301" s="432">
        <v>2023</v>
      </c>
      <c r="CU301" s="425"/>
      <c r="CV301" s="433"/>
      <c r="CW301" s="425"/>
      <c r="CX301" s="433"/>
      <c r="CY301" s="434"/>
      <c r="CZ301" s="431"/>
      <c r="DA301" s="435"/>
      <c r="DB301" s="432">
        <v>2024</v>
      </c>
      <c r="DC301" s="425"/>
      <c r="DD301" s="433"/>
      <c r="DE301" s="425"/>
      <c r="DF301" s="433"/>
      <c r="DG301" s="434"/>
      <c r="DH301" s="431"/>
      <c r="DI301" s="435"/>
      <c r="DJ301" s="1805"/>
      <c r="DK301" s="1806"/>
      <c r="DL301" s="1807"/>
      <c r="DM301" s="1808"/>
      <c r="DN301" s="1810">
        <v>0</v>
      </c>
      <c r="DO301" s="1799">
        <v>1</v>
      </c>
      <c r="DP301" s="1800">
        <v>0</v>
      </c>
      <c r="DQ301" s="1799">
        <v>1</v>
      </c>
      <c r="DR301" s="1800">
        <v>0</v>
      </c>
      <c r="DS301" s="1799">
        <v>0</v>
      </c>
    </row>
    <row r="302" spans="1:123" ht="67.5">
      <c r="A302" s="1801" t="s">
        <v>5194</v>
      </c>
      <c r="B302" s="1788" t="s">
        <v>5195</v>
      </c>
      <c r="C302" s="426">
        <v>2022</v>
      </c>
      <c r="D302" s="417" t="s">
        <v>714</v>
      </c>
      <c r="E302" s="1802">
        <v>3070423</v>
      </c>
      <c r="F302" s="1803" t="s">
        <v>5195</v>
      </c>
      <c r="G302" s="419">
        <v>45141</v>
      </c>
      <c r="H302" s="1790" t="s">
        <v>5196</v>
      </c>
      <c r="I302" s="1791" t="s">
        <v>5195</v>
      </c>
      <c r="J302" s="1793" t="s">
        <v>5197</v>
      </c>
      <c r="K302" s="1788" t="s">
        <v>5195</v>
      </c>
      <c r="L302" s="1791" t="s">
        <v>5197</v>
      </c>
      <c r="M302" s="1793" t="s">
        <v>5196</v>
      </c>
      <c r="N302" s="1790" t="s">
        <v>77</v>
      </c>
      <c r="O302" s="1793" t="s">
        <v>80</v>
      </c>
      <c r="P302" s="420"/>
      <c r="Q302" s="421"/>
      <c r="R302" s="421" t="s">
        <v>717</v>
      </c>
      <c r="S302" s="422"/>
      <c r="T302" s="1794"/>
      <c r="U302" s="423"/>
      <c r="V302" s="424"/>
      <c r="W302" s="424"/>
      <c r="X302" s="425">
        <v>109</v>
      </c>
      <c r="Y302" s="426">
        <v>2022</v>
      </c>
      <c r="Z302" s="417">
        <v>2024</v>
      </c>
      <c r="AA302" s="1804">
        <v>2022</v>
      </c>
      <c r="AB302" s="427"/>
      <c r="AC302" s="1793"/>
      <c r="AD302" s="428"/>
      <c r="AE302" s="1791"/>
      <c r="AF302" s="1791"/>
      <c r="AG302" s="1793"/>
      <c r="AH302" s="428" t="s">
        <v>5863</v>
      </c>
      <c r="AI302" s="1793" t="s">
        <v>5198</v>
      </c>
      <c r="AJ302" s="429">
        <v>2021</v>
      </c>
      <c r="AK302" s="424">
        <v>0</v>
      </c>
      <c r="AL302" s="424">
        <v>0</v>
      </c>
      <c r="AM302" s="430"/>
      <c r="AN302" s="431"/>
      <c r="AO302" s="432">
        <v>2024</v>
      </c>
      <c r="AP302" s="425">
        <v>3902</v>
      </c>
      <c r="AQ302" s="433"/>
      <c r="AR302" s="425">
        <v>3867</v>
      </c>
      <c r="AS302" s="433"/>
      <c r="AT302" s="434"/>
      <c r="AU302" s="431"/>
      <c r="AV302" s="435"/>
      <c r="AW302" s="432">
        <v>2022</v>
      </c>
      <c r="AX302" s="425"/>
      <c r="AY302" s="433"/>
      <c r="AZ302" s="425"/>
      <c r="BA302" s="433"/>
      <c r="BB302" s="434"/>
      <c r="BC302" s="431"/>
      <c r="BD302" s="435"/>
      <c r="BE302" s="432">
        <v>2023</v>
      </c>
      <c r="BF302" s="425"/>
      <c r="BG302" s="433"/>
      <c r="BH302" s="425"/>
      <c r="BI302" s="433"/>
      <c r="BJ302" s="434"/>
      <c r="BK302" s="431"/>
      <c r="BL302" s="435"/>
      <c r="BM302" s="432">
        <v>2024</v>
      </c>
      <c r="BN302" s="425"/>
      <c r="BO302" s="433"/>
      <c r="BP302" s="425"/>
      <c r="BQ302" s="433"/>
      <c r="BR302" s="434"/>
      <c r="BS302" s="431"/>
      <c r="BT302" s="435"/>
      <c r="BU302" s="1805"/>
      <c r="BV302" s="1806"/>
      <c r="BW302" s="1807"/>
      <c r="BX302" s="1808"/>
      <c r="BY302" s="1809">
        <v>2021</v>
      </c>
      <c r="BZ302" s="424">
        <v>114</v>
      </c>
      <c r="CA302" s="424">
        <v>114</v>
      </c>
      <c r="CB302" s="430"/>
      <c r="CC302" s="431"/>
      <c r="CD302" s="432">
        <v>2024</v>
      </c>
      <c r="CE302" s="425">
        <v>110</v>
      </c>
      <c r="CF302" s="433">
        <v>3.5</v>
      </c>
      <c r="CG302" s="425">
        <v>110</v>
      </c>
      <c r="CH302" s="433">
        <v>3.5</v>
      </c>
      <c r="CI302" s="434"/>
      <c r="CJ302" s="431"/>
      <c r="CK302" s="435"/>
      <c r="CL302" s="432">
        <v>2022</v>
      </c>
      <c r="CM302" s="425">
        <v>121.20424</v>
      </c>
      <c r="CN302" s="433">
        <v>-6.32</v>
      </c>
      <c r="CO302" s="425">
        <v>121.20424</v>
      </c>
      <c r="CP302" s="433">
        <v>-6.32</v>
      </c>
      <c r="CQ302" s="434"/>
      <c r="CR302" s="431"/>
      <c r="CS302" s="435"/>
      <c r="CT302" s="432">
        <v>2023</v>
      </c>
      <c r="CU302" s="425"/>
      <c r="CV302" s="433"/>
      <c r="CW302" s="425"/>
      <c r="CX302" s="433"/>
      <c r="CY302" s="434"/>
      <c r="CZ302" s="431"/>
      <c r="DA302" s="435"/>
      <c r="DB302" s="432">
        <v>2024</v>
      </c>
      <c r="DC302" s="425"/>
      <c r="DD302" s="433"/>
      <c r="DE302" s="425"/>
      <c r="DF302" s="433"/>
      <c r="DG302" s="434"/>
      <c r="DH302" s="431"/>
      <c r="DI302" s="435"/>
      <c r="DJ302" s="1805" t="s">
        <v>676</v>
      </c>
      <c r="DK302" s="1806" t="s">
        <v>728</v>
      </c>
      <c r="DL302" s="1807" t="s">
        <v>678</v>
      </c>
      <c r="DM302" s="1808" t="s">
        <v>5199</v>
      </c>
      <c r="DN302" s="1810">
        <v>0</v>
      </c>
      <c r="DO302" s="1799">
        <v>0</v>
      </c>
      <c r="DP302" s="1800">
        <v>0</v>
      </c>
      <c r="DQ302" s="1799">
        <v>0</v>
      </c>
      <c r="DR302" s="1800">
        <v>0</v>
      </c>
      <c r="DS302" s="1799">
        <v>0</v>
      </c>
    </row>
  </sheetData>
  <autoFilter ref="A1:DM301" xr:uid="{00000000-0009-0000-0000-000037000000}"/>
  <phoneticPr fontId="15"/>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0"/>
  <dimension ref="A1:V47"/>
  <sheetViews>
    <sheetView topLeftCell="B1" zoomScale="85" zoomScaleNormal="85" workbookViewId="0">
      <pane ySplit="4" topLeftCell="A5" activePane="bottomLeft" state="frozen"/>
      <selection activeCell="J28" sqref="J28"/>
      <selection pane="bottomLeft" activeCell="E5" sqref="E5"/>
    </sheetView>
  </sheetViews>
  <sheetFormatPr defaultColWidth="8.875" defaultRowHeight="13.5"/>
  <cols>
    <col min="1" max="1" width="12.5" customWidth="1"/>
    <col min="2" max="2" width="12.375" customWidth="1"/>
    <col min="5" max="7" width="13.25" customWidth="1"/>
    <col min="9" max="9" width="14.875" customWidth="1"/>
    <col min="10" max="10" width="17.875" customWidth="1"/>
    <col min="11" max="11" width="11.25" customWidth="1"/>
    <col min="19" max="19" width="8.875" customWidth="1"/>
  </cols>
  <sheetData>
    <row r="1" spans="1:22" ht="15" thickBot="1">
      <c r="A1" t="s">
        <v>4256</v>
      </c>
      <c r="B1" t="str">
        <f ca="1">RIGHT(CELL("filename",B2),LEN(CELL("filename",B2))-FIND("]",CELL("filename",B2)))</f>
        <v>参照元個別</v>
      </c>
      <c r="C1" s="1156" t="s">
        <v>4259</v>
      </c>
      <c r="D1" s="1157"/>
    </row>
    <row r="2" spans="1:22">
      <c r="A2" t="s">
        <v>1954</v>
      </c>
      <c r="C2" s="1158"/>
      <c r="D2" s="1158"/>
      <c r="I2" s="1123" t="s">
        <v>4258</v>
      </c>
      <c r="P2" s="1123" t="s">
        <v>4258</v>
      </c>
    </row>
    <row r="3" spans="1:22">
      <c r="C3" s="1159"/>
      <c r="D3" s="1160"/>
      <c r="I3" t="s">
        <v>4260</v>
      </c>
      <c r="P3" t="s">
        <v>4260</v>
      </c>
    </row>
    <row r="4" spans="1:22" ht="36">
      <c r="A4" s="1161" t="s">
        <v>4252</v>
      </c>
      <c r="B4" s="1161" t="s">
        <v>4255</v>
      </c>
      <c r="C4" s="1162" t="s">
        <v>4253</v>
      </c>
      <c r="D4" s="1163" t="s">
        <v>4254</v>
      </c>
      <c r="E4" s="1239" t="s">
        <v>4305</v>
      </c>
      <c r="F4" s="1239" t="s">
        <v>4306</v>
      </c>
      <c r="G4" s="1239" t="s">
        <v>4307</v>
      </c>
      <c r="I4" s="1164"/>
      <c r="J4" s="495"/>
      <c r="K4" s="977"/>
      <c r="L4" s="495" t="s">
        <v>4224</v>
      </c>
      <c r="M4" s="495" t="s">
        <v>4220</v>
      </c>
      <c r="N4" s="495" t="s">
        <v>4221</v>
      </c>
      <c r="P4" s="1165" t="s">
        <v>4254</v>
      </c>
      <c r="Q4" s="495" t="s">
        <v>4222</v>
      </c>
      <c r="R4" s="977" t="s">
        <v>4223</v>
      </c>
      <c r="S4" s="495" t="s">
        <v>4224</v>
      </c>
      <c r="T4" s="495" t="s">
        <v>4220</v>
      </c>
      <c r="U4" s="495" t="s">
        <v>4221</v>
      </c>
    </row>
    <row r="5" spans="1:22" ht="24">
      <c r="A5">
        <v>1</v>
      </c>
      <c r="B5" t="str">
        <f>$A$2&amp;"_"&amp;A5</f>
        <v>271_1</v>
      </c>
      <c r="C5" t="str">
        <f>'使用量_1,2'!$N$30</f>
        <v>事業所名を入力1</v>
      </c>
      <c r="D5" s="1122">
        <f ca="1">'使用量_1,2'!$N$113</f>
        <v>0</v>
      </c>
      <c r="E5" s="1122" t="str">
        <f ca="1">IF('使用量_1,2'!$N$114=0,"",'使用量_1,2'!$N$114)</f>
        <v/>
      </c>
      <c r="F5" s="1122" t="str">
        <f>'使用量_1,2'!$N$119</f>
        <v/>
      </c>
      <c r="G5" s="1122" t="str">
        <f>'使用量_1,2'!$N$118&amp;""</f>
        <v/>
      </c>
      <c r="I5" s="1121" t="str">
        <f t="shared" ref="I5:I44" si="0">C5</f>
        <v>事業所名を入力1</v>
      </c>
      <c r="J5" t="str">
        <f>報7!D6</f>
        <v>事業所名を入力1</v>
      </c>
      <c r="K5" t="str">
        <f>"=報7!D"&amp;O5</f>
        <v>=報7!D6</v>
      </c>
      <c r="L5" s="495" t="str">
        <f ca="1">"="&amp;$B$1&amp;"!"&amp;CELL("address",I5)</f>
        <v>=参照元個別!$I$5</v>
      </c>
      <c r="M5" t="str">
        <f>LEFT(RIGHT(K5,LEN(K5)-1),FIND("!",RIGHT(K5,LEN(K5)-1))-1)</f>
        <v>報7</v>
      </c>
      <c r="N5" t="str">
        <f>RIGHT(K5,LEN(K5)-FIND("!",K5))</f>
        <v>D6</v>
      </c>
      <c r="O5">
        <v>6</v>
      </c>
      <c r="P5" s="1122" t="str">
        <f ca="1">IF(D5=0,"",D5)</f>
        <v/>
      </c>
      <c r="Q5" s="1122" t="str">
        <f ca="1">報7!H8</f>
        <v/>
      </c>
      <c r="R5" t="str">
        <f>"=報7!H"&amp;V5</f>
        <v>=報7!H8</v>
      </c>
      <c r="S5" s="495" t="str">
        <f ca="1">"="&amp;$B$1&amp;"!"&amp;CELL("address",P5)</f>
        <v>=参照元個別!$P$5</v>
      </c>
      <c r="T5" t="str">
        <f>LEFT(RIGHT(R5,LEN(R5)-1),FIND("!",RIGHT(R5,LEN(R5)-1))-1)</f>
        <v>報7</v>
      </c>
      <c r="U5" t="str">
        <f>RIGHT(R5,LEN(R5)-FIND("!",R5))</f>
        <v>H8</v>
      </c>
      <c r="V5">
        <v>8</v>
      </c>
    </row>
    <row r="6" spans="1:22" ht="24">
      <c r="A6">
        <v>2</v>
      </c>
      <c r="B6" t="str">
        <f t="shared" ref="B6:B44" si="1">$A$2&amp;"_"&amp;A6</f>
        <v>271_2</v>
      </c>
      <c r="C6" t="str">
        <f>'使用量_1,2'!$O$30</f>
        <v>事業所名を入力2</v>
      </c>
      <c r="D6" s="1122">
        <f ca="1">'使用量_1,2'!$O$113</f>
        <v>0</v>
      </c>
      <c r="E6" s="1122" t="str">
        <f ca="1">IF('使用量_1,2'!$O$114=0,"",'使用量_1,2'!$O$114)</f>
        <v/>
      </c>
      <c r="F6" s="1122" t="str">
        <f>'使用量_1,2'!$O$119</f>
        <v/>
      </c>
      <c r="G6" s="1122" t="str">
        <f>'使用量_1,2'!$O$118&amp;""</f>
        <v/>
      </c>
      <c r="I6" s="1121" t="str">
        <f t="shared" si="0"/>
        <v>事業所名を入力2</v>
      </c>
      <c r="J6" t="str">
        <f>報7!D31</f>
        <v>事業所名を入力2</v>
      </c>
      <c r="K6" t="str">
        <f t="shared" ref="K6:K44" si="2">"=報7!D"&amp;O6</f>
        <v>=報7!D31</v>
      </c>
      <c r="L6" s="495" t="str">
        <f t="shared" ref="L6:L44" ca="1" si="3">"="&amp;$B$1&amp;"!"&amp;CELL("address",I6)</f>
        <v>=参照元個別!$I$6</v>
      </c>
      <c r="M6" t="str">
        <f t="shared" ref="M6:M44" si="4">LEFT(RIGHT(K6,LEN(K6)-1),FIND("!",RIGHT(K6,LEN(K6)-1))-1)</f>
        <v>報7</v>
      </c>
      <c r="N6" t="str">
        <f t="shared" ref="N6:N44" si="5">RIGHT(K6,LEN(K6)-FIND("!",K6))</f>
        <v>D31</v>
      </c>
      <c r="O6">
        <v>31</v>
      </c>
      <c r="P6" s="1122" t="str">
        <f t="shared" ref="P6:P44" ca="1" si="6">IF(D6=0,"",D6)</f>
        <v/>
      </c>
      <c r="Q6" s="1122" t="str">
        <f ca="1">報7!H33</f>
        <v/>
      </c>
      <c r="R6" t="str">
        <f t="shared" ref="R6:R44" si="7">"=報7!H"&amp;V6</f>
        <v>=報7!H33</v>
      </c>
      <c r="S6" s="495" t="str">
        <f t="shared" ref="S6:S44" ca="1" si="8">"="&amp;$B$1&amp;"!"&amp;CELL("address",P6)</f>
        <v>=参照元個別!$P$6</v>
      </c>
      <c r="T6" t="str">
        <f t="shared" ref="T6:T44" si="9">LEFT(RIGHT(R6,LEN(R6)-1),FIND("!",RIGHT(R6,LEN(R6)-1))-1)</f>
        <v>報7</v>
      </c>
      <c r="U6" t="str">
        <f t="shared" ref="U6:U44" si="10">RIGHT(R6,LEN(R6)-FIND("!",R6))</f>
        <v>H33</v>
      </c>
      <c r="V6">
        <v>33</v>
      </c>
    </row>
    <row r="7" spans="1:22" ht="24">
      <c r="A7">
        <v>3</v>
      </c>
      <c r="B7" t="str">
        <f t="shared" si="1"/>
        <v>271_3</v>
      </c>
      <c r="C7" t="str">
        <f>'使用量_1,2'!$P$30</f>
        <v>事業所名を入力3</v>
      </c>
      <c r="D7" s="1122">
        <f ca="1">'使用量_1,2'!$P$113</f>
        <v>0</v>
      </c>
      <c r="E7" s="1122" t="str">
        <f ca="1">IF('使用量_1,2'!$P$114=0,"",'使用量_1,2'!$P$114)</f>
        <v/>
      </c>
      <c r="F7" s="1122" t="str">
        <f>'使用量_1,2'!$P$119</f>
        <v/>
      </c>
      <c r="G7" s="1122" t="str">
        <f>'使用量_1,2'!$P$118&amp;""</f>
        <v/>
      </c>
      <c r="I7" s="1121" t="str">
        <f t="shared" si="0"/>
        <v>事業所名を入力3</v>
      </c>
      <c r="J7" t="str">
        <f>報7!D56</f>
        <v>事業所名を入力3</v>
      </c>
      <c r="K7" t="str">
        <f>"=報7!D"&amp;O7</f>
        <v>=報7!D56</v>
      </c>
      <c r="L7" s="495" t="str">
        <f t="shared" ca="1" si="3"/>
        <v>=参照元個別!$I$7</v>
      </c>
      <c r="M7" t="str">
        <f t="shared" si="4"/>
        <v>報7</v>
      </c>
      <c r="N7" t="str">
        <f t="shared" si="5"/>
        <v>D56</v>
      </c>
      <c r="O7">
        <v>56</v>
      </c>
      <c r="P7" s="1122" t="str">
        <f t="shared" ca="1" si="6"/>
        <v/>
      </c>
      <c r="Q7" t="str">
        <f ca="1">報7!H58</f>
        <v/>
      </c>
      <c r="R7" t="str">
        <f t="shared" si="7"/>
        <v>=報7!H58</v>
      </c>
      <c r="S7" s="495" t="str">
        <f t="shared" ca="1" si="8"/>
        <v>=参照元個別!$P$7</v>
      </c>
      <c r="T7" t="str">
        <f t="shared" si="9"/>
        <v>報7</v>
      </c>
      <c r="U7" t="str">
        <f t="shared" si="10"/>
        <v>H58</v>
      </c>
      <c r="V7">
        <v>58</v>
      </c>
    </row>
    <row r="8" spans="1:22" ht="24">
      <c r="A8">
        <v>4</v>
      </c>
      <c r="B8" t="str">
        <f t="shared" si="1"/>
        <v>271_4</v>
      </c>
      <c r="C8" t="str">
        <f>'使用量_1,2'!$Q$30</f>
        <v>事業所名を入力4</v>
      </c>
      <c r="D8" s="1122">
        <f ca="1">'使用量_1,2'!$Q$113</f>
        <v>0</v>
      </c>
      <c r="E8" s="1122" t="str">
        <f ca="1">IF('使用量_1,2'!$Q$114=0,"",'使用量_1,2'!$Q$114)</f>
        <v/>
      </c>
      <c r="F8" s="1122" t="str">
        <f>'使用量_1,2'!$Q$119</f>
        <v/>
      </c>
      <c r="G8" s="1122" t="str">
        <f>'使用量_1,2'!$Q$118&amp;""</f>
        <v/>
      </c>
      <c r="I8" s="1121" t="str">
        <f t="shared" si="0"/>
        <v>事業所名を入力4</v>
      </c>
      <c r="J8" t="str">
        <f>報7!D81</f>
        <v>事業所名を入力4</v>
      </c>
      <c r="K8" t="str">
        <f t="shared" si="2"/>
        <v>=報7!D81</v>
      </c>
      <c r="L8" s="495" t="str">
        <f t="shared" ca="1" si="3"/>
        <v>=参照元個別!$I$8</v>
      </c>
      <c r="M8" t="str">
        <f t="shared" si="4"/>
        <v>報7</v>
      </c>
      <c r="N8" t="str">
        <f t="shared" si="5"/>
        <v>D81</v>
      </c>
      <c r="O8">
        <v>81</v>
      </c>
      <c r="P8" s="1122" t="str">
        <f t="shared" ca="1" si="6"/>
        <v/>
      </c>
      <c r="Q8" t="str">
        <f ca="1">報7!H83</f>
        <v/>
      </c>
      <c r="R8" t="str">
        <f t="shared" si="7"/>
        <v>=報7!H83</v>
      </c>
      <c r="S8" s="495" t="str">
        <f t="shared" ca="1" si="8"/>
        <v>=参照元個別!$P$8</v>
      </c>
      <c r="T8" t="str">
        <f t="shared" si="9"/>
        <v>報7</v>
      </c>
      <c r="U8" t="str">
        <f t="shared" si="10"/>
        <v>H83</v>
      </c>
      <c r="V8">
        <v>83</v>
      </c>
    </row>
    <row r="9" spans="1:22" ht="24">
      <c r="A9">
        <v>5</v>
      </c>
      <c r="B9" t="str">
        <f t="shared" si="1"/>
        <v>271_5</v>
      </c>
      <c r="C9" t="str">
        <f>'使用量_1,2'!$R$30</f>
        <v>事業所名を入力5</v>
      </c>
      <c r="D9" s="1122">
        <f ca="1">'使用量_1,2'!$R$113</f>
        <v>0</v>
      </c>
      <c r="E9" s="1122" t="str">
        <f ca="1">IF('使用量_1,2'!$R$114=0,"",'使用量_1,2'!$R$114)</f>
        <v/>
      </c>
      <c r="F9" s="1122" t="str">
        <f>'使用量_1,2'!$R$119</f>
        <v/>
      </c>
      <c r="G9" s="1122" t="str">
        <f>'使用量_1,2'!$R$118&amp;""</f>
        <v/>
      </c>
      <c r="I9" s="1121" t="str">
        <f t="shared" si="0"/>
        <v>事業所名を入力5</v>
      </c>
      <c r="J9" t="str">
        <f>報7!D106</f>
        <v>事業所名を入力5</v>
      </c>
      <c r="K9" t="str">
        <f t="shared" si="2"/>
        <v>=報7!D106</v>
      </c>
      <c r="L9" s="495" t="str">
        <f t="shared" ca="1" si="3"/>
        <v>=参照元個別!$I$9</v>
      </c>
      <c r="M9" t="str">
        <f t="shared" si="4"/>
        <v>報7</v>
      </c>
      <c r="N9" t="str">
        <f t="shared" si="5"/>
        <v>D106</v>
      </c>
      <c r="O9">
        <v>106</v>
      </c>
      <c r="P9" s="1122" t="str">
        <f t="shared" ca="1" si="6"/>
        <v/>
      </c>
      <c r="Q9" t="str">
        <f ca="1">報7!H108</f>
        <v/>
      </c>
      <c r="R9" t="str">
        <f t="shared" si="7"/>
        <v>=報7!H108</v>
      </c>
      <c r="S9" s="495" t="str">
        <f t="shared" ca="1" si="8"/>
        <v>=参照元個別!$P$9</v>
      </c>
      <c r="T9" t="str">
        <f t="shared" si="9"/>
        <v>報7</v>
      </c>
      <c r="U9" t="str">
        <f t="shared" si="10"/>
        <v>H108</v>
      </c>
      <c r="V9">
        <v>108</v>
      </c>
    </row>
    <row r="10" spans="1:22" ht="24">
      <c r="A10">
        <v>6</v>
      </c>
      <c r="B10" t="str">
        <f t="shared" si="1"/>
        <v>271_6</v>
      </c>
      <c r="C10" t="str">
        <f>'使用量_1,2'!$S$30</f>
        <v>事業所名を入力6</v>
      </c>
      <c r="D10" s="1122">
        <f ca="1">'使用量_1,2'!$S$113</f>
        <v>0</v>
      </c>
      <c r="E10" s="1122" t="str">
        <f ca="1">IF('使用量_1,2'!$S$114=0,"",'使用量_1,2'!$S$114)</f>
        <v/>
      </c>
      <c r="F10" s="1122" t="str">
        <f>'使用量_1,2'!$S$119</f>
        <v/>
      </c>
      <c r="G10" s="1122" t="str">
        <f>'使用量_1,2'!$S$118&amp;""</f>
        <v/>
      </c>
      <c r="I10" s="1121" t="str">
        <f t="shared" si="0"/>
        <v>事業所名を入力6</v>
      </c>
      <c r="J10" t="str">
        <f>報7!D131</f>
        <v>事業所名を入力6</v>
      </c>
      <c r="K10" t="str">
        <f t="shared" si="2"/>
        <v>=報7!D131</v>
      </c>
      <c r="L10" s="495" t="str">
        <f t="shared" ca="1" si="3"/>
        <v>=参照元個別!$I$10</v>
      </c>
      <c r="M10" t="str">
        <f t="shared" si="4"/>
        <v>報7</v>
      </c>
      <c r="N10" t="str">
        <f t="shared" si="5"/>
        <v>D131</v>
      </c>
      <c r="O10">
        <v>131</v>
      </c>
      <c r="P10" s="1122" t="str">
        <f t="shared" ca="1" si="6"/>
        <v/>
      </c>
      <c r="Q10" t="str">
        <f ca="1">報7!H133</f>
        <v/>
      </c>
      <c r="R10" t="str">
        <f t="shared" si="7"/>
        <v>=報7!H133</v>
      </c>
      <c r="S10" s="495" t="str">
        <f t="shared" ca="1" si="8"/>
        <v>=参照元個別!$P$10</v>
      </c>
      <c r="T10" t="str">
        <f t="shared" si="9"/>
        <v>報7</v>
      </c>
      <c r="U10" t="str">
        <f t="shared" si="10"/>
        <v>H133</v>
      </c>
      <c r="V10">
        <v>133</v>
      </c>
    </row>
    <row r="11" spans="1:22" ht="24">
      <c r="A11">
        <v>7</v>
      </c>
      <c r="B11" t="str">
        <f t="shared" si="1"/>
        <v>271_7</v>
      </c>
      <c r="C11" t="str">
        <f>'使用量_1,2'!$T$30</f>
        <v>事業所名を入力7</v>
      </c>
      <c r="D11" s="1122">
        <f ca="1">'使用量_1,2'!$T$113</f>
        <v>0</v>
      </c>
      <c r="E11" s="1122" t="str">
        <f ca="1">IF('使用量_1,2'!$T$114=0,"",'使用量_1,2'!$T$114)</f>
        <v/>
      </c>
      <c r="F11" s="1122" t="str">
        <f>'使用量_1,2'!$T$119</f>
        <v/>
      </c>
      <c r="G11" s="1122" t="str">
        <f>'使用量_1,2'!$T$118&amp;""</f>
        <v/>
      </c>
      <c r="I11" s="1121" t="str">
        <f t="shared" si="0"/>
        <v>事業所名を入力7</v>
      </c>
      <c r="J11" t="str">
        <f>報7!D156</f>
        <v>事業所名を入力7</v>
      </c>
      <c r="K11" t="str">
        <f t="shared" si="2"/>
        <v>=報7!D156</v>
      </c>
      <c r="L11" s="495" t="str">
        <f t="shared" ca="1" si="3"/>
        <v>=参照元個別!$I$11</v>
      </c>
      <c r="M11" t="str">
        <f t="shared" si="4"/>
        <v>報7</v>
      </c>
      <c r="N11" t="str">
        <f t="shared" si="5"/>
        <v>D156</v>
      </c>
      <c r="O11">
        <v>156</v>
      </c>
      <c r="P11" s="1122" t="str">
        <f t="shared" ca="1" si="6"/>
        <v/>
      </c>
      <c r="Q11" t="str">
        <f ca="1">報7!H158</f>
        <v/>
      </c>
      <c r="R11" t="str">
        <f t="shared" si="7"/>
        <v>=報7!H158</v>
      </c>
      <c r="S11" s="495" t="str">
        <f t="shared" ca="1" si="8"/>
        <v>=参照元個別!$P$11</v>
      </c>
      <c r="T11" t="str">
        <f t="shared" si="9"/>
        <v>報7</v>
      </c>
      <c r="U11" t="str">
        <f t="shared" si="10"/>
        <v>H158</v>
      </c>
      <c r="V11">
        <v>158</v>
      </c>
    </row>
    <row r="12" spans="1:22" ht="24">
      <c r="A12">
        <v>8</v>
      </c>
      <c r="B12" t="str">
        <f t="shared" si="1"/>
        <v>271_8</v>
      </c>
      <c r="C12" t="str">
        <f>'使用量_1,2'!$U$30</f>
        <v>事業所名を入力8</v>
      </c>
      <c r="D12" s="1122">
        <f ca="1">'使用量_1,2'!$U$113</f>
        <v>0</v>
      </c>
      <c r="E12" s="1122" t="str">
        <f ca="1">IF('使用量_1,2'!$U$114=0,"",'使用量_1,2'!$U$114)</f>
        <v/>
      </c>
      <c r="F12" s="1122" t="str">
        <f>'使用量_1,2'!$U$119</f>
        <v/>
      </c>
      <c r="G12" s="1122" t="str">
        <f>'使用量_1,2'!$U$118&amp;""</f>
        <v/>
      </c>
      <c r="I12" s="1121" t="str">
        <f t="shared" si="0"/>
        <v>事業所名を入力8</v>
      </c>
      <c r="J12" t="str">
        <f>報7!D181</f>
        <v>事業所名を入力8</v>
      </c>
      <c r="K12" t="str">
        <f t="shared" si="2"/>
        <v>=報7!D181</v>
      </c>
      <c r="L12" s="495" t="str">
        <f t="shared" ca="1" si="3"/>
        <v>=参照元個別!$I$12</v>
      </c>
      <c r="M12" t="str">
        <f t="shared" si="4"/>
        <v>報7</v>
      </c>
      <c r="N12" t="str">
        <f t="shared" si="5"/>
        <v>D181</v>
      </c>
      <c r="O12">
        <v>181</v>
      </c>
      <c r="P12" s="1122" t="str">
        <f t="shared" ca="1" si="6"/>
        <v/>
      </c>
      <c r="Q12" t="str">
        <f ca="1">報7!H183</f>
        <v/>
      </c>
      <c r="R12" t="str">
        <f t="shared" si="7"/>
        <v>=報7!H183</v>
      </c>
      <c r="S12" s="495" t="str">
        <f t="shared" ca="1" si="8"/>
        <v>=参照元個別!$P$12</v>
      </c>
      <c r="T12" t="str">
        <f t="shared" si="9"/>
        <v>報7</v>
      </c>
      <c r="U12" t="str">
        <f t="shared" si="10"/>
        <v>H183</v>
      </c>
      <c r="V12">
        <v>183</v>
      </c>
    </row>
    <row r="13" spans="1:22" ht="24">
      <c r="A13">
        <v>9</v>
      </c>
      <c r="B13" t="str">
        <f t="shared" si="1"/>
        <v>271_9</v>
      </c>
      <c r="C13" t="str">
        <f>'使用量_1,2'!$V$30</f>
        <v>事業所名を入力9</v>
      </c>
      <c r="D13" s="1122">
        <f ca="1">'使用量_1,2'!$V$113</f>
        <v>0</v>
      </c>
      <c r="E13" s="1122" t="str">
        <f ca="1">IF('使用量_1,2'!$V$114=0,"",'使用量_1,2'!$V$114)</f>
        <v/>
      </c>
      <c r="F13" s="1122" t="str">
        <f>'使用量_1,2'!$V$119</f>
        <v/>
      </c>
      <c r="G13" s="1122" t="str">
        <f>'使用量_1,2'!$V$118&amp;""</f>
        <v/>
      </c>
      <c r="I13" s="1121" t="str">
        <f t="shared" si="0"/>
        <v>事業所名を入力9</v>
      </c>
      <c r="J13" t="str">
        <f>報7!D206</f>
        <v>事業所名を入力9</v>
      </c>
      <c r="K13" t="str">
        <f t="shared" si="2"/>
        <v>=報7!D206</v>
      </c>
      <c r="L13" s="495" t="str">
        <f t="shared" ca="1" si="3"/>
        <v>=参照元個別!$I$13</v>
      </c>
      <c r="M13" t="str">
        <f t="shared" si="4"/>
        <v>報7</v>
      </c>
      <c r="N13" t="str">
        <f t="shared" si="5"/>
        <v>D206</v>
      </c>
      <c r="O13">
        <v>206</v>
      </c>
      <c r="P13" s="1122" t="str">
        <f t="shared" ca="1" si="6"/>
        <v/>
      </c>
      <c r="Q13" t="str">
        <f ca="1">報7!H208</f>
        <v/>
      </c>
      <c r="R13" t="str">
        <f t="shared" si="7"/>
        <v>=報7!H208</v>
      </c>
      <c r="S13" s="495" t="str">
        <f t="shared" ca="1" si="8"/>
        <v>=参照元個別!$P$13</v>
      </c>
      <c r="T13" t="str">
        <f t="shared" si="9"/>
        <v>報7</v>
      </c>
      <c r="U13" t="str">
        <f t="shared" si="10"/>
        <v>H208</v>
      </c>
      <c r="V13">
        <v>208</v>
      </c>
    </row>
    <row r="14" spans="1:22" ht="24">
      <c r="A14">
        <v>10</v>
      </c>
      <c r="B14" t="str">
        <f t="shared" si="1"/>
        <v>271_10</v>
      </c>
      <c r="C14" t="str">
        <f>'使用量_1,2'!$W$30</f>
        <v>事業所名を入力10</v>
      </c>
      <c r="D14" s="1122">
        <f ca="1">'使用量_1,2'!$W$113</f>
        <v>0</v>
      </c>
      <c r="E14" s="1122" t="str">
        <f ca="1">IF('使用量_1,2'!$W$114=0,"",'使用量_1,2'!$W$114)</f>
        <v/>
      </c>
      <c r="F14" s="1122" t="str">
        <f>'使用量_1,2'!$W$119</f>
        <v/>
      </c>
      <c r="G14" s="1122" t="str">
        <f>'使用量_1,2'!$W$118&amp;""</f>
        <v/>
      </c>
      <c r="I14" s="1121" t="str">
        <f t="shared" si="0"/>
        <v>事業所名を入力10</v>
      </c>
      <c r="J14" t="str">
        <f>報7!D231</f>
        <v>事業所名を入力10</v>
      </c>
      <c r="K14" t="str">
        <f t="shared" si="2"/>
        <v>=報7!D231</v>
      </c>
      <c r="L14" s="495" t="str">
        <f t="shared" ca="1" si="3"/>
        <v>=参照元個別!$I$14</v>
      </c>
      <c r="M14" t="str">
        <f t="shared" si="4"/>
        <v>報7</v>
      </c>
      <c r="N14" t="str">
        <f t="shared" si="5"/>
        <v>D231</v>
      </c>
      <c r="O14">
        <v>231</v>
      </c>
      <c r="P14" s="1122" t="str">
        <f t="shared" ca="1" si="6"/>
        <v/>
      </c>
      <c r="Q14" t="str">
        <f ca="1">報7!H233</f>
        <v/>
      </c>
      <c r="R14" t="str">
        <f t="shared" si="7"/>
        <v>=報7!H233</v>
      </c>
      <c r="S14" s="495" t="str">
        <f t="shared" ca="1" si="8"/>
        <v>=参照元個別!$P$14</v>
      </c>
      <c r="T14" t="str">
        <f t="shared" si="9"/>
        <v>報7</v>
      </c>
      <c r="U14" t="str">
        <f t="shared" si="10"/>
        <v>H233</v>
      </c>
      <c r="V14">
        <v>233</v>
      </c>
    </row>
    <row r="15" spans="1:22" ht="24">
      <c r="A15">
        <v>11</v>
      </c>
      <c r="B15" t="str">
        <f t="shared" si="1"/>
        <v>271_11</v>
      </c>
      <c r="C15" t="str">
        <f>'使用量_1,2'!$X$30</f>
        <v>事業所名を入力11</v>
      </c>
      <c r="D15" s="1122">
        <f ca="1">'使用量_1,2'!$X$113</f>
        <v>0</v>
      </c>
      <c r="E15" s="1122" t="str">
        <f ca="1">IF('使用量_1,2'!$X$114=0,"",'使用量_1,2'!$X$114)</f>
        <v/>
      </c>
      <c r="F15" s="1122" t="str">
        <f>'使用量_1,2'!$X$119</f>
        <v/>
      </c>
      <c r="G15" s="1122" t="str">
        <f>'使用量_1,2'!$X$118&amp;""</f>
        <v/>
      </c>
      <c r="I15" s="1121" t="str">
        <f t="shared" si="0"/>
        <v>事業所名を入力11</v>
      </c>
      <c r="J15" t="str">
        <f>報7!D256</f>
        <v>事業所名を入力11</v>
      </c>
      <c r="K15" t="str">
        <f t="shared" si="2"/>
        <v>=報7!D256</v>
      </c>
      <c r="L15" s="495" t="str">
        <f t="shared" ca="1" si="3"/>
        <v>=参照元個別!$I$15</v>
      </c>
      <c r="M15" t="str">
        <f t="shared" si="4"/>
        <v>報7</v>
      </c>
      <c r="N15" t="str">
        <f t="shared" si="5"/>
        <v>D256</v>
      </c>
      <c r="O15">
        <v>256</v>
      </c>
      <c r="P15" s="1122" t="str">
        <f t="shared" ca="1" si="6"/>
        <v/>
      </c>
      <c r="Q15" t="str">
        <f ca="1">報7!H258</f>
        <v/>
      </c>
      <c r="R15" t="str">
        <f t="shared" si="7"/>
        <v>=報7!H258</v>
      </c>
      <c r="S15" s="495" t="str">
        <f t="shared" ca="1" si="8"/>
        <v>=参照元個別!$P$15</v>
      </c>
      <c r="T15" t="str">
        <f t="shared" si="9"/>
        <v>報7</v>
      </c>
      <c r="U15" t="str">
        <f t="shared" si="10"/>
        <v>H258</v>
      </c>
      <c r="V15">
        <v>258</v>
      </c>
    </row>
    <row r="16" spans="1:22" ht="24">
      <c r="A16">
        <v>12</v>
      </c>
      <c r="B16" t="str">
        <f t="shared" si="1"/>
        <v>271_12</v>
      </c>
      <c r="C16" t="str">
        <f>'使用量_1,2'!$Y$30</f>
        <v>事業所名を入力12</v>
      </c>
      <c r="D16" s="1122">
        <f ca="1">'使用量_1,2'!$Y$113</f>
        <v>0</v>
      </c>
      <c r="E16" s="1122" t="str">
        <f ca="1">IF('使用量_1,2'!$Y$114=0,"",'使用量_1,2'!$Y$114)</f>
        <v/>
      </c>
      <c r="F16" s="1122" t="str">
        <f>'使用量_1,2'!$Y$119</f>
        <v/>
      </c>
      <c r="G16" s="1122" t="str">
        <f>'使用量_1,2'!$Y$118&amp;""</f>
        <v/>
      </c>
      <c r="I16" s="1121" t="str">
        <f t="shared" si="0"/>
        <v>事業所名を入力12</v>
      </c>
      <c r="J16" t="str">
        <f>報7!D281</f>
        <v>事業所名を入力12</v>
      </c>
      <c r="K16" t="str">
        <f t="shared" si="2"/>
        <v>=報7!D281</v>
      </c>
      <c r="L16" s="495" t="str">
        <f t="shared" ca="1" si="3"/>
        <v>=参照元個別!$I$16</v>
      </c>
      <c r="M16" t="str">
        <f t="shared" si="4"/>
        <v>報7</v>
      </c>
      <c r="N16" t="str">
        <f t="shared" si="5"/>
        <v>D281</v>
      </c>
      <c r="O16">
        <v>281</v>
      </c>
      <c r="P16" s="1122" t="str">
        <f t="shared" ca="1" si="6"/>
        <v/>
      </c>
      <c r="Q16" t="str">
        <f ca="1">報7!H283</f>
        <v/>
      </c>
      <c r="R16" t="str">
        <f t="shared" si="7"/>
        <v>=報7!H283</v>
      </c>
      <c r="S16" s="495" t="str">
        <f t="shared" ca="1" si="8"/>
        <v>=参照元個別!$P$16</v>
      </c>
      <c r="T16" t="str">
        <f t="shared" si="9"/>
        <v>報7</v>
      </c>
      <c r="U16" t="str">
        <f t="shared" si="10"/>
        <v>H283</v>
      </c>
      <c r="V16">
        <v>283</v>
      </c>
    </row>
    <row r="17" spans="1:22" ht="24">
      <c r="A17">
        <v>13</v>
      </c>
      <c r="B17" t="str">
        <f t="shared" si="1"/>
        <v>271_13</v>
      </c>
      <c r="C17" t="str">
        <f>'使用量_1,2'!$Z$30</f>
        <v>事業所名を入力13</v>
      </c>
      <c r="D17" s="1122">
        <f ca="1">'使用量_1,2'!$Z$113</f>
        <v>0</v>
      </c>
      <c r="E17" s="1122" t="str">
        <f ca="1">IF('使用量_1,2'!$Z$114=0,"",'使用量_1,2'!$Z$114)</f>
        <v/>
      </c>
      <c r="F17" s="1122" t="str">
        <f>'使用量_1,2'!$Z$119</f>
        <v/>
      </c>
      <c r="G17" s="1122" t="str">
        <f>'使用量_1,2'!$Z$118&amp;""</f>
        <v/>
      </c>
      <c r="I17" s="1121" t="str">
        <f t="shared" si="0"/>
        <v>事業所名を入力13</v>
      </c>
      <c r="J17" t="str">
        <f>報7!D306</f>
        <v>事業所名を入力13</v>
      </c>
      <c r="K17" t="str">
        <f t="shared" si="2"/>
        <v>=報7!D306</v>
      </c>
      <c r="L17" s="495" t="str">
        <f t="shared" ca="1" si="3"/>
        <v>=参照元個別!$I$17</v>
      </c>
      <c r="M17" t="str">
        <f t="shared" si="4"/>
        <v>報7</v>
      </c>
      <c r="N17" t="str">
        <f t="shared" si="5"/>
        <v>D306</v>
      </c>
      <c r="O17">
        <v>306</v>
      </c>
      <c r="P17" s="1122" t="str">
        <f t="shared" ca="1" si="6"/>
        <v/>
      </c>
      <c r="Q17" t="str">
        <f ca="1">報7!H308</f>
        <v/>
      </c>
      <c r="R17" t="str">
        <f t="shared" si="7"/>
        <v>=報7!H308</v>
      </c>
      <c r="S17" s="495" t="str">
        <f t="shared" ca="1" si="8"/>
        <v>=参照元個別!$P$17</v>
      </c>
      <c r="T17" t="str">
        <f t="shared" si="9"/>
        <v>報7</v>
      </c>
      <c r="U17" t="str">
        <f t="shared" si="10"/>
        <v>H308</v>
      </c>
      <c r="V17">
        <v>308</v>
      </c>
    </row>
    <row r="18" spans="1:22" ht="24">
      <c r="A18">
        <v>14</v>
      </c>
      <c r="B18" t="str">
        <f t="shared" si="1"/>
        <v>271_14</v>
      </c>
      <c r="C18" t="str">
        <f>'使用量_1,2'!$AA$30</f>
        <v>事業所名を入力14</v>
      </c>
      <c r="D18" s="1122">
        <f ca="1">'使用量_1,2'!$AA$113</f>
        <v>0</v>
      </c>
      <c r="E18" s="1122" t="str">
        <f ca="1">IF('使用量_1,2'!$AA$114=0,"",'使用量_1,2'!$AA$114)</f>
        <v/>
      </c>
      <c r="F18" s="1122" t="str">
        <f>'使用量_1,2'!$AA$119</f>
        <v/>
      </c>
      <c r="G18" s="1122" t="str">
        <f>'使用量_1,2'!$AA$118&amp;""</f>
        <v/>
      </c>
      <c r="I18" s="1121" t="str">
        <f t="shared" si="0"/>
        <v>事業所名を入力14</v>
      </c>
      <c r="J18" t="str">
        <f>報7!D331</f>
        <v>事業所名を入力14</v>
      </c>
      <c r="K18" t="str">
        <f t="shared" si="2"/>
        <v>=報7!D331</v>
      </c>
      <c r="L18" s="495" t="str">
        <f t="shared" ca="1" si="3"/>
        <v>=参照元個別!$I$18</v>
      </c>
      <c r="M18" t="str">
        <f t="shared" si="4"/>
        <v>報7</v>
      </c>
      <c r="N18" t="str">
        <f t="shared" si="5"/>
        <v>D331</v>
      </c>
      <c r="O18">
        <v>331</v>
      </c>
      <c r="P18" s="1122" t="str">
        <f t="shared" ca="1" si="6"/>
        <v/>
      </c>
      <c r="Q18" t="str">
        <f ca="1">報7!H333</f>
        <v/>
      </c>
      <c r="R18" t="str">
        <f t="shared" si="7"/>
        <v>=報7!H333</v>
      </c>
      <c r="S18" s="495" t="str">
        <f t="shared" ca="1" si="8"/>
        <v>=参照元個別!$P$18</v>
      </c>
      <c r="T18" t="str">
        <f t="shared" si="9"/>
        <v>報7</v>
      </c>
      <c r="U18" t="str">
        <f t="shared" si="10"/>
        <v>H333</v>
      </c>
      <c r="V18">
        <v>333</v>
      </c>
    </row>
    <row r="19" spans="1:22" ht="24">
      <c r="A19">
        <v>15</v>
      </c>
      <c r="B19" t="str">
        <f t="shared" si="1"/>
        <v>271_15</v>
      </c>
      <c r="C19" t="str">
        <f>'使用量_1,2'!$AB$30</f>
        <v>事業所名を入力15</v>
      </c>
      <c r="D19" s="1122">
        <f ca="1">'使用量_1,2'!$AB$113</f>
        <v>0</v>
      </c>
      <c r="E19" s="1122" t="str">
        <f ca="1">IF('使用量_1,2'!$AB$114=0,"",'使用量_1,2'!$AB$114)</f>
        <v/>
      </c>
      <c r="F19" s="1122" t="str">
        <f>'使用量_1,2'!$AB$119</f>
        <v/>
      </c>
      <c r="G19" s="1122" t="str">
        <f>'使用量_1,2'!$AB$118&amp;""</f>
        <v/>
      </c>
      <c r="I19" s="1121" t="str">
        <f t="shared" si="0"/>
        <v>事業所名を入力15</v>
      </c>
      <c r="J19" t="str">
        <f>報7!D356</f>
        <v>事業所名を入力15</v>
      </c>
      <c r="K19" t="str">
        <f t="shared" si="2"/>
        <v>=報7!D356</v>
      </c>
      <c r="L19" s="495" t="str">
        <f t="shared" ca="1" si="3"/>
        <v>=参照元個別!$I$19</v>
      </c>
      <c r="M19" t="str">
        <f t="shared" si="4"/>
        <v>報7</v>
      </c>
      <c r="N19" t="str">
        <f t="shared" si="5"/>
        <v>D356</v>
      </c>
      <c r="O19">
        <v>356</v>
      </c>
      <c r="P19" s="1122" t="str">
        <f t="shared" ca="1" si="6"/>
        <v/>
      </c>
      <c r="Q19" t="str">
        <f ca="1">報7!H358</f>
        <v/>
      </c>
      <c r="R19" t="str">
        <f t="shared" si="7"/>
        <v>=報7!H358</v>
      </c>
      <c r="S19" s="495" t="str">
        <f t="shared" ca="1" si="8"/>
        <v>=参照元個別!$P$19</v>
      </c>
      <c r="T19" t="str">
        <f t="shared" si="9"/>
        <v>報7</v>
      </c>
      <c r="U19" t="str">
        <f t="shared" si="10"/>
        <v>H358</v>
      </c>
      <c r="V19">
        <v>358</v>
      </c>
    </row>
    <row r="20" spans="1:22" ht="24">
      <c r="A20">
        <v>16</v>
      </c>
      <c r="B20" t="str">
        <f t="shared" si="1"/>
        <v>271_16</v>
      </c>
      <c r="C20" t="str">
        <f>'使用量_1,2'!$AC$30</f>
        <v>事業所名を入力16</v>
      </c>
      <c r="D20" s="1122">
        <f ca="1">'使用量_1,2'!$AC$113</f>
        <v>0</v>
      </c>
      <c r="E20" s="1122" t="str">
        <f ca="1">IF('使用量_1,2'!$AC$114=0,"",'使用量_1,2'!$AC$114)</f>
        <v/>
      </c>
      <c r="F20" s="1122" t="str">
        <f>'使用量_1,2'!$AC$119</f>
        <v/>
      </c>
      <c r="G20" s="1122" t="str">
        <f>'使用量_1,2'!$AC$118&amp;""</f>
        <v/>
      </c>
      <c r="I20" s="1121" t="str">
        <f t="shared" si="0"/>
        <v>事業所名を入力16</v>
      </c>
      <c r="J20" t="str">
        <f>報7!D381</f>
        <v>事業所名を入力16</v>
      </c>
      <c r="K20" t="str">
        <f t="shared" si="2"/>
        <v>=報7!D381</v>
      </c>
      <c r="L20" s="495" t="str">
        <f t="shared" ca="1" si="3"/>
        <v>=参照元個別!$I$20</v>
      </c>
      <c r="M20" t="str">
        <f t="shared" si="4"/>
        <v>報7</v>
      </c>
      <c r="N20" t="str">
        <f t="shared" si="5"/>
        <v>D381</v>
      </c>
      <c r="O20">
        <v>381</v>
      </c>
      <c r="P20" s="1122" t="str">
        <f t="shared" ca="1" si="6"/>
        <v/>
      </c>
      <c r="Q20" t="str">
        <f ca="1">報7!H383</f>
        <v/>
      </c>
      <c r="R20" t="str">
        <f t="shared" si="7"/>
        <v>=報7!H383</v>
      </c>
      <c r="S20" s="495" t="str">
        <f t="shared" ca="1" si="8"/>
        <v>=参照元個別!$P$20</v>
      </c>
      <c r="T20" t="str">
        <f t="shared" si="9"/>
        <v>報7</v>
      </c>
      <c r="U20" t="str">
        <f t="shared" si="10"/>
        <v>H383</v>
      </c>
      <c r="V20">
        <v>383</v>
      </c>
    </row>
    <row r="21" spans="1:22" ht="24">
      <c r="A21">
        <v>17</v>
      </c>
      <c r="B21" t="str">
        <f t="shared" si="1"/>
        <v>271_17</v>
      </c>
      <c r="C21" t="str">
        <f>'使用量_1,2'!$AD$30</f>
        <v>事業所名を入力17</v>
      </c>
      <c r="D21" s="1122">
        <f ca="1">'使用量_1,2'!$AD$113</f>
        <v>0</v>
      </c>
      <c r="E21" s="1122" t="str">
        <f ca="1">IF('使用量_1,2'!$AD$114=0,"",'使用量_1,2'!$AD$114)</f>
        <v/>
      </c>
      <c r="F21" s="1122" t="str">
        <f>'使用量_1,2'!$AD$119</f>
        <v/>
      </c>
      <c r="G21" s="1122" t="str">
        <f>'使用量_1,2'!$AD$118&amp;""</f>
        <v/>
      </c>
      <c r="I21" s="1121" t="str">
        <f t="shared" si="0"/>
        <v>事業所名を入力17</v>
      </c>
      <c r="J21" t="str">
        <f>報7!D406</f>
        <v>事業所名を入力17</v>
      </c>
      <c r="K21" t="str">
        <f t="shared" si="2"/>
        <v>=報7!D406</v>
      </c>
      <c r="L21" s="495" t="str">
        <f t="shared" ca="1" si="3"/>
        <v>=参照元個別!$I$21</v>
      </c>
      <c r="M21" t="str">
        <f t="shared" si="4"/>
        <v>報7</v>
      </c>
      <c r="N21" t="str">
        <f t="shared" si="5"/>
        <v>D406</v>
      </c>
      <c r="O21">
        <v>406</v>
      </c>
      <c r="P21" s="1122" t="str">
        <f t="shared" ca="1" si="6"/>
        <v/>
      </c>
      <c r="Q21" t="str">
        <f ca="1">報7!H408</f>
        <v/>
      </c>
      <c r="R21" t="str">
        <f t="shared" si="7"/>
        <v>=報7!H408</v>
      </c>
      <c r="S21" s="495" t="str">
        <f t="shared" ca="1" si="8"/>
        <v>=参照元個別!$P$21</v>
      </c>
      <c r="T21" t="str">
        <f t="shared" si="9"/>
        <v>報7</v>
      </c>
      <c r="U21" t="str">
        <f t="shared" si="10"/>
        <v>H408</v>
      </c>
      <c r="V21">
        <v>408</v>
      </c>
    </row>
    <row r="22" spans="1:22" ht="24">
      <c r="A22">
        <v>18</v>
      </c>
      <c r="B22" t="str">
        <f t="shared" si="1"/>
        <v>271_18</v>
      </c>
      <c r="C22" t="str">
        <f>'使用量_1,2'!$AE$30</f>
        <v>事業所名を入力18</v>
      </c>
      <c r="D22" s="1122">
        <f ca="1">'使用量_1,2'!$AE$113</f>
        <v>0</v>
      </c>
      <c r="E22" s="1122" t="str">
        <f ca="1">IF('使用量_1,2'!$AE$114=0,"",'使用量_1,2'!$AE$114)</f>
        <v/>
      </c>
      <c r="F22" s="1122" t="str">
        <f>'使用量_1,2'!$AE$119</f>
        <v/>
      </c>
      <c r="G22" s="1122" t="str">
        <f>'使用量_1,2'!$AE$118&amp;""</f>
        <v/>
      </c>
      <c r="I22" s="1121" t="str">
        <f t="shared" si="0"/>
        <v>事業所名を入力18</v>
      </c>
      <c r="J22" t="str">
        <f>報7!D431</f>
        <v>事業所名を入力18</v>
      </c>
      <c r="K22" t="str">
        <f t="shared" si="2"/>
        <v>=報7!D431</v>
      </c>
      <c r="L22" s="495" t="str">
        <f t="shared" ca="1" si="3"/>
        <v>=参照元個別!$I$22</v>
      </c>
      <c r="M22" t="str">
        <f t="shared" si="4"/>
        <v>報7</v>
      </c>
      <c r="N22" t="str">
        <f t="shared" si="5"/>
        <v>D431</v>
      </c>
      <c r="O22">
        <v>431</v>
      </c>
      <c r="P22" s="1122" t="str">
        <f t="shared" ca="1" si="6"/>
        <v/>
      </c>
      <c r="Q22" t="str">
        <f ca="1">報7!H433</f>
        <v/>
      </c>
      <c r="R22" t="str">
        <f t="shared" si="7"/>
        <v>=報7!H433</v>
      </c>
      <c r="S22" s="495" t="str">
        <f t="shared" ca="1" si="8"/>
        <v>=参照元個別!$P$22</v>
      </c>
      <c r="T22" t="str">
        <f t="shared" si="9"/>
        <v>報7</v>
      </c>
      <c r="U22" t="str">
        <f t="shared" si="10"/>
        <v>H433</v>
      </c>
      <c r="V22">
        <v>433</v>
      </c>
    </row>
    <row r="23" spans="1:22" ht="24">
      <c r="A23">
        <v>19</v>
      </c>
      <c r="B23" t="str">
        <f t="shared" si="1"/>
        <v>271_19</v>
      </c>
      <c r="C23" t="str">
        <f>'使用量_1,2'!$AF$30</f>
        <v>事業所名を入力19</v>
      </c>
      <c r="D23" s="1122">
        <f ca="1">'使用量_1,2'!$AF$113</f>
        <v>0</v>
      </c>
      <c r="E23" s="1122" t="str">
        <f ca="1">IF('使用量_1,2'!$AF$114=0,"",'使用量_1,2'!$AF$114)</f>
        <v/>
      </c>
      <c r="F23" s="1122" t="str">
        <f>'使用量_1,2'!$AF$119</f>
        <v/>
      </c>
      <c r="G23" s="1122" t="str">
        <f>'使用量_1,2'!$AF$118&amp;""</f>
        <v/>
      </c>
      <c r="I23" s="1121" t="str">
        <f t="shared" si="0"/>
        <v>事業所名を入力19</v>
      </c>
      <c r="J23" t="str">
        <f>報7!D456</f>
        <v>事業所名を入力19</v>
      </c>
      <c r="K23" t="str">
        <f t="shared" si="2"/>
        <v>=報7!D456</v>
      </c>
      <c r="L23" s="495" t="str">
        <f t="shared" ca="1" si="3"/>
        <v>=参照元個別!$I$23</v>
      </c>
      <c r="M23" t="str">
        <f t="shared" si="4"/>
        <v>報7</v>
      </c>
      <c r="N23" t="str">
        <f t="shared" si="5"/>
        <v>D456</v>
      </c>
      <c r="O23">
        <v>456</v>
      </c>
      <c r="P23" s="1122" t="str">
        <f t="shared" ca="1" si="6"/>
        <v/>
      </c>
      <c r="Q23" t="str">
        <f ca="1">報7!H458</f>
        <v/>
      </c>
      <c r="R23" t="str">
        <f t="shared" si="7"/>
        <v>=報7!H458</v>
      </c>
      <c r="S23" s="495" t="str">
        <f t="shared" ca="1" si="8"/>
        <v>=参照元個別!$P$23</v>
      </c>
      <c r="T23" t="str">
        <f t="shared" si="9"/>
        <v>報7</v>
      </c>
      <c r="U23" t="str">
        <f t="shared" si="10"/>
        <v>H458</v>
      </c>
      <c r="V23">
        <v>458</v>
      </c>
    </row>
    <row r="24" spans="1:22" ht="24">
      <c r="A24">
        <v>20</v>
      </c>
      <c r="B24" t="str">
        <f t="shared" si="1"/>
        <v>271_20</v>
      </c>
      <c r="C24" t="str">
        <f>'使用量_1,2'!$AG$30</f>
        <v>事業所名を入力20</v>
      </c>
      <c r="D24" s="1122">
        <f ca="1">'使用量_1,2'!$AG$113</f>
        <v>0</v>
      </c>
      <c r="E24" s="1122" t="str">
        <f ca="1">IF('使用量_1,2'!$AG$114=0,"",'使用量_1,2'!$AG$114)</f>
        <v/>
      </c>
      <c r="F24" s="1122" t="str">
        <f>'使用量_1,2'!$AG$119</f>
        <v/>
      </c>
      <c r="G24" s="1122" t="str">
        <f>'使用量_1,2'!$AG$118&amp;""</f>
        <v/>
      </c>
      <c r="I24" s="1121" t="str">
        <f t="shared" si="0"/>
        <v>事業所名を入力20</v>
      </c>
      <c r="J24" t="str">
        <f>報7!D481</f>
        <v>事業所名を入力20</v>
      </c>
      <c r="K24" t="str">
        <f t="shared" si="2"/>
        <v>=報7!D481</v>
      </c>
      <c r="L24" s="495" t="str">
        <f t="shared" ca="1" si="3"/>
        <v>=参照元個別!$I$24</v>
      </c>
      <c r="M24" t="str">
        <f t="shared" si="4"/>
        <v>報7</v>
      </c>
      <c r="N24" t="str">
        <f t="shared" si="5"/>
        <v>D481</v>
      </c>
      <c r="O24">
        <v>481</v>
      </c>
      <c r="P24" s="1122" t="str">
        <f t="shared" ca="1" si="6"/>
        <v/>
      </c>
      <c r="Q24" t="str">
        <f ca="1">報7!H483</f>
        <v/>
      </c>
      <c r="R24" t="str">
        <f t="shared" si="7"/>
        <v>=報7!H483</v>
      </c>
      <c r="S24" s="495" t="str">
        <f t="shared" ca="1" si="8"/>
        <v>=参照元個別!$P$24</v>
      </c>
      <c r="T24" t="str">
        <f t="shared" si="9"/>
        <v>報7</v>
      </c>
      <c r="U24" t="str">
        <f t="shared" si="10"/>
        <v>H483</v>
      </c>
      <c r="V24">
        <v>483</v>
      </c>
    </row>
    <row r="25" spans="1:22" ht="24">
      <c r="A25">
        <v>21</v>
      </c>
      <c r="B25" t="str">
        <f t="shared" si="1"/>
        <v>271_21</v>
      </c>
      <c r="C25" t="str">
        <f>'使用量_1,2'!$AH$30</f>
        <v>事業所名を入力21</v>
      </c>
      <c r="D25" s="1122">
        <f ca="1">'使用量_1,2'!$AH$113</f>
        <v>0</v>
      </c>
      <c r="E25" s="1122" t="str">
        <f ca="1">IF('使用量_1,2'!$AH$114=0,"",'使用量_1,2'!$AH$114)</f>
        <v/>
      </c>
      <c r="F25" s="1122" t="str">
        <f>'使用量_1,2'!$AH$119</f>
        <v/>
      </c>
      <c r="G25" s="1122" t="str">
        <f>'使用量_1,2'!$AH$118&amp;""</f>
        <v/>
      </c>
      <c r="I25" s="1121" t="str">
        <f t="shared" si="0"/>
        <v>事業所名を入力21</v>
      </c>
      <c r="J25" t="str">
        <f>報7!D506</f>
        <v>事業所名を入力21</v>
      </c>
      <c r="K25" t="str">
        <f t="shared" si="2"/>
        <v>=報7!D506</v>
      </c>
      <c r="L25" s="495" t="str">
        <f t="shared" ca="1" si="3"/>
        <v>=参照元個別!$I$25</v>
      </c>
      <c r="M25" t="str">
        <f t="shared" si="4"/>
        <v>報7</v>
      </c>
      <c r="N25" t="str">
        <f t="shared" si="5"/>
        <v>D506</v>
      </c>
      <c r="O25">
        <v>506</v>
      </c>
      <c r="P25" s="1122" t="str">
        <f t="shared" ca="1" si="6"/>
        <v/>
      </c>
      <c r="Q25" t="str">
        <f ca="1">報7!H508</f>
        <v/>
      </c>
      <c r="R25" t="str">
        <f t="shared" si="7"/>
        <v>=報7!H508</v>
      </c>
      <c r="S25" s="495" t="str">
        <f t="shared" ca="1" si="8"/>
        <v>=参照元個別!$P$25</v>
      </c>
      <c r="T25" t="str">
        <f t="shared" si="9"/>
        <v>報7</v>
      </c>
      <c r="U25" t="str">
        <f t="shared" si="10"/>
        <v>H508</v>
      </c>
      <c r="V25">
        <v>508</v>
      </c>
    </row>
    <row r="26" spans="1:22" ht="24">
      <c r="A26">
        <v>22</v>
      </c>
      <c r="B26" t="str">
        <f t="shared" si="1"/>
        <v>271_22</v>
      </c>
      <c r="C26" t="str">
        <f>'使用量_1,2'!$AI$30</f>
        <v>事業所名を入力22</v>
      </c>
      <c r="D26" s="1122">
        <f ca="1">'使用量_1,2'!$AI$113</f>
        <v>0</v>
      </c>
      <c r="E26" s="1122" t="str">
        <f ca="1">IF('使用量_1,2'!$AI$114=0,"",'使用量_1,2'!$AI$114)</f>
        <v/>
      </c>
      <c r="F26" s="1122" t="str">
        <f>'使用量_1,2'!$AI$119</f>
        <v/>
      </c>
      <c r="G26" s="1122" t="str">
        <f>'使用量_1,2'!$AI$118&amp;""</f>
        <v/>
      </c>
      <c r="I26" s="1121" t="str">
        <f t="shared" si="0"/>
        <v>事業所名を入力22</v>
      </c>
      <c r="J26" t="str">
        <f>報7!D531</f>
        <v>事業所名を入力22</v>
      </c>
      <c r="K26" t="str">
        <f t="shared" si="2"/>
        <v>=報7!D531</v>
      </c>
      <c r="L26" s="495" t="str">
        <f t="shared" ca="1" si="3"/>
        <v>=参照元個別!$I$26</v>
      </c>
      <c r="M26" t="str">
        <f t="shared" si="4"/>
        <v>報7</v>
      </c>
      <c r="N26" t="str">
        <f t="shared" si="5"/>
        <v>D531</v>
      </c>
      <c r="O26">
        <v>531</v>
      </c>
      <c r="P26" s="1122" t="str">
        <f t="shared" ca="1" si="6"/>
        <v/>
      </c>
      <c r="Q26" t="str">
        <f ca="1">報7!H533</f>
        <v/>
      </c>
      <c r="R26" t="str">
        <f t="shared" si="7"/>
        <v>=報7!H533</v>
      </c>
      <c r="S26" s="495" t="str">
        <f t="shared" ca="1" si="8"/>
        <v>=参照元個別!$P$26</v>
      </c>
      <c r="T26" t="str">
        <f t="shared" si="9"/>
        <v>報7</v>
      </c>
      <c r="U26" t="str">
        <f t="shared" si="10"/>
        <v>H533</v>
      </c>
      <c r="V26">
        <v>533</v>
      </c>
    </row>
    <row r="27" spans="1:22" ht="24">
      <c r="A27">
        <v>23</v>
      </c>
      <c r="B27" t="str">
        <f t="shared" si="1"/>
        <v>271_23</v>
      </c>
      <c r="C27" t="str">
        <f>'使用量_1,2'!$AJ$30</f>
        <v>事業所名を入力23</v>
      </c>
      <c r="D27" s="1122">
        <f ca="1">'使用量_1,2'!$AJ$113</f>
        <v>0</v>
      </c>
      <c r="E27" s="1122" t="str">
        <f ca="1">IF('使用量_1,2'!$AJ$114=0,"",'使用量_1,2'!$AJ$114)</f>
        <v/>
      </c>
      <c r="F27" s="1122" t="str">
        <f>'使用量_1,2'!$AJ$119</f>
        <v/>
      </c>
      <c r="G27" s="1122" t="str">
        <f>'使用量_1,2'!$AJ$118&amp;""</f>
        <v/>
      </c>
      <c r="I27" s="1121" t="str">
        <f t="shared" si="0"/>
        <v>事業所名を入力23</v>
      </c>
      <c r="J27" t="str">
        <f>報7!D556</f>
        <v>事業所名を入力23</v>
      </c>
      <c r="K27" t="str">
        <f t="shared" si="2"/>
        <v>=報7!D556</v>
      </c>
      <c r="L27" s="495" t="str">
        <f t="shared" ca="1" si="3"/>
        <v>=参照元個別!$I$27</v>
      </c>
      <c r="M27" t="str">
        <f t="shared" si="4"/>
        <v>報7</v>
      </c>
      <c r="N27" t="str">
        <f t="shared" si="5"/>
        <v>D556</v>
      </c>
      <c r="O27">
        <v>556</v>
      </c>
      <c r="P27" s="1122" t="str">
        <f t="shared" ca="1" si="6"/>
        <v/>
      </c>
      <c r="Q27" t="str">
        <f ca="1">報7!H558</f>
        <v/>
      </c>
      <c r="R27" t="str">
        <f t="shared" si="7"/>
        <v>=報7!H558</v>
      </c>
      <c r="S27" s="495" t="str">
        <f t="shared" ca="1" si="8"/>
        <v>=参照元個別!$P$27</v>
      </c>
      <c r="T27" t="str">
        <f t="shared" si="9"/>
        <v>報7</v>
      </c>
      <c r="U27" t="str">
        <f t="shared" si="10"/>
        <v>H558</v>
      </c>
      <c r="V27">
        <v>558</v>
      </c>
    </row>
    <row r="28" spans="1:22" ht="24">
      <c r="A28">
        <v>24</v>
      </c>
      <c r="B28" t="str">
        <f t="shared" si="1"/>
        <v>271_24</v>
      </c>
      <c r="C28" t="str">
        <f>'使用量_1,2'!$AK$30</f>
        <v>事業所名を入力24</v>
      </c>
      <c r="D28" s="1122">
        <f ca="1">'使用量_1,2'!$AK$113</f>
        <v>0</v>
      </c>
      <c r="E28" s="1122" t="str">
        <f ca="1">IF('使用量_1,2'!$AK$114=0,"",'使用量_1,2'!$AKR$114)</f>
        <v/>
      </c>
      <c r="F28" s="1122" t="str">
        <f>'使用量_1,2'!$AK$119</f>
        <v/>
      </c>
      <c r="G28" s="1122" t="str">
        <f>'使用量_1,2'!$AK$118&amp;""</f>
        <v/>
      </c>
      <c r="I28" s="1121" t="str">
        <f t="shared" si="0"/>
        <v>事業所名を入力24</v>
      </c>
      <c r="J28" t="str">
        <f>報7!D581</f>
        <v>事業所名を入力24</v>
      </c>
      <c r="K28" t="str">
        <f t="shared" si="2"/>
        <v>=報7!D581</v>
      </c>
      <c r="L28" s="495" t="str">
        <f t="shared" ca="1" si="3"/>
        <v>=参照元個別!$I$28</v>
      </c>
      <c r="M28" t="str">
        <f t="shared" si="4"/>
        <v>報7</v>
      </c>
      <c r="N28" t="str">
        <f t="shared" si="5"/>
        <v>D581</v>
      </c>
      <c r="O28">
        <v>581</v>
      </c>
      <c r="P28" s="1122" t="str">
        <f t="shared" ca="1" si="6"/>
        <v/>
      </c>
      <c r="Q28" t="str">
        <f ca="1">報7!H583</f>
        <v/>
      </c>
      <c r="R28" t="str">
        <f t="shared" si="7"/>
        <v>=報7!H583</v>
      </c>
      <c r="S28" s="495" t="str">
        <f t="shared" ca="1" si="8"/>
        <v>=参照元個別!$P$28</v>
      </c>
      <c r="T28" t="str">
        <f t="shared" si="9"/>
        <v>報7</v>
      </c>
      <c r="U28" t="str">
        <f t="shared" si="10"/>
        <v>H583</v>
      </c>
      <c r="V28">
        <v>583</v>
      </c>
    </row>
    <row r="29" spans="1:22" ht="24">
      <c r="A29">
        <v>25</v>
      </c>
      <c r="B29" t="str">
        <f t="shared" si="1"/>
        <v>271_25</v>
      </c>
      <c r="C29" t="str">
        <f>'使用量_1,2'!$AL$30</f>
        <v>事業所名を入力25</v>
      </c>
      <c r="D29" s="1122">
        <f ca="1">'使用量_1,2'!$AL$113</f>
        <v>0</v>
      </c>
      <c r="E29" s="1122" t="str">
        <f ca="1">IF('使用量_1,2'!$AL$114=0,"",'使用量_1,2'!$AL$114)</f>
        <v/>
      </c>
      <c r="F29" s="1122" t="str">
        <f>'使用量_1,2'!$AL$119</f>
        <v/>
      </c>
      <c r="G29" s="1122" t="str">
        <f>'使用量_1,2'!$AL$118&amp;""</f>
        <v/>
      </c>
      <c r="I29" s="1121" t="str">
        <f t="shared" si="0"/>
        <v>事業所名を入力25</v>
      </c>
      <c r="J29" t="str">
        <f>報7!D606</f>
        <v>事業所名を入力25</v>
      </c>
      <c r="K29" t="str">
        <f t="shared" si="2"/>
        <v>=報7!D606</v>
      </c>
      <c r="L29" s="495" t="str">
        <f t="shared" ca="1" si="3"/>
        <v>=参照元個別!$I$29</v>
      </c>
      <c r="M29" t="str">
        <f t="shared" si="4"/>
        <v>報7</v>
      </c>
      <c r="N29" t="str">
        <f t="shared" si="5"/>
        <v>D606</v>
      </c>
      <c r="O29">
        <v>606</v>
      </c>
      <c r="P29" s="1122" t="str">
        <f t="shared" ca="1" si="6"/>
        <v/>
      </c>
      <c r="Q29" t="str">
        <f ca="1">報7!H608</f>
        <v/>
      </c>
      <c r="R29" t="str">
        <f t="shared" si="7"/>
        <v>=報7!H608</v>
      </c>
      <c r="S29" s="495" t="str">
        <f t="shared" ca="1" si="8"/>
        <v>=参照元個別!$P$29</v>
      </c>
      <c r="T29" t="str">
        <f t="shared" si="9"/>
        <v>報7</v>
      </c>
      <c r="U29" t="str">
        <f t="shared" si="10"/>
        <v>H608</v>
      </c>
      <c r="V29">
        <v>608</v>
      </c>
    </row>
    <row r="30" spans="1:22" ht="24">
      <c r="A30">
        <v>26</v>
      </c>
      <c r="B30" t="str">
        <f t="shared" si="1"/>
        <v>271_26</v>
      </c>
      <c r="C30" t="str">
        <f>'使用量_1,2'!$AM$30</f>
        <v>事業所名を入力26</v>
      </c>
      <c r="D30" s="1122">
        <f ca="1">'使用量_1,2'!$AM$113</f>
        <v>0</v>
      </c>
      <c r="E30" s="1122" t="str">
        <f ca="1">IF('使用量_1,2'!$AM$114=0,"",'使用量_1,2'!$AM$114)</f>
        <v/>
      </c>
      <c r="F30" s="1122" t="str">
        <f>'使用量_1,2'!$AM$119</f>
        <v/>
      </c>
      <c r="G30" s="1122" t="str">
        <f>'使用量_1,2'!$AM$118&amp;""</f>
        <v/>
      </c>
      <c r="I30" s="1121" t="str">
        <f t="shared" si="0"/>
        <v>事業所名を入力26</v>
      </c>
      <c r="J30" t="str">
        <f>報7!D631</f>
        <v>事業所名を入力26</v>
      </c>
      <c r="K30" t="str">
        <f t="shared" si="2"/>
        <v>=報7!D631</v>
      </c>
      <c r="L30" s="495" t="str">
        <f t="shared" ca="1" si="3"/>
        <v>=参照元個別!$I$30</v>
      </c>
      <c r="M30" t="str">
        <f t="shared" si="4"/>
        <v>報7</v>
      </c>
      <c r="N30" t="str">
        <f t="shared" si="5"/>
        <v>D631</v>
      </c>
      <c r="O30">
        <v>631</v>
      </c>
      <c r="P30" s="1122" t="str">
        <f t="shared" ca="1" si="6"/>
        <v/>
      </c>
      <c r="Q30" t="str">
        <f ca="1">報7!H633</f>
        <v/>
      </c>
      <c r="R30" t="str">
        <f t="shared" si="7"/>
        <v>=報7!H633</v>
      </c>
      <c r="S30" s="495" t="str">
        <f t="shared" ca="1" si="8"/>
        <v>=参照元個別!$P$30</v>
      </c>
      <c r="T30" t="str">
        <f t="shared" si="9"/>
        <v>報7</v>
      </c>
      <c r="U30" t="str">
        <f t="shared" si="10"/>
        <v>H633</v>
      </c>
      <c r="V30">
        <v>633</v>
      </c>
    </row>
    <row r="31" spans="1:22" ht="24">
      <c r="A31">
        <v>27</v>
      </c>
      <c r="B31" t="str">
        <f t="shared" si="1"/>
        <v>271_27</v>
      </c>
      <c r="C31" t="str">
        <f>'使用量_1,2'!$AN$30</f>
        <v>事業所名を入力27</v>
      </c>
      <c r="D31" s="1122">
        <f ca="1">'使用量_1,2'!$AN$113</f>
        <v>0</v>
      </c>
      <c r="E31" s="1122" t="str">
        <f ca="1">IF('使用量_1,2'!$AN$114=0,"",'使用量_1,2'!$AN$114)</f>
        <v/>
      </c>
      <c r="F31" s="1122" t="str">
        <f>'使用量_1,2'!$AN$119</f>
        <v/>
      </c>
      <c r="G31" s="1122" t="str">
        <f>'使用量_1,2'!$AN$118&amp;""</f>
        <v/>
      </c>
      <c r="I31" s="1121" t="str">
        <f t="shared" si="0"/>
        <v>事業所名を入力27</v>
      </c>
      <c r="J31" t="str">
        <f>報7!D656</f>
        <v>事業所名を入力27</v>
      </c>
      <c r="K31" t="str">
        <f t="shared" si="2"/>
        <v>=報7!D656</v>
      </c>
      <c r="L31" s="495" t="str">
        <f t="shared" ca="1" si="3"/>
        <v>=参照元個別!$I$31</v>
      </c>
      <c r="M31" t="str">
        <f t="shared" si="4"/>
        <v>報7</v>
      </c>
      <c r="N31" t="str">
        <f t="shared" si="5"/>
        <v>D656</v>
      </c>
      <c r="O31">
        <v>656</v>
      </c>
      <c r="P31" s="1122" t="str">
        <f t="shared" ca="1" si="6"/>
        <v/>
      </c>
      <c r="Q31" t="str">
        <f ca="1">報7!H658</f>
        <v/>
      </c>
      <c r="R31" t="str">
        <f t="shared" si="7"/>
        <v>=報7!H658</v>
      </c>
      <c r="S31" s="495" t="str">
        <f t="shared" ca="1" si="8"/>
        <v>=参照元個別!$P$31</v>
      </c>
      <c r="T31" t="str">
        <f t="shared" si="9"/>
        <v>報7</v>
      </c>
      <c r="U31" t="str">
        <f t="shared" si="10"/>
        <v>H658</v>
      </c>
      <c r="V31">
        <v>658</v>
      </c>
    </row>
    <row r="32" spans="1:22" ht="24">
      <c r="A32">
        <v>28</v>
      </c>
      <c r="B32" t="str">
        <f t="shared" si="1"/>
        <v>271_28</v>
      </c>
      <c r="C32" t="str">
        <f>'使用量_1,2'!$AO$30</f>
        <v>事業所名を入力28</v>
      </c>
      <c r="D32" s="1122">
        <f ca="1">'使用量_1,2'!$AO$113</f>
        <v>0</v>
      </c>
      <c r="E32" s="1122" t="str">
        <f ca="1">IF('使用量_1,2'!$AO$114=0,"",'使用量_1,2'!$AO$114)</f>
        <v/>
      </c>
      <c r="F32" s="1122" t="str">
        <f>'使用量_1,2'!$AO$119</f>
        <v/>
      </c>
      <c r="G32" s="1122" t="str">
        <f>'使用量_1,2'!$AO$118&amp;""</f>
        <v/>
      </c>
      <c r="I32" s="1121" t="str">
        <f t="shared" si="0"/>
        <v>事業所名を入力28</v>
      </c>
      <c r="J32" t="str">
        <f>報7!D681</f>
        <v>事業所名を入力28</v>
      </c>
      <c r="K32" t="str">
        <f t="shared" si="2"/>
        <v>=報7!D681</v>
      </c>
      <c r="L32" s="495" t="str">
        <f t="shared" ca="1" si="3"/>
        <v>=参照元個別!$I$32</v>
      </c>
      <c r="M32" t="str">
        <f t="shared" si="4"/>
        <v>報7</v>
      </c>
      <c r="N32" t="str">
        <f t="shared" si="5"/>
        <v>D681</v>
      </c>
      <c r="O32">
        <v>681</v>
      </c>
      <c r="P32" s="1122" t="str">
        <f t="shared" ca="1" si="6"/>
        <v/>
      </c>
      <c r="Q32" t="str">
        <f ca="1">報7!H683</f>
        <v/>
      </c>
      <c r="R32" t="str">
        <f t="shared" si="7"/>
        <v>=報7!H683</v>
      </c>
      <c r="S32" s="495" t="str">
        <f t="shared" ca="1" si="8"/>
        <v>=参照元個別!$P$32</v>
      </c>
      <c r="T32" t="str">
        <f t="shared" si="9"/>
        <v>報7</v>
      </c>
      <c r="U32" t="str">
        <f t="shared" si="10"/>
        <v>H683</v>
      </c>
      <c r="V32">
        <v>683</v>
      </c>
    </row>
    <row r="33" spans="1:22" ht="24">
      <c r="A33">
        <v>29</v>
      </c>
      <c r="B33" t="str">
        <f t="shared" si="1"/>
        <v>271_29</v>
      </c>
      <c r="C33" t="str">
        <f>'使用量_1,2'!$AP$30</f>
        <v>事業所名を入力29</v>
      </c>
      <c r="D33" s="1122">
        <f ca="1">'使用量_1,2'!$AP$113</f>
        <v>0</v>
      </c>
      <c r="E33" s="1122" t="str">
        <f ca="1">IF('使用量_1,2'!$AP$114=0,"",'使用量_1,2'!$AP$114)</f>
        <v/>
      </c>
      <c r="F33" s="1122" t="str">
        <f>'使用量_1,2'!$AP$119</f>
        <v/>
      </c>
      <c r="G33" s="1122" t="str">
        <f>'使用量_1,2'!$AP$118&amp;""</f>
        <v/>
      </c>
      <c r="I33" s="1121" t="str">
        <f t="shared" si="0"/>
        <v>事業所名を入力29</v>
      </c>
      <c r="J33" t="str">
        <f>報7!D706</f>
        <v>事業所名を入力29</v>
      </c>
      <c r="K33" t="str">
        <f t="shared" si="2"/>
        <v>=報7!D706</v>
      </c>
      <c r="L33" s="495" t="str">
        <f t="shared" ca="1" si="3"/>
        <v>=参照元個別!$I$33</v>
      </c>
      <c r="M33" t="str">
        <f t="shared" si="4"/>
        <v>報7</v>
      </c>
      <c r="N33" t="str">
        <f t="shared" si="5"/>
        <v>D706</v>
      </c>
      <c r="O33">
        <v>706</v>
      </c>
      <c r="P33" s="1122" t="str">
        <f t="shared" ca="1" si="6"/>
        <v/>
      </c>
      <c r="Q33" t="str">
        <f ca="1">報7!H708</f>
        <v/>
      </c>
      <c r="R33" t="str">
        <f t="shared" si="7"/>
        <v>=報7!H708</v>
      </c>
      <c r="S33" s="495" t="str">
        <f t="shared" ca="1" si="8"/>
        <v>=参照元個別!$P$33</v>
      </c>
      <c r="T33" t="str">
        <f t="shared" si="9"/>
        <v>報7</v>
      </c>
      <c r="U33" t="str">
        <f t="shared" si="10"/>
        <v>H708</v>
      </c>
      <c r="V33">
        <v>708</v>
      </c>
    </row>
    <row r="34" spans="1:22" ht="24">
      <c r="A34">
        <v>30</v>
      </c>
      <c r="B34" t="str">
        <f t="shared" si="1"/>
        <v>271_30</v>
      </c>
      <c r="C34" t="str">
        <f>'使用量_1,2'!$AQ$30</f>
        <v>事業所名を入力30</v>
      </c>
      <c r="D34" s="1122">
        <f ca="1">'使用量_1,2'!$AQ$113</f>
        <v>0</v>
      </c>
      <c r="E34" s="1122" t="str">
        <f ca="1">IF('使用量_1,2'!$AQ$114=0,"",'使用量_1,2'!$AQ$114)</f>
        <v/>
      </c>
      <c r="F34" s="1122" t="str">
        <f>'使用量_1,2'!$AQ$119</f>
        <v/>
      </c>
      <c r="G34" s="1122" t="str">
        <f>'使用量_1,2'!$AQ$118&amp;""</f>
        <v/>
      </c>
      <c r="I34" s="1121" t="str">
        <f t="shared" si="0"/>
        <v>事業所名を入力30</v>
      </c>
      <c r="J34" t="str">
        <f>報7!D731</f>
        <v>事業所名を入力30</v>
      </c>
      <c r="K34" t="str">
        <f t="shared" si="2"/>
        <v>=報7!D731</v>
      </c>
      <c r="L34" s="495" t="str">
        <f t="shared" ca="1" si="3"/>
        <v>=参照元個別!$I$34</v>
      </c>
      <c r="M34" t="str">
        <f t="shared" si="4"/>
        <v>報7</v>
      </c>
      <c r="N34" t="str">
        <f t="shared" si="5"/>
        <v>D731</v>
      </c>
      <c r="O34">
        <v>731</v>
      </c>
      <c r="P34" s="1122" t="str">
        <f t="shared" ca="1" si="6"/>
        <v/>
      </c>
      <c r="Q34" t="str">
        <f ca="1">報7!H733</f>
        <v/>
      </c>
      <c r="R34" t="str">
        <f t="shared" si="7"/>
        <v>=報7!H733</v>
      </c>
      <c r="S34" s="495" t="str">
        <f t="shared" ca="1" si="8"/>
        <v>=参照元個別!$P$34</v>
      </c>
      <c r="T34" t="str">
        <f t="shared" si="9"/>
        <v>報7</v>
      </c>
      <c r="U34" t="str">
        <f t="shared" si="10"/>
        <v>H733</v>
      </c>
      <c r="V34">
        <v>733</v>
      </c>
    </row>
    <row r="35" spans="1:22" ht="24">
      <c r="A35">
        <v>31</v>
      </c>
      <c r="B35" t="str">
        <f t="shared" si="1"/>
        <v>271_31</v>
      </c>
      <c r="C35" t="str">
        <f>'使用量_1,2'!$AR$30</f>
        <v>事業所名を入力31</v>
      </c>
      <c r="D35" s="1122">
        <f ca="1">'使用量_1,2'!$AR$113</f>
        <v>0</v>
      </c>
      <c r="E35" s="1122" t="str">
        <f ca="1">IF('使用量_1,2'!$AR$114=0,"",'使用量_1,2'!$AR$114)</f>
        <v/>
      </c>
      <c r="F35" s="1122" t="str">
        <f>'使用量_1,2'!$AR$119</f>
        <v/>
      </c>
      <c r="G35" s="1122" t="str">
        <f>'使用量_1,2'!$AR$118&amp;""</f>
        <v/>
      </c>
      <c r="I35" s="1121" t="str">
        <f t="shared" si="0"/>
        <v>事業所名を入力31</v>
      </c>
      <c r="J35" t="str">
        <f>報7!D756</f>
        <v>事業所名を入力31</v>
      </c>
      <c r="K35" t="str">
        <f t="shared" si="2"/>
        <v>=報7!D756</v>
      </c>
      <c r="L35" s="495" t="str">
        <f t="shared" ca="1" si="3"/>
        <v>=参照元個別!$I$35</v>
      </c>
      <c r="M35" t="str">
        <f t="shared" si="4"/>
        <v>報7</v>
      </c>
      <c r="N35" t="str">
        <f t="shared" si="5"/>
        <v>D756</v>
      </c>
      <c r="O35">
        <v>756</v>
      </c>
      <c r="P35" s="1122" t="str">
        <f t="shared" ca="1" si="6"/>
        <v/>
      </c>
      <c r="Q35" t="str">
        <f ca="1">報7!H758</f>
        <v/>
      </c>
      <c r="R35" t="str">
        <f t="shared" si="7"/>
        <v>=報7!H758</v>
      </c>
      <c r="S35" s="495" t="str">
        <f t="shared" ca="1" si="8"/>
        <v>=参照元個別!$P$35</v>
      </c>
      <c r="T35" t="str">
        <f t="shared" si="9"/>
        <v>報7</v>
      </c>
      <c r="U35" t="str">
        <f t="shared" si="10"/>
        <v>H758</v>
      </c>
      <c r="V35">
        <v>758</v>
      </c>
    </row>
    <row r="36" spans="1:22" ht="24">
      <c r="A36">
        <v>32</v>
      </c>
      <c r="B36" t="str">
        <f t="shared" si="1"/>
        <v>271_32</v>
      </c>
      <c r="C36" t="str">
        <f>'使用量_1,2'!$AS$30</f>
        <v>事業所名を入力32</v>
      </c>
      <c r="D36" s="1122">
        <f ca="1">'使用量_1,2'!$AS$113</f>
        <v>0</v>
      </c>
      <c r="E36" s="1122" t="str">
        <f ca="1">IF('使用量_1,2'!$AS$114=0,"",'使用量_1,2'!$AS$114)</f>
        <v/>
      </c>
      <c r="F36" s="1122" t="str">
        <f>'使用量_1,2'!$AS$119</f>
        <v/>
      </c>
      <c r="G36" s="1122" t="str">
        <f>'使用量_1,2'!$AS$118&amp;""</f>
        <v/>
      </c>
      <c r="I36" s="1121" t="str">
        <f t="shared" si="0"/>
        <v>事業所名を入力32</v>
      </c>
      <c r="J36" t="str">
        <f>報7!D781</f>
        <v>事業所名を入力32</v>
      </c>
      <c r="K36" t="str">
        <f t="shared" si="2"/>
        <v>=報7!D781</v>
      </c>
      <c r="L36" s="495" t="str">
        <f t="shared" ca="1" si="3"/>
        <v>=参照元個別!$I$36</v>
      </c>
      <c r="M36" t="str">
        <f t="shared" si="4"/>
        <v>報7</v>
      </c>
      <c r="N36" t="str">
        <f t="shared" si="5"/>
        <v>D781</v>
      </c>
      <c r="O36">
        <v>781</v>
      </c>
      <c r="P36" s="1122" t="str">
        <f t="shared" ca="1" si="6"/>
        <v/>
      </c>
      <c r="Q36" t="str">
        <f ca="1">報7!H783</f>
        <v/>
      </c>
      <c r="R36" t="str">
        <f t="shared" si="7"/>
        <v>=報7!H783</v>
      </c>
      <c r="S36" s="495" t="str">
        <f t="shared" ca="1" si="8"/>
        <v>=参照元個別!$P$36</v>
      </c>
      <c r="T36" t="str">
        <f t="shared" si="9"/>
        <v>報7</v>
      </c>
      <c r="U36" t="str">
        <f t="shared" si="10"/>
        <v>H783</v>
      </c>
      <c r="V36">
        <v>783</v>
      </c>
    </row>
    <row r="37" spans="1:22" ht="24">
      <c r="A37">
        <v>33</v>
      </c>
      <c r="B37" t="str">
        <f t="shared" si="1"/>
        <v>271_33</v>
      </c>
      <c r="C37" t="str">
        <f>'使用量_1,2'!$AT$30</f>
        <v>事業所名を入力33</v>
      </c>
      <c r="D37" s="1122">
        <f ca="1">'使用量_1,2'!$AT$113</f>
        <v>0</v>
      </c>
      <c r="E37" s="1122" t="str">
        <f ca="1">IF('使用量_1,2'!$AT$114=0,"",'使用量_1,2'!$AT$114)</f>
        <v/>
      </c>
      <c r="F37" s="1122" t="str">
        <f>'使用量_1,2'!$AT$119</f>
        <v/>
      </c>
      <c r="G37" s="1122" t="str">
        <f>'使用量_1,2'!$AT$118&amp;""</f>
        <v/>
      </c>
      <c r="I37" s="1121" t="str">
        <f t="shared" si="0"/>
        <v>事業所名を入力33</v>
      </c>
      <c r="J37" t="str">
        <f>報7!D806</f>
        <v>事業所名を入力33</v>
      </c>
      <c r="K37" t="str">
        <f t="shared" si="2"/>
        <v>=報7!D806</v>
      </c>
      <c r="L37" s="495" t="str">
        <f t="shared" ca="1" si="3"/>
        <v>=参照元個別!$I$37</v>
      </c>
      <c r="M37" t="str">
        <f t="shared" si="4"/>
        <v>報7</v>
      </c>
      <c r="N37" t="str">
        <f t="shared" si="5"/>
        <v>D806</v>
      </c>
      <c r="O37">
        <v>806</v>
      </c>
      <c r="P37" s="1122" t="str">
        <f t="shared" ca="1" si="6"/>
        <v/>
      </c>
      <c r="Q37" t="str">
        <f ca="1">報7!H808</f>
        <v/>
      </c>
      <c r="R37" t="str">
        <f t="shared" si="7"/>
        <v>=報7!H808</v>
      </c>
      <c r="S37" s="495" t="str">
        <f t="shared" ca="1" si="8"/>
        <v>=参照元個別!$P$37</v>
      </c>
      <c r="T37" t="str">
        <f t="shared" si="9"/>
        <v>報7</v>
      </c>
      <c r="U37" t="str">
        <f t="shared" si="10"/>
        <v>H808</v>
      </c>
      <c r="V37">
        <v>808</v>
      </c>
    </row>
    <row r="38" spans="1:22" ht="24">
      <c r="A38">
        <v>34</v>
      </c>
      <c r="B38" t="str">
        <f t="shared" si="1"/>
        <v>271_34</v>
      </c>
      <c r="C38" t="str">
        <f>'使用量_1,2'!$AU$30</f>
        <v>事業所名を入力34</v>
      </c>
      <c r="D38" s="1122">
        <f ca="1">'使用量_1,2'!$AU$113</f>
        <v>0</v>
      </c>
      <c r="E38" s="1122" t="str">
        <f ca="1">IF('使用量_1,2'!$AU$114=0,"",'使用量_1,2'!$AU$114)</f>
        <v/>
      </c>
      <c r="F38" s="1122" t="str">
        <f>'使用量_1,2'!$AU$119</f>
        <v/>
      </c>
      <c r="G38" s="1122" t="str">
        <f>'使用量_1,2'!$AU$118&amp;""</f>
        <v/>
      </c>
      <c r="I38" s="1121" t="str">
        <f t="shared" si="0"/>
        <v>事業所名を入力34</v>
      </c>
      <c r="J38" t="str">
        <f>報7!D831</f>
        <v>事業所名を入力34</v>
      </c>
      <c r="K38" t="str">
        <f t="shared" si="2"/>
        <v>=報7!D831</v>
      </c>
      <c r="L38" s="495" t="str">
        <f t="shared" ca="1" si="3"/>
        <v>=参照元個別!$I$38</v>
      </c>
      <c r="M38" t="str">
        <f t="shared" si="4"/>
        <v>報7</v>
      </c>
      <c r="N38" t="str">
        <f t="shared" si="5"/>
        <v>D831</v>
      </c>
      <c r="O38">
        <v>831</v>
      </c>
      <c r="P38" s="1122" t="str">
        <f t="shared" ca="1" si="6"/>
        <v/>
      </c>
      <c r="Q38" t="str">
        <f ca="1">報7!H833</f>
        <v/>
      </c>
      <c r="R38" t="str">
        <f t="shared" si="7"/>
        <v>=報7!H833</v>
      </c>
      <c r="S38" s="495" t="str">
        <f t="shared" ca="1" si="8"/>
        <v>=参照元個別!$P$38</v>
      </c>
      <c r="T38" t="str">
        <f t="shared" si="9"/>
        <v>報7</v>
      </c>
      <c r="U38" t="str">
        <f t="shared" si="10"/>
        <v>H833</v>
      </c>
      <c r="V38">
        <v>833</v>
      </c>
    </row>
    <row r="39" spans="1:22" ht="24">
      <c r="A39">
        <v>35</v>
      </c>
      <c r="B39" t="str">
        <f t="shared" si="1"/>
        <v>271_35</v>
      </c>
      <c r="C39" t="str">
        <f>'使用量_1,2'!$AV$30</f>
        <v>事業所名を入力35</v>
      </c>
      <c r="D39" s="1122">
        <f ca="1">'使用量_1,2'!$AV$113</f>
        <v>0</v>
      </c>
      <c r="E39" s="1122" t="str">
        <f ca="1">IF('使用量_1,2'!$AV$114=0,"",'使用量_1,2'!$AV$114)</f>
        <v/>
      </c>
      <c r="F39" s="1122" t="str">
        <f>'使用量_1,2'!$AV$119</f>
        <v/>
      </c>
      <c r="G39" s="1122" t="str">
        <f>'使用量_1,2'!$AV$118&amp;""</f>
        <v/>
      </c>
      <c r="I39" s="1121" t="str">
        <f t="shared" si="0"/>
        <v>事業所名を入力35</v>
      </c>
      <c r="J39" t="str">
        <f>報7!D856</f>
        <v>事業所名を入力35</v>
      </c>
      <c r="K39" t="str">
        <f t="shared" si="2"/>
        <v>=報7!D856</v>
      </c>
      <c r="L39" s="495" t="str">
        <f t="shared" ca="1" si="3"/>
        <v>=参照元個別!$I$39</v>
      </c>
      <c r="M39" t="str">
        <f t="shared" si="4"/>
        <v>報7</v>
      </c>
      <c r="N39" t="str">
        <f t="shared" si="5"/>
        <v>D856</v>
      </c>
      <c r="O39">
        <v>856</v>
      </c>
      <c r="P39" s="1122" t="str">
        <f t="shared" ca="1" si="6"/>
        <v/>
      </c>
      <c r="Q39" t="str">
        <f ca="1">報7!H858</f>
        <v/>
      </c>
      <c r="R39" t="str">
        <f t="shared" si="7"/>
        <v>=報7!H858</v>
      </c>
      <c r="S39" s="495" t="str">
        <f t="shared" ca="1" si="8"/>
        <v>=参照元個別!$P$39</v>
      </c>
      <c r="T39" t="str">
        <f t="shared" si="9"/>
        <v>報7</v>
      </c>
      <c r="U39" t="str">
        <f t="shared" si="10"/>
        <v>H858</v>
      </c>
      <c r="V39">
        <v>858</v>
      </c>
    </row>
    <row r="40" spans="1:22" ht="24">
      <c r="A40">
        <v>36</v>
      </c>
      <c r="B40" t="str">
        <f t="shared" si="1"/>
        <v>271_36</v>
      </c>
      <c r="C40" t="str">
        <f>'使用量_1,2'!$AW$30</f>
        <v>事業所名を入力36</v>
      </c>
      <c r="D40" s="1122">
        <f ca="1">'使用量_1,2'!$AW$113</f>
        <v>0</v>
      </c>
      <c r="E40" s="1122" t="str">
        <f ca="1">IF('使用量_1,2'!$AW$114=0,"",'使用量_1,2'!$AW$114)</f>
        <v/>
      </c>
      <c r="F40" s="1122" t="str">
        <f>'使用量_1,2'!$AW$119</f>
        <v/>
      </c>
      <c r="G40" s="1122" t="str">
        <f>'使用量_1,2'!$AW$118&amp;""</f>
        <v/>
      </c>
      <c r="I40" s="1121" t="str">
        <f t="shared" si="0"/>
        <v>事業所名を入力36</v>
      </c>
      <c r="J40" t="str">
        <f>報7!D881</f>
        <v>事業所名を入力36</v>
      </c>
      <c r="K40" t="str">
        <f t="shared" si="2"/>
        <v>=報7!D881</v>
      </c>
      <c r="L40" s="495" t="str">
        <f t="shared" ca="1" si="3"/>
        <v>=参照元個別!$I$40</v>
      </c>
      <c r="M40" t="str">
        <f t="shared" si="4"/>
        <v>報7</v>
      </c>
      <c r="N40" t="str">
        <f t="shared" si="5"/>
        <v>D881</v>
      </c>
      <c r="O40">
        <v>881</v>
      </c>
      <c r="P40" s="1122" t="str">
        <f t="shared" ca="1" si="6"/>
        <v/>
      </c>
      <c r="Q40" t="str">
        <f ca="1">報7!H883</f>
        <v/>
      </c>
      <c r="R40" t="str">
        <f t="shared" si="7"/>
        <v>=報7!H883</v>
      </c>
      <c r="S40" s="495" t="str">
        <f t="shared" ca="1" si="8"/>
        <v>=参照元個別!$P$40</v>
      </c>
      <c r="T40" t="str">
        <f t="shared" si="9"/>
        <v>報7</v>
      </c>
      <c r="U40" t="str">
        <f t="shared" si="10"/>
        <v>H883</v>
      </c>
      <c r="V40">
        <v>883</v>
      </c>
    </row>
    <row r="41" spans="1:22" ht="24">
      <c r="A41">
        <v>37</v>
      </c>
      <c r="B41" t="str">
        <f t="shared" si="1"/>
        <v>271_37</v>
      </c>
      <c r="C41" t="str">
        <f>'使用量_1,2'!$AX$30</f>
        <v>事業所名を入力37</v>
      </c>
      <c r="D41" s="1122">
        <f ca="1">'使用量_1,2'!$AX$113</f>
        <v>0</v>
      </c>
      <c r="E41" s="1122" t="str">
        <f ca="1">IF('使用量_1,2'!$AX$114=0,"",'使用量_1,2'!$AX$114)</f>
        <v/>
      </c>
      <c r="F41" s="1122" t="str">
        <f>'使用量_1,2'!$AX$119</f>
        <v/>
      </c>
      <c r="G41" s="1122" t="str">
        <f>'使用量_1,2'!$AX$118&amp;""</f>
        <v/>
      </c>
      <c r="I41" s="1121" t="str">
        <f t="shared" si="0"/>
        <v>事業所名を入力37</v>
      </c>
      <c r="J41" t="str">
        <f>報7!D906</f>
        <v>事業所名を入力37</v>
      </c>
      <c r="K41" t="str">
        <f t="shared" si="2"/>
        <v>=報7!D906</v>
      </c>
      <c r="L41" s="495" t="str">
        <f t="shared" ca="1" si="3"/>
        <v>=参照元個別!$I$41</v>
      </c>
      <c r="M41" t="str">
        <f t="shared" si="4"/>
        <v>報7</v>
      </c>
      <c r="N41" t="str">
        <f t="shared" si="5"/>
        <v>D906</v>
      </c>
      <c r="O41">
        <v>906</v>
      </c>
      <c r="P41" s="1122" t="str">
        <f t="shared" ca="1" si="6"/>
        <v/>
      </c>
      <c r="Q41" t="str">
        <f ca="1">報7!H908</f>
        <v/>
      </c>
      <c r="R41" t="str">
        <f t="shared" si="7"/>
        <v>=報7!H908</v>
      </c>
      <c r="S41" s="495" t="str">
        <f t="shared" ca="1" si="8"/>
        <v>=参照元個別!$P$41</v>
      </c>
      <c r="T41" t="str">
        <f t="shared" si="9"/>
        <v>報7</v>
      </c>
      <c r="U41" t="str">
        <f t="shared" si="10"/>
        <v>H908</v>
      </c>
      <c r="V41">
        <v>908</v>
      </c>
    </row>
    <row r="42" spans="1:22" ht="24">
      <c r="A42">
        <v>38</v>
      </c>
      <c r="B42" t="str">
        <f t="shared" si="1"/>
        <v>271_38</v>
      </c>
      <c r="C42" t="str">
        <f>'使用量_1,2'!$AY$30</f>
        <v>事業所名を入力38</v>
      </c>
      <c r="D42" s="1122">
        <f ca="1">'使用量_1,2'!$AY$113</f>
        <v>0</v>
      </c>
      <c r="E42" s="1122" t="str">
        <f ca="1">IF('使用量_1,2'!$AY$114=0,"",'使用量_1,2'!$AY$114)</f>
        <v/>
      </c>
      <c r="F42" s="1122" t="str">
        <f>'使用量_1,2'!$AY$119</f>
        <v/>
      </c>
      <c r="G42" s="1122" t="str">
        <f>'使用量_1,2'!$AY$118&amp;""</f>
        <v/>
      </c>
      <c r="I42" s="1121" t="str">
        <f t="shared" si="0"/>
        <v>事業所名を入力38</v>
      </c>
      <c r="J42" t="str">
        <f>報7!D931</f>
        <v>事業所名を入力38</v>
      </c>
      <c r="K42" t="str">
        <f t="shared" si="2"/>
        <v>=報7!D931</v>
      </c>
      <c r="L42" s="495" t="str">
        <f t="shared" ca="1" si="3"/>
        <v>=参照元個別!$I$42</v>
      </c>
      <c r="M42" t="str">
        <f t="shared" si="4"/>
        <v>報7</v>
      </c>
      <c r="N42" t="str">
        <f t="shared" si="5"/>
        <v>D931</v>
      </c>
      <c r="O42">
        <v>931</v>
      </c>
      <c r="P42" s="1122" t="str">
        <f t="shared" ca="1" si="6"/>
        <v/>
      </c>
      <c r="Q42" t="str">
        <f ca="1">報7!H933</f>
        <v/>
      </c>
      <c r="R42" t="str">
        <f t="shared" si="7"/>
        <v>=報7!H933</v>
      </c>
      <c r="S42" s="495" t="str">
        <f t="shared" ca="1" si="8"/>
        <v>=参照元個別!$P$42</v>
      </c>
      <c r="T42" t="str">
        <f t="shared" si="9"/>
        <v>報7</v>
      </c>
      <c r="U42" t="str">
        <f t="shared" si="10"/>
        <v>H933</v>
      </c>
      <c r="V42">
        <v>933</v>
      </c>
    </row>
    <row r="43" spans="1:22" ht="24">
      <c r="A43">
        <v>39</v>
      </c>
      <c r="B43" t="str">
        <f t="shared" si="1"/>
        <v>271_39</v>
      </c>
      <c r="C43" t="str">
        <f>'使用量_1,2'!$AZ$30</f>
        <v>事業所名を入力39</v>
      </c>
      <c r="D43" s="1122">
        <f ca="1">'使用量_1,2'!$AZ$113</f>
        <v>0</v>
      </c>
      <c r="E43" s="1122" t="str">
        <f ca="1">IF('使用量_1,2'!$AZ$114=0,"",'使用量_1,2'!$AZ$114)</f>
        <v/>
      </c>
      <c r="F43" s="1122" t="str">
        <f>'使用量_1,2'!$AZ$119</f>
        <v/>
      </c>
      <c r="G43" s="1122" t="str">
        <f>'使用量_1,2'!$AZ$118&amp;""</f>
        <v/>
      </c>
      <c r="I43" s="1121" t="str">
        <f t="shared" si="0"/>
        <v>事業所名を入力39</v>
      </c>
      <c r="J43" t="str">
        <f>報7!D956</f>
        <v>事業所名を入力39</v>
      </c>
      <c r="K43" t="str">
        <f t="shared" si="2"/>
        <v>=報7!D956</v>
      </c>
      <c r="L43" s="495" t="str">
        <f t="shared" ca="1" si="3"/>
        <v>=参照元個別!$I$43</v>
      </c>
      <c r="M43" t="str">
        <f t="shared" si="4"/>
        <v>報7</v>
      </c>
      <c r="N43" t="str">
        <f t="shared" si="5"/>
        <v>D956</v>
      </c>
      <c r="O43">
        <v>956</v>
      </c>
      <c r="P43" s="1122" t="str">
        <f t="shared" ca="1" si="6"/>
        <v/>
      </c>
      <c r="Q43" t="str">
        <f ca="1">報7!H958</f>
        <v/>
      </c>
      <c r="R43" t="str">
        <f t="shared" si="7"/>
        <v>=報7!H958</v>
      </c>
      <c r="S43" s="495" t="str">
        <f t="shared" ca="1" si="8"/>
        <v>=参照元個別!$P$43</v>
      </c>
      <c r="T43" t="str">
        <f t="shared" si="9"/>
        <v>報7</v>
      </c>
      <c r="U43" t="str">
        <f t="shared" si="10"/>
        <v>H958</v>
      </c>
      <c r="V43">
        <v>958</v>
      </c>
    </row>
    <row r="44" spans="1:22" ht="24">
      <c r="A44">
        <v>40</v>
      </c>
      <c r="B44" t="str">
        <f t="shared" si="1"/>
        <v>271_40</v>
      </c>
      <c r="C44" t="str">
        <f>'使用量_1,2'!$BA$30</f>
        <v>事業所名を入力40</v>
      </c>
      <c r="D44" s="1122">
        <f ca="1">'使用量_1,2'!$BA$113</f>
        <v>0</v>
      </c>
      <c r="E44" s="1122" t="str">
        <f ca="1">IF('使用量_1,2'!$BA$114=0,"",'使用量_1,2'!$BA$114)</f>
        <v/>
      </c>
      <c r="F44" s="1122" t="str">
        <f>'使用量_1,2'!$BA$119</f>
        <v/>
      </c>
      <c r="G44" s="1122" t="str">
        <f>'使用量_1,2'!$BA$118&amp;""</f>
        <v/>
      </c>
      <c r="I44" s="1121" t="str">
        <f t="shared" si="0"/>
        <v>事業所名を入力40</v>
      </c>
      <c r="J44" t="str">
        <f>報7!D981</f>
        <v>事業所名を入力40</v>
      </c>
      <c r="K44" t="str">
        <f t="shared" si="2"/>
        <v>=報7!D981</v>
      </c>
      <c r="L44" s="495" t="str">
        <f t="shared" ca="1" si="3"/>
        <v>=参照元個別!$I$44</v>
      </c>
      <c r="M44" t="str">
        <f t="shared" si="4"/>
        <v>報7</v>
      </c>
      <c r="N44" t="str">
        <f t="shared" si="5"/>
        <v>D981</v>
      </c>
      <c r="O44">
        <v>981</v>
      </c>
      <c r="P44" s="1122" t="str">
        <f t="shared" ca="1" si="6"/>
        <v/>
      </c>
      <c r="Q44" t="str">
        <f ca="1">報7!H983</f>
        <v/>
      </c>
      <c r="R44" t="str">
        <f t="shared" si="7"/>
        <v>=報7!H983</v>
      </c>
      <c r="S44" s="495" t="str">
        <f t="shared" ca="1" si="8"/>
        <v>=参照元個別!$P$44</v>
      </c>
      <c r="T44" t="str">
        <f t="shared" si="9"/>
        <v>報7</v>
      </c>
      <c r="U44" t="str">
        <f t="shared" si="10"/>
        <v>H983</v>
      </c>
      <c r="V44">
        <v>983</v>
      </c>
    </row>
    <row r="46" spans="1:22">
      <c r="C46" t="str">
        <f>'使用量_1,2'!N$30</f>
        <v>事業所名を入力1</v>
      </c>
      <c r="D46" t="str">
        <f>'使用量_1,2'!O$30</f>
        <v>事業所名を入力2</v>
      </c>
    </row>
    <row r="47" spans="1:22">
      <c r="C47" s="1122">
        <f ca="1">'使用量_1,2'!N$113</f>
        <v>0</v>
      </c>
      <c r="D47" s="1122">
        <f ca="1">'使用量_1,2'!O$113</f>
        <v>0</v>
      </c>
    </row>
  </sheetData>
  <phoneticPr fontId="15"/>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dimension ref="B1:AC52"/>
  <sheetViews>
    <sheetView topLeftCell="A22" workbookViewId="0">
      <selection activeCell="J28" sqref="J28"/>
    </sheetView>
  </sheetViews>
  <sheetFormatPr defaultColWidth="10" defaultRowHeight="13.5" outlineLevelRow="1"/>
  <cols>
    <col min="1" max="1" width="1.25" style="100" customWidth="1"/>
    <col min="2" max="11" width="3.875" style="887" customWidth="1"/>
    <col min="12" max="12" width="4.5" style="100" customWidth="1"/>
    <col min="13" max="16" width="3.875" style="100" customWidth="1"/>
    <col min="17" max="17" width="5" style="100" customWidth="1"/>
    <col min="18" max="19" width="3.875" style="100" customWidth="1"/>
    <col min="20" max="20" width="5" style="100" customWidth="1"/>
    <col min="21" max="21" width="4.125" style="100" customWidth="1"/>
    <col min="22" max="25" width="3.875" style="100" customWidth="1"/>
    <col min="26" max="26" width="1.25" style="100" customWidth="1"/>
    <col min="27" max="27" width="2.25" style="886" customWidth="1"/>
    <col min="28" max="33" width="10" style="100" customWidth="1"/>
    <col min="34" max="16384" width="10" style="100"/>
  </cols>
  <sheetData>
    <row r="1" spans="2:27" ht="24" customHeight="1">
      <c r="B1" s="884" t="s">
        <v>4162</v>
      </c>
      <c r="C1" s="884"/>
      <c r="D1" s="884"/>
      <c r="E1" s="884"/>
      <c r="F1" s="884"/>
      <c r="G1" s="884"/>
      <c r="H1" s="884"/>
      <c r="I1" s="884"/>
      <c r="J1" s="884"/>
      <c r="K1" s="884"/>
      <c r="L1" s="884"/>
      <c r="M1" s="884"/>
      <c r="N1" s="884"/>
      <c r="O1" s="884"/>
      <c r="P1" s="884"/>
      <c r="Q1" s="884"/>
      <c r="R1" s="884"/>
      <c r="S1" s="884"/>
      <c r="T1" s="884"/>
      <c r="U1" s="884"/>
      <c r="V1" s="884"/>
      <c r="W1" s="884"/>
      <c r="X1" s="884"/>
      <c r="Y1" s="885" t="str">
        <f>使用量_3!Z2</f>
        <v>2023年度提出用（2022年度実績値）ver.1</v>
      </c>
      <c r="Z1" s="884"/>
    </row>
    <row r="2" spans="2:27" ht="7.5" customHeight="1">
      <c r="Y2" s="888"/>
    </row>
    <row r="3" spans="2:27" ht="24" customHeight="1">
      <c r="B3" s="2331" t="s">
        <v>4163</v>
      </c>
      <c r="C3" s="2331"/>
      <c r="D3" s="2331"/>
      <c r="E3" s="2331"/>
      <c r="F3" s="889" t="s">
        <v>4164</v>
      </c>
      <c r="G3" s="2332"/>
      <c r="H3" s="2332"/>
      <c r="I3" s="2332"/>
      <c r="J3" s="2332"/>
      <c r="K3" s="2332"/>
      <c r="L3" s="2332"/>
      <c r="M3" s="2332"/>
      <c r="N3" s="2332"/>
      <c r="O3" s="2332"/>
      <c r="P3" s="2332"/>
      <c r="AA3" s="100"/>
    </row>
    <row r="4" spans="2:27" ht="24" customHeight="1">
      <c r="B4" s="2333" t="s">
        <v>4165</v>
      </c>
      <c r="C4" s="2333"/>
      <c r="D4" s="2333"/>
      <c r="E4" s="2333"/>
      <c r="F4" s="890" t="s">
        <v>4164</v>
      </c>
      <c r="G4" s="891" t="str">
        <f ca="1">RIGHT(CELL("filename",B2),LEN(CELL("filename",B2))-FIND("]",CELL("filename",B2)))</f>
        <v>自動車計算</v>
      </c>
      <c r="H4" s="891"/>
      <c r="K4" s="100"/>
    </row>
    <row r="5" spans="2:27" ht="17.25">
      <c r="B5" s="891" t="s">
        <v>4166</v>
      </c>
      <c r="C5" s="891"/>
      <c r="D5" s="891"/>
      <c r="E5" s="891"/>
      <c r="F5" s="891"/>
      <c r="G5" s="891"/>
      <c r="Z5" s="892"/>
    </row>
    <row r="6" spans="2:27" ht="36" customHeight="1">
      <c r="B6" s="2334" t="s">
        <v>4167</v>
      </c>
      <c r="C6" s="2335"/>
      <c r="D6" s="2335"/>
      <c r="E6" s="2335"/>
      <c r="F6" s="2335"/>
      <c r="G6" s="2336"/>
      <c r="H6" s="2340" t="s">
        <v>4168</v>
      </c>
      <c r="I6" s="2341"/>
      <c r="J6" s="2341"/>
      <c r="K6" s="2341"/>
      <c r="L6" s="2341"/>
      <c r="M6" s="2341"/>
      <c r="N6" s="2342"/>
      <c r="O6" s="2340" t="s">
        <v>4169</v>
      </c>
      <c r="P6" s="2341"/>
      <c r="Q6" s="2341"/>
      <c r="R6" s="2341"/>
      <c r="S6" s="2341"/>
      <c r="T6" s="2341"/>
      <c r="U6" s="2342"/>
      <c r="V6" s="2343" t="s">
        <v>4170</v>
      </c>
      <c r="W6" s="2344"/>
      <c r="X6" s="2344"/>
      <c r="Y6" s="2345"/>
      <c r="Z6" s="893"/>
    </row>
    <row r="7" spans="2:27" ht="42" customHeight="1">
      <c r="B7" s="2337"/>
      <c r="C7" s="2338"/>
      <c r="D7" s="2338"/>
      <c r="E7" s="2338"/>
      <c r="F7" s="2338"/>
      <c r="G7" s="2339"/>
      <c r="H7" s="2349" t="s">
        <v>4171</v>
      </c>
      <c r="I7" s="2350"/>
      <c r="J7" s="2351"/>
      <c r="K7" s="2352" t="s">
        <v>4172</v>
      </c>
      <c r="L7" s="2353"/>
      <c r="M7" s="2353"/>
      <c r="N7" s="2354"/>
      <c r="O7" s="2349" t="s">
        <v>4173</v>
      </c>
      <c r="P7" s="2350"/>
      <c r="Q7" s="2351"/>
      <c r="R7" s="2352" t="s">
        <v>4174</v>
      </c>
      <c r="S7" s="2353"/>
      <c r="T7" s="2353"/>
      <c r="U7" s="2354"/>
      <c r="V7" s="2346"/>
      <c r="W7" s="2347"/>
      <c r="X7" s="2347"/>
      <c r="Y7" s="2348"/>
      <c r="Z7" s="893"/>
    </row>
    <row r="8" spans="2:27" ht="24" customHeight="1">
      <c r="B8" s="2371" t="s">
        <v>4175</v>
      </c>
      <c r="C8" s="2372"/>
      <c r="D8" s="2372"/>
      <c r="E8" s="2372"/>
      <c r="F8" s="2372"/>
      <c r="G8" s="2373"/>
      <c r="H8" s="2364">
        <f>使用量_3!Q43+使用量_3!Q46</f>
        <v>0</v>
      </c>
      <c r="I8" s="2364"/>
      <c r="J8" s="2364"/>
      <c r="K8" s="2364">
        <f>使用量_3!Q46</f>
        <v>0</v>
      </c>
      <c r="L8" s="2364"/>
      <c r="M8" s="2364"/>
      <c r="N8" s="2364"/>
      <c r="O8" s="2364">
        <f>使用量_3!Q49+使用量_3!Q52</f>
        <v>0</v>
      </c>
      <c r="P8" s="2364"/>
      <c r="Q8" s="2364"/>
      <c r="R8" s="2364">
        <f>使用量_3!Q52</f>
        <v>0</v>
      </c>
      <c r="S8" s="2364"/>
      <c r="T8" s="2364"/>
      <c r="U8" s="2364"/>
      <c r="V8" s="2358">
        <f>H8-K8+O8-R8</f>
        <v>0</v>
      </c>
      <c r="W8" s="2359"/>
      <c r="X8" s="2359"/>
      <c r="Y8" s="2360"/>
      <c r="Z8" s="894"/>
    </row>
    <row r="9" spans="2:27" ht="24" customHeight="1" thickBot="1">
      <c r="B9" s="2361" t="s">
        <v>4176</v>
      </c>
      <c r="C9" s="2362"/>
      <c r="D9" s="2362"/>
      <c r="E9" s="2362"/>
      <c r="F9" s="2362"/>
      <c r="G9" s="2363"/>
      <c r="H9" s="2364">
        <f>使用量_3!T43+使用量_3!T46</f>
        <v>0</v>
      </c>
      <c r="I9" s="2364"/>
      <c r="J9" s="2364"/>
      <c r="K9" s="2365">
        <f>使用量_3!T46</f>
        <v>0</v>
      </c>
      <c r="L9" s="2365"/>
      <c r="M9" s="2365"/>
      <c r="N9" s="2365"/>
      <c r="O9" s="2365">
        <f>使用量_3!T49+使用量_3!T52</f>
        <v>0</v>
      </c>
      <c r="P9" s="2365"/>
      <c r="Q9" s="2365"/>
      <c r="R9" s="2365">
        <f>使用量_3!T52</f>
        <v>0</v>
      </c>
      <c r="S9" s="2365"/>
      <c r="T9" s="2365"/>
      <c r="U9" s="2365"/>
      <c r="V9" s="2366">
        <f>H9-K9+O9-R9</f>
        <v>0</v>
      </c>
      <c r="W9" s="2367"/>
      <c r="X9" s="2367"/>
      <c r="Y9" s="2368"/>
      <c r="Z9" s="894"/>
    </row>
    <row r="10" spans="2:27" ht="24" customHeight="1" thickTop="1" thickBot="1">
      <c r="B10" s="2374" t="s">
        <v>4153</v>
      </c>
      <c r="C10" s="2375"/>
      <c r="D10" s="2375"/>
      <c r="E10" s="2375"/>
      <c r="F10" s="2375"/>
      <c r="G10" s="2376"/>
      <c r="H10" s="2377">
        <f>SUM(H8:J9)</f>
        <v>0</v>
      </c>
      <c r="I10" s="2378"/>
      <c r="J10" s="2379"/>
      <c r="K10" s="2380">
        <f>SUM(K8:N9)</f>
        <v>0</v>
      </c>
      <c r="L10" s="2381"/>
      <c r="M10" s="2381"/>
      <c r="N10" s="2381"/>
      <c r="O10" s="2382">
        <f>SUM(O8:Q9)</f>
        <v>0</v>
      </c>
      <c r="P10" s="2382"/>
      <c r="Q10" s="2382"/>
      <c r="R10" s="2381">
        <f>SUM(R8:U9)</f>
        <v>0</v>
      </c>
      <c r="S10" s="2381"/>
      <c r="T10" s="2381"/>
      <c r="U10" s="2383"/>
      <c r="V10" s="2355">
        <f>SUM(V8:Y9)</f>
        <v>0</v>
      </c>
      <c r="W10" s="2356"/>
      <c r="X10" s="2356"/>
      <c r="Y10" s="2357"/>
      <c r="Z10" s="895"/>
    </row>
    <row r="11" spans="2:27" ht="23.1" customHeight="1" thickTop="1">
      <c r="H11" s="2369" t="s">
        <v>4177</v>
      </c>
      <c r="I11" s="2369"/>
      <c r="J11" s="2369"/>
      <c r="K11" s="2369"/>
      <c r="L11" s="2369"/>
      <c r="M11" s="2369"/>
      <c r="N11" s="2369"/>
      <c r="O11" s="2369"/>
      <c r="P11" s="2369"/>
      <c r="Q11" s="2369"/>
      <c r="R11" s="896"/>
      <c r="S11" s="897"/>
      <c r="V11" s="2370" t="s">
        <v>4178</v>
      </c>
      <c r="W11" s="2370"/>
      <c r="X11" s="2370"/>
      <c r="Y11" s="2370"/>
      <c r="Z11" s="898"/>
    </row>
    <row r="12" spans="2:27" ht="10.5" customHeight="1">
      <c r="J12" s="896"/>
      <c r="K12" s="896"/>
      <c r="L12" s="896"/>
      <c r="M12" s="896"/>
      <c r="N12" s="896"/>
      <c r="O12" s="896"/>
      <c r="P12" s="896"/>
      <c r="U12" s="896"/>
      <c r="V12" s="2369"/>
      <c r="W12" s="2369"/>
      <c r="X12" s="2369"/>
      <c r="Y12" s="2369"/>
      <c r="Z12" s="898"/>
    </row>
    <row r="13" spans="2:27" ht="17.25">
      <c r="B13" s="891" t="s">
        <v>4179</v>
      </c>
      <c r="C13" s="891"/>
      <c r="D13" s="891"/>
      <c r="E13" s="891"/>
      <c r="F13" s="891"/>
      <c r="G13" s="891"/>
      <c r="V13" s="2369"/>
      <c r="W13" s="2369"/>
      <c r="X13" s="2369"/>
      <c r="Y13" s="2369"/>
    </row>
    <row r="14" spans="2:27" ht="30" customHeight="1">
      <c r="B14" s="2384" t="s">
        <v>4141</v>
      </c>
      <c r="C14" s="2385"/>
      <c r="D14" s="2385"/>
      <c r="E14" s="2385"/>
      <c r="F14" s="2385"/>
      <c r="G14" s="899"/>
      <c r="H14" s="2384" t="s">
        <v>4180</v>
      </c>
      <c r="I14" s="2388"/>
      <c r="J14" s="2384" t="s">
        <v>4181</v>
      </c>
      <c r="K14" s="2388"/>
      <c r="L14" s="2384" t="s">
        <v>4182</v>
      </c>
      <c r="M14" s="2385"/>
      <c r="N14" s="2388"/>
      <c r="O14" s="2390" t="s">
        <v>4183</v>
      </c>
      <c r="P14" s="2391"/>
      <c r="Q14" s="2392" t="s">
        <v>4184</v>
      </c>
      <c r="R14" s="2393"/>
      <c r="S14" s="2393"/>
      <c r="T14" s="2393"/>
      <c r="U14" s="2394"/>
      <c r="V14" s="2395" t="s">
        <v>4185</v>
      </c>
      <c r="W14" s="2395"/>
      <c r="X14" s="2395"/>
      <c r="Y14" s="2395"/>
      <c r="Z14" s="900"/>
      <c r="AA14" s="100"/>
    </row>
    <row r="15" spans="2:27" ht="26.25" customHeight="1">
      <c r="B15" s="2386"/>
      <c r="C15" s="2387"/>
      <c r="D15" s="2387"/>
      <c r="E15" s="2387"/>
      <c r="F15" s="2387"/>
      <c r="G15" s="901"/>
      <c r="H15" s="2386"/>
      <c r="I15" s="2389"/>
      <c r="J15" s="2386"/>
      <c r="K15" s="2389"/>
      <c r="L15" s="2396" t="s">
        <v>4186</v>
      </c>
      <c r="M15" s="2397"/>
      <c r="N15" s="2398"/>
      <c r="O15" s="2399" t="s">
        <v>4187</v>
      </c>
      <c r="P15" s="2400"/>
      <c r="Q15" s="2401" t="s">
        <v>4156</v>
      </c>
      <c r="R15" s="2402"/>
      <c r="S15" s="2403" t="s">
        <v>4188</v>
      </c>
      <c r="T15" s="2404"/>
      <c r="U15" s="902" t="s">
        <v>4189</v>
      </c>
      <c r="V15" s="2405" t="s">
        <v>4156</v>
      </c>
      <c r="W15" s="2406"/>
      <c r="X15" s="2371" t="s">
        <v>4188</v>
      </c>
      <c r="Y15" s="2373"/>
      <c r="Z15" s="903"/>
      <c r="AA15" s="904"/>
    </row>
    <row r="16" spans="2:27" ht="18.75" customHeight="1">
      <c r="B16" s="2407" t="s">
        <v>4143</v>
      </c>
      <c r="C16" s="2408"/>
      <c r="D16" s="2408"/>
      <c r="E16" s="2408"/>
      <c r="F16" s="2408"/>
      <c r="G16" s="2409"/>
      <c r="H16" s="2410">
        <f>使用量_3!I74</f>
        <v>0</v>
      </c>
      <c r="I16" s="2411"/>
      <c r="J16" s="2410">
        <f>使用量_3!$M$74</f>
        <v>0</v>
      </c>
      <c r="K16" s="2411"/>
      <c r="L16" s="2410">
        <f>使用量_3!$Q$74</f>
        <v>0</v>
      </c>
      <c r="M16" s="2412"/>
      <c r="N16" s="905" t="s">
        <v>4144</v>
      </c>
      <c r="O16" s="2413" t="e">
        <f>IF(J16="","",L16/J16)</f>
        <v>#DIV/0!</v>
      </c>
      <c r="P16" s="2414"/>
      <c r="Q16" s="2415">
        <v>2.3199999999999998</v>
      </c>
      <c r="R16" s="2415"/>
      <c r="S16" s="2415">
        <v>2.3199999999999998</v>
      </c>
      <c r="T16" s="2415"/>
      <c r="U16" s="906" t="s">
        <v>4190</v>
      </c>
      <c r="V16" s="2416">
        <f>IF(L16="","",L16*Q16/1000)</f>
        <v>0</v>
      </c>
      <c r="W16" s="2417"/>
      <c r="X16" s="2410">
        <f>V16</f>
        <v>0</v>
      </c>
      <c r="Y16" s="2411"/>
      <c r="Z16" s="907"/>
      <c r="AA16" s="908"/>
    </row>
    <row r="17" spans="2:28" ht="18.75" customHeight="1">
      <c r="B17" s="2407" t="s">
        <v>4145</v>
      </c>
      <c r="C17" s="2408"/>
      <c r="D17" s="2408"/>
      <c r="E17" s="2408"/>
      <c r="F17" s="2408"/>
      <c r="G17" s="2409"/>
      <c r="H17" s="2410">
        <f>使用量_3!I75</f>
        <v>0</v>
      </c>
      <c r="I17" s="2411"/>
      <c r="J17" s="2410">
        <f>使用量_3!$M$75</f>
        <v>0</v>
      </c>
      <c r="K17" s="2411"/>
      <c r="L17" s="2410">
        <f>使用量_3!$Q$75</f>
        <v>0</v>
      </c>
      <c r="M17" s="2412"/>
      <c r="N17" s="905" t="s">
        <v>4144</v>
      </c>
      <c r="O17" s="2413" t="e">
        <f>IF(J17="","",L17/J17)</f>
        <v>#DIV/0!</v>
      </c>
      <c r="P17" s="2414"/>
      <c r="Q17" s="2415">
        <v>2.58</v>
      </c>
      <c r="R17" s="2415"/>
      <c r="S17" s="2415">
        <v>2.58</v>
      </c>
      <c r="T17" s="2415"/>
      <c r="U17" s="906" t="s">
        <v>4190</v>
      </c>
      <c r="V17" s="2416">
        <f>IF(L17="","",L17*Q17/1000)</f>
        <v>0</v>
      </c>
      <c r="W17" s="2417"/>
      <c r="X17" s="2410">
        <f>V17</f>
        <v>0</v>
      </c>
      <c r="Y17" s="2411"/>
      <c r="Z17" s="907"/>
      <c r="AA17" s="908"/>
    </row>
    <row r="18" spans="2:28" ht="18.75" customHeight="1">
      <c r="B18" s="2407" t="s">
        <v>4146</v>
      </c>
      <c r="C18" s="2408"/>
      <c r="D18" s="2408"/>
      <c r="E18" s="2408"/>
      <c r="F18" s="2408"/>
      <c r="G18" s="2409"/>
      <c r="H18" s="2410">
        <f>使用量_3!I76</f>
        <v>0</v>
      </c>
      <c r="I18" s="2411"/>
      <c r="J18" s="2410">
        <f>使用量_3!$M$76</f>
        <v>0</v>
      </c>
      <c r="K18" s="2411"/>
      <c r="L18" s="2410">
        <f>使用量_3!$Q$76</f>
        <v>0</v>
      </c>
      <c r="M18" s="2412"/>
      <c r="N18" s="905" t="s">
        <v>4147</v>
      </c>
      <c r="O18" s="2413" t="e">
        <f>IF(J18="","",L18/J18)</f>
        <v>#DIV/0!</v>
      </c>
      <c r="P18" s="2414"/>
      <c r="Q18" s="2415">
        <v>2.23</v>
      </c>
      <c r="R18" s="2415"/>
      <c r="S18" s="2415">
        <v>2.23</v>
      </c>
      <c r="T18" s="2415"/>
      <c r="U18" s="906" t="s">
        <v>4191</v>
      </c>
      <c r="V18" s="2416">
        <f>IF(L18="","",L18*Q18/1000)</f>
        <v>0</v>
      </c>
      <c r="W18" s="2417"/>
      <c r="X18" s="2410">
        <f>V18</f>
        <v>0</v>
      </c>
      <c r="Y18" s="2411"/>
      <c r="Z18" s="907"/>
      <c r="AA18" s="908"/>
    </row>
    <row r="19" spans="2:28" ht="18.75" customHeight="1">
      <c r="B19" s="2407" t="s">
        <v>4148</v>
      </c>
      <c r="C19" s="2408"/>
      <c r="D19" s="2408"/>
      <c r="E19" s="2408"/>
      <c r="F19" s="2408"/>
      <c r="G19" s="2409"/>
      <c r="H19" s="2410">
        <f>使用量_3!I77</f>
        <v>0</v>
      </c>
      <c r="I19" s="2411"/>
      <c r="J19" s="2410">
        <f>使用量_3!$M$77</f>
        <v>0</v>
      </c>
      <c r="K19" s="2411"/>
      <c r="L19" s="2410">
        <f>使用量_3!$Q$77*0.56</f>
        <v>0</v>
      </c>
      <c r="M19" s="2412"/>
      <c r="N19" s="905" t="s">
        <v>4149</v>
      </c>
      <c r="O19" s="2413" t="e">
        <f>IF(J19="","",L19/J19)</f>
        <v>#DIV/0!</v>
      </c>
      <c r="P19" s="2414"/>
      <c r="Q19" s="2415">
        <v>3</v>
      </c>
      <c r="R19" s="2415"/>
      <c r="S19" s="2415">
        <v>3</v>
      </c>
      <c r="T19" s="2415"/>
      <c r="U19" s="906" t="s">
        <v>4192</v>
      </c>
      <c r="V19" s="2416">
        <f>IF(L19="","",L19*Q19/1000)</f>
        <v>0</v>
      </c>
      <c r="W19" s="2417"/>
      <c r="X19" s="2410">
        <f>V19</f>
        <v>0</v>
      </c>
      <c r="Y19" s="2411"/>
      <c r="Z19" s="907"/>
      <c r="AA19" s="908"/>
      <c r="AB19" s="100" t="s">
        <v>4344</v>
      </c>
    </row>
    <row r="20" spans="2:28" ht="18.75" customHeight="1">
      <c r="B20" s="2407" t="s">
        <v>4150</v>
      </c>
      <c r="C20" s="2408"/>
      <c r="D20" s="2408"/>
      <c r="E20" s="2408"/>
      <c r="F20" s="2408"/>
      <c r="G20" s="2409"/>
      <c r="H20" s="2410">
        <f>使用量_3!I78</f>
        <v>0</v>
      </c>
      <c r="I20" s="2411"/>
      <c r="J20" s="2410">
        <f>使用量_3!$M$78</f>
        <v>0</v>
      </c>
      <c r="K20" s="2411"/>
      <c r="L20" s="2418"/>
      <c r="M20" s="2419"/>
      <c r="N20" s="2420"/>
      <c r="O20" s="2421"/>
      <c r="P20" s="2422"/>
      <c r="Q20" s="2423"/>
      <c r="R20" s="2423"/>
      <c r="S20" s="2423"/>
      <c r="T20" s="2423"/>
      <c r="U20" s="909"/>
      <c r="V20" s="2424"/>
      <c r="W20" s="2425"/>
      <c r="X20" s="2424"/>
      <c r="Y20" s="2425"/>
      <c r="Z20" s="910"/>
      <c r="AA20" s="908"/>
    </row>
    <row r="21" spans="2:28" ht="18.75" customHeight="1">
      <c r="B21" s="2430" t="s">
        <v>4151</v>
      </c>
      <c r="C21" s="2433" t="str">
        <f>使用量_3!C79</f>
        <v>登録番号+メニュー</v>
      </c>
      <c r="D21" s="2434"/>
      <c r="E21" s="2435"/>
      <c r="F21" s="2439" t="e">
        <f>使用量_3!E79</f>
        <v>#N/A</v>
      </c>
      <c r="G21" s="2440"/>
      <c r="H21" s="2443">
        <f>使用量_3!I79</f>
        <v>0</v>
      </c>
      <c r="I21" s="2444"/>
      <c r="J21" s="2443">
        <f>使用量_3!$M$79</f>
        <v>0</v>
      </c>
      <c r="K21" s="2444"/>
      <c r="L21" s="600" t="s">
        <v>2728</v>
      </c>
      <c r="M21" s="911">
        <f>使用量_3!$R$79</f>
        <v>0</v>
      </c>
      <c r="N21" s="905" t="s">
        <v>4152</v>
      </c>
      <c r="O21" s="2447" t="e">
        <f>IF(J21="","",(M21+M22)/J21)</f>
        <v>#DIV/0!</v>
      </c>
      <c r="P21" s="2448"/>
      <c r="Q21" s="2426" t="e">
        <f>Q22</f>
        <v>#N/A</v>
      </c>
      <c r="R21" s="2426"/>
      <c r="S21" s="2426" t="e">
        <f>S22</f>
        <v>#N/A</v>
      </c>
      <c r="T21" s="2426"/>
      <c r="U21" s="912" t="s">
        <v>4193</v>
      </c>
      <c r="V21" s="2416" t="str">
        <f>IF(ISNA(Q21),"",ROUND(M21*Q21,0))</f>
        <v/>
      </c>
      <c r="W21" s="2417"/>
      <c r="X21" s="2416" t="str">
        <f>IF(ISNA(S21),"",ROUND(M21*S21,0))</f>
        <v/>
      </c>
      <c r="Y21" s="2417"/>
      <c r="Z21" s="907"/>
      <c r="AA21" s="908"/>
    </row>
    <row r="22" spans="2:28" ht="18.75" customHeight="1">
      <c r="B22" s="2431"/>
      <c r="C22" s="2436"/>
      <c r="D22" s="2437"/>
      <c r="E22" s="2438"/>
      <c r="F22" s="2441"/>
      <c r="G22" s="2442"/>
      <c r="H22" s="2445"/>
      <c r="I22" s="2446"/>
      <c r="J22" s="2445"/>
      <c r="K22" s="2446"/>
      <c r="L22" s="913" t="s">
        <v>2731</v>
      </c>
      <c r="M22" s="911">
        <f>使用量_3!$R$80</f>
        <v>0</v>
      </c>
      <c r="N22" s="914" t="s">
        <v>4152</v>
      </c>
      <c r="O22" s="2449"/>
      <c r="P22" s="2450"/>
      <c r="Q22" s="2427" t="e">
        <f>VLOOKUP(C21,電力会社!$I$4:$L$965,3,FALSE)</f>
        <v>#N/A</v>
      </c>
      <c r="R22" s="2427"/>
      <c r="S22" s="2427" t="e">
        <f>VLOOKUP(C21,電力会社!$I$4:$L$965,4,FALSE)</f>
        <v>#N/A</v>
      </c>
      <c r="T22" s="2427"/>
      <c r="U22" s="915" t="s">
        <v>4193</v>
      </c>
      <c r="V22" s="2428" t="str">
        <f t="shared" ref="V22:V30" si="0">IF(ISNA(Q22),"",ROUND(M22*Q22,0))</f>
        <v/>
      </c>
      <c r="W22" s="2429"/>
      <c r="X22" s="2428" t="str">
        <f t="shared" ref="X22:X30" si="1">IF(ISNA(S22),"",ROUND(M22*S22,0))</f>
        <v/>
      </c>
      <c r="Y22" s="2429"/>
      <c r="Z22" s="907"/>
      <c r="AA22" s="908"/>
    </row>
    <row r="23" spans="2:28" ht="18.75" customHeight="1" outlineLevel="1">
      <c r="B23" s="2431"/>
      <c r="C23" s="2433" t="str">
        <f>使用量_3!C81</f>
        <v>登録番号+メニュー</v>
      </c>
      <c r="D23" s="2434"/>
      <c r="E23" s="2435"/>
      <c r="F23" s="2439" t="e">
        <f>使用量_3!E81</f>
        <v>#N/A</v>
      </c>
      <c r="G23" s="2440"/>
      <c r="H23" s="2443">
        <f>使用量_3!I81</f>
        <v>0</v>
      </c>
      <c r="I23" s="2444"/>
      <c r="J23" s="2443">
        <f>使用量_3!$M$81</f>
        <v>0</v>
      </c>
      <c r="K23" s="2444"/>
      <c r="L23" s="600" t="s">
        <v>2728</v>
      </c>
      <c r="M23" s="911">
        <f>使用量_3!$R$81</f>
        <v>0</v>
      </c>
      <c r="N23" s="905" t="s">
        <v>4152</v>
      </c>
      <c r="O23" s="2447" t="e">
        <f>IF(J23="","",(M23+M24)/J23)</f>
        <v>#DIV/0!</v>
      </c>
      <c r="P23" s="2448"/>
      <c r="Q23" s="2426" t="e">
        <f>Q24</f>
        <v>#N/A</v>
      </c>
      <c r="R23" s="2426"/>
      <c r="S23" s="2426" t="e">
        <f>S24</f>
        <v>#N/A</v>
      </c>
      <c r="T23" s="2426"/>
      <c r="U23" s="916" t="s">
        <v>4193</v>
      </c>
      <c r="V23" s="2451" t="str">
        <f t="shared" si="0"/>
        <v/>
      </c>
      <c r="W23" s="2451"/>
      <c r="X23" s="2451" t="str">
        <f t="shared" si="1"/>
        <v/>
      </c>
      <c r="Y23" s="2451"/>
      <c r="Z23" s="907"/>
      <c r="AA23" s="908"/>
    </row>
    <row r="24" spans="2:28" ht="18.75" customHeight="1" outlineLevel="1">
      <c r="B24" s="2431"/>
      <c r="C24" s="2436"/>
      <c r="D24" s="2437"/>
      <c r="E24" s="2438"/>
      <c r="F24" s="2441"/>
      <c r="G24" s="2442"/>
      <c r="H24" s="2445"/>
      <c r="I24" s="2446"/>
      <c r="J24" s="2445"/>
      <c r="K24" s="2446"/>
      <c r="L24" s="913" t="s">
        <v>2731</v>
      </c>
      <c r="M24" s="911">
        <f>使用量_3!$R$82</f>
        <v>0</v>
      </c>
      <c r="N24" s="914" t="s">
        <v>4152</v>
      </c>
      <c r="O24" s="2449"/>
      <c r="P24" s="2450"/>
      <c r="Q24" s="2427" t="e">
        <f>VLOOKUP(C23,電力会社!$I$4:$L$965,3,FALSE)</f>
        <v>#N/A</v>
      </c>
      <c r="R24" s="2427"/>
      <c r="S24" s="2427" t="e">
        <f>VLOOKUP(C23,電力会社!$I$4:$L$965,4,FALSE)</f>
        <v>#N/A</v>
      </c>
      <c r="T24" s="2427"/>
      <c r="U24" s="916" t="s">
        <v>4193</v>
      </c>
      <c r="V24" s="2451" t="str">
        <f t="shared" si="0"/>
        <v/>
      </c>
      <c r="W24" s="2451"/>
      <c r="X24" s="2451" t="str">
        <f t="shared" si="1"/>
        <v/>
      </c>
      <c r="Y24" s="2451"/>
      <c r="Z24" s="907"/>
      <c r="AA24" s="908"/>
    </row>
    <row r="25" spans="2:28" ht="18.75" customHeight="1" outlineLevel="1">
      <c r="B25" s="2431"/>
      <c r="C25" s="2433" t="str">
        <f>使用量_3!C83</f>
        <v>登録番号+メニュー</v>
      </c>
      <c r="D25" s="2434"/>
      <c r="E25" s="2435"/>
      <c r="F25" s="2439" t="e">
        <f>使用量_3!E83</f>
        <v>#N/A</v>
      </c>
      <c r="G25" s="2440"/>
      <c r="H25" s="2443">
        <f>使用量_3!I83</f>
        <v>0</v>
      </c>
      <c r="I25" s="2444"/>
      <c r="J25" s="2443">
        <f>使用量_3!$M$83</f>
        <v>0</v>
      </c>
      <c r="K25" s="2444"/>
      <c r="L25" s="600" t="s">
        <v>2728</v>
      </c>
      <c r="M25" s="911">
        <f>使用量_3!$R$83</f>
        <v>0</v>
      </c>
      <c r="N25" s="905" t="s">
        <v>4152</v>
      </c>
      <c r="O25" s="2447" t="e">
        <f>IF(J25="","",(M25+M26)/J25)</f>
        <v>#DIV/0!</v>
      </c>
      <c r="P25" s="2448"/>
      <c r="Q25" s="2426" t="e">
        <f>Q26</f>
        <v>#N/A</v>
      </c>
      <c r="R25" s="2426"/>
      <c r="S25" s="2426" t="e">
        <f>S26</f>
        <v>#N/A</v>
      </c>
      <c r="T25" s="2426"/>
      <c r="U25" s="916" t="s">
        <v>4193</v>
      </c>
      <c r="V25" s="2451" t="str">
        <f t="shared" si="0"/>
        <v/>
      </c>
      <c r="W25" s="2451"/>
      <c r="X25" s="2451" t="str">
        <f t="shared" si="1"/>
        <v/>
      </c>
      <c r="Y25" s="2451"/>
      <c r="Z25" s="907"/>
      <c r="AA25" s="908"/>
    </row>
    <row r="26" spans="2:28" ht="18.75" customHeight="1" outlineLevel="1">
      <c r="B26" s="2431"/>
      <c r="C26" s="2436"/>
      <c r="D26" s="2437"/>
      <c r="E26" s="2438"/>
      <c r="F26" s="2441"/>
      <c r="G26" s="2442"/>
      <c r="H26" s="2445"/>
      <c r="I26" s="2446"/>
      <c r="J26" s="2445"/>
      <c r="K26" s="2446"/>
      <c r="L26" s="600" t="s">
        <v>2731</v>
      </c>
      <c r="M26" s="911">
        <f>使用量_3!$R$84</f>
        <v>0</v>
      </c>
      <c r="N26" s="905" t="s">
        <v>4152</v>
      </c>
      <c r="O26" s="2449"/>
      <c r="P26" s="2450"/>
      <c r="Q26" s="2427" t="e">
        <f>VLOOKUP(C25,電力会社!$I$4:$L$965,3,FALSE)</f>
        <v>#N/A</v>
      </c>
      <c r="R26" s="2427"/>
      <c r="S26" s="2427" t="e">
        <f>VLOOKUP(C25,電力会社!$I$4:$L$965,4,FALSE)</f>
        <v>#N/A</v>
      </c>
      <c r="T26" s="2427"/>
      <c r="U26" s="916" t="s">
        <v>4193</v>
      </c>
      <c r="V26" s="2451" t="str">
        <f t="shared" si="0"/>
        <v/>
      </c>
      <c r="W26" s="2451"/>
      <c r="X26" s="2451" t="str">
        <f t="shared" si="1"/>
        <v/>
      </c>
      <c r="Y26" s="2451"/>
      <c r="Z26" s="907"/>
      <c r="AA26" s="908"/>
    </row>
    <row r="27" spans="2:28" ht="18.75" customHeight="1" outlineLevel="1">
      <c r="B27" s="2431"/>
      <c r="C27" s="2433" t="str">
        <f>使用量_3!C85</f>
        <v>登録番号+メニュー</v>
      </c>
      <c r="D27" s="2434"/>
      <c r="E27" s="2435"/>
      <c r="F27" s="2439" t="e">
        <f>使用量_3!E85</f>
        <v>#N/A</v>
      </c>
      <c r="G27" s="2440"/>
      <c r="H27" s="2443">
        <f>使用量_3!I85</f>
        <v>0</v>
      </c>
      <c r="I27" s="2444"/>
      <c r="J27" s="2443">
        <f>使用量_3!$M$85</f>
        <v>0</v>
      </c>
      <c r="K27" s="2444"/>
      <c r="L27" s="600" t="s">
        <v>2728</v>
      </c>
      <c r="M27" s="911">
        <f>使用量_3!$R$85</f>
        <v>0</v>
      </c>
      <c r="N27" s="905" t="s">
        <v>4152</v>
      </c>
      <c r="O27" s="2447" t="e">
        <f>IF(J27="","",(M27+M28)/J27)</f>
        <v>#DIV/0!</v>
      </c>
      <c r="P27" s="2448"/>
      <c r="Q27" s="2426" t="e">
        <f>Q28</f>
        <v>#N/A</v>
      </c>
      <c r="R27" s="2426"/>
      <c r="S27" s="2426" t="e">
        <f>S28</f>
        <v>#N/A</v>
      </c>
      <c r="T27" s="2426"/>
      <c r="U27" s="916" t="s">
        <v>4193</v>
      </c>
      <c r="V27" s="2416" t="str">
        <f t="shared" si="0"/>
        <v/>
      </c>
      <c r="W27" s="2417"/>
      <c r="X27" s="2451" t="str">
        <f t="shared" si="1"/>
        <v/>
      </c>
      <c r="Y27" s="2451"/>
      <c r="Z27" s="907"/>
      <c r="AA27" s="908"/>
    </row>
    <row r="28" spans="2:28" ht="18.75" customHeight="1" outlineLevel="1">
      <c r="B28" s="2431"/>
      <c r="C28" s="2436"/>
      <c r="D28" s="2437"/>
      <c r="E28" s="2438"/>
      <c r="F28" s="2441"/>
      <c r="G28" s="2442"/>
      <c r="H28" s="2445"/>
      <c r="I28" s="2446"/>
      <c r="J28" s="2445"/>
      <c r="K28" s="2446"/>
      <c r="L28" s="600" t="s">
        <v>2731</v>
      </c>
      <c r="M28" s="911">
        <f>使用量_3!$R$86</f>
        <v>0</v>
      </c>
      <c r="N28" s="905" t="s">
        <v>4152</v>
      </c>
      <c r="O28" s="2449"/>
      <c r="P28" s="2450"/>
      <c r="Q28" s="2427" t="e">
        <f>VLOOKUP(C27,電力会社!$I$4:$L$965,3,FALSE)</f>
        <v>#N/A</v>
      </c>
      <c r="R28" s="2427"/>
      <c r="S28" s="2427" t="e">
        <f>VLOOKUP(C27,電力会社!$I$4:$L$965,4,FALSE)</f>
        <v>#N/A</v>
      </c>
      <c r="T28" s="2427"/>
      <c r="U28" s="916" t="s">
        <v>4193</v>
      </c>
      <c r="V28" s="2451" t="str">
        <f t="shared" si="0"/>
        <v/>
      </c>
      <c r="W28" s="2451"/>
      <c r="X28" s="2451" t="str">
        <f t="shared" si="1"/>
        <v/>
      </c>
      <c r="Y28" s="2451"/>
      <c r="Z28" s="907"/>
      <c r="AA28" s="908"/>
    </row>
    <row r="29" spans="2:28" ht="18.75" customHeight="1" outlineLevel="1">
      <c r="B29" s="2431"/>
      <c r="C29" s="2433" t="str">
        <f>使用量_3!C87</f>
        <v>登録番号+メニュー</v>
      </c>
      <c r="D29" s="2434"/>
      <c r="E29" s="2435"/>
      <c r="F29" s="2439" t="e">
        <f>使用量_3!E87</f>
        <v>#N/A</v>
      </c>
      <c r="G29" s="2440"/>
      <c r="H29" s="2443">
        <f>使用量_3!I87</f>
        <v>0</v>
      </c>
      <c r="I29" s="2444"/>
      <c r="J29" s="2443">
        <f>使用量_3!$M$87</f>
        <v>0</v>
      </c>
      <c r="K29" s="2444"/>
      <c r="L29" s="917" t="s">
        <v>2728</v>
      </c>
      <c r="M29" s="911">
        <f>使用量_3!$R$87</f>
        <v>0</v>
      </c>
      <c r="N29" s="918" t="s">
        <v>4152</v>
      </c>
      <c r="O29" s="2447" t="e">
        <f t="shared" ref="O29" si="2">IF(J29="","",(M29+M30)/J29)</f>
        <v>#DIV/0!</v>
      </c>
      <c r="P29" s="2448"/>
      <c r="Q29" s="2426" t="e">
        <f>Q30</f>
        <v>#N/A</v>
      </c>
      <c r="R29" s="2426"/>
      <c r="S29" s="2426" t="e">
        <f>S30</f>
        <v>#N/A</v>
      </c>
      <c r="T29" s="2426"/>
      <c r="U29" s="916" t="s">
        <v>4193</v>
      </c>
      <c r="V29" s="2451" t="str">
        <f t="shared" si="0"/>
        <v/>
      </c>
      <c r="W29" s="2451"/>
      <c r="X29" s="2451" t="str">
        <f t="shared" si="1"/>
        <v/>
      </c>
      <c r="Y29" s="2451"/>
      <c r="Z29" s="907"/>
      <c r="AA29" s="908"/>
    </row>
    <row r="30" spans="2:28" ht="18.75" customHeight="1" outlineLevel="1" thickBot="1">
      <c r="B30" s="2432"/>
      <c r="C30" s="2436"/>
      <c r="D30" s="2437"/>
      <c r="E30" s="2438"/>
      <c r="F30" s="2441"/>
      <c r="G30" s="2442"/>
      <c r="H30" s="2445"/>
      <c r="I30" s="2446"/>
      <c r="J30" s="2445"/>
      <c r="K30" s="2446"/>
      <c r="L30" s="919" t="s">
        <v>2731</v>
      </c>
      <c r="M30" s="911">
        <f>使用量_3!$R$88</f>
        <v>0</v>
      </c>
      <c r="N30" s="920" t="s">
        <v>4152</v>
      </c>
      <c r="O30" s="2449"/>
      <c r="P30" s="2450"/>
      <c r="Q30" s="2427" t="e">
        <f>VLOOKUP(C29,電力会社!$I$4:$L$965,3,FALSE)</f>
        <v>#N/A</v>
      </c>
      <c r="R30" s="2427"/>
      <c r="S30" s="2427" t="e">
        <f>VLOOKUP(C29,電力会社!$I$4:$L$965,4,FALSE)</f>
        <v>#N/A</v>
      </c>
      <c r="T30" s="2427"/>
      <c r="U30" s="921" t="s">
        <v>4193</v>
      </c>
      <c r="V30" s="2452" t="str">
        <f t="shared" si="0"/>
        <v/>
      </c>
      <c r="W30" s="2452"/>
      <c r="X30" s="2452" t="str">
        <f t="shared" si="1"/>
        <v/>
      </c>
      <c r="Y30" s="2452"/>
      <c r="Z30" s="907"/>
      <c r="AA30" s="908"/>
    </row>
    <row r="31" spans="2:28" ht="24" customHeight="1" thickTop="1" thickBot="1">
      <c r="B31" s="2469" t="s">
        <v>4153</v>
      </c>
      <c r="C31" s="2470"/>
      <c r="D31" s="2470"/>
      <c r="E31" s="2470"/>
      <c r="F31" s="2470"/>
      <c r="G31" s="2471"/>
      <c r="H31" s="2472">
        <f>SUM(H16:I30)</f>
        <v>0</v>
      </c>
      <c r="I31" s="2473"/>
      <c r="J31" s="2472">
        <f>SUM(J16:K30)</f>
        <v>0</v>
      </c>
      <c r="K31" s="2473"/>
      <c r="L31" s="2474"/>
      <c r="M31" s="2475"/>
      <c r="N31" s="2476"/>
      <c r="O31" s="2477"/>
      <c r="P31" s="2478"/>
      <c r="Q31" s="2453"/>
      <c r="R31" s="2454"/>
      <c r="S31" s="2453"/>
      <c r="T31" s="2454"/>
      <c r="U31" s="922"/>
      <c r="V31" s="2455">
        <f>SUM(V16:W30)</f>
        <v>0</v>
      </c>
      <c r="W31" s="2456"/>
      <c r="X31" s="2455">
        <f>SUM(X16:Y30)</f>
        <v>0</v>
      </c>
      <c r="Y31" s="2456"/>
      <c r="Z31" s="907"/>
      <c r="AA31" s="908"/>
    </row>
    <row r="32" spans="2:28" ht="33" customHeight="1" thickBot="1">
      <c r="B32" s="2457" t="s">
        <v>4194</v>
      </c>
      <c r="C32" s="2458"/>
      <c r="D32" s="2458"/>
      <c r="E32" s="2458"/>
      <c r="F32" s="2458"/>
      <c r="G32" s="2459"/>
      <c r="H32" s="2460">
        <f>H8+O8</f>
        <v>0</v>
      </c>
      <c r="I32" s="2461"/>
      <c r="J32" s="923" t="s">
        <v>4195</v>
      </c>
      <c r="K32" s="924"/>
      <c r="L32" s="925"/>
      <c r="M32" s="2462" t="s">
        <v>4196</v>
      </c>
      <c r="N32" s="2463"/>
      <c r="O32" s="2463"/>
      <c r="P32" s="2463"/>
      <c r="Q32" s="2463"/>
      <c r="R32" s="2463"/>
      <c r="S32" s="2463"/>
      <c r="T32" s="2463"/>
      <c r="U32" s="2464"/>
      <c r="V32" s="2465">
        <f>IF(V31&gt;0,ROUND((V31),2-INT(LOG(V31))),0)</f>
        <v>0</v>
      </c>
      <c r="W32" s="2466"/>
      <c r="X32" s="2467">
        <f>IF(X31="","",(IF(X31&gt;0,ROUND((X31),2-INT(LOG(X31))),0)))</f>
        <v>0</v>
      </c>
      <c r="Y32" s="2468"/>
      <c r="Z32" s="926"/>
      <c r="AA32" s="927"/>
    </row>
    <row r="33" spans="2:27" ht="30" customHeight="1" thickBot="1">
      <c r="C33" s="928"/>
      <c r="D33" s="928"/>
      <c r="E33" s="928"/>
      <c r="F33" s="928"/>
      <c r="G33" s="928"/>
      <c r="H33" s="2369" t="s">
        <v>4197</v>
      </c>
      <c r="I33" s="2369"/>
      <c r="J33" s="2369"/>
      <c r="K33" s="2369"/>
      <c r="L33" s="2369"/>
      <c r="M33" s="929"/>
      <c r="N33" s="929"/>
      <c r="O33" s="929"/>
      <c r="P33" s="929"/>
      <c r="Q33" s="929"/>
      <c r="R33" s="929"/>
      <c r="S33" s="929"/>
      <c r="T33" s="929"/>
      <c r="U33" s="929"/>
      <c r="V33" s="2479" t="s">
        <v>4198</v>
      </c>
      <c r="W33" s="2479"/>
      <c r="X33" s="2479"/>
      <c r="Y33" s="2479"/>
      <c r="Z33" s="2479"/>
      <c r="AA33" s="930"/>
    </row>
    <row r="34" spans="2:27" ht="5.25" customHeight="1">
      <c r="B34" s="931"/>
      <c r="C34" s="931"/>
      <c r="D34" s="931"/>
      <c r="E34" s="931"/>
      <c r="F34" s="931"/>
      <c r="G34" s="931"/>
      <c r="H34" s="932"/>
      <c r="I34" s="932"/>
      <c r="J34" s="932"/>
      <c r="K34" s="932"/>
      <c r="L34" s="932"/>
      <c r="M34" s="932"/>
      <c r="N34" s="932"/>
      <c r="O34" s="932"/>
      <c r="P34" s="932"/>
      <c r="Q34" s="932"/>
      <c r="R34" s="933"/>
      <c r="S34" s="933"/>
      <c r="T34" s="933"/>
      <c r="U34" s="933"/>
      <c r="V34" s="934"/>
      <c r="W34" s="934"/>
      <c r="X34" s="934"/>
      <c r="Y34" s="934"/>
      <c r="Z34" s="934"/>
      <c r="AA34" s="935"/>
    </row>
    <row r="35" spans="2:27" ht="21">
      <c r="B35" s="936" t="s">
        <v>4199</v>
      </c>
      <c r="C35" s="936"/>
      <c r="D35" s="936"/>
      <c r="E35" s="936"/>
      <c r="F35" s="936"/>
      <c r="G35" s="936"/>
      <c r="L35" s="887"/>
      <c r="M35" s="887"/>
      <c r="N35" s="887"/>
      <c r="O35"/>
      <c r="P35"/>
      <c r="Q35"/>
      <c r="R35" s="937"/>
      <c r="S35" s="937"/>
      <c r="T35" s="937"/>
      <c r="U35" s="937"/>
      <c r="V35" s="938"/>
      <c r="W35" s="938"/>
      <c r="X35" s="938"/>
      <c r="Y35" s="939"/>
      <c r="Z35" s="939"/>
      <c r="AA35" s="930"/>
    </row>
    <row r="36" spans="2:27" ht="6" customHeight="1">
      <c r="B36" s="940"/>
      <c r="C36" s="940"/>
      <c r="D36" s="940"/>
      <c r="E36" s="940"/>
      <c r="F36" s="940"/>
      <c r="G36" s="940"/>
      <c r="L36" s="887"/>
      <c r="M36" s="887"/>
      <c r="N36" s="887"/>
      <c r="O36" s="887"/>
      <c r="P36" s="887"/>
      <c r="Q36" s="887"/>
      <c r="R36" s="938"/>
      <c r="S36" s="938"/>
      <c r="T36" s="938"/>
      <c r="U36" s="938"/>
      <c r="V36" s="939"/>
      <c r="W36" s="939"/>
      <c r="X36" s="939"/>
      <c r="Y36" s="939"/>
      <c r="Z36" s="939"/>
      <c r="AA36" s="930"/>
    </row>
    <row r="37" spans="2:27" ht="29.25" customHeight="1">
      <c r="B37" s="2480" t="s">
        <v>4200</v>
      </c>
      <c r="C37" s="2480"/>
      <c r="D37" s="2480"/>
      <c r="E37" s="2480"/>
      <c r="F37" s="2480"/>
      <c r="G37" s="2480"/>
      <c r="H37" s="2480"/>
      <c r="I37" s="2480"/>
      <c r="J37" s="2480"/>
      <c r="K37" s="2480"/>
      <c r="L37" s="2480"/>
      <c r="M37" s="887"/>
      <c r="O37" s="2480" t="s">
        <v>4201</v>
      </c>
      <c r="P37" s="2480"/>
      <c r="Q37" s="2480"/>
      <c r="R37" s="2480"/>
      <c r="S37" s="2480"/>
      <c r="T37" s="2480"/>
      <c r="U37" s="2480"/>
      <c r="V37" s="2480"/>
      <c r="W37" s="2480"/>
      <c r="X37" s="2480"/>
      <c r="Y37" s="2480"/>
      <c r="Z37" s="941"/>
      <c r="AA37" s="930"/>
    </row>
    <row r="38" spans="2:27" ht="12.75" customHeight="1">
      <c r="B38" s="2481" t="s">
        <v>4202</v>
      </c>
      <c r="C38" s="2481"/>
      <c r="D38" s="2481"/>
      <c r="E38" s="2481"/>
      <c r="F38" s="2481"/>
      <c r="G38" s="2482" t="s">
        <v>4203</v>
      </c>
      <c r="H38" s="2482"/>
      <c r="I38" s="2482"/>
      <c r="J38" s="2482"/>
      <c r="K38" s="2482"/>
      <c r="L38" s="2482"/>
      <c r="M38" s="887"/>
      <c r="O38" s="2481" t="s">
        <v>4202</v>
      </c>
      <c r="P38" s="2481"/>
      <c r="Q38" s="2481"/>
      <c r="R38" s="2481"/>
      <c r="S38" s="2481"/>
      <c r="T38" s="2482" t="s">
        <v>4203</v>
      </c>
      <c r="U38" s="2482"/>
      <c r="V38" s="2482"/>
      <c r="W38" s="2482"/>
      <c r="X38" s="2482"/>
      <c r="Y38" s="2482"/>
      <c r="Z38" s="942"/>
      <c r="AA38" s="943"/>
    </row>
    <row r="39" spans="2:27" ht="12.75" customHeight="1">
      <c r="B39" s="2481"/>
      <c r="C39" s="2481"/>
      <c r="D39" s="2481"/>
      <c r="E39" s="2481"/>
      <c r="F39" s="2481"/>
      <c r="G39" s="2483" t="str">
        <f>"("&amp;I43&amp;")"</f>
        <v>(tCO2/千km)</v>
      </c>
      <c r="H39" s="2483"/>
      <c r="I39" s="2483"/>
      <c r="J39" s="2483"/>
      <c r="K39" s="2483"/>
      <c r="L39" s="2483"/>
      <c r="M39" s="887"/>
      <c r="O39" s="2481"/>
      <c r="P39" s="2481"/>
      <c r="Q39" s="2481"/>
      <c r="R39" s="2481"/>
      <c r="S39" s="2481"/>
      <c r="T39" s="2483" t="str">
        <f>"("&amp;U43&amp;")"</f>
        <v>(tCO2/)</v>
      </c>
      <c r="U39" s="2483"/>
      <c r="V39" s="2483"/>
      <c r="W39" s="2483"/>
      <c r="X39" s="2483"/>
      <c r="Y39" s="2483"/>
      <c r="Z39" s="944"/>
      <c r="AA39" s="943"/>
    </row>
    <row r="40" spans="2:27" ht="18" customHeight="1" thickBot="1">
      <c r="B40" s="2481" t="s">
        <v>4159</v>
      </c>
      <c r="C40" s="2481"/>
      <c r="D40" s="2481"/>
      <c r="E40" s="2481" t="s">
        <v>4189</v>
      </c>
      <c r="F40" s="2481"/>
      <c r="G40" s="2487" t="s">
        <v>4156</v>
      </c>
      <c r="H40" s="2487"/>
      <c r="I40" s="2487"/>
      <c r="J40" s="2481" t="s">
        <v>4204</v>
      </c>
      <c r="K40" s="2481"/>
      <c r="L40" s="2481"/>
      <c r="M40" s="887"/>
      <c r="O40" s="2481" t="s">
        <v>4159</v>
      </c>
      <c r="P40" s="2481"/>
      <c r="Q40" s="2481"/>
      <c r="R40" s="2481" t="s">
        <v>4189</v>
      </c>
      <c r="S40" s="2481"/>
      <c r="T40" s="2487" t="s">
        <v>4156</v>
      </c>
      <c r="U40" s="2487"/>
      <c r="V40" s="2487"/>
      <c r="W40" s="2481" t="s">
        <v>4204</v>
      </c>
      <c r="X40" s="2481"/>
      <c r="Y40" s="2481"/>
      <c r="Z40" s="945"/>
      <c r="AA40" s="943"/>
    </row>
    <row r="41" spans="2:27" s="946" customFormat="1" ht="30" customHeight="1" thickBot="1">
      <c r="B41" s="2488" t="str">
        <f>IF(J31=0,"",J31/1000)</f>
        <v/>
      </c>
      <c r="C41" s="2488"/>
      <c r="D41" s="2488"/>
      <c r="E41" s="2489" t="s">
        <v>4161</v>
      </c>
      <c r="F41" s="2490"/>
      <c r="G41" s="2491" t="str">
        <f>IF(V31=0,"0",V31/B41)</f>
        <v>0</v>
      </c>
      <c r="H41" s="2492"/>
      <c r="I41" s="2493"/>
      <c r="J41" s="2494" t="str">
        <f>IF(X31=0,"0",X31/B41)</f>
        <v>0</v>
      </c>
      <c r="K41" s="2495"/>
      <c r="L41" s="2495"/>
      <c r="M41" s="938"/>
      <c r="O41" s="2490" t="str">
        <f>IF(使用量_3!Q96="","",使用量_3!Q98)</f>
        <v/>
      </c>
      <c r="P41" s="2496"/>
      <c r="Q41" s="2497"/>
      <c r="R41" s="2490" t="str">
        <f>IF(使用量_3!Q96="","",使用量_3!S98)</f>
        <v/>
      </c>
      <c r="S41" s="2496"/>
      <c r="T41" s="2491" t="str">
        <f>IF(V31=0,"0",V31/O41)</f>
        <v>0</v>
      </c>
      <c r="U41" s="2492"/>
      <c r="V41" s="2493"/>
      <c r="W41" s="2498" t="str">
        <f>IF(X31=0,"0",X31/O41)</f>
        <v>0</v>
      </c>
      <c r="X41" s="2499"/>
      <c r="Y41" s="2500"/>
      <c r="Z41" s="947"/>
    </row>
    <row r="42" spans="2:27" ht="7.5" customHeight="1">
      <c r="N42" s="887"/>
      <c r="O42" s="762"/>
      <c r="AA42" s="930"/>
    </row>
    <row r="43" spans="2:27" ht="12" customHeight="1">
      <c r="B43" s="2484"/>
      <c r="C43" s="948"/>
      <c r="D43" s="948"/>
      <c r="E43" s="948"/>
      <c r="F43" s="948"/>
      <c r="G43" s="948"/>
      <c r="H43" s="2485"/>
      <c r="I43" s="949" t="s">
        <v>4205</v>
      </c>
      <c r="K43" s="950"/>
      <c r="L43" s="886"/>
      <c r="M43" s="886"/>
      <c r="N43" s="951"/>
      <c r="O43" s="2486"/>
      <c r="P43" s="952"/>
      <c r="Q43" s="952"/>
      <c r="R43" s="2485"/>
      <c r="S43" s="953"/>
      <c r="T43" s="953"/>
      <c r="U43" s="954" t="str">
        <f>CONCATENATE("tCO2/",R41)</f>
        <v>tCO2/</v>
      </c>
      <c r="W43" s="955"/>
      <c r="X43" s="955"/>
      <c r="Y43" s="886"/>
      <c r="Z43" s="886"/>
      <c r="AA43" s="956"/>
    </row>
    <row r="44" spans="2:27" ht="12" customHeight="1">
      <c r="B44" s="2484"/>
      <c r="C44" s="948"/>
      <c r="D44" s="948"/>
      <c r="E44" s="948"/>
      <c r="F44" s="948"/>
      <c r="G44" s="948"/>
      <c r="H44" s="2485"/>
      <c r="I44" s="953"/>
      <c r="J44" s="948"/>
      <c r="K44" s="948"/>
      <c r="L44" s="948"/>
      <c r="M44" s="948"/>
      <c r="N44" s="948"/>
      <c r="O44" s="2486"/>
      <c r="P44" s="952"/>
      <c r="Q44" s="952"/>
      <c r="R44" s="2485"/>
      <c r="S44" s="953"/>
      <c r="T44" s="953"/>
      <c r="U44" s="953"/>
      <c r="V44" s="948"/>
      <c r="W44" s="948"/>
      <c r="X44" s="948"/>
      <c r="Y44" s="948"/>
      <c r="Z44" s="948"/>
      <c r="AA44" s="930"/>
    </row>
    <row r="45" spans="2:27" ht="27.75" customHeight="1">
      <c r="N45" s="887"/>
      <c r="O45" s="762"/>
      <c r="AA45" s="930"/>
    </row>
    <row r="46" spans="2:27" ht="24" customHeight="1">
      <c r="B46" s="100"/>
      <c r="C46" s="100"/>
      <c r="D46" s="100"/>
      <c r="E46" s="100"/>
      <c r="F46" s="100"/>
      <c r="G46" s="100"/>
      <c r="L46" s="887"/>
      <c r="M46" s="887"/>
      <c r="N46" s="887"/>
      <c r="O46" s="957"/>
      <c r="AA46" s="930"/>
    </row>
    <row r="47" spans="2:27" ht="24" customHeight="1">
      <c r="B47" s="100"/>
      <c r="C47" s="100"/>
      <c r="D47" s="100"/>
      <c r="E47" s="100"/>
      <c r="F47" s="100"/>
      <c r="G47" s="100"/>
      <c r="L47" s="887"/>
      <c r="M47" s="887"/>
      <c r="O47" s="957"/>
      <c r="AA47" s="930"/>
    </row>
    <row r="48" spans="2:27" ht="38.25" customHeight="1">
      <c r="B48" s="100"/>
      <c r="C48" s="100"/>
      <c r="D48" s="100"/>
      <c r="E48" s="100"/>
      <c r="F48" s="100"/>
      <c r="G48" s="100"/>
      <c r="H48" s="948"/>
      <c r="I48" s="948"/>
      <c r="J48" s="100"/>
      <c r="K48" s="100"/>
      <c r="O48" s="887"/>
      <c r="AA48" s="958"/>
    </row>
    <row r="49" spans="2:29" ht="38.25" customHeight="1">
      <c r="B49" s="100"/>
      <c r="C49" s="100"/>
      <c r="D49" s="100"/>
      <c r="E49" s="100"/>
      <c r="F49" s="100"/>
      <c r="G49" s="100"/>
      <c r="H49" s="959"/>
      <c r="I49" s="959"/>
      <c r="J49" s="100"/>
      <c r="K49" s="100"/>
      <c r="O49" s="887"/>
      <c r="AA49" s="960"/>
    </row>
    <row r="50" spans="2:29" ht="13.5" customHeight="1">
      <c r="B50" s="100"/>
      <c r="C50" s="100"/>
      <c r="D50" s="100"/>
      <c r="E50" s="100"/>
      <c r="F50" s="100"/>
      <c r="G50" s="100"/>
      <c r="J50" s="100"/>
      <c r="K50" s="100"/>
      <c r="O50" s="887"/>
      <c r="AA50" s="961"/>
    </row>
    <row r="51" spans="2:29">
      <c r="B51" s="940"/>
      <c r="C51" s="940"/>
      <c r="D51" s="940"/>
      <c r="E51" s="940"/>
      <c r="F51" s="940"/>
      <c r="G51" s="940"/>
      <c r="H51" s="940"/>
      <c r="I51" s="940"/>
      <c r="J51" s="100"/>
      <c r="K51" s="100"/>
      <c r="O51" s="940"/>
      <c r="P51" s="940"/>
      <c r="Q51" s="940"/>
      <c r="R51" s="940"/>
      <c r="S51" s="940"/>
      <c r="T51" s="940"/>
      <c r="U51" s="940"/>
      <c r="V51" s="940"/>
      <c r="W51" s="940"/>
      <c r="X51" s="940"/>
      <c r="Y51" s="940"/>
      <c r="Z51" s="940"/>
      <c r="AA51" s="940"/>
      <c r="AB51" s="940"/>
      <c r="AC51" s="940"/>
    </row>
    <row r="52" spans="2:29">
      <c r="B52" s="940"/>
      <c r="C52" s="940"/>
      <c r="D52" s="940"/>
      <c r="E52" s="940"/>
      <c r="F52" s="940"/>
      <c r="G52" s="940"/>
      <c r="H52" s="940"/>
      <c r="I52" s="940"/>
      <c r="J52" s="100"/>
      <c r="K52" s="100"/>
      <c r="O52" s="940"/>
      <c r="P52" s="940"/>
      <c r="Q52" s="940"/>
      <c r="AB52" s="940"/>
      <c r="AC52" s="940"/>
    </row>
  </sheetData>
  <mergeCells count="199">
    <mergeCell ref="B43:B44"/>
    <mergeCell ref="H43:H44"/>
    <mergeCell ref="O43:O44"/>
    <mergeCell ref="R43:R44"/>
    <mergeCell ref="T40:V40"/>
    <mergeCell ref="W40:Y40"/>
    <mergeCell ref="B41:D41"/>
    <mergeCell ref="E41:F41"/>
    <mergeCell ref="G41:I41"/>
    <mergeCell ref="J41:L41"/>
    <mergeCell ref="O41:Q41"/>
    <mergeCell ref="R41:S41"/>
    <mergeCell ref="T41:V41"/>
    <mergeCell ref="W41:Y41"/>
    <mergeCell ref="B40:D40"/>
    <mergeCell ref="E40:F40"/>
    <mergeCell ref="G40:I40"/>
    <mergeCell ref="J40:L40"/>
    <mergeCell ref="O40:Q40"/>
    <mergeCell ref="R40:S40"/>
    <mergeCell ref="H33:L33"/>
    <mergeCell ref="V33:Z33"/>
    <mergeCell ref="B37:L37"/>
    <mergeCell ref="O37:Y37"/>
    <mergeCell ref="B38:F39"/>
    <mergeCell ref="G38:L38"/>
    <mergeCell ref="O38:S39"/>
    <mergeCell ref="T38:Y38"/>
    <mergeCell ref="G39:L39"/>
    <mergeCell ref="T39:Y39"/>
    <mergeCell ref="S31:T31"/>
    <mergeCell ref="V31:W31"/>
    <mergeCell ref="X31:Y31"/>
    <mergeCell ref="B32:G32"/>
    <mergeCell ref="H32:I32"/>
    <mergeCell ref="M32:U32"/>
    <mergeCell ref="V32:W32"/>
    <mergeCell ref="X32:Y32"/>
    <mergeCell ref="B31:G31"/>
    <mergeCell ref="H31:I31"/>
    <mergeCell ref="J31:K31"/>
    <mergeCell ref="L31:N31"/>
    <mergeCell ref="O31:P31"/>
    <mergeCell ref="Q31:R31"/>
    <mergeCell ref="S29:T29"/>
    <mergeCell ref="V29:W29"/>
    <mergeCell ref="X29:Y29"/>
    <mergeCell ref="Q30:R30"/>
    <mergeCell ref="S30:T30"/>
    <mergeCell ref="V30:W30"/>
    <mergeCell ref="X30:Y30"/>
    <mergeCell ref="C29:E30"/>
    <mergeCell ref="F29:G30"/>
    <mergeCell ref="H29:I30"/>
    <mergeCell ref="J29:K30"/>
    <mergeCell ref="O29:P30"/>
    <mergeCell ref="Q29:R29"/>
    <mergeCell ref="Q28:R28"/>
    <mergeCell ref="S28:T28"/>
    <mergeCell ref="V28:W28"/>
    <mergeCell ref="X28:Y28"/>
    <mergeCell ref="C27:E28"/>
    <mergeCell ref="F27:G28"/>
    <mergeCell ref="H27:I28"/>
    <mergeCell ref="J27:K28"/>
    <mergeCell ref="O27:P28"/>
    <mergeCell ref="Q27:R27"/>
    <mergeCell ref="C25:E26"/>
    <mergeCell ref="F25:G26"/>
    <mergeCell ref="H25:I26"/>
    <mergeCell ref="J25:K26"/>
    <mergeCell ref="O25:P26"/>
    <mergeCell ref="Q25:R25"/>
    <mergeCell ref="S27:T27"/>
    <mergeCell ref="V27:W27"/>
    <mergeCell ref="X27:Y27"/>
    <mergeCell ref="S24:T24"/>
    <mergeCell ref="V24:W24"/>
    <mergeCell ref="X24:Y24"/>
    <mergeCell ref="S25:T25"/>
    <mergeCell ref="V25:W25"/>
    <mergeCell ref="X25:Y25"/>
    <mergeCell ref="Q26:R26"/>
    <mergeCell ref="S26:T26"/>
    <mergeCell ref="V26:W26"/>
    <mergeCell ref="X26:Y26"/>
    <mergeCell ref="Q21:R21"/>
    <mergeCell ref="S21:T21"/>
    <mergeCell ref="V21:W21"/>
    <mergeCell ref="X21:Y21"/>
    <mergeCell ref="Q22:R22"/>
    <mergeCell ref="S22:T22"/>
    <mergeCell ref="V22:W22"/>
    <mergeCell ref="X22:Y22"/>
    <mergeCell ref="B21:B30"/>
    <mergeCell ref="C21:E22"/>
    <mergeCell ref="F21:G22"/>
    <mergeCell ref="H21:I22"/>
    <mergeCell ref="J21:K22"/>
    <mergeCell ref="O21:P22"/>
    <mergeCell ref="C23:E24"/>
    <mergeCell ref="F23:G24"/>
    <mergeCell ref="H23:I24"/>
    <mergeCell ref="J23:K24"/>
    <mergeCell ref="O23:P24"/>
    <mergeCell ref="Q23:R23"/>
    <mergeCell ref="S23:T23"/>
    <mergeCell ref="V23:W23"/>
    <mergeCell ref="X23:Y23"/>
    <mergeCell ref="Q24:R24"/>
    <mergeCell ref="B20:G20"/>
    <mergeCell ref="H20:I20"/>
    <mergeCell ref="J20:K20"/>
    <mergeCell ref="L20:N20"/>
    <mergeCell ref="O20:P20"/>
    <mergeCell ref="Q20:R20"/>
    <mergeCell ref="S20:T20"/>
    <mergeCell ref="V20:W20"/>
    <mergeCell ref="X20:Y20"/>
    <mergeCell ref="B19:G19"/>
    <mergeCell ref="H19:I19"/>
    <mergeCell ref="J19:K19"/>
    <mergeCell ref="L19:M19"/>
    <mergeCell ref="O19:P19"/>
    <mergeCell ref="Q19:R19"/>
    <mergeCell ref="S19:T19"/>
    <mergeCell ref="V19:W19"/>
    <mergeCell ref="X19:Y19"/>
    <mergeCell ref="B18:G18"/>
    <mergeCell ref="H18:I18"/>
    <mergeCell ref="J18:K18"/>
    <mergeCell ref="L18:M18"/>
    <mergeCell ref="O18:P18"/>
    <mergeCell ref="Q18:R18"/>
    <mergeCell ref="S18:T18"/>
    <mergeCell ref="V18:W18"/>
    <mergeCell ref="X18:Y18"/>
    <mergeCell ref="B17:G17"/>
    <mergeCell ref="H17:I17"/>
    <mergeCell ref="J17:K17"/>
    <mergeCell ref="L17:M17"/>
    <mergeCell ref="O17:P17"/>
    <mergeCell ref="Q17:R17"/>
    <mergeCell ref="S17:T17"/>
    <mergeCell ref="V17:W17"/>
    <mergeCell ref="X17:Y17"/>
    <mergeCell ref="B16:G16"/>
    <mergeCell ref="H16:I16"/>
    <mergeCell ref="J16:K16"/>
    <mergeCell ref="L16:M16"/>
    <mergeCell ref="O16:P16"/>
    <mergeCell ref="Q16:R16"/>
    <mergeCell ref="S16:T16"/>
    <mergeCell ref="V16:W16"/>
    <mergeCell ref="X16:Y16"/>
    <mergeCell ref="B14:F15"/>
    <mergeCell ref="H14:I15"/>
    <mergeCell ref="J14:K15"/>
    <mergeCell ref="L14:N14"/>
    <mergeCell ref="O14:P14"/>
    <mergeCell ref="Q14:U14"/>
    <mergeCell ref="V14:Y14"/>
    <mergeCell ref="L15:N15"/>
    <mergeCell ref="O15:P15"/>
    <mergeCell ref="Q15:R15"/>
    <mergeCell ref="S15:T15"/>
    <mergeCell ref="V15:W15"/>
    <mergeCell ref="X15:Y15"/>
    <mergeCell ref="V10:Y10"/>
    <mergeCell ref="V8:Y8"/>
    <mergeCell ref="B9:G9"/>
    <mergeCell ref="H9:J9"/>
    <mergeCell ref="K9:N9"/>
    <mergeCell ref="O9:Q9"/>
    <mergeCell ref="R9:U9"/>
    <mergeCell ref="V9:Y9"/>
    <mergeCell ref="H11:Q11"/>
    <mergeCell ref="V11:Y13"/>
    <mergeCell ref="B8:G8"/>
    <mergeCell ref="H8:J8"/>
    <mergeCell ref="K8:N8"/>
    <mergeCell ref="O8:Q8"/>
    <mergeCell ref="R8:U8"/>
    <mergeCell ref="B10:G10"/>
    <mergeCell ref="H10:J10"/>
    <mergeCell ref="K10:N10"/>
    <mergeCell ref="O10:Q10"/>
    <mergeCell ref="R10:U10"/>
    <mergeCell ref="B3:E3"/>
    <mergeCell ref="G3:P3"/>
    <mergeCell ref="B4:E4"/>
    <mergeCell ref="B6:G7"/>
    <mergeCell ref="H6:N6"/>
    <mergeCell ref="O6:U6"/>
    <mergeCell ref="V6:Y7"/>
    <mergeCell ref="H7:J7"/>
    <mergeCell ref="K7:N7"/>
    <mergeCell ref="O7:Q7"/>
    <mergeCell ref="R7:U7"/>
  </mergeCells>
  <phoneticPr fontId="15"/>
  <conditionalFormatting sqref="S22">
    <cfRule type="cellIs" dxfId="313" priority="25" operator="equal">
      <formula>"エラー"</formula>
    </cfRule>
    <cfRule type="cellIs" dxfId="312" priority="26" operator="equal">
      <formula>"メニューを選択"</formula>
    </cfRule>
  </conditionalFormatting>
  <conditionalFormatting sqref="S24">
    <cfRule type="cellIs" dxfId="311" priority="7" operator="equal">
      <formula>"エラー"</formula>
    </cfRule>
    <cfRule type="cellIs" dxfId="310" priority="8" operator="equal">
      <formula>"メニューを選択"</formula>
    </cfRule>
  </conditionalFormatting>
  <conditionalFormatting sqref="S26">
    <cfRule type="cellIs" dxfId="309" priority="5" operator="equal">
      <formula>"エラー"</formula>
    </cfRule>
    <cfRule type="cellIs" dxfId="308" priority="6" operator="equal">
      <formula>"メニューを選択"</formula>
    </cfRule>
  </conditionalFormatting>
  <conditionalFormatting sqref="S28">
    <cfRule type="cellIs" dxfId="307" priority="3" operator="equal">
      <formula>"エラー"</formula>
    </cfRule>
    <cfRule type="cellIs" dxfId="306" priority="4" operator="equal">
      <formula>"メニューを選択"</formula>
    </cfRule>
  </conditionalFormatting>
  <conditionalFormatting sqref="S30">
    <cfRule type="cellIs" dxfId="305" priority="1" operator="equal">
      <formula>"エラー"</formula>
    </cfRule>
    <cfRule type="cellIs" dxfId="304" priority="2" operator="equal">
      <formula>"メニューを選択"</formula>
    </cfRule>
  </conditionalFormatting>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7"/>
  <dimension ref="A1:EQ25"/>
  <sheetViews>
    <sheetView zoomScaleNormal="100" workbookViewId="0">
      <selection activeCell="H16" sqref="H16"/>
    </sheetView>
  </sheetViews>
  <sheetFormatPr defaultRowHeight="13.5"/>
  <cols>
    <col min="1" max="2" width="14.625" customWidth="1"/>
    <col min="3" max="3" width="17.25" customWidth="1"/>
    <col min="9" max="9" width="8.875" customWidth="1"/>
  </cols>
  <sheetData>
    <row r="1" spans="1:147" ht="17.25">
      <c r="A1" s="496">
        <f>はじめに!A2</f>
        <v>2024</v>
      </c>
      <c r="B1" s="496" t="str">
        <f>"年度様式("&amp;(A1-1)&amp;"年4月～"&amp;A1&amp;"年3月の実績報告用)"</f>
        <v>年度様式(2023年4月～2024年3月の実績報告用)</v>
      </c>
      <c r="G1" s="974">
        <f>IFERROR(A1-$D$14,NA())</f>
        <v>0</v>
      </c>
    </row>
    <row r="2" spans="1:147">
      <c r="B2" t="str">
        <f ca="1">RIGHT(CELL("filename",B3),LEN(CELL("filename",B3))-FIND("]",CELL("filename",B3)))</f>
        <v>参照元</v>
      </c>
      <c r="AN2" t="s">
        <v>4100</v>
      </c>
      <c r="BG2" t="s">
        <v>4100</v>
      </c>
      <c r="BO2" t="s">
        <v>4100</v>
      </c>
      <c r="BW2" t="s">
        <v>4100</v>
      </c>
      <c r="CJ2" t="s">
        <v>4101</v>
      </c>
      <c r="CO2" t="s">
        <v>4101</v>
      </c>
      <c r="DD2" t="s">
        <v>4101</v>
      </c>
      <c r="DL2" t="s">
        <v>4101</v>
      </c>
      <c r="DT2" t="s">
        <v>4101</v>
      </c>
    </row>
    <row r="3" spans="1:147" ht="36" customHeight="1">
      <c r="A3" t="s">
        <v>2667</v>
      </c>
      <c r="B3" s="501" t="s">
        <v>594</v>
      </c>
      <c r="C3" s="502" t="s">
        <v>595</v>
      </c>
      <c r="D3" s="503" t="s">
        <v>596</v>
      </c>
      <c r="E3" s="502" t="s">
        <v>597</v>
      </c>
      <c r="F3" s="504" t="s">
        <v>2584</v>
      </c>
      <c r="G3" s="505" t="s">
        <v>5987</v>
      </c>
      <c r="H3" s="506" t="s">
        <v>599</v>
      </c>
      <c r="I3" s="507" t="s">
        <v>132</v>
      </c>
      <c r="J3" s="503" t="s">
        <v>600</v>
      </c>
      <c r="K3" s="506" t="s">
        <v>601</v>
      </c>
      <c r="L3" s="508" t="s">
        <v>602</v>
      </c>
      <c r="M3" s="503" t="s">
        <v>603</v>
      </c>
      <c r="N3" s="509" t="s">
        <v>604</v>
      </c>
      <c r="O3" s="510" t="s">
        <v>605</v>
      </c>
      <c r="P3" s="509" t="s">
        <v>606</v>
      </c>
      <c r="Q3" s="510" t="s">
        <v>607</v>
      </c>
      <c r="R3" s="503" t="s">
        <v>608</v>
      </c>
      <c r="S3" s="503" t="s">
        <v>609</v>
      </c>
      <c r="T3" s="509" t="s">
        <v>5844</v>
      </c>
      <c r="U3" s="509" t="s">
        <v>4690</v>
      </c>
      <c r="V3" s="512" t="s">
        <v>610</v>
      </c>
      <c r="W3" s="512" t="s">
        <v>611</v>
      </c>
      <c r="X3" s="511" t="s">
        <v>2585</v>
      </c>
      <c r="Y3" s="512" t="s">
        <v>610</v>
      </c>
      <c r="Z3" s="512" t="s">
        <v>611</v>
      </c>
      <c r="AA3" s="513" t="s">
        <v>612</v>
      </c>
      <c r="AB3" s="513" t="s">
        <v>612</v>
      </c>
      <c r="AC3" s="508" t="s">
        <v>613</v>
      </c>
      <c r="AD3" s="506" t="s">
        <v>614</v>
      </c>
      <c r="AE3" s="514" t="s">
        <v>615</v>
      </c>
      <c r="AF3" s="508" t="s">
        <v>616</v>
      </c>
      <c r="AG3" s="506" t="s">
        <v>617</v>
      </c>
      <c r="AH3" s="515" t="s">
        <v>618</v>
      </c>
      <c r="AI3" s="503" t="s">
        <v>619</v>
      </c>
      <c r="AJ3" s="503" t="s">
        <v>620</v>
      </c>
      <c r="AK3" s="506" t="s">
        <v>621</v>
      </c>
      <c r="AL3" s="515" t="s">
        <v>622</v>
      </c>
      <c r="AM3" s="506" t="s">
        <v>623</v>
      </c>
      <c r="AN3" s="508" t="s">
        <v>624</v>
      </c>
      <c r="AO3" s="516" t="s">
        <v>625</v>
      </c>
      <c r="AP3" s="516" t="s">
        <v>626</v>
      </c>
      <c r="AQ3" s="506" t="s">
        <v>627</v>
      </c>
      <c r="AR3" s="517" t="s">
        <v>628</v>
      </c>
      <c r="AS3" s="515" t="s">
        <v>629</v>
      </c>
      <c r="AT3" s="506" t="s">
        <v>630</v>
      </c>
      <c r="AU3" s="517" t="s">
        <v>631</v>
      </c>
      <c r="AV3" s="506" t="s">
        <v>632</v>
      </c>
      <c r="AW3" s="517" t="s">
        <v>633</v>
      </c>
      <c r="AX3" s="506" t="s">
        <v>634</v>
      </c>
      <c r="AY3" s="518" t="s">
        <v>635</v>
      </c>
      <c r="AZ3" s="519" t="s">
        <v>636</v>
      </c>
      <c r="BA3" s="548"/>
      <c r="BB3" s="548"/>
      <c r="BC3" s="548"/>
      <c r="BD3" s="548"/>
      <c r="BE3" s="548"/>
      <c r="BF3" s="548"/>
      <c r="BG3" s="515" t="s">
        <v>637</v>
      </c>
      <c r="BH3" s="506" t="s">
        <v>638</v>
      </c>
      <c r="BI3" s="517" t="s">
        <v>639</v>
      </c>
      <c r="BJ3" s="506" t="s">
        <v>640</v>
      </c>
      <c r="BK3" s="517" t="s">
        <v>641</v>
      </c>
      <c r="BL3" s="506" t="s">
        <v>642</v>
      </c>
      <c r="BM3" s="518" t="s">
        <v>643</v>
      </c>
      <c r="BN3" s="519" t="s">
        <v>644</v>
      </c>
      <c r="BO3" s="515" t="s">
        <v>645</v>
      </c>
      <c r="BP3" s="506" t="s">
        <v>646</v>
      </c>
      <c r="BQ3" s="517" t="s">
        <v>647</v>
      </c>
      <c r="BR3" s="506" t="s">
        <v>648</v>
      </c>
      <c r="BS3" s="517" t="s">
        <v>649</v>
      </c>
      <c r="BT3" s="506" t="s">
        <v>650</v>
      </c>
      <c r="BU3" s="518" t="s">
        <v>651</v>
      </c>
      <c r="BV3" s="519" t="s">
        <v>652</v>
      </c>
      <c r="BW3" s="515" t="s">
        <v>653</v>
      </c>
      <c r="BX3" s="506" t="s">
        <v>654</v>
      </c>
      <c r="BY3" s="517" t="s">
        <v>655</v>
      </c>
      <c r="BZ3" s="506" t="s">
        <v>656</v>
      </c>
      <c r="CA3" s="517" t="s">
        <v>657</v>
      </c>
      <c r="CB3" s="506" t="s">
        <v>658</v>
      </c>
      <c r="CC3" s="518" t="s">
        <v>659</v>
      </c>
      <c r="CD3" s="518" t="s">
        <v>660</v>
      </c>
      <c r="CE3" s="520" t="s">
        <v>661</v>
      </c>
      <c r="CF3" s="521" t="s">
        <v>662</v>
      </c>
      <c r="CG3" s="522" t="s">
        <v>663</v>
      </c>
      <c r="CH3" s="521" t="s">
        <v>664</v>
      </c>
      <c r="CI3" s="510"/>
      <c r="CJ3" s="510" t="s">
        <v>624</v>
      </c>
      <c r="CK3" s="516" t="s">
        <v>665</v>
      </c>
      <c r="CL3" s="516" t="s">
        <v>626</v>
      </c>
      <c r="CM3" s="506" t="s">
        <v>627</v>
      </c>
      <c r="CN3" s="517" t="s">
        <v>628</v>
      </c>
      <c r="CO3" s="515" t="s">
        <v>629</v>
      </c>
      <c r="CP3" s="506" t="s">
        <v>630</v>
      </c>
      <c r="CQ3" s="517" t="s">
        <v>631</v>
      </c>
      <c r="CR3" s="506" t="s">
        <v>632</v>
      </c>
      <c r="CS3" s="517" t="s">
        <v>633</v>
      </c>
      <c r="CT3" s="506" t="s">
        <v>634</v>
      </c>
      <c r="CU3" s="518" t="s">
        <v>635</v>
      </c>
      <c r="CV3" s="519" t="s">
        <v>636</v>
      </c>
      <c r="CW3" s="548"/>
      <c r="CX3" s="548"/>
      <c r="CY3" s="548"/>
      <c r="CZ3" s="548"/>
      <c r="DA3" s="548"/>
      <c r="DB3" s="548"/>
      <c r="DC3" s="548"/>
      <c r="DD3" s="515" t="s">
        <v>637</v>
      </c>
      <c r="DE3" s="506" t="s">
        <v>638</v>
      </c>
      <c r="DF3" s="517" t="s">
        <v>639</v>
      </c>
      <c r="DG3" s="506" t="s">
        <v>640</v>
      </c>
      <c r="DH3" s="517" t="s">
        <v>641</v>
      </c>
      <c r="DI3" s="506" t="s">
        <v>642</v>
      </c>
      <c r="DJ3" s="518" t="s">
        <v>643</v>
      </c>
      <c r="DK3" s="519" t="s">
        <v>644</v>
      </c>
      <c r="DL3" s="515" t="s">
        <v>645</v>
      </c>
      <c r="DM3" s="506" t="s">
        <v>646</v>
      </c>
      <c r="DN3" s="517" t="s">
        <v>647</v>
      </c>
      <c r="DO3" s="506" t="s">
        <v>648</v>
      </c>
      <c r="DP3" s="517" t="s">
        <v>649</v>
      </c>
      <c r="DQ3" s="506" t="s">
        <v>650</v>
      </c>
      <c r="DR3" s="518" t="s">
        <v>651</v>
      </c>
      <c r="DS3" s="519" t="s">
        <v>652</v>
      </c>
      <c r="DT3" s="515" t="s">
        <v>653</v>
      </c>
      <c r="DU3" s="506" t="s">
        <v>654</v>
      </c>
      <c r="DV3" s="517" t="s">
        <v>655</v>
      </c>
      <c r="DW3" s="506" t="s">
        <v>656</v>
      </c>
      <c r="DX3" s="517" t="s">
        <v>657</v>
      </c>
      <c r="DY3" s="506" t="s">
        <v>658</v>
      </c>
      <c r="DZ3" s="518" t="s">
        <v>659</v>
      </c>
      <c r="EA3" s="518" t="s">
        <v>660</v>
      </c>
      <c r="EB3" s="520" t="s">
        <v>661</v>
      </c>
      <c r="EC3" s="521" t="s">
        <v>662</v>
      </c>
      <c r="ED3" s="522" t="s">
        <v>663</v>
      </c>
      <c r="EE3" s="521" t="s">
        <v>664</v>
      </c>
      <c r="EO3" s="1680" t="s">
        <v>4775</v>
      </c>
      <c r="EP3" s="1680" t="s">
        <v>4777</v>
      </c>
      <c r="EQ3" s="1680" t="s">
        <v>4779</v>
      </c>
    </row>
    <row r="4" spans="1:147">
      <c r="A4" t="s">
        <v>2665</v>
      </c>
      <c r="B4" s="53" t="e">
        <f>VLOOKUP($B$24,昨年度報告書!$A:$DM,COLUMN(昨年度報告書!A1)-COLUMN(昨年度計画書!$A$1)+1,FALSE)</f>
        <v>#N/A</v>
      </c>
      <c r="C4" s="53" t="e">
        <f>VLOOKUP($B$24,昨年度報告書!$A:$DM,COLUMN(昨年度報告書!B1)-COLUMN(昨年度計画書!$A$1)+1,FALSE)</f>
        <v>#N/A</v>
      </c>
      <c r="D4" s="53" t="e">
        <f>VLOOKUP($B$24,昨年度報告書!$A:$DM,COLUMN(昨年度報告書!C1)-COLUMN(昨年度計画書!$A$1)+1,FALSE)</f>
        <v>#N/A</v>
      </c>
      <c r="E4" s="53" t="e">
        <f>VLOOKUP($B$24,昨年度報告書!$A:$DM,COLUMN(昨年度報告書!D1)-COLUMN(昨年度計画書!$A$1)+1,FALSE)</f>
        <v>#N/A</v>
      </c>
      <c r="F4" s="53" t="e">
        <f>VLOOKUP($B$24,昨年度報告書!$A:$DM,COLUMN(昨年度報告書!E1)-COLUMN(昨年度計画書!$A$1)+1,FALSE)</f>
        <v>#N/A</v>
      </c>
      <c r="G4" s="53" t="e">
        <f>VLOOKUP($B$24,昨年度報告書!$A:$DM,COLUMN(昨年度報告書!F1)-COLUMN(昨年度計画書!$A$1)+1,FALSE)</f>
        <v>#N/A</v>
      </c>
      <c r="H4" s="53" t="e">
        <f>VLOOKUP($B$24,昨年度報告書!$A:$DM,COLUMN(昨年度報告書!G1)-COLUMN(昨年度計画書!$A$1)+1,FALSE)</f>
        <v>#N/A</v>
      </c>
      <c r="I4" s="53" t="e">
        <f>VLOOKUP($B$24,昨年度報告書!$A:$DM,COLUMN(昨年度報告書!H1)-COLUMN(昨年度計画書!$A$1)+1,FALSE)</f>
        <v>#N/A</v>
      </c>
      <c r="J4" s="53" t="e">
        <f>VLOOKUP($B$24,昨年度報告書!$A:$DM,COLUMN(昨年度報告書!I1)-COLUMN(昨年度計画書!$A$1)+1,FALSE)</f>
        <v>#N/A</v>
      </c>
      <c r="K4" s="53" t="e">
        <f>VLOOKUP($B$24,昨年度報告書!$A:$DM,COLUMN(昨年度報告書!J1)-COLUMN(昨年度計画書!$A$1)+1,FALSE)</f>
        <v>#N/A</v>
      </c>
      <c r="L4" s="53" t="e">
        <f>VLOOKUP($B$24,昨年度報告書!$A:$DM,COLUMN(昨年度報告書!K1)-COLUMN(昨年度計画書!$A$1)+1,FALSE)</f>
        <v>#N/A</v>
      </c>
      <c r="M4" s="53" t="e">
        <f>VLOOKUP($B$24,昨年度報告書!$A:$DM,COLUMN(昨年度報告書!L1)-COLUMN(昨年度計画書!$A$1)+1,FALSE)</f>
        <v>#N/A</v>
      </c>
      <c r="N4" s="53" t="e">
        <f>VLOOKUP($B$24,昨年度報告書!$A:$DM,COLUMN(昨年度報告書!M1)-COLUMN(昨年度計画書!$A$1)+1,FALSE)</f>
        <v>#N/A</v>
      </c>
      <c r="O4" s="53" t="e">
        <f>VLOOKUP($B$24,昨年度報告書!$A:$DM,COLUMN(昨年度報告書!N1)-COLUMN(昨年度計画書!$A$1)+1,FALSE)</f>
        <v>#N/A</v>
      </c>
      <c r="P4" s="53" t="e">
        <f>VLOOKUP($B$24,昨年度報告書!$A:$DM,COLUMN(昨年度報告書!O1)-COLUMN(昨年度計画書!$A$1)+1,FALSE)</f>
        <v>#N/A</v>
      </c>
      <c r="Q4" s="53" t="e">
        <f>VLOOKUP($B$24,昨年度報告書!$A:$DM,COLUMN(昨年度報告書!P1)-COLUMN(昨年度計画書!$A$1)+1,FALSE)&amp;""</f>
        <v>#N/A</v>
      </c>
      <c r="R4" s="53" t="e">
        <f>VLOOKUP($B$24,昨年度報告書!$A:$DM,COLUMN(昨年度報告書!Q1)-COLUMN(昨年度計画書!$A$1)+1,FALSE)&amp;""</f>
        <v>#N/A</v>
      </c>
      <c r="S4" s="53" t="e">
        <f>VLOOKUP($B$24,昨年度報告書!$A:$DM,COLUMN(昨年度報告書!R1)-COLUMN(昨年度計画書!$A$1)+1,FALSE)&amp;""</f>
        <v>#N/A</v>
      </c>
      <c r="T4" s="53" t="e">
        <f>VLOOKUP($B$24,昨年度報告書!$A:$DM,COLUMN(昨年度報告書!S1)-COLUMN(昨年度計画書!$A$1)+1,FALSE)&amp;""</f>
        <v>#N/A</v>
      </c>
      <c r="U4" s="53" t="e">
        <f>VLOOKUP($B$24,昨年度報告書!$A:$DM,COLUMN(昨年度報告書!T1)-COLUMN(昨年度計画書!$A$1)+1,FALSE)&amp;""</f>
        <v>#N/A</v>
      </c>
      <c r="V4" t="e">
        <f>Y4</f>
        <v>#N/A</v>
      </c>
      <c r="W4" t="e">
        <f>Z4</f>
        <v>#N/A</v>
      </c>
      <c r="X4" t="e">
        <f>IF(OR($Q4="1号",$R4="2号",$T4="任意12号"),VLOOKUP($B$24,昨年度報告書!$A:$DM,COLUMN(昨年度報告書!U1)-COLUMN(昨年度計画書!$A$1)+1,FALSE),"")</f>
        <v>#N/A</v>
      </c>
      <c r="Y4" t="e">
        <f>IF(OR($Q4="1号",$R4="2号",$T4="任意12号"),VLOOKUP($B$24,昨年度報告書!$A:$DM,COLUMN(昨年度報告書!V1)-COLUMN(昨年度計画書!$A$1)+1,FALSE),"")</f>
        <v>#N/A</v>
      </c>
      <c r="Z4" t="e">
        <f>IF(OR($Q4="1号",$R4="2号",$T4="任意12号"),VLOOKUP($B$24,昨年度報告書!$A:$DM,COLUMN(昨年度報告書!W1)-COLUMN(昨年度計画書!$A$1)+1,FALSE),"")</f>
        <v>#N/A</v>
      </c>
      <c r="AA4" t="e">
        <f>IF(OR($S4="3号",$U4="任意3号"),VLOOKUP($B$24,昨年度報告書!$A:$DM,COLUMN(昨年度報告書!X1)-COLUMN(昨年度計画書!$A$1)+1,FALSE),"")</f>
        <v>#N/A</v>
      </c>
      <c r="AB4" s="53" t="e">
        <f>AA4</f>
        <v>#N/A</v>
      </c>
      <c r="AC4" s="53" t="e">
        <f>VLOOKUP($B$24,昨年度報告書!$A:$DM,COLUMN(昨年度報告書!Y1)-COLUMN(昨年度計画書!$A$1)+1,FALSE)</f>
        <v>#N/A</v>
      </c>
      <c r="AD4" s="53" t="e">
        <f>VLOOKUP($B$24,昨年度報告書!$A:$DM,COLUMN(昨年度報告書!Z1)-COLUMN(昨年度計画書!$A$1)+1,FALSE)</f>
        <v>#N/A</v>
      </c>
      <c r="AE4" s="53" t="e">
        <f>VLOOKUP($B$24,昨年度報告書!$A:$DM,COLUMN(昨年度報告書!AA1)-COLUMN(昨年度計画書!$A$1)+1,FALSE)</f>
        <v>#N/A</v>
      </c>
      <c r="AF4" s="53" t="e">
        <f>VLOOKUP($B$24,昨年度報告書!$A:$DM,COLUMN(昨年度報告書!AB1)-COLUMN(昨年度計画書!$A$1)+1,FALSE)&amp;""</f>
        <v>#N/A</v>
      </c>
      <c r="AG4" s="53" t="e">
        <f>VLOOKUP($B$24,昨年度報告書!$A:$DM,COLUMN(昨年度報告書!AC1)-COLUMN(昨年度計画書!$A$1)+1,FALSE)&amp;""</f>
        <v>#N/A</v>
      </c>
      <c r="AH4" s="53" t="e">
        <f>VLOOKUP($B$24,昨年度報告書!$A:$DM,COLUMN(昨年度報告書!AD1)-COLUMN(昨年度計画書!$A$1)+1,FALSE)&amp;""</f>
        <v>#N/A</v>
      </c>
      <c r="AI4" s="53" t="e">
        <f>VLOOKUP($B$24,昨年度報告書!$A:$DM,COLUMN(昨年度報告書!AE1)-COLUMN(昨年度計画書!$A$1)+1,FALSE)&amp;""</f>
        <v>#N/A</v>
      </c>
      <c r="AJ4" s="53" t="e">
        <f>VLOOKUP($B$24,昨年度報告書!$A:$DM,COLUMN(昨年度報告書!AF1)-COLUMN(昨年度計画書!$A$1)+1,FALSE)&amp;""</f>
        <v>#N/A</v>
      </c>
      <c r="AK4" s="53" t="e">
        <f>VLOOKUP($B$24,昨年度報告書!$A:$DM,COLUMN(昨年度報告書!AG1)-COLUMN(昨年度計画書!$A$1)+1,FALSE)&amp;""</f>
        <v>#N/A</v>
      </c>
      <c r="AL4" s="53" t="e">
        <f>VLOOKUP($B$24,昨年度報告書!$A:$DM,COLUMN(昨年度報告書!AH1)-COLUMN(昨年度計画書!$A$1)+1,FALSE)&amp;""</f>
        <v>#N/A</v>
      </c>
      <c r="AM4" s="53" t="e">
        <f>VLOOKUP($B$24,昨年度報告書!$A:$DM,COLUMN(昨年度報告書!AI1)-COLUMN(昨年度計画書!$A$1)+1,FALSE)&amp;""</f>
        <v>#N/A</v>
      </c>
      <c r="AN4" s="53" t="e">
        <f>VLOOKUP($B$24,昨年度報告書!$A:$DM,COLUMN(昨年度報告書!AJ1)-COLUMN(昨年度計画書!$A$1)+1,FALSE)</f>
        <v>#N/A</v>
      </c>
      <c r="AO4" s="53" t="e">
        <f>IF(OR($Q4="1号",$R4="2号",$T4="任意12号"),VLOOKUP($B$24,昨年度報告書!$A:$DM,COLUMN(昨年度報告書!AK1)-COLUMN(昨年度計画書!$A$1)+1,FALSE),"")</f>
        <v>#N/A</v>
      </c>
      <c r="AP4" s="53" t="e">
        <f>IF(OR($Q4="1号",$R4="2号",$T4="任意12号"),VLOOKUP($B$24,昨年度報告書!$A:$DM,COLUMN(昨年度報告書!AL1)-COLUMN(昨年度計画書!$A$1)+1,FALSE),"")</f>
        <v>#N/A</v>
      </c>
      <c r="AQ4" s="53" t="e">
        <f>IF(OR($Q4="1号",$R4="2号",$T4="任意12号"),IF(AR4&lt;&gt;"",VLOOKUP($B$24,昨年度報告書!$A:$DM,COLUMN(昨年度報告書!AM1)-COLUMN(昨年度計画書!$A$1)+1,FALSE),""),"")</f>
        <v>#N/A</v>
      </c>
      <c r="AR4" s="53" t="e">
        <f>VLOOKUP($B$24,昨年度報告書!$A:$DM,COLUMN(昨年度報告書!AN1)-COLUMN(昨年度計画書!$A$1)+1,FALSE)&amp;""</f>
        <v>#N/A</v>
      </c>
      <c r="AS4" s="53" t="e">
        <f>VLOOKUP($B$24,昨年度報告書!$A:$DM,COLUMN(昨年度報告書!AO1)-COLUMN(昨年度計画書!$A$1)+1,FALSE)</f>
        <v>#N/A</v>
      </c>
      <c r="AT4" s="53" t="e">
        <f>IF(OR($Q4="1号",$R4="2号",$T4="任意12号"),VLOOKUP($B$24,昨年度報告書!$A:$DM,COLUMN(昨年度報告書!AP1)-COLUMN(昨年度計画書!$A$1)+1,FALSE),"")</f>
        <v>#N/A</v>
      </c>
      <c r="AU4" s="53" t="e">
        <f>IF(OR($Q4="1号",$R4="2号",$T4="任意12号"),VLOOKUP($B$24,昨年度報告書!$A:$DM,COLUMN(昨年度報告書!AQ1)-COLUMN(昨年度計画書!$A$1)+1,FALSE),"")</f>
        <v>#N/A</v>
      </c>
      <c r="AV4" s="53" t="e">
        <f>IF(OR($Q4="1号",$R4="2号",$T4="任意12号"),VLOOKUP($B$24,昨年度報告書!$A:$DM,COLUMN(昨年度報告書!AR1)-COLUMN(昨年度計画書!$A$1)+1,FALSE),"")</f>
        <v>#N/A</v>
      </c>
      <c r="AW4" s="53" t="e">
        <f>IF(OR($Q4="1号",$R4="2号",$T4="任意12号"),VLOOKUP($B$24,昨年度報告書!$A:$DM,COLUMN(昨年度報告書!AS1)-COLUMN(昨年度計画書!$A$1)+1,FALSE),"")</f>
        <v>#N/A</v>
      </c>
      <c r="AX4" s="53" t="e">
        <f>IF(OR($Q4="1号",$R4="2号",$T4="任意12号"),IF(AY4&lt;&gt;"",VLOOKUP($B$24,昨年度報告書!$A:$DM,COLUMN(昨年度報告書!AT1)-COLUMN(昨年度計画書!$A$1)+1,FALSE),""),"")</f>
        <v>#N/A</v>
      </c>
      <c r="AY4" s="53" t="e">
        <f>VLOOKUP($B$24,昨年度報告書!$A:$DM,COLUMN(昨年度報告書!AU1)-COLUMN(昨年度計画書!$A$1)+1,FALSE)&amp;""</f>
        <v>#N/A</v>
      </c>
      <c r="AZ4" s="53" t="e">
        <f>IF(OR($Q4="1号",$R4="2号",$T4="任意12号"),VLOOKUP($B$24,昨年度報告書!$A:$DM,COLUMN(昨年度報告書!AV1)-COLUMN(昨年度計画書!$A$1)+1,FALSE),"")&amp;""</f>
        <v>#N/A</v>
      </c>
      <c r="BA4" s="163" t="e">
        <f>NA()</f>
        <v>#N/A</v>
      </c>
      <c r="BB4" s="163" t="e">
        <f>NA()</f>
        <v>#N/A</v>
      </c>
      <c r="BC4" s="163" t="e">
        <f>NA()</f>
        <v>#N/A</v>
      </c>
      <c r="BD4" s="163" t="e">
        <f>NA()</f>
        <v>#N/A</v>
      </c>
      <c r="BE4" s="163" t="e">
        <f>NA()</f>
        <v>#N/A</v>
      </c>
      <c r="BF4" s="163"/>
      <c r="BG4" t="e">
        <f>VLOOKUP($B$24,昨年度報告書!$A:$DM,COLUMN(昨年度報告書!AW1)-COLUMN(昨年度計画書!$A$1)+1,FALSE)</f>
        <v>#N/A</v>
      </c>
      <c r="BH4" t="e">
        <f>IF(OR($Q4="1号",$R4="2号",$T4="任意12号"),VLOOKUP($B$24,昨年度報告書!$A:$DM,COLUMN(昨年度報告書!AX1)-COLUMN(昨年度計画書!$A$1)+1,FALSE),"")</f>
        <v>#N/A</v>
      </c>
      <c r="BI4" t="e">
        <f>IF(OR($Q4="1号",$R4="2号",$T4="任意12号"),VLOOKUP($B$24,昨年度報告書!$A:$DM,COLUMN(昨年度報告書!AY1)-COLUMN(昨年度計画書!$A$1)+1,FALSE),"")</f>
        <v>#N/A</v>
      </c>
      <c r="BJ4" t="e">
        <f>IF(OR($Q4="1号",$R4="2号",$T4="任意12号"),VLOOKUP($B$24,昨年度報告書!$A:$DM,COLUMN(昨年度報告書!AZ1)-COLUMN(昨年度計画書!$A$1)+1,FALSE),"")</f>
        <v>#N/A</v>
      </c>
      <c r="BK4" t="e">
        <f>IF(OR($Q4="1号",$R4="2号",$T4="任意12号"),VLOOKUP($B$24,昨年度報告書!$A:$DM,COLUMN(昨年度報告書!BA1)-COLUMN(昨年度計画書!$A$1)+1,FALSE),"")</f>
        <v>#N/A</v>
      </c>
      <c r="BL4" t="e">
        <f>IF(OR($Q4="1号",$R4="2号",$T4="任意12号"),IF(BM4&lt;&gt;"",VLOOKUP($B$24,昨年度報告書!$A:$DM,COLUMN(昨年度報告書!BB1)-COLUMN(昨年度計画書!$A$1)+1,FALSE),""),"")</f>
        <v>#N/A</v>
      </c>
      <c r="BM4" t="e">
        <f>VLOOKUP($B$24,昨年度報告書!$A:$DM,COLUMN(昨年度報告書!BC1)-COLUMN(昨年度計画書!$A$1)+1,FALSE)&amp;""</f>
        <v>#N/A</v>
      </c>
      <c r="BN4" t="e">
        <f>IF(OR($Q4="1号",$R4="2号",$T4="任意12号"),IFERROR(VALUE(VLOOKUP($B$24,昨年度報告書!$A:$DM,COLUMN(昨年度報告書!BD1)-COLUMN(昨年度計画書!$A$1)+1,FALSE)&amp;""),""),"")</f>
        <v>#N/A</v>
      </c>
      <c r="BO4" t="e">
        <f>VLOOKUP($B$24,昨年度報告書!$A:$DM,COLUMN(昨年度報告書!BE1)-COLUMN(昨年度計画書!$A$1)+1,FALSE)</f>
        <v>#N/A</v>
      </c>
      <c r="BP4" t="e">
        <f>IF(OR($Q4="1号",$R4="2号",$T4="任意12号"),VLOOKUP($B$24,昨年度報告書!$A:$DM,COLUMN(昨年度報告書!BF1)-COLUMN(昨年度計画書!$A$1)+1,FALSE),"")</f>
        <v>#N/A</v>
      </c>
      <c r="BQ4" t="e">
        <f>IF(OR($Q4="1号",$R4="2号",$T4="任意12号"),VLOOKUP($B$24,昨年度報告書!$A:$DM,COLUMN(昨年度報告書!BG1)-COLUMN(昨年度計画書!$A$1)+1,FALSE),"")</f>
        <v>#N/A</v>
      </c>
      <c r="BR4" t="e">
        <f>IF(OR($Q4="1号",$R4="2号",$T4="任意12号"),VLOOKUP($B$24,昨年度報告書!$A:$DM,COLUMN(昨年度報告書!BH1)-COLUMN(昨年度計画書!$A$1)+1,FALSE),"")</f>
        <v>#N/A</v>
      </c>
      <c r="BS4" t="e">
        <f>IF(OR($Q4="1号",$R4="2号",$T4="任意12号"),VLOOKUP($B$24,昨年度報告書!$A:$DM,COLUMN(昨年度報告書!BI1)-COLUMN(昨年度計画書!$A$1)+1,FALSE),"")</f>
        <v>#N/A</v>
      </c>
      <c r="BT4" t="e">
        <f>IF(OR($Q4="1号",$R4="2号",$T4="任意12号"),IF(BU4&lt;&gt;"",VLOOKUP($B$24,昨年度報告書!$A:$DM,COLUMN(昨年度報告書!BJ1)-COLUMN(昨年度計画書!$A$1)+1,FALSE),""),"")</f>
        <v>#N/A</v>
      </c>
      <c r="BU4" t="e">
        <f>VLOOKUP($B$24,昨年度報告書!$A:$DM,COLUMN(昨年度報告書!BK1)-COLUMN(昨年度計画書!$A$1)+1,FALSE)&amp;""</f>
        <v>#N/A</v>
      </c>
      <c r="BV4" t="e">
        <f>IF(OR($Q4="1号",$R4="2号",$T4="任意12号"),IFERROR(VALUE(VLOOKUP($B$24,昨年度報告書!$A:$DM,COLUMN(昨年度報告書!BL1)-COLUMN(昨年度計画書!$A$1)+1,FALSE)&amp;""),""),"")</f>
        <v>#N/A</v>
      </c>
      <c r="BW4" t="e">
        <f>VLOOKUP($B$24,昨年度報告書!$A:$DM,COLUMN(昨年度報告書!BM1)-COLUMN(昨年度計画書!$A$1)+1,FALSE)</f>
        <v>#N/A</v>
      </c>
      <c r="BX4" t="e">
        <f>IF(OR($Q4="1号",$R4="2号",$T4="任意12号"),VLOOKUP($B$24,昨年度報告書!$A:$DM,COLUMN(昨年度報告書!BN1)-COLUMN(昨年度計画書!$A$1)+1,FALSE),"")</f>
        <v>#N/A</v>
      </c>
      <c r="BY4" t="e">
        <f>IF(OR($Q4="1号",$R4="2号",$T4="任意12号"),VLOOKUP($B$24,昨年度報告書!$A:$DM,COLUMN(昨年度報告書!BO1)-COLUMN(昨年度計画書!$A$1)+1,FALSE),"")</f>
        <v>#N/A</v>
      </c>
      <c r="BZ4" t="e">
        <f>IF(OR($Q4="1号",$R4="2号",$T4="任意12号"),VLOOKUP($B$24,昨年度報告書!$A:$DM,COLUMN(昨年度報告書!BP1)-COLUMN(昨年度計画書!$A$1)+1,FALSE),"")</f>
        <v>#N/A</v>
      </c>
      <c r="CA4" t="e">
        <f>IF(OR($Q4="1号",$R4="2号",$T4="任意12号"),VLOOKUP($B$24,昨年度報告書!$A:$DM,COLUMN(昨年度報告書!BQ1)-COLUMN(昨年度計画書!$A$1)+1,FALSE),"")</f>
        <v>#N/A</v>
      </c>
      <c r="CB4" t="e">
        <f>IF(OR($Q4="1号",$R4="2号",$T4="任意12号"),IF(CC4&lt;&gt;"",VLOOKUP($B$24,昨年度報告書!$A:$DM,COLUMN(昨年度報告書!BR1)-COLUMN(昨年度計画書!$A$1)+1,FALSE),""),"")</f>
        <v>#N/A</v>
      </c>
      <c r="CC4" t="e">
        <f>VLOOKUP($B$24,昨年度報告書!$A:$DM,COLUMN(昨年度報告書!BS1)-COLUMN(昨年度計画書!$A$1)+1,FALSE)&amp;""</f>
        <v>#N/A</v>
      </c>
      <c r="CD4" t="e">
        <f>IF(OR($Q4="1号",$R4="2号",$T4="任意12号"),VLOOKUP($B$24,昨年度報告書!$A:$DM,COLUMN(昨年度報告書!BT1)-COLUMN(昨年度計画書!$A$1)+1,FALSE),"")</f>
        <v>#N/A</v>
      </c>
      <c r="CE4" t="e">
        <f>VLOOKUP($B$24,昨年度報告書!$A:$DM,COLUMN(昨年度報告書!BU1)-COLUMN(昨年度計画書!$A$1)+1,FALSE)</f>
        <v>#N/A</v>
      </c>
      <c r="CF4" t="e">
        <f>VLOOKUP($B$24,昨年度報告書!$A:$DM,COLUMN(昨年度報告書!BV1)-COLUMN(昨年度計画書!$A$1)+1,FALSE)</f>
        <v>#N/A</v>
      </c>
      <c r="CG4" t="e">
        <f>VLOOKUP($B$24,昨年度報告書!$A:$DM,COLUMN(昨年度報告書!BW1)-COLUMN(昨年度計画書!$A$1)+1,FALSE)</f>
        <v>#N/A</v>
      </c>
      <c r="CH4" t="e">
        <f>VLOOKUP($B$24,昨年度報告書!$A:$DM,COLUMN(昨年度報告書!BX1)-COLUMN(昨年度計画書!$A$1)+1,FALSE)&amp;""</f>
        <v>#N/A</v>
      </c>
      <c r="CI4" t="e">
        <f>NA()</f>
        <v>#N/A</v>
      </c>
      <c r="CJ4" t="e">
        <f>VLOOKUP($B$24,昨年度報告書!$A:$DM,COLUMN(昨年度報告書!BY1)-COLUMN(昨年度計画書!$A$1)+1,FALSE)</f>
        <v>#N/A</v>
      </c>
      <c r="CK4" t="e">
        <f>IF(OR($S4="3号",$U4="任意3号"),VLOOKUP($B$24,昨年度報告書!$A:$DM,COLUMN(昨年度報告書!BZ1)-COLUMN(昨年度計画書!$A$1)+1,FALSE),"")</f>
        <v>#N/A</v>
      </c>
      <c r="CL4" t="e">
        <f>IF(OR($S4="3号",$U4="任意3号"),VLOOKUP($B$24,昨年度報告書!$A:$DM,COLUMN(昨年度報告書!CA1)-COLUMN(昨年度計画書!$A$1)+1,FALSE),"")</f>
        <v>#N/A</v>
      </c>
      <c r="CM4" t="e">
        <f>IF(OR($S4="3号",$U4="任意3号"),IF(CN4&lt;&gt;"",VLOOKUP($B$24,昨年度報告書!$A:$DM,COLUMN(昨年度報告書!CB1)-COLUMN(昨年度計画書!$A$1)+1,FALSE),""),"")</f>
        <v>#N/A</v>
      </c>
      <c r="CN4" t="e">
        <f>VLOOKUP($B$24,昨年度報告書!$A:$DM,COLUMN(昨年度報告書!CC1)-COLUMN(昨年度計画書!$A$1)+1,FALSE)&amp;""</f>
        <v>#N/A</v>
      </c>
      <c r="CO4" t="e">
        <f>VLOOKUP($B$24,昨年度報告書!$A:$DM,COLUMN(昨年度報告書!CD1)-COLUMN(昨年度計画書!$A$1)+1,FALSE)</f>
        <v>#N/A</v>
      </c>
      <c r="CP4" t="e">
        <f>IF(OR($S4="3号",$U4="任意3号"),VLOOKUP($B$24,昨年度報告書!$A:$DM,COLUMN(昨年度報告書!CE1)-COLUMN(昨年度計画書!$A$1)+1,FALSE),"")</f>
        <v>#N/A</v>
      </c>
      <c r="CQ4" t="e">
        <f>IF(OR($S4="3号",$U4="任意3号"),VLOOKUP($B$24,昨年度報告書!$A:$DM,COLUMN(昨年度報告書!CF1)-COLUMN(昨年度計画書!$A$1)+1,FALSE),"")</f>
        <v>#N/A</v>
      </c>
      <c r="CR4" t="e">
        <f>IF(OR($S4="3号",$U4="任意3号"),VLOOKUP($B$24,昨年度報告書!$A:$DM,COLUMN(昨年度報告書!CG1)-COLUMN(昨年度計画書!$A$1)+1,FALSE),"")</f>
        <v>#N/A</v>
      </c>
      <c r="CS4" t="e">
        <f>IF(OR($S4="3号",$U4="任意3号"),VLOOKUP($B$24,昨年度報告書!$A:$DM,COLUMN(昨年度報告書!CH1)-COLUMN(昨年度計画書!$A$1)+1,FALSE),"")</f>
        <v>#N/A</v>
      </c>
      <c r="CT4" t="e">
        <f>IF(OR($S4="3号",$U4="任意3号"),IF(CU4&lt;&gt;"",VLOOKUP($B$24,昨年度報告書!$A:$DM,COLUMN(昨年度報告書!CI1)-COLUMN(昨年度計画書!$A$1)+1,FALSE),""),"")</f>
        <v>#N/A</v>
      </c>
      <c r="CU4" t="e">
        <f>VLOOKUP($B$24,昨年度報告書!$A:$DM,COLUMN(昨年度報告書!CJ1)-COLUMN(昨年度計画書!$A$1)+1,FALSE)&amp;""</f>
        <v>#N/A</v>
      </c>
      <c r="CV4" t="e">
        <f>IF(OR($S4="3号",$U4="任意3号"),IF(CU4&lt;&gt;"",VLOOKUP($B$24,昨年度報告書!$A:$DM,COLUMN(昨年度報告書!CK1)-COLUMN(昨年度計画書!$A$1)+1,FALSE),""),"")</f>
        <v>#N/A</v>
      </c>
      <c r="CW4" s="163" t="e">
        <f>NA()</f>
        <v>#N/A</v>
      </c>
      <c r="CX4" s="163" t="e">
        <f>NA()</f>
        <v>#N/A</v>
      </c>
      <c r="CY4" s="163" t="e">
        <f>NA()</f>
        <v>#N/A</v>
      </c>
      <c r="CZ4" s="163" t="e">
        <f>NA()</f>
        <v>#N/A</v>
      </c>
      <c r="DA4" s="163" t="e">
        <f>NA()</f>
        <v>#N/A</v>
      </c>
      <c r="DB4" s="163" t="e">
        <f>NA()</f>
        <v>#N/A</v>
      </c>
      <c r="DC4" s="163"/>
      <c r="DD4" t="e">
        <f>VLOOKUP($B$24,昨年度報告書!$A:$DM,COLUMN(昨年度報告書!CL1)-COLUMN(昨年度計画書!$A$1)+1,FALSE)</f>
        <v>#N/A</v>
      </c>
      <c r="DE4" t="e">
        <f>IF(OR($S4="3号",$U4="任意3号"),VLOOKUP($B$24,昨年度報告書!$A:$DM,COLUMN(昨年度報告書!CM1)-COLUMN(昨年度計画書!$A$1)+1,FALSE),"")</f>
        <v>#N/A</v>
      </c>
      <c r="DF4" t="e">
        <f>IF(OR($S4="3号",$U4="任意3号"),VLOOKUP($B$24,昨年度報告書!$A:$DM,COLUMN(昨年度報告書!CN1)-COLUMN(昨年度計画書!$A$1)+1,FALSE),"")</f>
        <v>#N/A</v>
      </c>
      <c r="DG4" t="e">
        <f>IF(OR($S4="3号",$U4="任意3号"),VLOOKUP($B$24,昨年度報告書!$A:$DM,COLUMN(昨年度報告書!CO1)-COLUMN(昨年度計画書!$A$1)+1,FALSE),"")</f>
        <v>#N/A</v>
      </c>
      <c r="DH4" t="e">
        <f>IF(OR($S4="3号",$U4="任意3号"),VLOOKUP($B$24,昨年度報告書!$A:$DM,COLUMN(昨年度報告書!CP1)-COLUMN(昨年度計画書!$A$1)+1,FALSE),"")</f>
        <v>#N/A</v>
      </c>
      <c r="DI4" t="e">
        <f>IF(OR($S4="3号",$U4="任意3号"),IF(DJ4&lt;&gt;"",VLOOKUP($B$24,昨年度報告書!$A:$DM,COLUMN(昨年度報告書!CQ1)-COLUMN(昨年度計画書!$A$1)+1,FALSE),""),"")</f>
        <v>#N/A</v>
      </c>
      <c r="DJ4" t="e">
        <f>VLOOKUP($B$24,昨年度報告書!$A:$DM,COLUMN(昨年度報告書!CR1)-COLUMN(昨年度計画書!$A$1)+1,FALSE)&amp;""</f>
        <v>#N/A</v>
      </c>
      <c r="DK4" t="e">
        <f>IF(OR($S4="3号",$U4="任意3号"),IFERROR(VALUE(VLOOKUP($B$24,昨年度報告書!$A:$DM,COLUMN(昨年度報告書!CS1)-COLUMN(昨年度計画書!$A$1)+1,FALSE)&amp;""),""),"")</f>
        <v>#N/A</v>
      </c>
      <c r="DL4" t="e">
        <f>VLOOKUP($B$24,昨年度報告書!$A:$DM,COLUMN(昨年度報告書!CT1)-COLUMN(昨年度計画書!$A$1)+1,FALSE)</f>
        <v>#N/A</v>
      </c>
      <c r="DM4" t="e">
        <f>IF(OR($S4="3号",$U4="任意3号"),VLOOKUP($B$24,昨年度報告書!$A:$DM,COLUMN(昨年度報告書!CU1)-COLUMN(昨年度計画書!$A$1)+1,FALSE),"")</f>
        <v>#N/A</v>
      </c>
      <c r="DN4" t="e">
        <f>IF(OR($S4="3号",$U4="任意3号"),VLOOKUP($B$24,昨年度報告書!$A:$DM,COLUMN(昨年度報告書!CV1)-COLUMN(昨年度計画書!$A$1)+1,FALSE),"")</f>
        <v>#N/A</v>
      </c>
      <c r="DO4" t="e">
        <f>IF(OR($S4="3号",$U4="任意3号"),VLOOKUP($B$24,昨年度報告書!$A:$DM,COLUMN(昨年度報告書!CW1)-COLUMN(昨年度計画書!$A$1)+1,FALSE),"")</f>
        <v>#N/A</v>
      </c>
      <c r="DP4" t="e">
        <f>IF(OR($S4="3号",$U4="任意3号"),VLOOKUP($B$24,昨年度報告書!$A:$DM,COLUMN(昨年度報告書!CX1)-COLUMN(昨年度計画書!$A$1)+1,FALSE),"")</f>
        <v>#N/A</v>
      </c>
      <c r="DQ4" t="e">
        <f>IF(OR($S4="3号",$U4="任意3号"),IF(DR4&lt;&gt;"",VLOOKUP($B$24,昨年度報告書!$A:$DM,COLUMN(昨年度報告書!CY1)-COLUMN(昨年度計画書!$A$1)+1,FALSE),""),"")</f>
        <v>#N/A</v>
      </c>
      <c r="DR4" t="e">
        <f>VLOOKUP($B$24,昨年度報告書!$A:$DM,COLUMN(昨年度報告書!CZ1)-COLUMN(昨年度計画書!$A$1)+1,FALSE)&amp;""</f>
        <v>#N/A</v>
      </c>
      <c r="DS4" t="e">
        <f>IF(OR($S4="3号",$U4="任意3号"),IFERROR(VALUE(VLOOKUP($B$24,昨年度報告書!$A:$DM,COLUMN(昨年度報告書!DA1)-COLUMN(昨年度計画書!$A$1)+1,FALSE)&amp;""),""),"")</f>
        <v>#N/A</v>
      </c>
      <c r="DT4" t="e">
        <f>VLOOKUP($B$24,昨年度報告書!$A:$DM,COLUMN(昨年度報告書!DB1)-COLUMN(昨年度計画書!$A$1)+1,FALSE)</f>
        <v>#N/A</v>
      </c>
      <c r="DU4" t="e">
        <f>IF(OR($S4="3号",$U4="任意3号"),VLOOKUP($B$24,昨年度報告書!$A:$DM,COLUMN(昨年度報告書!DC1)-COLUMN(昨年度計画書!$A$1)+1,FALSE),"")</f>
        <v>#N/A</v>
      </c>
      <c r="DV4" t="e">
        <f>IF(OR($S4="3号",$U4="任意3号"),VLOOKUP($B$24,昨年度報告書!$A:$DM,COLUMN(昨年度報告書!DD1)-COLUMN(昨年度計画書!$A$1)+1,FALSE),"")</f>
        <v>#N/A</v>
      </c>
      <c r="DW4" t="e">
        <f>IF(OR($S4="3号",$U4="任意3号"),VLOOKUP($B$24,昨年度報告書!$A:$DM,COLUMN(昨年度報告書!DE1)-COLUMN(昨年度計画書!$A$1)+1,FALSE),"")</f>
        <v>#N/A</v>
      </c>
      <c r="DX4" t="e">
        <f>IF(OR($S4="3号",$U4="任意3号"),VLOOKUP($B$24,昨年度報告書!$A:$DM,COLUMN(昨年度報告書!DF1)-COLUMN(昨年度計画書!$A$1)+1,FALSE),"")</f>
        <v>#N/A</v>
      </c>
      <c r="DY4" t="e">
        <f>IF(OR($S4="3号",$U4="任意3号"),IF(DZ4&lt;&gt;"",VLOOKUP($B$24,昨年度報告書!$A:$DM,COLUMN(昨年度報告書!DG1)-COLUMN(昨年度計画書!$A$1)+1,FALSE),""),"")</f>
        <v>#N/A</v>
      </c>
      <c r="DZ4" t="e">
        <f>VLOOKUP($B$24,昨年度報告書!$A:$DM,COLUMN(昨年度報告書!DH1)-COLUMN(昨年度計画書!$A$1)+1,FALSE)&amp;""</f>
        <v>#N/A</v>
      </c>
      <c r="EA4" t="e">
        <f>IF(OR($S4="3号",$U4="任意3号"),VLOOKUP($B$24,昨年度報告書!$A:$DM,COLUMN(昨年度報告書!DI1)-COLUMN(昨年度計画書!$A$1)+1,FALSE),"")</f>
        <v>#N/A</v>
      </c>
      <c r="EB4" t="e">
        <f>VLOOKUP($B$24,昨年度報告書!$A:$DM,COLUMN(昨年度報告書!DJ1)-COLUMN(昨年度計画書!$A$1)+1,FALSE)</f>
        <v>#N/A</v>
      </c>
      <c r="EC4" t="e">
        <f>VLOOKUP($B$24,昨年度報告書!$A:$DM,COLUMN(昨年度報告書!DK1)-COLUMN(昨年度計画書!$A$1)+1,FALSE)</f>
        <v>#N/A</v>
      </c>
      <c r="ED4" t="e">
        <f>VLOOKUP($B$24,昨年度報告書!$A:$DM,COLUMN(昨年度報告書!DL1)-COLUMN(昨年度計画書!$A$1)+1,FALSE)&amp;""</f>
        <v>#N/A</v>
      </c>
      <c r="EE4" t="e">
        <f>VLOOKUP($B$24,昨年度報告書!$A:$DM,COLUMN(昨年度報告書!DM1)-COLUMN(昨年度計画書!$A$1)+1,FALSE)&amp;""</f>
        <v>#N/A</v>
      </c>
      <c r="EO4" s="53" t="e">
        <f>VLOOKUP($B$24,昨年度報告書!$A:$DS,COLUMN(昨年度報告書!DO1)-COLUMN(昨年度計画書!$A$1)+1,FALSE)</f>
        <v>#N/A</v>
      </c>
      <c r="EP4" s="53" t="e">
        <f>VLOOKUP($B$24,昨年度報告書!$A:$DS,COLUMN(昨年度報告書!DQ1)-COLUMN(昨年度計画書!$A$1)+1,FALSE)</f>
        <v>#N/A</v>
      </c>
      <c r="EQ4" s="53" t="e">
        <f>VLOOKUP($B$24,昨年度報告書!$A:$DS,COLUMN(昨年度報告書!DS1)-COLUMN(昨年度計画書!$A$1)+1,FALSE)</f>
        <v>#N/A</v>
      </c>
    </row>
    <row r="5" spans="1:147">
      <c r="BW5" t="s">
        <v>609</v>
      </c>
    </row>
    <row r="6" spans="1:147" ht="42.6" customHeight="1">
      <c r="A6" t="s">
        <v>2668</v>
      </c>
      <c r="B6" s="523" t="s">
        <v>594</v>
      </c>
      <c r="C6" s="524" t="s">
        <v>595</v>
      </c>
      <c r="D6" s="525" t="s">
        <v>2586</v>
      </c>
      <c r="E6" s="526" t="s">
        <v>2587</v>
      </c>
      <c r="F6" s="527" t="s">
        <v>2588</v>
      </c>
      <c r="G6" s="528" t="s">
        <v>5987</v>
      </c>
      <c r="H6" s="529" t="s">
        <v>599</v>
      </c>
      <c r="I6" s="530" t="s">
        <v>132</v>
      </c>
      <c r="J6" s="531" t="s">
        <v>600</v>
      </c>
      <c r="K6" s="532" t="s">
        <v>601</v>
      </c>
      <c r="L6" s="533" t="s">
        <v>602</v>
      </c>
      <c r="M6" s="532" t="s">
        <v>603</v>
      </c>
      <c r="N6" s="534" t="s">
        <v>604</v>
      </c>
      <c r="O6" s="535" t="s">
        <v>605</v>
      </c>
      <c r="P6" s="534" t="s">
        <v>606</v>
      </c>
      <c r="Q6" s="536" t="s">
        <v>607</v>
      </c>
      <c r="R6" s="537" t="s">
        <v>608</v>
      </c>
      <c r="S6" s="537" t="s">
        <v>609</v>
      </c>
      <c r="T6" s="538" t="s">
        <v>5844</v>
      </c>
      <c r="U6" s="538" t="s">
        <v>4690</v>
      </c>
      <c r="V6" s="540" t="s">
        <v>610</v>
      </c>
      <c r="W6" s="540" t="s">
        <v>611</v>
      </c>
      <c r="X6" s="539" t="s">
        <v>2589</v>
      </c>
      <c r="Y6" s="540" t="s">
        <v>610</v>
      </c>
      <c r="Z6" s="540" t="s">
        <v>611</v>
      </c>
      <c r="AA6" s="541" t="s">
        <v>612</v>
      </c>
      <c r="AB6" s="541" t="s">
        <v>612</v>
      </c>
      <c r="AC6" s="533" t="s">
        <v>613</v>
      </c>
      <c r="AD6" s="529" t="s">
        <v>614</v>
      </c>
      <c r="AE6" s="542" t="s">
        <v>2590</v>
      </c>
      <c r="AF6" s="533" t="s">
        <v>616</v>
      </c>
      <c r="AG6" s="529" t="s">
        <v>617</v>
      </c>
      <c r="AH6" s="543" t="s">
        <v>618</v>
      </c>
      <c r="AI6" s="531" t="s">
        <v>619</v>
      </c>
      <c r="AJ6" s="531" t="s">
        <v>620</v>
      </c>
      <c r="AK6" s="529" t="s">
        <v>621</v>
      </c>
      <c r="AL6" s="543" t="s">
        <v>622</v>
      </c>
      <c r="AM6" s="529" t="s">
        <v>623</v>
      </c>
      <c r="AN6" s="533" t="s">
        <v>624</v>
      </c>
      <c r="AO6" s="544" t="s">
        <v>665</v>
      </c>
      <c r="AP6" s="544" t="s">
        <v>2591</v>
      </c>
      <c r="AQ6" s="529" t="s">
        <v>627</v>
      </c>
      <c r="AR6" s="545" t="s">
        <v>628</v>
      </c>
      <c r="AS6" s="543" t="s">
        <v>629</v>
      </c>
      <c r="AT6" s="529" t="s">
        <v>630</v>
      </c>
      <c r="AU6" s="545" t="s">
        <v>2592</v>
      </c>
      <c r="AV6" s="529" t="s">
        <v>632</v>
      </c>
      <c r="AW6" s="545" t="s">
        <v>2593</v>
      </c>
      <c r="AX6" s="529" t="s">
        <v>634</v>
      </c>
      <c r="AY6" s="546" t="s">
        <v>635</v>
      </c>
      <c r="AZ6" s="546" t="s">
        <v>2594</v>
      </c>
      <c r="BA6" s="533"/>
      <c r="BB6" s="544"/>
      <c r="BC6" s="544"/>
      <c r="BD6" s="529"/>
      <c r="BE6" s="545"/>
      <c r="BF6" s="532"/>
      <c r="BG6" s="532"/>
      <c r="BH6" s="532"/>
      <c r="BI6" s="532"/>
      <c r="BJ6" s="532"/>
      <c r="BK6" s="532"/>
      <c r="BL6" s="532"/>
      <c r="BM6" s="532"/>
      <c r="BN6" s="532"/>
      <c r="BO6" s="532"/>
      <c r="BP6" s="532"/>
      <c r="BQ6" s="532"/>
      <c r="BR6" s="532"/>
      <c r="BS6" s="532"/>
      <c r="BT6" s="532"/>
      <c r="BU6" s="532"/>
      <c r="BV6" s="532"/>
      <c r="BW6" s="532"/>
      <c r="BX6" s="532"/>
      <c r="BY6" s="532"/>
      <c r="BZ6" s="532"/>
      <c r="CA6" s="532"/>
      <c r="CB6" s="532"/>
      <c r="CC6" s="532"/>
      <c r="CD6" s="532"/>
      <c r="CE6" s="532"/>
      <c r="CF6" s="532"/>
      <c r="CG6" s="532"/>
      <c r="CH6" s="532"/>
      <c r="CI6" s="547" t="s">
        <v>2595</v>
      </c>
      <c r="CJ6" s="533" t="s">
        <v>624</v>
      </c>
      <c r="CK6" s="544" t="s">
        <v>665</v>
      </c>
      <c r="CL6" s="544" t="s">
        <v>2591</v>
      </c>
      <c r="CM6" s="529" t="s">
        <v>627</v>
      </c>
      <c r="CN6" s="545" t="s">
        <v>628</v>
      </c>
      <c r="CO6" s="543" t="s">
        <v>629</v>
      </c>
      <c r="CP6" s="529" t="s">
        <v>630</v>
      </c>
      <c r="CQ6" s="545" t="s">
        <v>2592</v>
      </c>
      <c r="CR6" s="529" t="s">
        <v>632</v>
      </c>
      <c r="CS6" s="545" t="s">
        <v>2593</v>
      </c>
      <c r="CT6" s="529" t="s">
        <v>634</v>
      </c>
      <c r="CU6" s="546" t="s">
        <v>635</v>
      </c>
      <c r="CV6" s="546" t="s">
        <v>2594</v>
      </c>
      <c r="CW6" s="547" t="s">
        <v>2595</v>
      </c>
      <c r="CX6" s="532"/>
      <c r="CY6" s="532"/>
      <c r="CZ6" s="532"/>
      <c r="DA6" s="532"/>
      <c r="DB6" s="532"/>
      <c r="DC6" s="532"/>
      <c r="DD6" s="413"/>
      <c r="DE6" s="413"/>
      <c r="DF6" s="413"/>
      <c r="DG6" s="413"/>
      <c r="DH6" s="413"/>
      <c r="DI6" s="413"/>
      <c r="DJ6" s="413"/>
      <c r="DK6" s="413"/>
      <c r="DL6" s="413"/>
      <c r="DM6" s="413"/>
      <c r="DN6" s="413"/>
      <c r="DO6" s="413"/>
      <c r="DP6" s="413"/>
      <c r="DQ6" s="413"/>
      <c r="DR6" s="413"/>
      <c r="DS6" s="413"/>
      <c r="DT6" s="413"/>
      <c r="DU6" s="413"/>
      <c r="DV6" s="413"/>
      <c r="DW6" s="413"/>
      <c r="DX6" s="413"/>
      <c r="DY6" s="413"/>
      <c r="DZ6" s="413"/>
      <c r="EA6" s="413"/>
      <c r="EB6" s="413"/>
      <c r="EC6" s="413"/>
      <c r="ED6" s="413"/>
      <c r="EE6" s="413"/>
      <c r="EO6" s="1680" t="s">
        <v>4775</v>
      </c>
      <c r="EP6" s="1680" t="s">
        <v>4777</v>
      </c>
      <c r="EQ6" s="1680" t="s">
        <v>4779</v>
      </c>
    </row>
    <row r="7" spans="1:147">
      <c r="A7" t="s">
        <v>2664</v>
      </c>
      <c r="B7" s="53" t="e">
        <f>VLOOKUP($B$24,昨年度計画書!$A:$BK,COLUMN(昨年度計画書!A1)-COLUMN(昨年度計画書!$A$1)+1,FALSE)</f>
        <v>#N/A</v>
      </c>
      <c r="C7" s="53" t="e">
        <f>VLOOKUP($B$24,昨年度計画書!$A:$BK,COLUMN(昨年度計画書!B1)-COLUMN(昨年度計画書!$A$1)+1,FALSE)</f>
        <v>#N/A</v>
      </c>
      <c r="D7" s="53" t="e">
        <f>VLOOKUP($B$24,昨年度計画書!$A:$BK,COLUMN(昨年度計画書!C1)-COLUMN(昨年度計画書!$A$1)+1,FALSE)</f>
        <v>#N/A</v>
      </c>
      <c r="E7" s="53" t="e">
        <f>VLOOKUP($B$24,昨年度計画書!$A:$BK,COLUMN(昨年度計画書!D1)-COLUMN(昨年度計画書!$A$1)+1,FALSE)</f>
        <v>#N/A</v>
      </c>
      <c r="F7" s="53" t="e">
        <f>VLOOKUP($B$24,昨年度計画書!$A:$BK,COLUMN(昨年度計画書!E1)-COLUMN(昨年度計画書!$A$1)+1,FALSE)</f>
        <v>#N/A</v>
      </c>
      <c r="G7" s="53" t="e">
        <f>VLOOKUP($B$24,昨年度計画書!$A:$BK,COLUMN(昨年度計画書!F1)-COLUMN(昨年度計画書!$A$1)+1,FALSE)</f>
        <v>#N/A</v>
      </c>
      <c r="H7" s="53" t="e">
        <f>VLOOKUP($B$24,昨年度計画書!$A:$BK,COLUMN(昨年度計画書!G1)-COLUMN(昨年度計画書!$A$1)+1,FALSE)</f>
        <v>#N/A</v>
      </c>
      <c r="I7" s="53" t="e">
        <f>VLOOKUP($B$24,昨年度計画書!$A:$BK,COLUMN(昨年度計画書!H1)-COLUMN(昨年度計画書!$A$1)+1,FALSE)</f>
        <v>#N/A</v>
      </c>
      <c r="J7" s="53" t="e">
        <f>VLOOKUP($B$24,昨年度計画書!$A:$BK,COLUMN(昨年度計画書!I1)-COLUMN(昨年度計画書!$A$1)+1,FALSE)</f>
        <v>#N/A</v>
      </c>
      <c r="K7" s="53" t="e">
        <f>VLOOKUP($B$24,昨年度計画書!$A:$BK,COLUMN(昨年度計画書!J1)-COLUMN(昨年度計画書!$A$1)+1,FALSE)</f>
        <v>#N/A</v>
      </c>
      <c r="L7" s="53" t="e">
        <f>VLOOKUP($B$24,昨年度計画書!$A:$BK,COLUMN(昨年度計画書!K1)-COLUMN(昨年度計画書!$A$1)+1,FALSE)</f>
        <v>#N/A</v>
      </c>
      <c r="M7" s="53" t="e">
        <f>VLOOKUP($B$24,昨年度計画書!$A:$BK,COLUMN(昨年度計画書!L1)-COLUMN(昨年度計画書!$A$1)+1,FALSE)</f>
        <v>#N/A</v>
      </c>
      <c r="N7" s="53" t="e">
        <f>VLOOKUP($B$24,昨年度計画書!$A:$BK,COLUMN(昨年度計画書!M1)-COLUMN(昨年度計画書!$A$1)+1,FALSE)</f>
        <v>#N/A</v>
      </c>
      <c r="O7" s="53" t="e">
        <f>VLOOKUP($B$24,昨年度計画書!$A:$BK,COLUMN(昨年度計画書!N1)-COLUMN(昨年度計画書!$A$1)+1,FALSE)</f>
        <v>#N/A</v>
      </c>
      <c r="P7" s="53" t="e">
        <f>VLOOKUP($B$24,昨年度計画書!$A:$BK,COLUMN(昨年度計画書!O1)-COLUMN(昨年度計画書!$A$1)+1,FALSE)</f>
        <v>#N/A</v>
      </c>
      <c r="Q7" s="53" t="e">
        <f>VLOOKUP($B$24,昨年度計画書!$A:$BK,COLUMN(昨年度計画書!P1)-COLUMN(昨年度計画書!$A$1)+1,FALSE)&amp;""</f>
        <v>#N/A</v>
      </c>
      <c r="R7" s="53" t="e">
        <f>VLOOKUP($B$24,昨年度計画書!$A:$BK,COLUMN(昨年度計画書!Q1)-COLUMN(昨年度計画書!$A$1)+1,FALSE)&amp;""</f>
        <v>#N/A</v>
      </c>
      <c r="S7" s="53" t="e">
        <f>VLOOKUP($B$24,昨年度計画書!$A:$BK,COLUMN(昨年度計画書!R1)-COLUMN(昨年度計画書!$A$1)+1,FALSE)&amp;""</f>
        <v>#N/A</v>
      </c>
      <c r="T7" s="53" t="e">
        <f>VLOOKUP($B$24,昨年度計画書!$A:$BK,COLUMN(昨年度計画書!S1)-COLUMN(昨年度計画書!$A$1)+1,FALSE)&amp;""</f>
        <v>#N/A</v>
      </c>
      <c r="U7" s="53" t="e">
        <f>VLOOKUP($B$24,昨年度計画書!$A:$BK,COLUMN(昨年度計画書!T1)-COLUMN(昨年度計画書!$A$1)+1,FALSE)&amp;""</f>
        <v>#N/A</v>
      </c>
      <c r="V7" t="e">
        <f t="shared" ref="V7:W7" si="0">Y7</f>
        <v>#N/A</v>
      </c>
      <c r="W7" t="e">
        <f t="shared" si="0"/>
        <v>#N/A</v>
      </c>
      <c r="X7" s="53" t="e">
        <f>VLOOKUP($B$24,昨年度計画書!$A:$BK,COLUMN(昨年度計画書!U1)-COLUMN(昨年度計画書!$A$1)+1,FALSE)</f>
        <v>#N/A</v>
      </c>
      <c r="Y7" s="53" t="e">
        <f>VLOOKUP($B$24,昨年度計画書!$A:$BK,COLUMN(昨年度計画書!V1)-COLUMN(昨年度計画書!$A$1)+1,FALSE)</f>
        <v>#N/A</v>
      </c>
      <c r="Z7" s="53" t="e">
        <f>VLOOKUP($B$24,昨年度計画書!$A:$BK,COLUMN(昨年度計画書!W1)-COLUMN(昨年度計画書!$A$1)+1,FALSE)</f>
        <v>#N/A</v>
      </c>
      <c r="AA7" s="53" t="e">
        <f>VLOOKUP($B$24,昨年度計画書!$A:$BK,COLUMN(昨年度計画書!X1)-COLUMN(昨年度計画書!$A$1)+1,FALSE)</f>
        <v>#N/A</v>
      </c>
      <c r="AB7" s="53" t="e">
        <f>AA7</f>
        <v>#N/A</v>
      </c>
      <c r="AC7" s="53" t="e">
        <f>VLOOKUP($B$24,昨年度計画書!$A:$BK,COLUMN(昨年度計画書!Y1)-COLUMN(昨年度計画書!$A$1)+1,FALSE)</f>
        <v>#N/A</v>
      </c>
      <c r="AD7" s="53" t="e">
        <f>VLOOKUP($B$24,昨年度計画書!$A:$BK,COLUMN(昨年度計画書!Z1)-COLUMN(昨年度計画書!$A$1)+1,FALSE)</f>
        <v>#N/A</v>
      </c>
      <c r="AE7" s="53" t="e">
        <f>NA()</f>
        <v>#N/A</v>
      </c>
      <c r="AF7" s="53" t="e">
        <f>VLOOKUP($B$24,昨年度計画書!$A:$BK,COLUMN(昨年度計画書!AB1)-COLUMN(昨年度計画書!$A$1)+1,FALSE)&amp;""</f>
        <v>#N/A</v>
      </c>
      <c r="AG7" s="53" t="e">
        <f>VLOOKUP($B$24,昨年度計画書!$A:$BK,COLUMN(昨年度計画書!AC1)-COLUMN(昨年度計画書!$A$1)+1,FALSE)&amp;""</f>
        <v>#N/A</v>
      </c>
      <c r="AH7" s="53" t="e">
        <f>VLOOKUP($B$24,昨年度計画書!$A:$BK,COLUMN(昨年度計画書!AD1)-COLUMN(昨年度計画書!$A$1)+1,FALSE)&amp;""</f>
        <v>#N/A</v>
      </c>
      <c r="AI7" s="53" t="e">
        <f>VLOOKUP($B$24,昨年度計画書!$A:$BK,COLUMN(昨年度計画書!AE1)-COLUMN(昨年度計画書!$A$1)+1,FALSE)&amp;""</f>
        <v>#N/A</v>
      </c>
      <c r="AJ7" s="53" t="e">
        <f>VLOOKUP($B$24,昨年度計画書!$A:$BK,COLUMN(昨年度計画書!AF1)-COLUMN(昨年度計画書!$A$1)+1,FALSE)&amp;""</f>
        <v>#N/A</v>
      </c>
      <c r="AK7" s="53" t="e">
        <f>VLOOKUP($B$24,昨年度計画書!$A:$BK,COLUMN(昨年度計画書!AG1)-COLUMN(昨年度計画書!$A$1)+1,FALSE)&amp;""</f>
        <v>#N/A</v>
      </c>
      <c r="AL7" s="53" t="e">
        <f>VLOOKUP($B$24,昨年度計画書!$A:$BK,COLUMN(昨年度計画書!AH1)-COLUMN(昨年度計画書!$A$1)+1,FALSE)&amp;""</f>
        <v>#N/A</v>
      </c>
      <c r="AM7" s="53" t="e">
        <f>VLOOKUP($B$24,昨年度計画書!$A:$BK,COLUMN(昨年度計画書!AI1)-COLUMN(昨年度計画書!$A$1)+1,FALSE)&amp;""</f>
        <v>#N/A</v>
      </c>
      <c r="AN7" s="53" t="e">
        <f>VLOOKUP($B$24,昨年度計画書!$A:$BK,COLUMN(昨年度計画書!AJ223)-COLUMN(昨年度計画書!$A$1)+1,FALSE)</f>
        <v>#N/A</v>
      </c>
      <c r="AO7" s="53" t="e">
        <f>VLOOKUP($B$24,昨年度計画書!$A:$BK,COLUMN(昨年度計画書!AK223)-COLUMN(昨年度計画書!$A$1)+1,FALSE)</f>
        <v>#N/A</v>
      </c>
      <c r="AP7" s="53" t="e">
        <f>VLOOKUP($B$24,昨年度計画書!$A:$BK,COLUMN(昨年度計画書!AL223)-COLUMN(昨年度計画書!$A$1)+1,FALSE)</f>
        <v>#N/A</v>
      </c>
      <c r="AQ7" s="53" t="e">
        <f>IF(AR7&lt;&gt;"",VLOOKUP($B$24,昨年度計画書!$A:$BK,COLUMN(昨年度計画書!AM223)-COLUMN(昨年度計画書!$A$1)+1,FALSE),"")</f>
        <v>#N/A</v>
      </c>
      <c r="AR7" s="53" t="e">
        <f>VLOOKUP($B$24,昨年度計画書!$A:$BK,COLUMN(昨年度計画書!AN223)-COLUMN(昨年度計画書!$A$1)+1,FALSE)&amp;""</f>
        <v>#N/A</v>
      </c>
      <c r="AS7" s="53" t="e">
        <f>VLOOKUP($B$24,昨年度計画書!$A:$BK,COLUMN(昨年度計画書!AO223)-COLUMN(昨年度計画書!$A$1)+1,FALSE)</f>
        <v>#N/A</v>
      </c>
      <c r="AT7" s="53" t="e">
        <f>VLOOKUP($B$24,昨年度計画書!$A:$BK,COLUMN(昨年度計画書!AP223)-COLUMN(昨年度計画書!$A$1)+1,FALSE)</f>
        <v>#N/A</v>
      </c>
      <c r="AU7" s="53" t="e">
        <f>VLOOKUP($B$24,昨年度計画書!$A:$BK,COLUMN(昨年度計画書!AQ223)-COLUMN(昨年度計画書!$A$1)+1,FALSE)</f>
        <v>#N/A</v>
      </c>
      <c r="AV7" s="53" t="e">
        <f>VLOOKUP($B$24,昨年度計画書!$A:$BK,COLUMN(昨年度計画書!AR223)-COLUMN(昨年度計画書!$A$1)+1,FALSE)</f>
        <v>#N/A</v>
      </c>
      <c r="AW7" s="53" t="e">
        <f>VLOOKUP($B$24,昨年度計画書!$A:$BK,COLUMN(昨年度計画書!AS223)-COLUMN(昨年度計画書!$A$1)+1,FALSE)</f>
        <v>#N/A</v>
      </c>
      <c r="AX7" s="53" t="e">
        <f>IF(AY7&lt;&gt;"",VLOOKUP($B$24,昨年度計画書!$A:$BK,COLUMN(昨年度計画書!AT223)-COLUMN(昨年度計画書!$A$1)+1,FALSE),"")</f>
        <v>#N/A</v>
      </c>
      <c r="AY7" s="53" t="e">
        <f>VLOOKUP($B$24,昨年度計画書!$A:$BK,COLUMN(昨年度計画書!AU223)-COLUMN(昨年度計画書!$A$1)+1,FALSE)&amp;""</f>
        <v>#N/A</v>
      </c>
      <c r="AZ7" s="53" t="e">
        <f>IF(AY7&lt;&gt;"",VLOOKUP($B$24,昨年度計画書!$A:$BK,COLUMN(昨年度計画書!AV223)-COLUMN(昨年度計画書!$A$1)+1,FALSE),"")</f>
        <v>#N/A</v>
      </c>
      <c r="BA7" s="163" t="e">
        <f>NA()</f>
        <v>#N/A</v>
      </c>
      <c r="BB7" s="163" t="e">
        <f>NA()</f>
        <v>#N/A</v>
      </c>
      <c r="BC7" s="163" t="e">
        <f>NA()</f>
        <v>#N/A</v>
      </c>
      <c r="BD7" s="163" t="e">
        <f>NA()</f>
        <v>#N/A</v>
      </c>
      <c r="BE7" s="163" t="e">
        <f>NA()</f>
        <v>#N/A</v>
      </c>
      <c r="BF7" s="163"/>
      <c r="BG7" t="e">
        <f>NA()</f>
        <v>#N/A</v>
      </c>
      <c r="BH7" t="e">
        <f>NA()</f>
        <v>#N/A</v>
      </c>
      <c r="BI7" t="e">
        <f>NA()</f>
        <v>#N/A</v>
      </c>
      <c r="BJ7" t="e">
        <f>NA()</f>
        <v>#N/A</v>
      </c>
      <c r="BK7" t="e">
        <f>NA()</f>
        <v>#N/A</v>
      </c>
      <c r="BL7" t="e">
        <f>NA()</f>
        <v>#N/A</v>
      </c>
      <c r="BM7" t="e">
        <f>NA()</f>
        <v>#N/A</v>
      </c>
      <c r="BN7" t="e">
        <f>NA()</f>
        <v>#N/A</v>
      </c>
      <c r="BO7" t="e">
        <f>NA()</f>
        <v>#N/A</v>
      </c>
      <c r="BP7" t="e">
        <f>NA()</f>
        <v>#N/A</v>
      </c>
      <c r="BQ7" t="e">
        <f>NA()</f>
        <v>#N/A</v>
      </c>
      <c r="BR7" t="e">
        <f>NA()</f>
        <v>#N/A</v>
      </c>
      <c r="BS7" t="e">
        <f>NA()</f>
        <v>#N/A</v>
      </c>
      <c r="BT7" t="e">
        <f>NA()</f>
        <v>#N/A</v>
      </c>
      <c r="BU7" t="e">
        <f>NA()</f>
        <v>#N/A</v>
      </c>
      <c r="BV7" t="e">
        <f>NA()</f>
        <v>#N/A</v>
      </c>
      <c r="BW7" t="e">
        <f>NA()</f>
        <v>#N/A</v>
      </c>
      <c r="BX7" t="e">
        <f>NA()</f>
        <v>#N/A</v>
      </c>
      <c r="BY7" t="e">
        <f>NA()</f>
        <v>#N/A</v>
      </c>
      <c r="BZ7" t="e">
        <f>NA()</f>
        <v>#N/A</v>
      </c>
      <c r="CA7" t="e">
        <f>NA()</f>
        <v>#N/A</v>
      </c>
      <c r="CB7" t="e">
        <f>NA()</f>
        <v>#N/A</v>
      </c>
      <c r="CC7" t="e">
        <f>NA()</f>
        <v>#N/A</v>
      </c>
      <c r="CD7" t="e">
        <f>NA()</f>
        <v>#N/A</v>
      </c>
      <c r="CE7" s="163" t="e">
        <f>NA()</f>
        <v>#N/A</v>
      </c>
      <c r="CF7" s="163" t="e">
        <f>NA()</f>
        <v>#N/A</v>
      </c>
      <c r="CG7" s="163" t="e">
        <f>NA()</f>
        <v>#N/A</v>
      </c>
      <c r="CH7" s="163" t="e">
        <f>NA()</f>
        <v>#N/A</v>
      </c>
      <c r="CI7" s="163" t="e">
        <f>VLOOKUP($B$24,昨年度計画書!$A:$BK,COLUMN(昨年度計画書!AW1)-COLUMN(昨年度計画書!$A$1)+1,FALSE)&amp;""</f>
        <v>#N/A</v>
      </c>
      <c r="CJ7" t="e">
        <f>VLOOKUP($B$24,昨年度計画書!$A:$BK,COLUMN(昨年度計画書!AX1)-COLUMN(昨年度計画書!$A$1)+1,FALSE)</f>
        <v>#N/A</v>
      </c>
      <c r="CK7" t="e">
        <f>IF(OR($S7="3号"),VLOOKUP($B$24,昨年度計画書!$A:$BK,COLUMN(昨年度計画書!AY1)-COLUMN(昨年度計画書!$A$1)+1,FALSE),"")</f>
        <v>#N/A</v>
      </c>
      <c r="CL7" t="e">
        <f>IF(OR($S7="3号"),VLOOKUP($B$24,昨年度計画書!$A:$BK,COLUMN(昨年度計画書!AZ1)-COLUMN(昨年度計画書!$A$1)+1,FALSE),"")</f>
        <v>#N/A</v>
      </c>
      <c r="CM7" t="e">
        <f>IF(OR($S7="3号"),IF(CN7&lt;&gt;"",VLOOKUP($B$24,昨年度計画書!$A:$BK,COLUMN(昨年度計画書!BA1)-COLUMN(昨年度計画書!$A$1)+1,FALSE),""),"")</f>
        <v>#N/A</v>
      </c>
      <c r="CN7" t="e">
        <f>VLOOKUP($B$24,昨年度計画書!$A:$BK,COLUMN(昨年度計画書!BB1)-COLUMN(昨年度計画書!$A$1)+1,FALSE)&amp;""</f>
        <v>#N/A</v>
      </c>
      <c r="CO7" t="e">
        <f>VLOOKUP($B$24,昨年度計画書!$A:$BK,COLUMN(昨年度計画書!BC1)-COLUMN(昨年度計画書!$A$1)+1,FALSE)</f>
        <v>#N/A</v>
      </c>
      <c r="CP7" t="e">
        <f>IF(OR($S7="3号"),VLOOKUP($B$24,昨年度計画書!$A:$BK,COLUMN(昨年度計画書!BD1)-COLUMN(昨年度計画書!$A$1)+1,FALSE),"")</f>
        <v>#N/A</v>
      </c>
      <c r="CQ7" t="e">
        <f>IF(OR($S7="3号"),VLOOKUP($B$24,昨年度計画書!$A:$BK,COLUMN(昨年度計画書!BE1)-COLUMN(昨年度計画書!$A$1)+1,FALSE),"")</f>
        <v>#N/A</v>
      </c>
      <c r="CR7" t="e">
        <f>IF(OR($S7="3号"),VLOOKUP($B$24,昨年度計画書!$A:$BK,COLUMN(昨年度計画書!BF1)-COLUMN(昨年度計画書!$A$1)+1,FALSE),"")</f>
        <v>#N/A</v>
      </c>
      <c r="CS7" t="e">
        <f>IF(OR($S7="3号"),VLOOKUP($B$24,昨年度計画書!$A:$BK,COLUMN(昨年度計画書!BG1)-COLUMN(昨年度計画書!$A$1)+1,FALSE),"")</f>
        <v>#N/A</v>
      </c>
      <c r="CT7" t="e">
        <f>IF(OR($S7="3号"),IF(CU7&lt;&gt;"",VLOOKUP($B$24,昨年度計画書!$A:$BK,COLUMN(昨年度計画書!BH1)-COLUMN(昨年度計画書!$A$1)+1,FALSE),""),"")</f>
        <v>#N/A</v>
      </c>
      <c r="CU7" t="e">
        <f>VLOOKUP($B$24,昨年度計画書!$A:$BK,COLUMN(昨年度計画書!BI1)-COLUMN(昨年度計画書!$A$1)+1,FALSE)&amp;""</f>
        <v>#N/A</v>
      </c>
      <c r="CV7" t="e">
        <f>IF(OR($S7="3号"),VLOOKUP($B$24,昨年度計画書!$A:$BK,COLUMN(昨年度計画書!BJ1)-COLUMN(昨年度計画書!$A$1)+1,FALSE),"")</f>
        <v>#N/A</v>
      </c>
      <c r="CW7" t="e">
        <f>VLOOKUP($B$24,昨年度計画書!$A:$BK,COLUMN(昨年度計画書!BK1)-COLUMN(昨年度計画書!$A$1)+1,FALSE)&amp;""</f>
        <v>#N/A</v>
      </c>
      <c r="CX7" s="163" t="e">
        <f>NA()</f>
        <v>#N/A</v>
      </c>
      <c r="CY7" s="163" t="e">
        <f>NA()</f>
        <v>#N/A</v>
      </c>
      <c r="CZ7" s="163" t="e">
        <f>NA()</f>
        <v>#N/A</v>
      </c>
      <c r="DA7" s="163" t="e">
        <f>NA()</f>
        <v>#N/A</v>
      </c>
      <c r="DB7" s="163" t="e">
        <f>NA()</f>
        <v>#N/A</v>
      </c>
      <c r="DC7" s="163"/>
      <c r="DD7" t="e">
        <f>NA()</f>
        <v>#N/A</v>
      </c>
      <c r="DE7" t="e">
        <f>NA()</f>
        <v>#N/A</v>
      </c>
      <c r="DF7" t="e">
        <f>NA()</f>
        <v>#N/A</v>
      </c>
      <c r="DG7" t="e">
        <f>NA()</f>
        <v>#N/A</v>
      </c>
      <c r="DH7" t="e">
        <f>NA()</f>
        <v>#N/A</v>
      </c>
      <c r="DI7" t="e">
        <f>NA()</f>
        <v>#N/A</v>
      </c>
      <c r="DJ7" t="e">
        <f>NA()</f>
        <v>#N/A</v>
      </c>
      <c r="DK7" t="e">
        <f>NA()</f>
        <v>#N/A</v>
      </c>
      <c r="DL7" t="e">
        <f>NA()</f>
        <v>#N/A</v>
      </c>
      <c r="DM7" t="e">
        <f>NA()</f>
        <v>#N/A</v>
      </c>
      <c r="DN7" t="e">
        <f>NA()</f>
        <v>#N/A</v>
      </c>
      <c r="DO7" t="e">
        <f>NA()</f>
        <v>#N/A</v>
      </c>
      <c r="DP7" t="e">
        <f>NA()</f>
        <v>#N/A</v>
      </c>
      <c r="DQ7" t="e">
        <f>NA()</f>
        <v>#N/A</v>
      </c>
      <c r="DR7" t="e">
        <f>NA()</f>
        <v>#N/A</v>
      </c>
      <c r="DS7" t="e">
        <f>NA()</f>
        <v>#N/A</v>
      </c>
      <c r="DT7" t="e">
        <f>NA()</f>
        <v>#N/A</v>
      </c>
      <c r="DU7" t="e">
        <f>NA()</f>
        <v>#N/A</v>
      </c>
      <c r="DV7" t="e">
        <f>NA()</f>
        <v>#N/A</v>
      </c>
      <c r="DW7" t="e">
        <f>NA()</f>
        <v>#N/A</v>
      </c>
      <c r="DX7" t="e">
        <f>NA()</f>
        <v>#N/A</v>
      </c>
      <c r="DY7" t="e">
        <f>NA()</f>
        <v>#N/A</v>
      </c>
      <c r="DZ7" t="e">
        <f>NA()</f>
        <v>#N/A</v>
      </c>
      <c r="EA7" t="e">
        <f>NA()</f>
        <v>#N/A</v>
      </c>
      <c r="EB7" t="e">
        <f>NA()</f>
        <v>#N/A</v>
      </c>
      <c r="EC7" t="e">
        <f>NA()</f>
        <v>#N/A</v>
      </c>
      <c r="ED7" t="e">
        <f>NA()</f>
        <v>#N/A</v>
      </c>
      <c r="EE7" t="e">
        <f>NA()</f>
        <v>#N/A</v>
      </c>
      <c r="EO7" s="53" t="e">
        <f>VLOOKUP($B$24,昨年度計画書!$A:$BQ,COLUMN(昨年度計画書!BM1)-COLUMN(昨年度計画書!$A$1)+1,FALSE)</f>
        <v>#N/A</v>
      </c>
      <c r="EP7" s="53" t="e">
        <f>VLOOKUP($B$24,昨年度計画書!$A:$BQ,COLUMN(昨年度計画書!BO1)-COLUMN(昨年度計画書!$A$1)+1,FALSE)</f>
        <v>#N/A</v>
      </c>
      <c r="EQ7" s="53" t="e">
        <f>VLOOKUP($B$24,昨年度計画書!$A:$BQ,COLUMN(昨年度計画書!BQ1)-COLUMN(昨年度計画書!$A$1)+1,FALSE)</f>
        <v>#N/A</v>
      </c>
    </row>
    <row r="9" spans="1:147" ht="45">
      <c r="V9" s="512" t="s">
        <v>610</v>
      </c>
      <c r="W9" s="512" t="s">
        <v>611</v>
      </c>
      <c r="X9" s="998" t="s">
        <v>2589</v>
      </c>
      <c r="Y9" s="999" t="s">
        <v>610</v>
      </c>
      <c r="Z9" s="999" t="s">
        <v>611</v>
      </c>
      <c r="AA9" s="1000" t="s">
        <v>612</v>
      </c>
      <c r="AB9" s="1170"/>
      <c r="BA9" s="1001" t="s">
        <v>624</v>
      </c>
      <c r="BB9" s="1002" t="s">
        <v>625</v>
      </c>
      <c r="BC9" s="1002" t="s">
        <v>626</v>
      </c>
      <c r="BD9" s="1003" t="s">
        <v>627</v>
      </c>
      <c r="BE9" s="1004" t="s">
        <v>628</v>
      </c>
      <c r="BF9" s="991" t="s">
        <v>4321</v>
      </c>
      <c r="BG9" s="974">
        <v>1</v>
      </c>
      <c r="BH9" s="974">
        <v>1</v>
      </c>
      <c r="BI9" s="974">
        <v>1</v>
      </c>
      <c r="BJ9" s="974">
        <v>1</v>
      </c>
      <c r="BK9" s="974">
        <v>1</v>
      </c>
      <c r="BL9" s="974">
        <v>1</v>
      </c>
      <c r="BM9" s="974">
        <v>1</v>
      </c>
      <c r="BN9" s="974">
        <v>1</v>
      </c>
      <c r="BO9" s="974">
        <v>2</v>
      </c>
      <c r="BP9" s="974">
        <v>2</v>
      </c>
      <c r="BQ9" s="974">
        <v>2</v>
      </c>
      <c r="BR9" s="974">
        <v>2</v>
      </c>
      <c r="BS9" s="974">
        <v>2</v>
      </c>
      <c r="BT9" s="974">
        <v>2</v>
      </c>
      <c r="BU9" s="974">
        <v>2</v>
      </c>
      <c r="BV9" s="974">
        <v>2</v>
      </c>
      <c r="BW9" s="974">
        <v>3</v>
      </c>
      <c r="BX9" s="974">
        <v>3</v>
      </c>
      <c r="BY9" s="974">
        <v>3</v>
      </c>
      <c r="BZ9" s="974">
        <v>3</v>
      </c>
      <c r="CA9" s="974">
        <v>3</v>
      </c>
      <c r="CB9" s="974">
        <v>3</v>
      </c>
      <c r="CC9" s="974">
        <v>3</v>
      </c>
      <c r="CD9" s="974">
        <v>3</v>
      </c>
      <c r="CJ9" t="s">
        <v>4227</v>
      </c>
      <c r="CX9" s="974">
        <v>3</v>
      </c>
      <c r="CY9" s="974">
        <v>3</v>
      </c>
      <c r="CZ9" s="974">
        <v>3</v>
      </c>
      <c r="DA9" s="974">
        <v>3</v>
      </c>
      <c r="DB9" s="974">
        <v>3</v>
      </c>
      <c r="DC9" s="991" t="s">
        <v>4321</v>
      </c>
      <c r="DD9" s="974">
        <v>1</v>
      </c>
      <c r="DE9" s="974">
        <v>1</v>
      </c>
      <c r="DF9" s="974">
        <v>1</v>
      </c>
      <c r="DG9" s="974">
        <v>1</v>
      </c>
      <c r="DH9" s="974">
        <v>1</v>
      </c>
      <c r="DI9" s="974">
        <v>1</v>
      </c>
      <c r="DJ9" s="974">
        <v>1</v>
      </c>
      <c r="DK9" s="974">
        <v>1</v>
      </c>
      <c r="DL9" s="974">
        <v>2</v>
      </c>
      <c r="DM9" s="974">
        <v>2</v>
      </c>
      <c r="DN9" s="974">
        <v>2</v>
      </c>
      <c r="DO9" s="974">
        <v>2</v>
      </c>
      <c r="DP9" s="974">
        <v>2</v>
      </c>
      <c r="DQ9" s="974">
        <v>2</v>
      </c>
      <c r="DR9" s="974">
        <v>2</v>
      </c>
      <c r="DS9" s="974">
        <v>2</v>
      </c>
      <c r="DT9" s="974">
        <v>3</v>
      </c>
      <c r="DU9" s="974">
        <v>3</v>
      </c>
      <c r="DV9" s="974">
        <v>3</v>
      </c>
      <c r="DW9" s="974">
        <v>3</v>
      </c>
      <c r="DX9" s="974">
        <v>3</v>
      </c>
      <c r="DY9" s="974">
        <v>3</v>
      </c>
      <c r="DZ9" s="974">
        <v>3</v>
      </c>
      <c r="EA9" s="974">
        <v>3</v>
      </c>
    </row>
    <row r="10" spans="1:147">
      <c r="A10" t="s">
        <v>4102</v>
      </c>
      <c r="B10" s="997" t="e">
        <f>NA()</f>
        <v>#N/A</v>
      </c>
      <c r="C10" s="997" t="e">
        <f>NA()</f>
        <v>#N/A</v>
      </c>
      <c r="D10" s="997" t="e">
        <f>NA()</f>
        <v>#N/A</v>
      </c>
      <c r="E10" s="997" t="e">
        <f>NA()</f>
        <v>#N/A</v>
      </c>
      <c r="F10" s="997" t="e">
        <f>NA()</f>
        <v>#N/A</v>
      </c>
      <c r="G10" s="997" t="e">
        <f>NA()</f>
        <v>#N/A</v>
      </c>
      <c r="H10" s="997" t="e">
        <f>NA()</f>
        <v>#N/A</v>
      </c>
      <c r="I10" s="997" t="e">
        <f>NA()</f>
        <v>#N/A</v>
      </c>
      <c r="J10" s="997" t="e">
        <f>NA()</f>
        <v>#N/A</v>
      </c>
      <c r="K10" s="997" t="e">
        <f>NA()</f>
        <v>#N/A</v>
      </c>
      <c r="L10" s="997" t="e">
        <f>NA()</f>
        <v>#N/A</v>
      </c>
      <c r="M10" s="997" t="e">
        <f>NA()</f>
        <v>#N/A</v>
      </c>
      <c r="N10" s="997" t="e">
        <f>NA()</f>
        <v>#N/A</v>
      </c>
      <c r="O10" s="997" t="e">
        <f>NA()</f>
        <v>#N/A</v>
      </c>
      <c r="P10" s="997" t="e">
        <f>NA()</f>
        <v>#N/A</v>
      </c>
      <c r="Q10" s="997" t="e">
        <f>NA()</f>
        <v>#N/A</v>
      </c>
      <c r="R10" s="997" t="e">
        <f>NA()</f>
        <v>#N/A</v>
      </c>
      <c r="S10" s="997" t="e">
        <f>NA()</f>
        <v>#N/A</v>
      </c>
      <c r="T10" s="997" t="e">
        <f>NA()</f>
        <v>#N/A</v>
      </c>
      <c r="U10" s="997" t="e">
        <f>NA()</f>
        <v>#N/A</v>
      </c>
      <c r="V10" s="1696">
        <f>'使用量_1,2'!H18</f>
        <v>0</v>
      </c>
      <c r="W10" s="1696">
        <f>'使用量_1,2'!H19</f>
        <v>0</v>
      </c>
      <c r="X10" s="1005">
        <f ca="1">'使用量_1,2'!J113</f>
        <v>0</v>
      </c>
      <c r="Y10" s="53">
        <f>'使用量_1,2'!H18</f>
        <v>0</v>
      </c>
      <c r="Z10" s="53">
        <f>'使用量_1,2'!H19</f>
        <v>0</v>
      </c>
      <c r="AA10" s="53">
        <f>使用量_3!X43</f>
        <v>0</v>
      </c>
      <c r="AB10" s="997" t="e">
        <f>NA()</f>
        <v>#N/A</v>
      </c>
      <c r="AC10" s="997" t="e">
        <f>NA()</f>
        <v>#N/A</v>
      </c>
      <c r="AD10" s="997" t="e">
        <f>NA()</f>
        <v>#N/A</v>
      </c>
      <c r="AE10" s="997" t="e">
        <f>NA()</f>
        <v>#N/A</v>
      </c>
      <c r="AF10" s="997" t="e">
        <f>NA()</f>
        <v>#N/A</v>
      </c>
      <c r="AG10" s="997" t="e">
        <f>NA()</f>
        <v>#N/A</v>
      </c>
      <c r="AH10" s="997" t="e">
        <f>NA()</f>
        <v>#N/A</v>
      </c>
      <c r="AI10" s="997" t="e">
        <f>NA()</f>
        <v>#N/A</v>
      </c>
      <c r="AJ10" s="997" t="e">
        <f>NA()</f>
        <v>#N/A</v>
      </c>
      <c r="AK10" s="997" t="e">
        <f>NA()</f>
        <v>#N/A</v>
      </c>
      <c r="AL10" s="997" t="e">
        <f>NA()</f>
        <v>#N/A</v>
      </c>
      <c r="AM10" s="997" t="e">
        <f>NA()</f>
        <v>#N/A</v>
      </c>
      <c r="AN10" s="997" t="e">
        <f>NA()</f>
        <v>#N/A</v>
      </c>
      <c r="AO10" s="997" t="e">
        <f>NA()</f>
        <v>#N/A</v>
      </c>
      <c r="AP10" s="997" t="e">
        <f>NA()</f>
        <v>#N/A</v>
      </c>
      <c r="AQ10" s="997" t="e">
        <f>NA()</f>
        <v>#N/A</v>
      </c>
      <c r="AR10" s="997" t="e">
        <f>NA()</f>
        <v>#N/A</v>
      </c>
      <c r="AS10" s="997" t="e">
        <f>NA()</f>
        <v>#N/A</v>
      </c>
      <c r="AT10" s="997" t="e">
        <f>NA()</f>
        <v>#N/A</v>
      </c>
      <c r="AU10" s="997" t="e">
        <f>NA()</f>
        <v>#N/A</v>
      </c>
      <c r="AV10" s="997" t="e">
        <f>NA()</f>
        <v>#N/A</v>
      </c>
      <c r="AW10" s="997" t="e">
        <f>NA()</f>
        <v>#N/A</v>
      </c>
      <c r="AX10" s="997" t="e">
        <f>NA()</f>
        <v>#N/A</v>
      </c>
      <c r="AY10" s="997" t="e">
        <f>NA()</f>
        <v>#N/A</v>
      </c>
      <c r="AZ10" s="997" t="e">
        <f>NA()</f>
        <v>#N/A</v>
      </c>
      <c r="BA10" s="53">
        <f>$A$1-1</f>
        <v>2023</v>
      </c>
      <c r="BB10" s="53">
        <f ca="1">'使用量_1,2'!$J$114</f>
        <v>0</v>
      </c>
      <c r="BC10" s="1005">
        <f ca="1">'使用量_1,2'!$J$115</f>
        <v>0</v>
      </c>
      <c r="BD10" s="53" t="str">
        <f>IF('使用量_1,2'!$I$14=2,'使用量_1,2'!$J$119,"")</f>
        <v/>
      </c>
      <c r="BE10" s="53" t="str">
        <f>IF('使用量_1,2'!$I$14=2,'使用量_1,2'!$J$118,"")&amp;""</f>
        <v/>
      </c>
      <c r="BF10" s="1289" t="str">
        <f>'使用量_1,2'!J130</f>
        <v/>
      </c>
      <c r="BG10" s="53" t="str">
        <f>IF($G$1&lt;BG9,"",IF($G$1=BG9,$A$1-1,NA()))</f>
        <v/>
      </c>
      <c r="BH10" s="53" t="str">
        <f>IF($G$1&lt;BH9,"",IF($G$1=BH9,'使用量_1,2'!$J$114,NA()))</f>
        <v/>
      </c>
      <c r="BI10" s="53" t="str">
        <f>IF($G$1&lt;BI9,"",NA())</f>
        <v/>
      </c>
      <c r="BJ10" s="53" t="str">
        <f>IF($G$1&lt;BJ9,"",IF($G$1=BJ9,'使用量_1,2'!$J$115,NA()))</f>
        <v/>
      </c>
      <c r="BK10" s="53" t="str">
        <f>IF($G$1&lt;BK9,"",NA())</f>
        <v/>
      </c>
      <c r="BL10" s="53" t="str">
        <f>IF($G$1&lt;BL9,"",IF($G$1=BL9,IF('使用量_1,2'!$I$14=2,'使用量_1,2'!$J$119,""),NA()))</f>
        <v/>
      </c>
      <c r="BM10" s="53" t="str">
        <f>IF($G$1&lt;BM9,"",IF($G$1=BM9,IF('使用量_1,2'!$I$14=2,'使用量_1,2'!$J$118,""),NA()))</f>
        <v/>
      </c>
      <c r="BN10" s="53" t="str">
        <f>IF($G$1&lt;BN9,"",IF($G$1=BN9,IF('使用量_1,2'!$I$14=1,"",IF('使用量_1,2'!$I$14=2,'使用量_1,2'!$J$124,'使用量_1,2'!$J$125)),NA()))</f>
        <v/>
      </c>
      <c r="BO10" s="53" t="str">
        <f>IF($G$1&lt;BO9,"",IF($G$1=BO9,$A$1-1,NA()))</f>
        <v/>
      </c>
      <c r="BP10" s="53" t="str">
        <f>IF($G$1&lt;BO9,"",IF($G$1=BP9,'使用量_1,2'!$J$114,NA()))</f>
        <v/>
      </c>
      <c r="BQ10" s="53" t="str">
        <f>IF($G$1&lt;BO9,"",NA())</f>
        <v/>
      </c>
      <c r="BR10" s="53" t="str">
        <f>IF($G$1&lt;BO9,"",IF($G$1=BR9,'使用量_1,2'!$J$115,NA()))</f>
        <v/>
      </c>
      <c r="BS10" s="53" t="str">
        <f>IF($G$1&lt;BO9,"",NA())</f>
        <v/>
      </c>
      <c r="BT10" s="53" t="str">
        <f>IF($G$1&lt;BT9,"",IF($G$1=BT9,IF('使用量_1,2'!$I$14=2,'使用量_1,2'!$J$119,""),NA()))</f>
        <v/>
      </c>
      <c r="BU10" s="53" t="str">
        <f>IF($G$1&lt;BU9,"",IF($G$1=BU9,IF('使用量_1,2'!$I$14=2,'使用量_1,2'!$J$118,""),NA()))</f>
        <v/>
      </c>
      <c r="BV10" s="53" t="str">
        <f>IF($G$1&lt;BV9,"",IF($G$1=BV9,IF('使用量_1,2'!$I$14=1,"",IF('使用量_1,2'!$I$14=2,'使用量_1,2'!$J$124,'使用量_1,2'!$J$125)),NA()))</f>
        <v/>
      </c>
      <c r="BW10" s="53" t="str">
        <f>IF($G$1&lt;BW9,"",IF($G$1=BW9,$A$1-1,NA()))</f>
        <v/>
      </c>
      <c r="BX10" s="53" t="str">
        <f>IF($G$1&lt;BW9,"",IF($G$1=BX9,'使用量_1,2'!$J$114,NA()))</f>
        <v/>
      </c>
      <c r="BY10" s="53" t="str">
        <f>IF($G$1&lt;BW9,"",NA())</f>
        <v/>
      </c>
      <c r="BZ10" s="53" t="str">
        <f>IF($G$1&lt;BW9,"",IF($G$1=BZ9,'使用量_1,2'!$J$115,NA()))</f>
        <v/>
      </c>
      <c r="CA10" s="53" t="str">
        <f>IF($G$1&lt;BW9,"",NA())</f>
        <v/>
      </c>
      <c r="CB10" s="53" t="str">
        <f>IF($G$1&lt;CB9,"",IF($G$1=CB9,IF('使用量_1,2'!$I$14=2,'使用量_1,2'!$J$119,""),NA()))</f>
        <v/>
      </c>
      <c r="CC10" s="53" t="str">
        <f>IF($G$1&lt;CC9,"",IF($G$1=CC9,IF('使用量_1,2'!$I$14=2,'使用量_1,2'!$J$118,""),NA()))</f>
        <v/>
      </c>
      <c r="CD10" s="53" t="str">
        <f>IF($G$1&lt;CD9,"",IF($G$1=CD9,IF('使用量_1,2'!$I$14=1,"",IF('使用量_1,2'!$I$14=2,'使用量_1,2'!$J$124,'使用量_1,2'!$J$125)),NA()))</f>
        <v/>
      </c>
      <c r="CE10" s="997" t="e">
        <f>NA()</f>
        <v>#N/A</v>
      </c>
      <c r="CF10" s="997" t="e">
        <f>NA()</f>
        <v>#N/A</v>
      </c>
      <c r="CG10" s="997" t="e">
        <f>NA()</f>
        <v>#N/A</v>
      </c>
      <c r="CH10" s="997" t="e">
        <f>NA()</f>
        <v>#N/A</v>
      </c>
      <c r="CI10" s="997" t="e">
        <f>NA()</f>
        <v>#N/A</v>
      </c>
      <c r="CJ10" s="997" t="e">
        <f>NA()</f>
        <v>#N/A</v>
      </c>
      <c r="CK10" s="997" t="e">
        <f>NA()</f>
        <v>#N/A</v>
      </c>
      <c r="CL10" s="997" t="e">
        <f>NA()</f>
        <v>#N/A</v>
      </c>
      <c r="CM10" s="997" t="e">
        <f>NA()</f>
        <v>#N/A</v>
      </c>
      <c r="CN10" s="997" t="e">
        <f>NA()</f>
        <v>#N/A</v>
      </c>
      <c r="CO10" s="997" t="e">
        <f>NA()</f>
        <v>#N/A</v>
      </c>
      <c r="CP10" s="997" t="e">
        <f>NA()</f>
        <v>#N/A</v>
      </c>
      <c r="CQ10" s="997" t="e">
        <f>NA()</f>
        <v>#N/A</v>
      </c>
      <c r="CR10" s="997" t="e">
        <f>NA()</f>
        <v>#N/A</v>
      </c>
      <c r="CS10" s="997" t="e">
        <f>NA()</f>
        <v>#N/A</v>
      </c>
      <c r="CT10" s="997" t="e">
        <f>NA()</f>
        <v>#N/A</v>
      </c>
      <c r="CU10" s="997" t="e">
        <f>NA()</f>
        <v>#N/A</v>
      </c>
      <c r="CV10" s="997" t="e">
        <f>NA()</f>
        <v>#N/A</v>
      </c>
      <c r="CW10" s="997" t="e">
        <f>NA()</f>
        <v>#N/A</v>
      </c>
      <c r="CX10" s="53">
        <f>IF(OR($G$1=0,$G$1=3),$A$1-1,NA())</f>
        <v>2023</v>
      </c>
      <c r="CY10" s="53">
        <f>IF(OR($G$1=0,$G$1=3),使用量_3!$F$98,NA())</f>
        <v>0</v>
      </c>
      <c r="CZ10" s="53">
        <f>IF(OR($G$1=0,$G$1=3),使用量_3!$J$98,NA())</f>
        <v>0</v>
      </c>
      <c r="DA10" s="53" t="str">
        <f>IF(OR($G$1=0,$G$1=3),使用量_3!U98,NA())</f>
        <v/>
      </c>
      <c r="DB10" s="53" t="str">
        <f>IF(OR($G$1=0,$G$1=3),IF(使用量_3!S98="",使用量_3!O98,使用量_3!S98),NA())</f>
        <v>千km</v>
      </c>
      <c r="DC10" s="1289" t="str">
        <f>IF(使用量_3!$I$35=2,使用量_3!$AC$115,"")</f>
        <v/>
      </c>
      <c r="DD10" s="53" t="str">
        <f>IF($G$1&lt;DD9,"",IF($G$1=DD9,$A$1-1,NA()))</f>
        <v/>
      </c>
      <c r="DE10" s="53" t="str">
        <f>IF($G$1&lt;DE9,"",IF($G$1=DE9,使用量_3!$F$98,NA()))</f>
        <v/>
      </c>
      <c r="DF10" s="53" t="str">
        <f>IF($G$1&lt;DF9,"",NA())</f>
        <v/>
      </c>
      <c r="DG10" s="53" t="str">
        <f>IF($G$1&lt;DG9,"",IF($G$1=DG9,使用量_3!$J$98,NA()))</f>
        <v/>
      </c>
      <c r="DH10" s="53" t="str">
        <f>IF($G$1&lt;DH9,"",NA())</f>
        <v/>
      </c>
      <c r="DI10" s="53" t="str">
        <f>IF($G$1&lt;DI9,"",IF($G$1=DI9,IF(使用量_3!$I$35=2,使用量_3!$U$98,""),NA()))</f>
        <v/>
      </c>
      <c r="DJ10" s="53" t="str">
        <f>IF($G$1&lt;DJ9,"",IF($G$1=DJ9,IF(使用量_3!$I$35=2,IF(使用量_3!$S$98="",使用量_3!$O$98,使用量_3!$S$98),NA()),""))</f>
        <v/>
      </c>
      <c r="DK10" s="53" t="str">
        <f>IF($G$1&lt;DJ9,"",IF($G$1=DJ9,IF(使用量_3!$I$35=1,"",IF(使用量_3!$I$35=2,使用量_3!$R$115,使用量_3!$T$115)),NA()))</f>
        <v/>
      </c>
      <c r="DL10" s="53" t="str">
        <f>IF($G$1&lt;DL9,"",IF($G$1=DL9,$A$1-1,NA()))</f>
        <v/>
      </c>
      <c r="DM10" s="53" t="str">
        <f>IF($G$1&lt;DM9,"",IF($G$1=DM9,使用量_3!$F$98,NA()))</f>
        <v/>
      </c>
      <c r="DN10" s="53" t="str">
        <f>IF($G$1&lt;DN9,"",NA())</f>
        <v/>
      </c>
      <c r="DO10" s="53" t="str">
        <f>IF($G$1&lt;DO9,"",IF($G$1=DO9,使用量_3!$J$98,NA()))</f>
        <v/>
      </c>
      <c r="DP10" s="53" t="str">
        <f>IF($G$1&lt;DP9,"",NA())</f>
        <v/>
      </c>
      <c r="DQ10" s="53" t="str">
        <f>IF($G$1&lt;DQ9,"",IF($G$1=DQ9,IF(使用量_3!$I$35=2,使用量_3!$U$98,""),NA()))</f>
        <v/>
      </c>
      <c r="DR10" s="53" t="str">
        <f>IF($G$1&lt;DR9,"",IF($G$1=DR9,IF(使用量_3!$I$35=2,IF(使用量_3!$S$98="",使用量_3!$O$98,使用量_3!$S$98),NA()),""))</f>
        <v/>
      </c>
      <c r="DS10" s="53" t="str">
        <f>IF($G$1&lt;DR9,"",IF($G$1=DR9,IF(使用量_3!$I$35=1,"",IF(使用量_3!$I$35=2,使用量_3!$R$115,使用量_3!$T$115)),NA()))</f>
        <v/>
      </c>
      <c r="DT10" s="53" t="str">
        <f>IF($G$1&lt;DT9,"",IF($G$1=DT9,$A$1-1,NA()))</f>
        <v/>
      </c>
      <c r="DU10" s="53" t="str">
        <f>IF($G$1&lt;DU9,"",IF($G$1=DU9,使用量_3!$F$98,NA()))</f>
        <v/>
      </c>
      <c r="DV10" s="53" t="str">
        <f>IF($G$1&lt;DV9,"",NA())</f>
        <v/>
      </c>
      <c r="DW10" s="53" t="str">
        <f>IF($G$1&lt;DW9,"",IF($G$1=DW9,使用量_3!$J$98,NA()))</f>
        <v/>
      </c>
      <c r="DX10" s="53" t="str">
        <f>IF($G$1&lt;DX9,"",NA())</f>
        <v/>
      </c>
      <c r="DY10" s="53" t="str">
        <f>IF($G$1&lt;DY9,"",IF($G$1=DY9,IF(使用量_3!$I$35=2,使用量_3!$U$98,""),NA()))</f>
        <v/>
      </c>
      <c r="DZ10" s="53" t="str">
        <f>IF($G$1&lt;DZ9,"",IF($G$1=DZ9,IF(使用量_3!$I$35=2,IF(使用量_3!$S$98="",使用量_3!$O$98,使用量_3!$S$98),NA()),""))</f>
        <v/>
      </c>
      <c r="EA10" s="53" t="str">
        <f>IF($G$1&lt;DZ9,"",IF($G$1=DZ9,IF(使用量_3!$I$35=1,"",IF(使用量_3!$I$35=2,使用量_3!$R$115,使用量_3!$T$115)),NA()))</f>
        <v/>
      </c>
      <c r="EB10" s="53" t="e">
        <f>NA()</f>
        <v>#N/A</v>
      </c>
      <c r="EC10" s="53" t="e">
        <f>NA()</f>
        <v>#N/A</v>
      </c>
      <c r="ED10" s="53" t="e">
        <f>NA()</f>
        <v>#N/A</v>
      </c>
      <c r="EE10" s="53" t="e">
        <f>NA()</f>
        <v>#N/A</v>
      </c>
    </row>
    <row r="11" spans="1:147" ht="14.25" thickBot="1"/>
    <row r="12" spans="1:147" ht="14.25" thickBot="1">
      <c r="V12" t="s">
        <v>4309</v>
      </c>
      <c r="X12" t="s">
        <v>4310</v>
      </c>
      <c r="AN12" s="992" t="s">
        <v>4225</v>
      </c>
      <c r="AO12" s="993"/>
      <c r="AP12" s="993"/>
      <c r="AQ12" s="993"/>
      <c r="AR12" s="993"/>
      <c r="AS12" s="993"/>
      <c r="AT12" s="993"/>
      <c r="AU12" s="993"/>
      <c r="AV12" s="993"/>
      <c r="AW12" s="993"/>
      <c r="AX12" s="993"/>
      <c r="AY12" s="993"/>
      <c r="AZ12" s="994"/>
      <c r="BA12" s="992" t="s">
        <v>4226</v>
      </c>
      <c r="BB12" s="993"/>
      <c r="BC12" s="993"/>
      <c r="BD12" s="993"/>
      <c r="BE12" s="993"/>
      <c r="BF12" s="994"/>
      <c r="BG12" t="s">
        <v>4100</v>
      </c>
      <c r="BO12" t="s">
        <v>4100</v>
      </c>
      <c r="BW12" t="s">
        <v>4100</v>
      </c>
      <c r="CJ12" s="992" t="s">
        <v>4227</v>
      </c>
      <c r="CK12" s="993"/>
      <c r="CL12" s="993"/>
      <c r="CM12" s="993"/>
      <c r="CN12" s="993"/>
      <c r="CO12" s="993"/>
      <c r="CP12" s="993"/>
      <c r="CQ12" s="993"/>
      <c r="CR12" s="993"/>
      <c r="CS12" s="993"/>
      <c r="CT12" s="993"/>
      <c r="CU12" s="993"/>
      <c r="CV12" s="993"/>
      <c r="CW12" s="994"/>
      <c r="CX12" s="992" t="s">
        <v>4228</v>
      </c>
      <c r="CY12" s="993"/>
      <c r="CZ12" s="993"/>
      <c r="DA12" s="993"/>
      <c r="DB12" s="994"/>
      <c r="DC12" s="994"/>
      <c r="DD12" t="s">
        <v>609</v>
      </c>
      <c r="DL12" t="s">
        <v>609</v>
      </c>
      <c r="DT12" t="s">
        <v>609</v>
      </c>
    </row>
    <row r="13" spans="1:147" ht="51.75">
      <c r="A13" t="s">
        <v>2667</v>
      </c>
      <c r="B13" s="501" t="s">
        <v>594</v>
      </c>
      <c r="C13" s="502" t="s">
        <v>595</v>
      </c>
      <c r="D13" s="503" t="s">
        <v>596</v>
      </c>
      <c r="E13" s="502" t="s">
        <v>597</v>
      </c>
      <c r="F13" s="504" t="s">
        <v>2584</v>
      </c>
      <c r="G13" s="505" t="s">
        <v>5987</v>
      </c>
      <c r="H13" s="506" t="s">
        <v>599</v>
      </c>
      <c r="I13" s="507" t="s">
        <v>132</v>
      </c>
      <c r="J13" s="503" t="s">
        <v>600</v>
      </c>
      <c r="K13" s="506" t="s">
        <v>601</v>
      </c>
      <c r="L13" s="508" t="s">
        <v>602</v>
      </c>
      <c r="M13" s="503" t="s">
        <v>603</v>
      </c>
      <c r="N13" s="509" t="s">
        <v>604</v>
      </c>
      <c r="O13" s="510" t="s">
        <v>605</v>
      </c>
      <c r="P13" s="509" t="s">
        <v>606</v>
      </c>
      <c r="Q13" s="510" t="s">
        <v>607</v>
      </c>
      <c r="R13" s="503" t="s">
        <v>608</v>
      </c>
      <c r="S13" s="503" t="s">
        <v>609</v>
      </c>
      <c r="T13" s="509" t="s">
        <v>5844</v>
      </c>
      <c r="U13" s="509" t="s">
        <v>4690</v>
      </c>
      <c r="V13" s="512" t="s">
        <v>610</v>
      </c>
      <c r="W13" s="512" t="s">
        <v>611</v>
      </c>
      <c r="X13" s="511" t="s">
        <v>2585</v>
      </c>
      <c r="Y13" s="512" t="s">
        <v>610</v>
      </c>
      <c r="Z13" s="512" t="s">
        <v>611</v>
      </c>
      <c r="AA13" s="513" t="s">
        <v>612</v>
      </c>
      <c r="AB13" s="513" t="s">
        <v>4303</v>
      </c>
      <c r="AC13" s="508" t="s">
        <v>613</v>
      </c>
      <c r="AD13" s="506" t="s">
        <v>614</v>
      </c>
      <c r="AE13" s="514" t="s">
        <v>615</v>
      </c>
      <c r="AF13" s="508" t="s">
        <v>616</v>
      </c>
      <c r="AG13" s="506" t="s">
        <v>617</v>
      </c>
      <c r="AH13" s="515" t="s">
        <v>618</v>
      </c>
      <c r="AI13" s="503" t="s">
        <v>619</v>
      </c>
      <c r="AJ13" s="503" t="s">
        <v>620</v>
      </c>
      <c r="AK13" s="506" t="s">
        <v>621</v>
      </c>
      <c r="AL13" s="515" t="s">
        <v>622</v>
      </c>
      <c r="AM13" s="506" t="s">
        <v>623</v>
      </c>
      <c r="AN13" s="985" t="s">
        <v>624</v>
      </c>
      <c r="AO13" s="986" t="s">
        <v>625</v>
      </c>
      <c r="AP13" s="986" t="s">
        <v>626</v>
      </c>
      <c r="AQ13" s="987" t="s">
        <v>627</v>
      </c>
      <c r="AR13" s="988" t="s">
        <v>628</v>
      </c>
      <c r="AS13" s="989" t="s">
        <v>629</v>
      </c>
      <c r="AT13" s="987" t="s">
        <v>630</v>
      </c>
      <c r="AU13" s="988" t="s">
        <v>631</v>
      </c>
      <c r="AV13" s="987" t="s">
        <v>632</v>
      </c>
      <c r="AW13" s="988" t="s">
        <v>633</v>
      </c>
      <c r="AX13" s="987" t="s">
        <v>634</v>
      </c>
      <c r="AY13" s="990" t="s">
        <v>635</v>
      </c>
      <c r="AZ13" s="991" t="s">
        <v>636</v>
      </c>
      <c r="BA13" s="985" t="s">
        <v>624</v>
      </c>
      <c r="BB13" s="986" t="s">
        <v>625</v>
      </c>
      <c r="BC13" s="986" t="s">
        <v>626</v>
      </c>
      <c r="BD13" s="987" t="s">
        <v>627</v>
      </c>
      <c r="BE13" s="988" t="s">
        <v>628</v>
      </c>
      <c r="BF13" s="991" t="s">
        <v>4321</v>
      </c>
      <c r="BG13" s="515" t="s">
        <v>637</v>
      </c>
      <c r="BH13" s="506" t="s">
        <v>638</v>
      </c>
      <c r="BI13" s="517" t="s">
        <v>639</v>
      </c>
      <c r="BJ13" s="506" t="s">
        <v>640</v>
      </c>
      <c r="BK13" s="517" t="s">
        <v>641</v>
      </c>
      <c r="BL13" s="506" t="s">
        <v>642</v>
      </c>
      <c r="BM13" s="518" t="s">
        <v>643</v>
      </c>
      <c r="BN13" s="519" t="s">
        <v>644</v>
      </c>
      <c r="BO13" s="515" t="s">
        <v>645</v>
      </c>
      <c r="BP13" s="506" t="s">
        <v>646</v>
      </c>
      <c r="BQ13" s="517" t="s">
        <v>647</v>
      </c>
      <c r="BR13" s="506" t="s">
        <v>648</v>
      </c>
      <c r="BS13" s="517" t="s">
        <v>649</v>
      </c>
      <c r="BT13" s="506" t="s">
        <v>650</v>
      </c>
      <c r="BU13" s="518" t="s">
        <v>651</v>
      </c>
      <c r="BV13" s="519" t="s">
        <v>652</v>
      </c>
      <c r="BW13" s="515" t="s">
        <v>653</v>
      </c>
      <c r="BX13" s="506" t="s">
        <v>654</v>
      </c>
      <c r="BY13" s="517" t="s">
        <v>655</v>
      </c>
      <c r="BZ13" s="506" t="s">
        <v>656</v>
      </c>
      <c r="CA13" s="517" t="s">
        <v>657</v>
      </c>
      <c r="CB13" s="506" t="s">
        <v>658</v>
      </c>
      <c r="CC13" s="518" t="s">
        <v>659</v>
      </c>
      <c r="CD13" s="518" t="s">
        <v>660</v>
      </c>
      <c r="CE13" s="520" t="s">
        <v>661</v>
      </c>
      <c r="CF13" s="521" t="s">
        <v>662</v>
      </c>
      <c r="CG13" s="522" t="s">
        <v>663</v>
      </c>
      <c r="CH13" s="521" t="s">
        <v>664</v>
      </c>
      <c r="CI13" s="547" t="s">
        <v>2595</v>
      </c>
      <c r="CJ13" s="1006" t="s">
        <v>624</v>
      </c>
      <c r="CK13" s="986" t="s">
        <v>665</v>
      </c>
      <c r="CL13" s="986" t="s">
        <v>626</v>
      </c>
      <c r="CM13" s="987" t="s">
        <v>627</v>
      </c>
      <c r="CN13" s="988" t="s">
        <v>628</v>
      </c>
      <c r="CO13" s="989" t="s">
        <v>629</v>
      </c>
      <c r="CP13" s="987" t="s">
        <v>630</v>
      </c>
      <c r="CQ13" s="988" t="s">
        <v>631</v>
      </c>
      <c r="CR13" s="987" t="s">
        <v>632</v>
      </c>
      <c r="CS13" s="988" t="s">
        <v>633</v>
      </c>
      <c r="CT13" s="987" t="s">
        <v>634</v>
      </c>
      <c r="CU13" s="990" t="s">
        <v>635</v>
      </c>
      <c r="CV13" s="991" t="s">
        <v>636</v>
      </c>
      <c r="CW13" s="1007" t="s">
        <v>2595</v>
      </c>
      <c r="CX13" s="1006" t="s">
        <v>624</v>
      </c>
      <c r="CY13" s="986" t="s">
        <v>665</v>
      </c>
      <c r="CZ13" s="986" t="s">
        <v>626</v>
      </c>
      <c r="DA13" s="987" t="s">
        <v>627</v>
      </c>
      <c r="DB13" s="988" t="s">
        <v>628</v>
      </c>
      <c r="DC13" s="991" t="s">
        <v>4321</v>
      </c>
      <c r="DD13" s="515" t="s">
        <v>637</v>
      </c>
      <c r="DE13" s="506" t="s">
        <v>638</v>
      </c>
      <c r="DF13" s="517" t="s">
        <v>639</v>
      </c>
      <c r="DG13" s="506" t="s">
        <v>640</v>
      </c>
      <c r="DH13" s="517" t="s">
        <v>641</v>
      </c>
      <c r="DI13" s="506" t="s">
        <v>642</v>
      </c>
      <c r="DJ13" s="518" t="s">
        <v>643</v>
      </c>
      <c r="DK13" s="519" t="s">
        <v>644</v>
      </c>
      <c r="DL13" s="515" t="s">
        <v>645</v>
      </c>
      <c r="DM13" s="506" t="s">
        <v>646</v>
      </c>
      <c r="DN13" s="517" t="s">
        <v>647</v>
      </c>
      <c r="DO13" s="506" t="s">
        <v>648</v>
      </c>
      <c r="DP13" s="517" t="s">
        <v>649</v>
      </c>
      <c r="DQ13" s="506" t="s">
        <v>650</v>
      </c>
      <c r="DR13" s="518" t="s">
        <v>651</v>
      </c>
      <c r="DS13" s="519" t="s">
        <v>652</v>
      </c>
      <c r="DT13" s="515" t="s">
        <v>653</v>
      </c>
      <c r="DU13" s="506" t="s">
        <v>654</v>
      </c>
      <c r="DV13" s="517" t="s">
        <v>655</v>
      </c>
      <c r="DW13" s="506" t="s">
        <v>656</v>
      </c>
      <c r="DX13" s="517" t="s">
        <v>657</v>
      </c>
      <c r="DY13" s="506" t="s">
        <v>658</v>
      </c>
      <c r="DZ13" s="518" t="s">
        <v>659</v>
      </c>
      <c r="EA13" s="518" t="s">
        <v>660</v>
      </c>
      <c r="EB13" s="520" t="s">
        <v>661</v>
      </c>
      <c r="EC13" s="521" t="s">
        <v>662</v>
      </c>
      <c r="ED13" s="522" t="s">
        <v>663</v>
      </c>
      <c r="EE13" s="979" t="s">
        <v>664</v>
      </c>
      <c r="EF13" s="980" t="s">
        <v>4211</v>
      </c>
      <c r="EG13" s="980" t="s">
        <v>4212</v>
      </c>
      <c r="EH13" s="980" t="s">
        <v>4213</v>
      </c>
      <c r="EI13" s="980" t="s">
        <v>4214</v>
      </c>
      <c r="EJ13" s="980" t="s">
        <v>4215</v>
      </c>
      <c r="EK13" s="980" t="s">
        <v>4216</v>
      </c>
      <c r="EL13" s="981" t="s">
        <v>4217</v>
      </c>
      <c r="EM13" s="982" t="s">
        <v>4218</v>
      </c>
      <c r="EN13" s="982" t="s">
        <v>4219</v>
      </c>
      <c r="EO13" s="1680" t="s">
        <v>4775</v>
      </c>
      <c r="EP13" s="1680" t="s">
        <v>4777</v>
      </c>
      <c r="EQ13" s="1680" t="s">
        <v>4779</v>
      </c>
    </row>
    <row r="14" spans="1:147" s="880" customFormat="1" ht="34.15" customHeight="1">
      <c r="A14" s="1120" t="s">
        <v>4257</v>
      </c>
      <c r="B14" s="996" t="str">
        <f t="shared" ref="B14:AF14" si="1">IF(NOT(ISNA(B10)),B10,IF(ISNA(B7),IF(NOT(ISNA(B4)),B4,"新規"),B7))</f>
        <v>新規</v>
      </c>
      <c r="C14" s="996" t="str">
        <f t="shared" si="1"/>
        <v>新規</v>
      </c>
      <c r="D14" s="996">
        <f>IF(NOT(ISNA(D10)),D10,IF(ISNA(D7),IF(NOT(ISNA(D4)),D4,A1),D7))</f>
        <v>2024</v>
      </c>
      <c r="E14" s="996" t="str">
        <f>IF(NOT(ISNA(E10)),E10,IF(ISNA(E7),IF(NOT(ISNA(E4)),E4,"新規"),E7))</f>
        <v>新規</v>
      </c>
      <c r="F14" s="996" t="str">
        <f t="shared" si="1"/>
        <v>新規</v>
      </c>
      <c r="G14" s="996" t="str">
        <f t="shared" si="1"/>
        <v>新規</v>
      </c>
      <c r="H14" s="996" t="str">
        <f t="shared" si="1"/>
        <v>新規</v>
      </c>
      <c r="I14" s="983" t="str">
        <f t="shared" ref="I14:Q14" si="2">IF(NOT(ISNA(I10)),I10,IF(ISNA(I7),IF(NOT(ISNA(I4)),I4,""),I7))</f>
        <v/>
      </c>
      <c r="J14" s="983" t="str">
        <f t="shared" si="2"/>
        <v/>
      </c>
      <c r="K14" s="983" t="str">
        <f t="shared" si="2"/>
        <v/>
      </c>
      <c r="L14" s="983" t="str">
        <f t="shared" si="2"/>
        <v/>
      </c>
      <c r="M14" s="983" t="str">
        <f t="shared" si="2"/>
        <v/>
      </c>
      <c r="N14" s="983" t="str">
        <f t="shared" si="2"/>
        <v/>
      </c>
      <c r="O14" s="983" t="str">
        <f t="shared" si="2"/>
        <v/>
      </c>
      <c r="P14" s="983" t="str">
        <f t="shared" si="2"/>
        <v/>
      </c>
      <c r="Q14" s="984" t="str">
        <f t="shared" si="2"/>
        <v/>
      </c>
      <c r="R14" s="984" t="str">
        <f t="shared" ref="R14:U14" si="3">IF(NOT(ISNA(R10)),R10,IF(ISNA(R7),IF(NOT(ISNA(R4)),R4,""),R7))</f>
        <v/>
      </c>
      <c r="S14" s="984" t="str">
        <f t="shared" si="3"/>
        <v/>
      </c>
      <c r="T14" s="984" t="str">
        <f t="shared" ref="T14" si="4">IF(NOT(ISNA(T10)),T10,IF(ISNA(T7),IF(NOT(ISNA(T4)),T4,""),T7))</f>
        <v/>
      </c>
      <c r="U14" s="984" t="str">
        <f t="shared" si="3"/>
        <v/>
      </c>
      <c r="V14" s="983">
        <f>IF(ISNA(V7),IF(ISNA(V4),IF(NOT(ISNA(V10)),V10,""),V4),V7)</f>
        <v>0</v>
      </c>
      <c r="W14" s="983">
        <f>IF(ISNA(W7),IF(ISNA(W4),IF(NOT(ISNA(W10)),W10,""),W4),W7)</f>
        <v>0</v>
      </c>
      <c r="X14" s="983">
        <f t="shared" ref="X14:AA14" ca="1" si="5">IF(NOT(ISNA(X10)),X10,IF(ISNA(X7),IF(NOT(ISNA(X4)),X4,""),X7))</f>
        <v>0</v>
      </c>
      <c r="Y14" s="983">
        <f t="shared" si="5"/>
        <v>0</v>
      </c>
      <c r="Z14" s="983">
        <f t="shared" si="5"/>
        <v>0</v>
      </c>
      <c r="AA14" s="983">
        <f t="shared" si="5"/>
        <v>0</v>
      </c>
      <c r="AB14" s="983" t="str">
        <f>IF(NOT(ISNA(AB10)),AB10,IF(ISNA(AB7),IF(NOT(ISNA(AB4)),AB4,""),AB7))</f>
        <v/>
      </c>
      <c r="AC14" s="983">
        <f>IF(NOT(ISNA(AC10)),AC10,IF(ISNA(AC7),IF(NOT(ISNA(AC4)),AC4,A1),AC7))</f>
        <v>2024</v>
      </c>
      <c r="AD14" s="983">
        <f>IF(NOT(ISNA(AD10)),AD10,IF(ISNA(AD7),IF(NOT(ISNA(AD4)),AD4,AC14+2),AD7))</f>
        <v>2026</v>
      </c>
      <c r="AE14" s="983" t="str">
        <f t="shared" si="1"/>
        <v>新規</v>
      </c>
      <c r="AF14" s="984" t="str">
        <f t="shared" si="1"/>
        <v>新規</v>
      </c>
      <c r="AG14" s="983" t="str">
        <f t="shared" ref="AG14:AM14" si="6">IF(NOT(ISNA(AG10)),AG10,IF(ISNA(AG7),IF(NOT(ISNA(AG4)),AG4,""),AG7))</f>
        <v/>
      </c>
      <c r="AH14" s="984" t="str">
        <f t="shared" si="6"/>
        <v/>
      </c>
      <c r="AI14" s="983" t="str">
        <f t="shared" si="6"/>
        <v/>
      </c>
      <c r="AJ14" s="983" t="str">
        <f t="shared" si="6"/>
        <v/>
      </c>
      <c r="AK14" s="983" t="str">
        <f t="shared" si="6"/>
        <v/>
      </c>
      <c r="AL14" s="984" t="str">
        <f t="shared" si="6"/>
        <v/>
      </c>
      <c r="AM14" s="983" t="str">
        <f t="shared" si="6"/>
        <v/>
      </c>
      <c r="AN14" s="996" t="str">
        <f>IF(Q14&amp;R14&amp;T14="","",IF(NOT(ISNA(AN10)),VALUE(AN10),IF(ISNA(AN7),IF(NOT(ISNA(AN4)),VALUE(AN4),""),VALUE(AN7))))</f>
        <v/>
      </c>
      <c r="AO14" s="984" t="str">
        <f>IF(Q14&amp;R14&amp;T14="","",IF(NOT(ISNA(AO10)),VALUE(AO10),IF(ISNA(AO7),IF(NOT(ISNA(AO4)),VALUE(AO4),""),VALUE(AO7))))</f>
        <v/>
      </c>
      <c r="AP14" s="984" t="str">
        <f>IF(Q14&amp;R14&amp;T14="","",IF(NOT(ISNA(AP10)),VALUE(AP10),IF(ISNA(AP7),IF(NOT(ISNA(AP4)),VALUE(AP4),""),VALUE(AP7))))</f>
        <v/>
      </c>
      <c r="AQ14" s="984" t="str">
        <f>IF(Q14&amp;R14&amp;T14="","",IFERROR(IF(NOT(ISNA(AQ10)),VALUE(AQ10),IF(ISNA(AQ7),IF(NOT(ISNA(AQ4)),VALUE(AQ4),""),VALUE(AQ7))),""))</f>
        <v/>
      </c>
      <c r="AR14" s="984" t="str">
        <f>IF(Q14&amp;R14&amp;T14="","",IF(NOT(ISNA(AR10)),AR10,IF(ISNA(AR7),IF(NOT(ISNA(AR4)),AR4,""),AR7)))</f>
        <v/>
      </c>
      <c r="AS14" s="996" t="str">
        <f>IF(Q14&amp;R14&amp;T14="","",IF(NOT(ISNA(AS10)),VALUE(AS10),IF(ISNA(AS7),IF(NOT(ISNA(AS4)),VALUE(AS4),""),VALUE(AS7))))</f>
        <v/>
      </c>
      <c r="AT14" s="984" t="str">
        <f>IF(Q14&amp;R14&amp;T14="","",IF(NOT(ISNA(AT10)),VALUE(AT10),IF(ISNA(AT7),IF(NOT(ISNA(AT4)),VALUE(AT4),""),VALUE(AT7))))</f>
        <v/>
      </c>
      <c r="AU14" s="996" t="str">
        <f>IF(Q14&amp;R14&amp;T14="","",IF(NOT(ISNA(AU10)),VALUE(AU10),IF(ISNA(AU7),IF(NOT(ISNA(AU4)),VALUE(AU4),""),VALUE(AU7))))</f>
        <v/>
      </c>
      <c r="AV14" s="984" t="str">
        <f>IF(Q14&amp;R14&amp;T14="","",IF(NOT(ISNA(AV10)),VALUE(AV10),IF(ISNA(AV7),IF(NOT(ISNA(AV4)),VALUE(AV4),""),VALUE(AV7))))</f>
        <v/>
      </c>
      <c r="AW14" s="996" t="str">
        <f>IF(Q14&amp;R14&amp;T14="","",IF(NOT(ISNA(AW10)),VALUE(AW10),IF(ISNA(AW7),IF(NOT(ISNA(AW4)),VALUE(AW4),""),VALUE(AW7))))</f>
        <v/>
      </c>
      <c r="AX14" s="984" t="str">
        <f>IF(Q14&amp;R14&amp;T14="","",IFERROR(IF(NOT(ISNA(AX10)),VALUE(AX10),IF(ISNA(AX7),IF(NOT(ISNA(AX4)),VALUE(AX4),""),VALUE(AX7))),""))</f>
        <v/>
      </c>
      <c r="AY14" s="996" t="str">
        <f>IF(Q14&amp;R14&amp;T14="","",IF(NOT(ISNA(AY10)),AY10,IF(ISNA(AY7),IF(NOT(ISNA(AY4)),AY4,""),AY7)))</f>
        <v/>
      </c>
      <c r="AZ14" s="984" t="str">
        <f>IF(Q14&amp;R14&amp;T14="","",IFERROR(IF(NOT(ISNA(AZ10)),VALUE(AZ10),IF(ISNA(AZ7),IF(NOT(ISNA(AZ4)),VALUE(AZ4),""),VALUE(AZ7))),""))</f>
        <v/>
      </c>
      <c r="BA14" s="996">
        <f>BA10</f>
        <v>2023</v>
      </c>
      <c r="BB14" s="984">
        <f t="shared" ref="BB14:BE14" ca="1" si="7">BB10</f>
        <v>0</v>
      </c>
      <c r="BC14" s="984">
        <f t="shared" ca="1" si="7"/>
        <v>0</v>
      </c>
      <c r="BD14" s="984" t="str">
        <f t="shared" si="7"/>
        <v/>
      </c>
      <c r="BE14" s="984" t="str">
        <f t="shared" si="7"/>
        <v/>
      </c>
      <c r="BF14" s="984" t="str">
        <f>BF10</f>
        <v/>
      </c>
      <c r="BG14" s="996" t="str">
        <f>IF(Q14&amp;R14&amp;T14="","",IF(NOT(ISNA(BG10)),BG10,IF(ISNA(BG7),IF(NOT(ISNA(BG4)),BG4,"新規"),BG7)))</f>
        <v/>
      </c>
      <c r="BH14" s="984" t="str">
        <f>IF(Q14&amp;R14&amp;T14="","",IF(NOT(ISNA(BH10)),BH10,IF(ISNA(BH7),IF(NOT(ISNA(BH4)),BH4,"新規"),BH7)))</f>
        <v/>
      </c>
      <c r="BI14" s="996" t="str">
        <f>IF(Q14&amp;R14&amp;T14="","",IF(NOT(ISNA(BI10)),BI10,IF(ISNA(BI7),IF(NOT(ISNA(BI4)),BI4,"新規"),BI7)))</f>
        <v/>
      </c>
      <c r="BJ14" s="984" t="str">
        <f>IF(Q14&amp;R14&amp;T14="","",IF(NOT(ISNA(BJ10)),BJ10,IF(ISNA(BJ7),IF(NOT(ISNA(BJ4)),BJ4,"新規"),BJ7)))</f>
        <v/>
      </c>
      <c r="BK14" s="996" t="str">
        <f>IF(Q14&amp;R14&amp;T14="","",IF(NOT(ISNA(BK10)),BK10,IF(ISNA(BK7),IF(NOT(ISNA(BK4)),BK4,"新規"),BK7)))</f>
        <v/>
      </c>
      <c r="BL14" s="984" t="str">
        <f>IF(Q14&amp;R14&amp;T14="","",IF(NOT(ISNA(BL10)),BL10,IF(ISNA(BL7),IF(NOT(ISNA(BL4)),BL4,"新規"),BL7)))</f>
        <v/>
      </c>
      <c r="BM14" s="996" t="str">
        <f>IF(Q14&amp;R14&amp;T14="","",IF(NOT(ISNA(BM10)),BM10,IF(ISNA(BM7),IF(NOT(ISNA(BM4)),BM4,"新規"),BM7)))</f>
        <v/>
      </c>
      <c r="BN14" s="984" t="str">
        <f>IF(Q14&amp;R14&amp;T14="","",IF(NOT(ISNA(BN10)),BN10,IF(ISNA(BN7),IF(NOT(ISNA(BN4)),BN4,"新規"),BN7)))</f>
        <v/>
      </c>
      <c r="BO14" s="996" t="str">
        <f>IF(Q14&amp;R14&amp;T14="","",IF(NOT(ISNA(BO10)),BO10,IF(ISNA(BO7),IF(NOT(ISNA(BO4)),BO4,"新規"),BO7)))</f>
        <v/>
      </c>
      <c r="BP14" s="984" t="str">
        <f>IF(Q14&amp;R14&amp;T14="","",IF(NOT(ISNA(BP10)),BP10,IF(ISNA(BP7),IF(NOT(ISNA(BP4)),BP4,"新規"),BP7)))</f>
        <v/>
      </c>
      <c r="BQ14" s="996" t="str">
        <f>IF(Q14&amp;R14&amp;T14="","",IF(NOT(ISNA(BQ10)),BQ10,IF(ISNA(BQ7),IF(NOT(ISNA(BQ4)),BQ4,"新規"),BQ7)))</f>
        <v/>
      </c>
      <c r="BR14" s="984" t="str">
        <f>IF(Q14&amp;R14&amp;T14="","",IF(NOT(ISNA(BR10)),BR10,IF(ISNA(BR7),IF(NOT(ISNA(BR4)),BR4,"新規"),BR7)))</f>
        <v/>
      </c>
      <c r="BS14" s="996" t="str">
        <f>IF(Q14&amp;R14&amp;T14="","",IF(NOT(ISNA(BS10)),BS10,IF(ISNA(BS7),IF(NOT(ISNA(BS4)),BS4,"新規"),BS7)))</f>
        <v/>
      </c>
      <c r="BT14" s="984" t="str">
        <f>IF(Q14&amp;R14&amp;T14="","",IF(NOT(ISNA(BT10)),BT10,IF(ISNA(BT7),IF(NOT(ISNA(BT4)),BT4,"新規"),BT7)))</f>
        <v/>
      </c>
      <c r="BU14" s="996" t="str">
        <f>IF(Q14&amp;R14&amp;T14="","",IF(NOT(ISNA(BU10)),BU10,IF(ISNA(BU7),IF(NOT(ISNA(BU4)),BU4,"新規"),BU7)))</f>
        <v/>
      </c>
      <c r="BV14" s="984" t="str">
        <f>IF(Q14&amp;R14&amp;T14="","",IF(NOT(ISNA(BV10)),BV10,IF(ISNA(BV7),IF(NOT(ISNA(BV4)),BV4,"新規"),BV7)))</f>
        <v/>
      </c>
      <c r="BW14" s="996" t="str">
        <f>IF(Q14&amp;R14&amp;T14="","",IF(NOT(ISNA(BW10)),BW10,IF(ISNA(BW7),IF(NOT(ISNA(BW4)),BW4,"新規"),BW7)))</f>
        <v/>
      </c>
      <c r="BX14" s="984" t="str">
        <f>IF(Q14&amp;R14&amp;T14="","",IF(NOT(ISNA(BX10)),BX10,IF(ISNA(BX7),IF(NOT(ISNA(BX4)),BX4,"新規"),BX7)))</f>
        <v/>
      </c>
      <c r="BY14" s="996" t="str">
        <f>IF(Q14&amp;R14&amp;T14="","",IF(NOT(ISNA(BY10)),BY10,IF(ISNA(BY7),IF(NOT(ISNA(BY4)),BY4,"新規"),BY7)))</f>
        <v/>
      </c>
      <c r="BZ14" s="984" t="str">
        <f>IF(Q14&amp;R14&amp;T14="","",IF(NOT(ISNA(BZ10)),BZ10,IF(ISNA(BZ7),IF(NOT(ISNA(BZ4)),BZ4,"新規"),BZ7)))</f>
        <v/>
      </c>
      <c r="CA14" s="996" t="str">
        <f>IF(Q14&amp;R14&amp;T14="","",IF(NOT(ISNA(CA10)),CA10,IF(ISNA(CA7),IF(NOT(ISNA(CA4)),CA4,"新規"),CA7)))</f>
        <v/>
      </c>
      <c r="CB14" s="984" t="str">
        <f>IF(Q14&amp;R14&amp;T14="","",IF(NOT(ISNA(CB10)),CB10,IF(ISNA(CB7),IF(NOT(ISNA(CB4)),CB4,"新規"),CB7)))</f>
        <v/>
      </c>
      <c r="CC14" s="996" t="str">
        <f>IF(Q14&amp;R14&amp;T14="","",IF(NOT(ISNA(CC10)),CC10,IF(ISNA(CC7),IF(NOT(ISNA(CC4)),CC4,"新規"),CC7)))</f>
        <v/>
      </c>
      <c r="CD14" s="984" t="str">
        <f>IF(Q14&amp;R14&amp;T14="","",IF(NOT(ISNA(CD10)),CD10,IF(ISNA(CD7),IF(NOT(ISNA(CD4)),CD4,"新規"),CD7)))</f>
        <v/>
      </c>
      <c r="CE14" s="996" t="str">
        <f t="shared" ref="CE14:CI14" si="8">IF(NOT(ISNA(CE10)),CE10,IF(ISNA(CE7),IF(NOT(ISNA(CE4)),CE4,"新規"),CE7))</f>
        <v>新規</v>
      </c>
      <c r="CF14" s="996" t="str">
        <f t="shared" si="8"/>
        <v>新規</v>
      </c>
      <c r="CG14" s="996" t="str">
        <f t="shared" si="8"/>
        <v>新規</v>
      </c>
      <c r="CH14" s="996" t="str">
        <f t="shared" si="8"/>
        <v>新規</v>
      </c>
      <c r="CI14" s="996" t="str">
        <f t="shared" si="8"/>
        <v>新規</v>
      </c>
      <c r="CJ14" s="996" t="str">
        <f>IF(S14&amp;U14="","",IF(NOT(ISNA(CJ10)),VALUE(CJ10),IF(ISNA(CJ7),IF(NOT(ISNA(CJ4)),VALUE(CJ4),""),VALUE(CJ7))))</f>
        <v/>
      </c>
      <c r="CK14" s="984" t="str">
        <f>IF(S14&amp;U14="","",IF(NOT(ISNA(CK10)),VALUE(CK10),IF(ISNA(CK7),IF(NOT(ISNA(CK4)),VALUE(CK4),""),VALUE(CK7))))</f>
        <v/>
      </c>
      <c r="CL14" s="984" t="str">
        <f>IF(S14&amp;U14="","",IF(NOT(ISNA(CL10)),VALUE(CL10),IF(ISNA(CL7),IF(NOT(ISNA(CL4)),VALUE(CL4),""),VALUE(CL7))))</f>
        <v/>
      </c>
      <c r="CM14" s="1748" t="str">
        <f>IF(S14&amp;U14="","",IF(NOT(ISNA(CM10)),VALUE(CM10),IF(ISNA(CM7),IF(NOT(OR(ISNA(CM4),CM4="")),VALUE(CM4),""),IF(CM7="","",VALUE(CM7)))))</f>
        <v/>
      </c>
      <c r="CN14" s="984" t="str">
        <f>IF(S14&amp;U14="","",IF(NOT(ISNA(CN10)),CN10,IF(ISNA(CN7),IF(NOT(ISNA(CN4)),CN4,""),CN7)))</f>
        <v/>
      </c>
      <c r="CO14" s="996" t="str">
        <f>IF(S14&amp;U14="","",IF(NOT(ISNA(CO10)),VALUE(CO10),IF(ISNA(CO7),IF(NOT(ISNA(CO4)),VALUE(CO4),""),VALUE(CO7))))</f>
        <v/>
      </c>
      <c r="CP14" s="984" t="str">
        <f>IF(S14&amp;U14="","",IF(NOT(ISNA(CP10)),VALUE(CP10),IF(ISNA(CP7),IF(NOT(ISNA(CP4)),VALUE(CP4),""),VALUE(CP7))))</f>
        <v/>
      </c>
      <c r="CQ14" s="996" t="str">
        <f>IF(S14&amp;U14="","",IF(NOT(ISNA(CQ10)),VALUE(CQ10),IF(ISNA(CQ7),IF(NOT(ISNA(CQ4)),VALUE(CQ4),""),VALUE(CQ7))))</f>
        <v/>
      </c>
      <c r="CR14" s="984" t="str">
        <f>IF(S14&amp;U14="","",IF(NOT(ISNA(CR10)),VALUE(CR10),IF(ISNA(CR7),IF(NOT(ISNA(CR4)),VALUE(CR4),""),VALUE(CR7))))</f>
        <v/>
      </c>
      <c r="CS14" s="996" t="str">
        <f>IF(S14&amp;U14="","",IF(NOT(ISNA(CS10)),VALUE(CS10),IF(ISNA(CS7),IF(NOT(ISNA(CS4)),VALUE(CS4),""),VALUE(CS7))))</f>
        <v/>
      </c>
      <c r="CT14" s="984" t="str">
        <f>IF(S14&amp;U14="","",IF(NOT(ISNA(CT10)),VALUE(CT10),IF(ISNA(CT7),IF(NOT(OR(ISNA(CT4),CT4="")),VALUE(CT4),""),IF(CT7="","",VALUE(CT7)))))</f>
        <v/>
      </c>
      <c r="CU14" s="996" t="str">
        <f>IF(S14&amp;U14="","",IF(NOT(ISNA(CU10)),CU10,IF(ISNA(CU7),IF(NOT(ISNA(CU4)),CU4,""),CU7)))</f>
        <v/>
      </c>
      <c r="CV14" s="984" t="str">
        <f>IF(S14&amp;U14="","",IF(NOT(ISNA(CV10)),VALUE(CV10),IF(ISNA(CV7),IF(NOT(OR(ISNA(CV4),CV4="")),VALUE(CV4),""),IF(CV7="","",VALUE(CV7)))))</f>
        <v/>
      </c>
      <c r="CW14" s="984" t="str">
        <f t="shared" ref="CW14" si="9">IF(NOT(ISNA(CW10)),CW10,IF(ISNA(CW7),IF(NOT(ISNA(CW4)),CW4,"新規"),CW7))</f>
        <v>新規</v>
      </c>
      <c r="CX14" s="984">
        <f>IF(NOT(ISNA(CX10)),CX10,IF(ISNA(CX7),IF(NOT(ISNA(CX4)),CX4,""),CX7))</f>
        <v>2023</v>
      </c>
      <c r="CY14" s="984">
        <f t="shared" ref="CY14:DB14" si="10">IF(NOT(ISNA(CY10)),CY10,IF(ISNA(CY7),IF(NOT(ISNA(CY4)),CY4,""),CY7))</f>
        <v>0</v>
      </c>
      <c r="CZ14" s="984">
        <f t="shared" si="10"/>
        <v>0</v>
      </c>
      <c r="DA14" s="984" t="str">
        <f>IF(NOT(ISNA(DA10)),DA10,IF(ISNA(DA7),IF(NOT(ISNA(DA4)),DA4,""),DA7))&amp;""</f>
        <v/>
      </c>
      <c r="DB14" s="984" t="str">
        <f t="shared" si="10"/>
        <v>千km</v>
      </c>
      <c r="DC14" s="984" t="str">
        <f>DC10</f>
        <v/>
      </c>
      <c r="DD14" s="996" t="str">
        <f>IF(S14&amp;U14="","",IF(NOT(ISNA(DD10)),DD10,IF(ISNA(DD7),IF(NOT(ISNA(DD4)),DD4,"新規"),DD7)))</f>
        <v/>
      </c>
      <c r="DE14" s="984" t="str">
        <f>IF(S14&amp;U14="","",IF(NOT(ISNA(DE10)),DE10,IF(ISNA(DE7),IF(NOT(ISNA(DE4)),DE4,"新規"),DE7)))</f>
        <v/>
      </c>
      <c r="DF14" s="996" t="str">
        <f>IF(S14&amp;U14="","",IF(NOT(ISNA(DF10)),DF10,IF(ISNA(DF7),IF(NOT(ISNA(DF4)),DF4,"新規"),DF7)))</f>
        <v/>
      </c>
      <c r="DG14" s="984" t="str">
        <f>IF(S14&amp;U14="","",IF(NOT(ISNA(DG10)),DG10,IF(ISNA(DG7),IF(NOT(ISNA(DG4)),DG4,"新規"),DG7)))</f>
        <v/>
      </c>
      <c r="DH14" s="996" t="str">
        <f>IF(S14&amp;U14="","",IF(NOT(ISNA(DH10)),DH10,IF(ISNA(DH7),IF(NOT(ISNA(DH4)),DH4,"新規"),DH7)))</f>
        <v/>
      </c>
      <c r="DI14" s="984" t="str">
        <f>IF(S14&amp;U14="","",IF(NOT(ISNA(DI10)),DI10,IF(ISNA(DI7),IF(NOT(ISNA(DI4)),DI4,"新規"),DI7)))</f>
        <v/>
      </c>
      <c r="DJ14" s="996" t="str">
        <f>IF(S14&amp;U14="","",IF(NOT(ISNA(DJ10)),DJ10,IF(ISNA(DJ7),IF(NOT(ISNA(DJ4)),DJ4,"新規"),DJ7)))</f>
        <v/>
      </c>
      <c r="DK14" s="984" t="str">
        <f>IF(S14&amp;U14="","",IF(NOT(ISNA(DK10)),DK10,IF(ISNA(DK7),IF(NOT(ISNA(DK4)),DK4,"新規"),DK7)))</f>
        <v/>
      </c>
      <c r="DL14" s="996" t="str">
        <f>IF(S14&amp;U14="","",IF(NOT(ISNA(DL10)),DL10,IF(ISNA(DL7),IF(NOT(ISNA(DL4)),DL4,"新規"),DL7)))</f>
        <v/>
      </c>
      <c r="DM14" s="984" t="str">
        <f>IF(S14&amp;U14="","",IF(NOT(ISNA(DM10)),DM10,IF(ISNA(DM7),IF(NOT(ISNA(DM4)),DM4,"新規"),DM7)))</f>
        <v/>
      </c>
      <c r="DN14" s="996" t="str">
        <f>IF(S14&amp;U14="","",IF(NOT(ISNA(DN10)),DN10,IF(ISNA(DN7),IF(NOT(ISNA(DN4)),DN4,"新規"),DN7)))</f>
        <v/>
      </c>
      <c r="DO14" s="984" t="str">
        <f>IF(S14&amp;U14="","",IF(NOT(ISNA(DO10)),DO10,IF(ISNA(DO7),IF(NOT(ISNA(DO4)),DO4,"新規"),DO7)))</f>
        <v/>
      </c>
      <c r="DP14" s="996" t="str">
        <f>IF(S14&amp;U14="","",IF(NOT(ISNA(DP10)),DP10,IF(ISNA(DP7),IF(NOT(ISNA(DP4)),DP4,"新規"),DP7)))</f>
        <v/>
      </c>
      <c r="DQ14" s="984" t="str">
        <f>IF(S14&amp;U14="","",IF(NOT(ISNA(DQ10)),DQ10,IF(ISNA(DQ7),IF(NOT(ISNA(DQ4)),DQ4,"新規"),DQ7)))</f>
        <v/>
      </c>
      <c r="DR14" s="996" t="str">
        <f>IF(S14&amp;U14="","",IF(NOT(ISNA(DR10)),DR10,IF(ISNA(DR7),IF(NOT(ISNA(DR4)),DR4,"新規"),DR7)))</f>
        <v/>
      </c>
      <c r="DS14" s="984" t="str">
        <f>IF(S14&amp;U14="","",IF(NOT(ISNA(DS10)),DS10,IF(ISNA(DS7),IF(NOT(ISNA(DS4)),DS4,"新規"),DS7)))</f>
        <v/>
      </c>
      <c r="DT14" s="996" t="str">
        <f>IF(S14&amp;U14="","",IF(NOT(ISNA(DT10)),DT10,IF(ISNA(DT7),IF(NOT(ISNA(DT4)),DT4,"新規"),DT7)))</f>
        <v/>
      </c>
      <c r="DU14" s="984" t="str">
        <f>IF(S14&amp;U14="","",IF(NOT(ISNA(DU10)),DU10,IF(ISNA(DU7),IF(NOT(ISNA(DU4)),DU4,"新規"),DU7)))</f>
        <v/>
      </c>
      <c r="DV14" s="996" t="str">
        <f>IF(S14&amp;U14="","",IF(NOT(ISNA(DV10)),DV10,IF(ISNA(DV7),IF(NOT(ISNA(DV4)),DV4,"新規"),DV7)))</f>
        <v/>
      </c>
      <c r="DW14" s="984" t="str">
        <f>IF(S14&amp;U14="","",IF(NOT(ISNA(DW10)),DW10,IF(ISNA(DW7),IF(NOT(ISNA(DW4)),DW4,"新規"),DW7)))</f>
        <v/>
      </c>
      <c r="DX14" s="996" t="str">
        <f>IF(S14&amp;U14="","",IF(NOT(ISNA(DX10)),DX10,IF(ISNA(DX7),IF(NOT(ISNA(DX4)),DX4,"新規"),DX7)))</f>
        <v/>
      </c>
      <c r="DY14" s="984" t="str">
        <f>IF(S14&amp;U14="","",IF(NOT(ISNA(DY10)),DY10,IF(ISNA(DY7),IF(NOT(ISNA(DY4)),DY4,"新規"),DY7)))</f>
        <v/>
      </c>
      <c r="DZ14" s="996" t="str">
        <f>IF(S14&amp;U14="","",IF(NOT(ISNA(DZ10)),DZ10,IF(ISNA(DZ7),IF(NOT(ISNA(DZ4)),DZ4,"新規"),DZ7)))</f>
        <v/>
      </c>
      <c r="EA14" s="984" t="str">
        <f>IF(S14&amp;U14="","",IF(NOT(ISNA(EA10)),EA10,IF(ISNA(EA7),IF(NOT(ISNA(EA4)),EA4,"新規"),EA7)))</f>
        <v/>
      </c>
      <c r="EB14" s="996" t="str">
        <f t="shared" ref="EB14:EE14" si="11">IF(NOT(ISNA(EB10)),EB10,IF(ISNA(EB7),IF(NOT(ISNA(EB4)),EB4,"新規"),EB7))</f>
        <v>新規</v>
      </c>
      <c r="EC14" s="996" t="str">
        <f t="shared" si="11"/>
        <v>新規</v>
      </c>
      <c r="ED14" s="996" t="str">
        <f t="shared" si="11"/>
        <v>新規</v>
      </c>
      <c r="EE14" s="996" t="str">
        <f t="shared" si="11"/>
        <v>新規</v>
      </c>
      <c r="EF14" s="983" t="b">
        <f>Q14="1号"</f>
        <v>0</v>
      </c>
      <c r="EG14" s="983" t="b">
        <f>R14="2号"</f>
        <v>0</v>
      </c>
      <c r="EH14" s="983" t="b">
        <f>S14="3号"</f>
        <v>0</v>
      </c>
      <c r="EI14" s="983" t="b">
        <f>OR(EJ14:EK14)</f>
        <v>0</v>
      </c>
      <c r="EJ14" s="983" t="b">
        <f>T14="任意12号"</f>
        <v>0</v>
      </c>
      <c r="EK14" s="983" t="b">
        <f>U14="任意3号"</f>
        <v>0</v>
      </c>
      <c r="EL14" s="983" t="b">
        <f>AF14="有"</f>
        <v>0</v>
      </c>
      <c r="EM14" s="983" t="b">
        <f>AH14="有"</f>
        <v>0</v>
      </c>
      <c r="EN14" s="983" t="b">
        <f>AL14="有"</f>
        <v>0</v>
      </c>
      <c r="EO14" s="880">
        <f>IF(NOT(ISNA(EO4)),EO4,IF(NOT(ISNA(EO7)),EO7,0))</f>
        <v>0</v>
      </c>
      <c r="EP14" s="880">
        <f t="shared" ref="EP14:EQ14" si="12">IF(NOT(ISNA(EP4)),EP4,IF(NOT(ISNA(EP7)),EP7,0))</f>
        <v>0</v>
      </c>
      <c r="EQ14" s="880">
        <f t="shared" si="12"/>
        <v>0</v>
      </c>
    </row>
    <row r="15" spans="1:147" s="495" customFormat="1" ht="31.15" customHeight="1">
      <c r="A15" s="495" t="s">
        <v>4222</v>
      </c>
      <c r="F15" s="495" t="str">
        <f>報1!M2</f>
        <v>新規</v>
      </c>
      <c r="I15" s="495" t="str">
        <f>報1!I7</f>
        <v/>
      </c>
      <c r="J15" s="495" t="str">
        <f>報1!$I$8</f>
        <v/>
      </c>
      <c r="K15" s="495" t="str">
        <f>報1!$I$9</f>
        <v/>
      </c>
      <c r="L15" s="495" t="str">
        <f>報1!$D$14</f>
        <v/>
      </c>
      <c r="M15" s="495" t="str">
        <f>報1!$D$15</f>
        <v/>
      </c>
      <c r="N15" s="495" t="str">
        <f>報1!$D$16</f>
        <v/>
      </c>
      <c r="O15" s="495" t="str">
        <f>報1!$F$17</f>
        <v/>
      </c>
      <c r="P15" s="495" t="str">
        <f>報1!$F$18</f>
        <v/>
      </c>
      <c r="V15" s="495">
        <f>'使用量_1,2'!H18</f>
        <v>0</v>
      </c>
      <c r="W15" s="495">
        <f>'使用量_1,2'!H19</f>
        <v>0</v>
      </c>
      <c r="X15" s="495">
        <f ca="1">報1!G23</f>
        <v>0</v>
      </c>
      <c r="Y15" s="495">
        <f>報1!L23</f>
        <v>0</v>
      </c>
      <c r="Z15" s="495">
        <f>報1!L24</f>
        <v>0</v>
      </c>
      <c r="AA15" s="495">
        <f>報1!G25</f>
        <v>0</v>
      </c>
      <c r="AB15" s="495" t="str">
        <f>使用量_3!D43</f>
        <v/>
      </c>
      <c r="AC15" s="495">
        <f>報1!D28</f>
        <v>2024</v>
      </c>
      <c r="AD15" s="495">
        <f>報1!G28</f>
        <v>2026</v>
      </c>
      <c r="AE15" s="495">
        <f>報1!L28</f>
        <v>2023</v>
      </c>
      <c r="AG15" s="495" t="str">
        <f>報1!F31</f>
        <v/>
      </c>
      <c r="AI15" s="495" t="str">
        <f>報1!F32</f>
        <v/>
      </c>
      <c r="AJ15" s="495" t="str">
        <f>報1!F33</f>
        <v/>
      </c>
      <c r="AK15" s="495" t="str">
        <f>報1!F34</f>
        <v/>
      </c>
      <c r="AM15" s="495" t="str">
        <f>報1!D35</f>
        <v/>
      </c>
      <c r="BB15" s="995"/>
      <c r="DS15" s="495" t="b">
        <f>報1!$P$7</f>
        <v>0</v>
      </c>
      <c r="DT15" s="495" t="b">
        <f>報1!$P$8</f>
        <v>0</v>
      </c>
      <c r="DU15" s="495" t="b">
        <f>報1!$P$8</f>
        <v>0</v>
      </c>
      <c r="DV15" s="495" t="b">
        <f>報1!$P$12</f>
        <v>0</v>
      </c>
      <c r="DW15" s="495" t="b">
        <f>報1!$P$10</f>
        <v>0</v>
      </c>
      <c r="DX15" s="495" t="b">
        <f>報1!$P$11</f>
        <v>0</v>
      </c>
    </row>
    <row r="16" spans="1:147" s="495" customFormat="1" ht="42" customHeight="1">
      <c r="A16" s="977" t="s">
        <v>4223</v>
      </c>
      <c r="B16" s="977"/>
      <c r="C16" s="977"/>
      <c r="D16" s="977"/>
      <c r="E16" s="977"/>
      <c r="F16" s="978" t="str">
        <f t="shared" ref="F16" ca="1" si="13">_xlfn.FORMULATEXT(F15)</f>
        <v>=報1!M2</v>
      </c>
      <c r="G16" s="978"/>
      <c r="H16" s="978"/>
      <c r="I16" s="978" t="str">
        <f t="shared" ref="I16:P16" ca="1" si="14">_xlfn.FORMULATEXT(I15)</f>
        <v>=報1!I7</v>
      </c>
      <c r="J16" s="978" t="str">
        <f t="shared" ca="1" si="14"/>
        <v>=報1!$I$8</v>
      </c>
      <c r="K16" s="978" t="str">
        <f t="shared" ca="1" si="14"/>
        <v>=報1!$I$9</v>
      </c>
      <c r="L16" s="978" t="str">
        <f t="shared" ca="1" si="14"/>
        <v>=報1!$D$14</v>
      </c>
      <c r="M16" s="978" t="str">
        <f t="shared" ca="1" si="14"/>
        <v>=報1!$D$15</v>
      </c>
      <c r="N16" s="978" t="str">
        <f t="shared" ca="1" si="14"/>
        <v>=報1!$D$16</v>
      </c>
      <c r="O16" s="978" t="str">
        <f t="shared" ca="1" si="14"/>
        <v>=報1!$F$17</v>
      </c>
      <c r="P16" s="978" t="str">
        <f t="shared" ca="1" si="14"/>
        <v>=報1!$F$18</v>
      </c>
      <c r="Q16" s="978"/>
      <c r="R16" s="977"/>
      <c r="S16" s="977"/>
      <c r="T16" s="977"/>
      <c r="U16" s="977"/>
      <c r="V16" s="978" t="str">
        <f ca="1">_xlfn.FORMULATEXT(V15)</f>
        <v>='使用量_1,2'!H18</v>
      </c>
      <c r="W16" s="978" t="str">
        <f ca="1">_xlfn.FORMULATEXT(W15)</f>
        <v>='使用量_1,2'!H19</v>
      </c>
      <c r="X16" s="978" t="str">
        <f ca="1">_xlfn.FORMULATEXT(X15)</f>
        <v>=報1!G23</v>
      </c>
      <c r="Y16" s="978" t="str">
        <f t="shared" ref="Y16:AA16" ca="1" si="15">_xlfn.FORMULATEXT(Y15)</f>
        <v>=報1!L23</v>
      </c>
      <c r="Z16" s="978" t="str">
        <f t="shared" ca="1" si="15"/>
        <v>=報1!L24</v>
      </c>
      <c r="AA16" s="978" t="str">
        <f t="shared" ca="1" si="15"/>
        <v>=報1!G25</v>
      </c>
      <c r="AB16" s="978" t="str">
        <f t="shared" ref="AB16" ca="1" si="16">_xlfn.FORMULATEXT(AB15)</f>
        <v>=使用量_3!D43</v>
      </c>
      <c r="AC16" s="978" t="str">
        <f t="shared" ref="AC16" ca="1" si="17">_xlfn.FORMULATEXT(AC15)</f>
        <v>=報1!D28</v>
      </c>
      <c r="AD16" s="978" t="str">
        <f t="shared" ref="AD16" ca="1" si="18">_xlfn.FORMULATEXT(AD15)</f>
        <v>=報1!G28</v>
      </c>
      <c r="AE16" s="978" t="str">
        <f t="shared" ref="AE16:AG16" ca="1" si="19">_xlfn.FORMULATEXT(AE15)</f>
        <v>=報1!L28</v>
      </c>
      <c r="AF16" s="977"/>
      <c r="AG16" s="978" t="str">
        <f t="shared" ca="1" si="19"/>
        <v>=報1!F31</v>
      </c>
      <c r="AH16" s="977"/>
      <c r="AI16" s="978" t="str">
        <f t="shared" ref="AI16" ca="1" si="20">_xlfn.FORMULATEXT(AI15)</f>
        <v>=報1!F32</v>
      </c>
      <c r="AJ16" s="978" t="str">
        <f t="shared" ref="AJ16" ca="1" si="21">_xlfn.FORMULATEXT(AJ15)</f>
        <v>=報1!F33</v>
      </c>
      <c r="AK16" s="978" t="str">
        <f t="shared" ref="AK16:AM16" ca="1" si="22">_xlfn.FORMULATEXT(AK15)</f>
        <v>=報1!F34</v>
      </c>
      <c r="AL16" s="977"/>
      <c r="AM16" s="978" t="str">
        <f t="shared" ca="1" si="22"/>
        <v>=報1!D35</v>
      </c>
      <c r="AN16" s="977"/>
      <c r="AO16" s="978"/>
      <c r="AP16" s="978"/>
      <c r="AQ16" s="978"/>
      <c r="AR16" s="978"/>
      <c r="AS16" s="977"/>
      <c r="AT16" s="978"/>
      <c r="AU16" s="977"/>
      <c r="AV16" s="978"/>
      <c r="AW16" s="977"/>
      <c r="AY16" s="977"/>
      <c r="AZ16" s="977"/>
      <c r="BA16" s="977"/>
      <c r="BB16" s="977"/>
      <c r="BC16" s="977"/>
      <c r="BD16" s="977"/>
      <c r="BE16" s="977"/>
      <c r="BF16" s="977"/>
      <c r="BG16" s="977"/>
      <c r="BH16" s="977"/>
      <c r="BI16" s="977"/>
      <c r="BJ16" s="977"/>
      <c r="BK16" s="977"/>
      <c r="BL16" s="977"/>
      <c r="BM16" s="977"/>
      <c r="BN16" s="977"/>
      <c r="BO16" s="977"/>
      <c r="BP16" s="977"/>
      <c r="BQ16" s="977"/>
      <c r="BR16" s="977"/>
      <c r="BS16" s="977"/>
      <c r="BT16" s="977"/>
      <c r="BU16" s="977"/>
      <c r="BV16" s="977"/>
      <c r="BW16" s="977"/>
      <c r="BX16" s="977"/>
      <c r="BY16" s="977"/>
      <c r="BZ16" s="977"/>
      <c r="CA16" s="977"/>
      <c r="CB16" s="977"/>
      <c r="CC16" s="977"/>
      <c r="CD16" s="977"/>
      <c r="CE16" s="977"/>
      <c r="CF16" s="977"/>
      <c r="CG16" s="977"/>
      <c r="CH16" s="977"/>
      <c r="CI16" s="977"/>
      <c r="CJ16" s="977"/>
      <c r="CK16" s="977"/>
      <c r="CL16" s="977"/>
      <c r="CM16" s="977"/>
      <c r="CN16" s="977"/>
      <c r="CO16" s="977"/>
      <c r="CP16" s="977"/>
      <c r="CQ16" s="977"/>
      <c r="CR16" s="977"/>
      <c r="CS16" s="977"/>
      <c r="CT16" s="977"/>
      <c r="CU16" s="977"/>
      <c r="CV16" s="977"/>
      <c r="CW16" s="977"/>
      <c r="CX16" s="977"/>
      <c r="CY16" s="977"/>
      <c r="CZ16" s="977"/>
      <c r="DA16" s="977"/>
      <c r="DB16" s="977"/>
      <c r="DC16" s="977"/>
      <c r="DD16" s="977"/>
      <c r="DE16" s="977"/>
      <c r="DF16" s="977"/>
      <c r="DG16" s="977"/>
      <c r="DH16" s="977"/>
      <c r="DI16" s="977"/>
      <c r="DJ16" s="977"/>
      <c r="DK16" s="977"/>
      <c r="DL16" s="977"/>
      <c r="DM16" s="977"/>
      <c r="DN16" s="977"/>
      <c r="DO16" s="977"/>
      <c r="DP16" s="977"/>
      <c r="DQ16" s="977"/>
      <c r="DR16" s="977"/>
      <c r="DS16" s="978" t="str">
        <f t="shared" ref="DS16:DX16" ca="1" si="23">_xlfn.FORMULATEXT(DS15)</f>
        <v>=報1!$P$7</v>
      </c>
      <c r="DT16" s="978" t="str">
        <f t="shared" ca="1" si="23"/>
        <v>=報1!$P$8</v>
      </c>
      <c r="DU16" s="978" t="str">
        <f t="shared" ca="1" si="23"/>
        <v>=報1!$P$8</v>
      </c>
      <c r="DV16" s="978" t="str">
        <f t="shared" ca="1" si="23"/>
        <v>=報1!$P$12</v>
      </c>
      <c r="DW16" s="978" t="str">
        <f t="shared" ca="1" si="23"/>
        <v>=報1!$P$10</v>
      </c>
      <c r="DX16" s="978" t="str">
        <f t="shared" ca="1" si="23"/>
        <v>=報1!$P$11</v>
      </c>
    </row>
    <row r="17" spans="1:128" s="495" customFormat="1" ht="40.9" customHeight="1">
      <c r="A17" s="495" t="s">
        <v>4224</v>
      </c>
      <c r="F17" s="495" t="str">
        <f t="shared" ref="F17" ca="1" si="24">"="&amp;$B$2&amp;"!"&amp;CELL("address",F14)</f>
        <v>=参照元!$F$14</v>
      </c>
      <c r="I17" s="495" t="str">
        <f t="shared" ref="I17:P17" ca="1" si="25">"="&amp;$B$2&amp;"!"&amp;CELL("address",I14)</f>
        <v>=参照元!$I$14</v>
      </c>
      <c r="J17" s="495" t="str">
        <f t="shared" ca="1" si="25"/>
        <v>=参照元!$J$14</v>
      </c>
      <c r="K17" s="495" t="str">
        <f t="shared" ca="1" si="25"/>
        <v>=参照元!$K$14</v>
      </c>
      <c r="L17" s="495" t="str">
        <f t="shared" ca="1" si="25"/>
        <v>=参照元!$L$14</v>
      </c>
      <c r="M17" s="495" t="str">
        <f t="shared" ca="1" si="25"/>
        <v>=参照元!$M$14</v>
      </c>
      <c r="N17" s="495" t="str">
        <f t="shared" ca="1" si="25"/>
        <v>=参照元!$N$14</v>
      </c>
      <c r="O17" s="495" t="str">
        <f t="shared" ca="1" si="25"/>
        <v>=参照元!$O$14</v>
      </c>
      <c r="P17" s="495" t="str">
        <f t="shared" ca="1" si="25"/>
        <v>=参照元!$P$14</v>
      </c>
      <c r="V17" s="495" t="str">
        <f ca="1">"="&amp;$B$2&amp;"!"&amp;CELL("address",V14)</f>
        <v>=参照元!$V$14</v>
      </c>
      <c r="W17" s="495" t="str">
        <f ca="1">"="&amp;$B$2&amp;"!"&amp;CELL("address",W14)</f>
        <v>=参照元!$W$14</v>
      </c>
      <c r="X17" s="495" t="str">
        <f ca="1">"="&amp;$B$2&amp;"!"&amp;CELL("address",X14)</f>
        <v>=参照元!$X$14</v>
      </c>
      <c r="Y17" s="495" t="str">
        <f t="shared" ref="Y17:AA17" ca="1" si="26">"="&amp;$B$2&amp;"!"&amp;CELL("address",Y14)</f>
        <v>=参照元!$Y$14</v>
      </c>
      <c r="Z17" s="495" t="str">
        <f t="shared" ca="1" si="26"/>
        <v>=参照元!$Z$14</v>
      </c>
      <c r="AA17" s="495" t="str">
        <f t="shared" ca="1" si="26"/>
        <v>=参照元!$AA$14</v>
      </c>
      <c r="AB17" s="495" t="str">
        <f t="shared" ref="AB17" ca="1" si="27">"="&amp;$B$2&amp;"!"&amp;CELL("address",AB14)</f>
        <v>=参照元!$AB$14</v>
      </c>
      <c r="AC17" s="495" t="str">
        <f t="shared" ref="AC17:AE17" ca="1" si="28">"="&amp;$B$2&amp;"!"&amp;CELL("address",AC14)</f>
        <v>=参照元!$AC$14</v>
      </c>
      <c r="AD17" s="495" t="str">
        <f t="shared" ca="1" si="28"/>
        <v>=参照元!$AD$14</v>
      </c>
      <c r="AE17" s="495" t="str">
        <f t="shared" ca="1" si="28"/>
        <v>=参照元!$AE$14</v>
      </c>
      <c r="AG17" s="495" t="str">
        <f t="shared" ref="AG17:AK17" ca="1" si="29">"="&amp;$B$2&amp;"!"&amp;CELL("address",AG14)</f>
        <v>=参照元!$AG$14</v>
      </c>
      <c r="AI17" s="495" t="str">
        <f t="shared" ca="1" si="29"/>
        <v>=参照元!$AI$14</v>
      </c>
      <c r="AJ17" s="495" t="str">
        <f t="shared" ca="1" si="29"/>
        <v>=参照元!$AJ$14</v>
      </c>
      <c r="AK17" s="495" t="str">
        <f t="shared" ca="1" si="29"/>
        <v>=参照元!$AK$14</v>
      </c>
      <c r="AM17" s="495" t="str">
        <f t="shared" ref="AM17" ca="1" si="30">"="&amp;$B$2&amp;"!"&amp;CELL("address",AM14)</f>
        <v>=参照元!$AM$14</v>
      </c>
      <c r="DS17" s="495" t="str">
        <f t="shared" ref="DS17:DX17" ca="1" si="31">"="&amp;$B$2&amp;"!"&amp;CELL("address",EF14)</f>
        <v>=参照元!$EF$14</v>
      </c>
      <c r="DT17" s="495" t="str">
        <f t="shared" ca="1" si="31"/>
        <v>=参照元!$EG$14</v>
      </c>
      <c r="DU17" s="495" t="str">
        <f t="shared" ca="1" si="31"/>
        <v>=参照元!$EH$14</v>
      </c>
      <c r="DV17" s="495" t="str">
        <f t="shared" ca="1" si="31"/>
        <v>=参照元!$EI$14</v>
      </c>
      <c r="DW17" s="495" t="str">
        <f t="shared" ca="1" si="31"/>
        <v>=参照元!$EJ$14</v>
      </c>
      <c r="DX17" s="495" t="str">
        <f t="shared" ca="1" si="31"/>
        <v>=参照元!$EK$14</v>
      </c>
    </row>
    <row r="18" spans="1:128" s="495" customFormat="1" ht="15.6" customHeight="1">
      <c r="A18" s="495" t="s">
        <v>4220</v>
      </c>
      <c r="F18" t="str">
        <f t="shared" ref="F18" ca="1" si="32">LEFT(RIGHT(F16,LEN(F16)-1),FIND("!",RIGHT(F16,LEN(F16)-1))-1)</f>
        <v>報1</v>
      </c>
      <c r="G18"/>
      <c r="H18"/>
      <c r="I18" t="str">
        <f ca="1">LEFT(RIGHT(I16,LEN(I16)-1),FIND("!",RIGHT(I16,LEN(I16)-1))-1)</f>
        <v>報1</v>
      </c>
      <c r="J18" s="495" t="str">
        <f t="shared" ref="J18:P18" ca="1" si="33">RIGHT(CELL("filename",INDIRECT(RIGHT(J16,LEN(J16)-1))),LEN(CELL("filename",INDIRECT(RIGHT(J16,LEN(J16)-1))))-FIND("]",CELL("filename",INDIRECT(RIGHT(J16,LEN(J16)-1)))))</f>
        <v>報1</v>
      </c>
      <c r="K18" s="495" t="str">
        <f t="shared" ca="1" si="33"/>
        <v>報1</v>
      </c>
      <c r="L18" s="495" t="str">
        <f t="shared" ca="1" si="33"/>
        <v>報1</v>
      </c>
      <c r="M18" s="495" t="str">
        <f t="shared" ca="1" si="33"/>
        <v>報1</v>
      </c>
      <c r="N18" s="495" t="str">
        <f t="shared" ca="1" si="33"/>
        <v>報1</v>
      </c>
      <c r="O18" s="495" t="str">
        <f t="shared" ca="1" si="33"/>
        <v>報1</v>
      </c>
      <c r="P18" s="495" t="str">
        <f t="shared" ca="1" si="33"/>
        <v>報1</v>
      </c>
      <c r="V18" s="495" t="str">
        <f ca="1">RIGHT(CELL("filename",INDIRECT(RIGHT(V16,LEN(V16)-1))),LEN(CELL("filename",INDIRECT(RIGHT(V16,LEN(V16)-1))))-FIND("]",CELL("filename",INDIRECT(RIGHT(V16,LEN(V16)-1)))))</f>
        <v>使用量_1,2</v>
      </c>
      <c r="W18" s="495" t="str">
        <f ca="1">RIGHT(CELL("filename",INDIRECT(RIGHT(W16,LEN(W16)-1))),LEN(CELL("filename",INDIRECT(RIGHT(W16,LEN(W16)-1))))-FIND("]",CELL("filename",INDIRECT(RIGHT(W16,LEN(W16)-1)))))</f>
        <v>使用量_1,2</v>
      </c>
      <c r="X18" s="495" t="str">
        <f ca="1">RIGHT(CELL("filename",INDIRECT(RIGHT(X16,LEN(X16)-1))),LEN(CELL("filename",INDIRECT(RIGHT(X16,LEN(X16)-1))))-FIND("]",CELL("filename",INDIRECT(RIGHT(X16,LEN(X16)-1)))))</f>
        <v>報1</v>
      </c>
      <c r="Y18" s="495" t="str">
        <f t="shared" ref="Y18:AA18" ca="1" si="34">RIGHT(CELL("filename",INDIRECT(RIGHT(Y16,LEN(Y16)-1))),LEN(CELL("filename",INDIRECT(RIGHT(Y16,LEN(Y16)-1))))-FIND("]",CELL("filename",INDIRECT(RIGHT(Y16,LEN(Y16)-1)))))</f>
        <v>報1</v>
      </c>
      <c r="Z18" s="495" t="str">
        <f t="shared" ca="1" si="34"/>
        <v>報1</v>
      </c>
      <c r="AA18" s="495" t="str">
        <f t="shared" ca="1" si="34"/>
        <v>報1</v>
      </c>
      <c r="AB18" s="495" t="str">
        <f t="shared" ref="AB18" ca="1" si="35">RIGHT(CELL("filename",INDIRECT(RIGHT(AB16,LEN(AB16)-1))),LEN(CELL("filename",INDIRECT(RIGHT(AB16,LEN(AB16)-1))))-FIND("]",CELL("filename",INDIRECT(RIGHT(AB16,LEN(AB16)-1)))))</f>
        <v>使用量_3</v>
      </c>
      <c r="AC18" s="495" t="str">
        <f t="shared" ref="AC18:AE18" ca="1" si="36">RIGHT(CELL("filename",INDIRECT(RIGHT(AC16,LEN(AC16)-1))),LEN(CELL("filename",INDIRECT(RIGHT(AC16,LEN(AC16)-1))))-FIND("]",CELL("filename",INDIRECT(RIGHT(AC16,LEN(AC16)-1)))))</f>
        <v>報1</v>
      </c>
      <c r="AD18" s="495" t="str">
        <f t="shared" ca="1" si="36"/>
        <v>報1</v>
      </c>
      <c r="AE18" s="495" t="str">
        <f t="shared" ca="1" si="36"/>
        <v>報1</v>
      </c>
      <c r="AG18" s="495" t="str">
        <f t="shared" ref="AG18:AK18" ca="1" si="37">RIGHT(CELL("filename",INDIRECT(RIGHT(AG16,LEN(AG16)-1))),LEN(CELL("filename",INDIRECT(RIGHT(AG16,LEN(AG16)-1))))-FIND("]",CELL("filename",INDIRECT(RIGHT(AG16,LEN(AG16)-1)))))</f>
        <v>報1</v>
      </c>
      <c r="AI18" s="495" t="str">
        <f t="shared" ca="1" si="37"/>
        <v>報1</v>
      </c>
      <c r="AJ18" s="495" t="str">
        <f t="shared" ca="1" si="37"/>
        <v>報1</v>
      </c>
      <c r="AK18" s="495" t="str">
        <f t="shared" ca="1" si="37"/>
        <v>報1</v>
      </c>
      <c r="AM18" s="495" t="str">
        <f t="shared" ref="AM18" ca="1" si="38">RIGHT(CELL("filename",INDIRECT(RIGHT(AM16,LEN(AM16)-1))),LEN(CELL("filename",INDIRECT(RIGHT(AM16,LEN(AM16)-1))))-FIND("]",CELL("filename",INDIRECT(RIGHT(AM16,LEN(AM16)-1)))))</f>
        <v>報1</v>
      </c>
      <c r="DS18" s="495" t="str">
        <f t="shared" ref="DS18:DX18" ca="1" si="39">RIGHT(CELL("filename",INDIRECT(RIGHT(DS16,LEN(DS16)-1))),LEN(CELL("filename",INDIRECT(RIGHT(DS16,LEN(DS16)-1))))-FIND("]",CELL("filename",INDIRECT(RIGHT(DS16,LEN(DS16)-1)))))</f>
        <v>報1</v>
      </c>
      <c r="DT18" s="495" t="str">
        <f t="shared" ca="1" si="39"/>
        <v>報1</v>
      </c>
      <c r="DU18" s="495" t="str">
        <f t="shared" ca="1" si="39"/>
        <v>報1</v>
      </c>
      <c r="DV18" s="495" t="str">
        <f t="shared" ca="1" si="39"/>
        <v>報1</v>
      </c>
      <c r="DW18" s="495" t="str">
        <f t="shared" ca="1" si="39"/>
        <v>報1</v>
      </c>
      <c r="DX18" s="495" t="str">
        <f t="shared" ca="1" si="39"/>
        <v>報1</v>
      </c>
    </row>
    <row r="19" spans="1:128" s="495" customFormat="1" ht="15.6" customHeight="1">
      <c r="A19" s="495" t="s">
        <v>4221</v>
      </c>
      <c r="F19" t="str">
        <f t="shared" ref="F19" ca="1" si="40">RIGHT(F16,LEN(F16)-FIND("!",F16))</f>
        <v>M2</v>
      </c>
      <c r="G19"/>
      <c r="H19"/>
      <c r="I19" t="str">
        <f t="shared" ref="I19:P19" ca="1" si="41">RIGHT(I16,LEN(I16)-FIND("!",I16))</f>
        <v>I7</v>
      </c>
      <c r="J19" t="str">
        <f t="shared" ca="1" si="41"/>
        <v>$I$8</v>
      </c>
      <c r="K19" t="str">
        <f t="shared" ca="1" si="41"/>
        <v>$I$9</v>
      </c>
      <c r="L19" t="str">
        <f t="shared" ca="1" si="41"/>
        <v>$D$14</v>
      </c>
      <c r="M19" t="str">
        <f t="shared" ca="1" si="41"/>
        <v>$D$15</v>
      </c>
      <c r="N19" t="str">
        <f t="shared" ca="1" si="41"/>
        <v>$D$16</v>
      </c>
      <c r="O19" t="str">
        <f t="shared" ca="1" si="41"/>
        <v>$F$17</v>
      </c>
      <c r="P19" t="str">
        <f t="shared" ca="1" si="41"/>
        <v>$F$18</v>
      </c>
      <c r="Q19"/>
      <c r="V19" t="str">
        <f ca="1">RIGHT(V16,LEN(V16)-FIND("!",V16))</f>
        <v>H18</v>
      </c>
      <c r="W19" t="str">
        <f ca="1">RIGHT(W16,LEN(W16)-FIND("!",W16))</f>
        <v>H19</v>
      </c>
      <c r="X19" t="str">
        <f ca="1">RIGHT(X16,LEN(X16)-FIND("!",X16))</f>
        <v>G23</v>
      </c>
      <c r="Y19" t="str">
        <f t="shared" ref="Y19:AA19" ca="1" si="42">RIGHT(Y16,LEN(Y16)-FIND("!",Y16))</f>
        <v>L23</v>
      </c>
      <c r="Z19" t="str">
        <f t="shared" ca="1" si="42"/>
        <v>L24</v>
      </c>
      <c r="AA19" t="str">
        <f t="shared" ca="1" si="42"/>
        <v>G25</v>
      </c>
      <c r="AB19" t="str">
        <f t="shared" ref="AB19" ca="1" si="43">RIGHT(AB16,LEN(AB16)-FIND("!",AB16))</f>
        <v>D43</v>
      </c>
      <c r="AC19" t="str">
        <f t="shared" ref="AC19:AE19" ca="1" si="44">RIGHT(AC16,LEN(AC16)-FIND("!",AC16))</f>
        <v>D28</v>
      </c>
      <c r="AD19" t="str">
        <f t="shared" ca="1" si="44"/>
        <v>G28</v>
      </c>
      <c r="AE19" t="str">
        <f t="shared" ca="1" si="44"/>
        <v>L28</v>
      </c>
      <c r="AG19" t="str">
        <f t="shared" ref="AG19:AK19" ca="1" si="45">RIGHT(AG16,LEN(AG16)-FIND("!",AG16))</f>
        <v>F31</v>
      </c>
      <c r="AI19" t="str">
        <f t="shared" ca="1" si="45"/>
        <v>F32</v>
      </c>
      <c r="AJ19" t="str">
        <f t="shared" ca="1" si="45"/>
        <v>F33</v>
      </c>
      <c r="AK19" t="str">
        <f t="shared" ca="1" si="45"/>
        <v>F34</v>
      </c>
      <c r="AM19" t="str">
        <f t="shared" ref="AM19" ca="1" si="46">RIGHT(AM16,LEN(AM16)-FIND("!",AM16))</f>
        <v>D35</v>
      </c>
      <c r="AO19"/>
      <c r="AP19"/>
      <c r="AQ19"/>
      <c r="AR19"/>
      <c r="AT19"/>
      <c r="AV19"/>
      <c r="DS19" t="str">
        <f t="shared" ref="DS19:DX19" ca="1" si="47">RIGHT(DS16,LEN(DS16)-FIND("!",DS16))</f>
        <v>$P$7</v>
      </c>
      <c r="DT19" t="str">
        <f t="shared" ca="1" si="47"/>
        <v>$P$8</v>
      </c>
      <c r="DU19" t="str">
        <f t="shared" ca="1" si="47"/>
        <v>$P$8</v>
      </c>
      <c r="DV19" t="str">
        <f t="shared" ca="1" si="47"/>
        <v>$P$12</v>
      </c>
      <c r="DW19" t="str">
        <f t="shared" ca="1" si="47"/>
        <v>$P$10</v>
      </c>
      <c r="DX19" t="str">
        <f t="shared" ca="1" si="47"/>
        <v>$P$11</v>
      </c>
    </row>
    <row r="20" spans="1:128" s="495" customFormat="1" ht="42" customHeight="1">
      <c r="A20" s="977"/>
      <c r="B20" s="977"/>
      <c r="C20" s="977"/>
      <c r="D20" s="977"/>
      <c r="E20" s="977"/>
      <c r="F20" s="977"/>
      <c r="G20" s="977"/>
      <c r="H20" s="977"/>
      <c r="I20" s="978"/>
      <c r="J20" s="978"/>
      <c r="K20" s="978"/>
      <c r="L20" s="978"/>
      <c r="M20" s="978"/>
      <c r="N20" s="978"/>
      <c r="O20" s="978"/>
      <c r="P20" s="978"/>
      <c r="Q20" s="978"/>
      <c r="R20" s="977"/>
      <c r="S20" s="977"/>
      <c r="T20" s="977"/>
      <c r="U20" s="977"/>
      <c r="V20" s="977"/>
      <c r="W20" s="977"/>
      <c r="X20" s="977"/>
      <c r="Y20" s="977"/>
      <c r="Z20" s="977"/>
      <c r="AA20" s="977"/>
      <c r="AB20" s="977"/>
      <c r="AC20" s="977"/>
      <c r="AD20" s="977"/>
      <c r="AE20" s="977"/>
      <c r="AF20" s="977"/>
      <c r="AG20" s="977"/>
      <c r="AH20" s="977"/>
      <c r="AI20" s="977"/>
      <c r="AJ20" s="977"/>
      <c r="AK20" s="977"/>
      <c r="AL20" s="977"/>
      <c r="AM20" s="977"/>
      <c r="AN20" s="977"/>
      <c r="AO20" s="977"/>
      <c r="AP20" s="977"/>
      <c r="AQ20" s="977"/>
      <c r="AR20" s="977"/>
      <c r="AS20" s="977"/>
      <c r="AT20" s="977"/>
      <c r="AU20" s="977"/>
      <c r="AV20" s="977"/>
      <c r="AW20" s="977"/>
      <c r="AX20" s="977"/>
      <c r="AY20" s="977"/>
      <c r="AZ20" s="977"/>
      <c r="BA20" s="977"/>
      <c r="BB20" s="977"/>
      <c r="BC20" s="977"/>
      <c r="BD20" s="977"/>
      <c r="BE20" s="977"/>
      <c r="BF20" s="977"/>
      <c r="BG20" s="977"/>
      <c r="BH20" s="977"/>
      <c r="BI20" s="977"/>
      <c r="BJ20" s="977"/>
      <c r="BK20" s="977"/>
      <c r="BL20" s="977"/>
      <c r="BM20" s="977"/>
      <c r="BN20" s="977"/>
      <c r="BO20" s="977"/>
      <c r="BP20" s="977"/>
      <c r="BQ20" s="977"/>
      <c r="BR20" s="977"/>
      <c r="BS20" s="977"/>
      <c r="BT20" s="977"/>
      <c r="BU20" s="977"/>
      <c r="BV20" s="977"/>
      <c r="BW20" s="977"/>
      <c r="BX20" s="977"/>
      <c r="BY20" s="977"/>
      <c r="BZ20" s="977"/>
      <c r="CA20" s="977"/>
      <c r="CB20" s="977"/>
      <c r="CC20" s="977"/>
      <c r="CD20" s="977"/>
      <c r="CE20" s="977"/>
      <c r="CF20" s="977"/>
      <c r="CG20" s="977"/>
      <c r="CH20" s="977"/>
      <c r="CI20" s="977"/>
      <c r="CJ20" s="977"/>
      <c r="CK20" s="977"/>
      <c r="CL20" s="977"/>
      <c r="CM20" s="977"/>
      <c r="CN20" s="977"/>
      <c r="CO20" s="977"/>
      <c r="CP20" s="977"/>
      <c r="CQ20" s="977"/>
      <c r="CR20" s="977"/>
      <c r="CS20" s="977"/>
      <c r="CT20" s="977"/>
      <c r="CU20" s="977"/>
      <c r="CV20" s="977"/>
      <c r="CW20" s="977"/>
      <c r="CX20" s="977"/>
      <c r="CY20" s="977"/>
      <c r="CZ20" s="977"/>
      <c r="DA20" s="977"/>
      <c r="DB20" s="977"/>
      <c r="DC20" s="977"/>
      <c r="DD20" s="977"/>
      <c r="DE20" s="977"/>
      <c r="DF20" s="977"/>
      <c r="DG20" s="977"/>
      <c r="DH20" s="977"/>
      <c r="DI20" s="977"/>
      <c r="DJ20" s="977"/>
      <c r="DK20" s="977"/>
      <c r="DL20" s="977"/>
      <c r="DM20" s="977"/>
      <c r="DN20" s="977"/>
      <c r="DO20" s="977"/>
      <c r="DP20" s="977"/>
      <c r="DQ20" s="977"/>
      <c r="DR20" s="977"/>
      <c r="DS20" s="978"/>
      <c r="DT20" s="978"/>
      <c r="DU20" s="978"/>
      <c r="DV20" s="978"/>
      <c r="DW20" s="978"/>
      <c r="DX20" s="978"/>
    </row>
    <row r="21" spans="1:128" s="495" customFormat="1">
      <c r="A21"/>
    </row>
    <row r="22" spans="1:128" s="495" customFormat="1" ht="12"/>
    <row r="23" spans="1:128">
      <c r="A23" t="s">
        <v>2666</v>
      </c>
    </row>
    <row r="24" spans="1:128">
      <c r="A24" t="s">
        <v>4209</v>
      </c>
      <c r="B24" t="str">
        <f>TEXT(はじめに!$B$6,"000")</f>
        <v>000</v>
      </c>
    </row>
    <row r="25" spans="1:128">
      <c r="B25" t="s">
        <v>4210</v>
      </c>
    </row>
  </sheetData>
  <phoneticPr fontId="15"/>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2"/>
  <dimension ref="A1:AA45"/>
  <sheetViews>
    <sheetView topLeftCell="G1" zoomScale="70" zoomScaleNormal="70" workbookViewId="0">
      <selection activeCell="Z19" sqref="Z19"/>
    </sheetView>
  </sheetViews>
  <sheetFormatPr defaultRowHeight="13.5"/>
  <cols>
    <col min="5" max="5" width="14.125" bestFit="1" customWidth="1"/>
  </cols>
  <sheetData>
    <row r="1" spans="1:27" s="1437" customFormat="1" ht="19.5" customHeight="1">
      <c r="B1" s="1439" t="s">
        <v>4684</v>
      </c>
      <c r="E1" s="1543"/>
      <c r="F1" s="1535"/>
      <c r="G1" s="1448"/>
      <c r="I1" s="1544"/>
      <c r="J1" s="1544"/>
      <c r="K1" s="1545"/>
      <c r="L1" s="1580"/>
      <c r="N1" s="1581"/>
      <c r="O1" s="1449"/>
      <c r="P1" s="1450"/>
      <c r="Q1" s="1535"/>
      <c r="R1" s="1535"/>
      <c r="S1" s="1449"/>
      <c r="T1" s="1451"/>
      <c r="U1" s="1450"/>
      <c r="V1" s="1535"/>
      <c r="W1" s="1582"/>
      <c r="X1" s="1582"/>
      <c r="Y1" s="1582"/>
    </row>
    <row r="2" spans="1:27" s="1437" customFormat="1" ht="15.75" customHeight="1">
      <c r="A2" s="1442"/>
      <c r="B2" s="1438"/>
      <c r="D2" s="1537"/>
      <c r="E2" s="1543"/>
      <c r="F2" s="1442"/>
      <c r="G2" s="1442"/>
      <c r="H2" s="1442"/>
      <c r="I2" s="1448"/>
      <c r="J2" s="1442"/>
      <c r="K2" s="1442"/>
      <c r="L2" s="1442"/>
      <c r="M2" s="1442"/>
      <c r="N2" s="1442"/>
      <c r="O2" s="1442"/>
      <c r="P2" s="1442"/>
      <c r="Q2" s="1442"/>
      <c r="R2" s="1442"/>
      <c r="S2" s="1442"/>
      <c r="T2" s="1442"/>
      <c r="U2" s="1442"/>
      <c r="V2" s="1442"/>
      <c r="W2" s="1442"/>
      <c r="X2" s="1546"/>
      <c r="Y2" s="1546"/>
    </row>
    <row r="3" spans="1:27" s="1437" customFormat="1" ht="21" customHeight="1">
      <c r="B3" s="1438"/>
      <c r="C3" s="1442"/>
      <c r="D3" s="1538"/>
      <c r="E3" s="1543"/>
      <c r="F3" s="1535"/>
      <c r="G3" s="1547" t="s">
        <v>4645</v>
      </c>
      <c r="H3" s="1548"/>
      <c r="I3" s="1549"/>
      <c r="J3" s="1549"/>
      <c r="K3" s="1548"/>
      <c r="L3" s="1548"/>
      <c r="M3" s="1548"/>
      <c r="N3" s="1443" t="s">
        <v>4646</v>
      </c>
      <c r="O3" s="1454"/>
      <c r="P3" s="1458"/>
      <c r="Q3" s="1453"/>
      <c r="R3" s="1453"/>
      <c r="S3" s="1454"/>
      <c r="T3" s="1459"/>
      <c r="U3" s="1458"/>
      <c r="V3" s="1453"/>
      <c r="W3" s="1458"/>
      <c r="X3" s="1453"/>
      <c r="Y3" s="1583"/>
      <c r="Z3" s="1821" t="s">
        <v>6031</v>
      </c>
    </row>
    <row r="4" spans="1:27" s="1437" customFormat="1" ht="36" customHeight="1">
      <c r="B4" s="1462" t="s">
        <v>4556</v>
      </c>
      <c r="C4" s="1463"/>
      <c r="D4" s="1463"/>
      <c r="E4" s="1464"/>
      <c r="F4" s="1602"/>
      <c r="G4" s="1550"/>
      <c r="H4" s="1551"/>
      <c r="I4" s="1552"/>
      <c r="J4" s="1552"/>
      <c r="K4" s="1551"/>
      <c r="L4" s="1551"/>
      <c r="M4" s="1553"/>
      <c r="N4" s="1554" t="s">
        <v>4568</v>
      </c>
      <c r="O4" s="1476"/>
      <c r="P4" s="1477"/>
      <c r="Q4" s="1475"/>
      <c r="R4" s="1478" t="s">
        <v>4569</v>
      </c>
      <c r="S4" s="1476"/>
      <c r="T4" s="1479"/>
      <c r="U4" s="1477"/>
      <c r="V4" s="1475"/>
      <c r="W4" s="1480"/>
      <c r="X4" s="1478" t="s">
        <v>4685</v>
      </c>
      <c r="Y4" s="1499"/>
      <c r="Z4" s="1819"/>
    </row>
    <row r="5" spans="1:27" s="1437" customFormat="1" ht="57.75" customHeight="1">
      <c r="B5" s="1501" t="s">
        <v>594</v>
      </c>
      <c r="C5" s="1502" t="s">
        <v>595</v>
      </c>
      <c r="D5" s="1503" t="s">
        <v>4252</v>
      </c>
      <c r="E5" s="1502" t="s">
        <v>4648</v>
      </c>
      <c r="F5" s="1603" t="s">
        <v>4643</v>
      </c>
      <c r="G5" s="1505" t="s">
        <v>4649</v>
      </c>
      <c r="H5" s="1510" t="s">
        <v>4650</v>
      </c>
      <c r="I5" s="1555" t="s">
        <v>4651</v>
      </c>
      <c r="J5" s="1556" t="s">
        <v>4652</v>
      </c>
      <c r="K5" s="1515" t="s">
        <v>4653</v>
      </c>
      <c r="L5" s="1516" t="s">
        <v>4654</v>
      </c>
      <c r="M5" s="1518" t="s">
        <v>4655</v>
      </c>
      <c r="N5" s="1505" t="s">
        <v>4612</v>
      </c>
      <c r="O5" s="1519" t="s">
        <v>4613</v>
      </c>
      <c r="P5" s="1502" t="s">
        <v>4615</v>
      </c>
      <c r="Q5" s="1520" t="s">
        <v>4307</v>
      </c>
      <c r="R5" s="1515" t="s">
        <v>4612</v>
      </c>
      <c r="S5" s="1502" t="s">
        <v>4616</v>
      </c>
      <c r="T5" s="1520" t="s">
        <v>4617</v>
      </c>
      <c r="U5" s="1521" t="s">
        <v>4615</v>
      </c>
      <c r="V5" s="1522" t="s">
        <v>4307</v>
      </c>
      <c r="W5" s="1523" t="s">
        <v>4620</v>
      </c>
      <c r="X5" s="1584" t="s">
        <v>4686</v>
      </c>
      <c r="Y5" s="1533" t="s">
        <v>4611</v>
      </c>
      <c r="Z5" s="1820" t="s">
        <v>6030</v>
      </c>
    </row>
    <row r="6" spans="1:27">
      <c r="B6" s="53" t="str">
        <f>はじめに!$B$6&amp;""</f>
        <v/>
      </c>
      <c r="C6" s="53" t="str">
        <f>計1!$I$8</f>
        <v/>
      </c>
      <c r="D6" s="53">
        <v>1</v>
      </c>
      <c r="E6" s="53" t="str">
        <f>CONCATENATE(B6,"_",F6,"_",D6)</f>
        <v>__1</v>
      </c>
      <c r="F6" s="53" t="str">
        <f>計1!M2</f>
        <v/>
      </c>
      <c r="G6" s="53" t="str">
        <f>計5!$D$6</f>
        <v>事業所名を入力1</v>
      </c>
      <c r="H6" s="53" t="str">
        <f>計5!$D$7</f>
        <v/>
      </c>
      <c r="I6" s="1005" t="str">
        <f>計5!$C$8&amp;""</f>
        <v/>
      </c>
      <c r="J6" s="1005" t="str">
        <f ca="1">計5!$H$8</f>
        <v/>
      </c>
      <c r="K6" s="53" t="str">
        <f>計5!$M$8&amp;""</f>
        <v>0</v>
      </c>
      <c r="L6" s="53" t="str">
        <f>計5!$C$9&amp;""</f>
        <v>0</v>
      </c>
      <c r="M6" s="53" t="str">
        <f>計5!$H$9&amp;""</f>
        <v>0</v>
      </c>
      <c r="N6" s="53">
        <f>計5!$A$16</f>
        <v>2023</v>
      </c>
      <c r="O6" s="1811" t="str">
        <f ca="1">参照元個別!E5</f>
        <v/>
      </c>
      <c r="P6" s="53" t="str">
        <f>計5!$I$15&amp;""</f>
        <v/>
      </c>
      <c r="Q6" s="53" t="str">
        <f>計5!$O$15&amp;""</f>
        <v/>
      </c>
      <c r="R6" s="53">
        <f>計5!$A$18</f>
        <v>2026</v>
      </c>
      <c r="S6" s="53" t="str">
        <f>計5!$C$17&amp;""</f>
        <v/>
      </c>
      <c r="T6" s="53" t="str">
        <f ca="1">計5!$D$19&amp;""</f>
        <v/>
      </c>
      <c r="U6" s="53" t="str">
        <f>計5!$I$17&amp;""</f>
        <v/>
      </c>
      <c r="V6" s="53" t="str">
        <f>計5!$O$17&amp;""</f>
        <v/>
      </c>
      <c r="W6" s="53" t="str">
        <f>計5!$J$19&amp;""</f>
        <v/>
      </c>
      <c r="X6" s="53" t="str">
        <f>計5!$R$21&amp;""</f>
        <v/>
      </c>
      <c r="Y6" s="53" t="str">
        <f>計5!$C$20&amp;""</f>
        <v/>
      </c>
      <c r="Z6" s="53" t="str">
        <f>計5!P8</f>
        <v/>
      </c>
    </row>
    <row r="7" spans="1:27">
      <c r="B7" s="53" t="str">
        <f>はじめに!$B$6&amp;""</f>
        <v/>
      </c>
      <c r="C7" s="53" t="str">
        <f>計1!$I$8</f>
        <v/>
      </c>
      <c r="D7" s="53">
        <f>D6+1</f>
        <v>2</v>
      </c>
      <c r="E7" s="53" t="str">
        <f t="shared" ref="E7:E45" si="0">CONCATENATE(B7,"_",F7,"_",D7)</f>
        <v>__2</v>
      </c>
      <c r="F7" s="53" t="str">
        <f>$F$6</f>
        <v/>
      </c>
      <c r="G7" s="53" t="str">
        <f>計5!$D$31</f>
        <v>事業所名を入力2</v>
      </c>
      <c r="H7" s="53">
        <f>計5!$D$32</f>
        <v>0</v>
      </c>
      <c r="I7" s="1005" t="str">
        <f>計5!$C$33&amp;""</f>
        <v>0</v>
      </c>
      <c r="J7" s="1005" t="str">
        <f ca="1">計5!$H$33</f>
        <v/>
      </c>
      <c r="K7" s="53" t="str">
        <f>計5!$M$33&amp;""</f>
        <v>0</v>
      </c>
      <c r="L7" s="53" t="str">
        <f>計5!$C$34&amp;""</f>
        <v>0</v>
      </c>
      <c r="M7" s="53" t="str">
        <f>計5!$H$34&amp;""</f>
        <v>0</v>
      </c>
      <c r="N7" s="53">
        <f>計5!$A$41</f>
        <v>2023</v>
      </c>
      <c r="O7" s="1740" t="str">
        <f ca="1">計5!$C$40</f>
        <v/>
      </c>
      <c r="P7" s="53" t="str">
        <f>計5!$I$40&amp;""</f>
        <v/>
      </c>
      <c r="Q7" s="53" t="str">
        <f>計5!$O$40&amp;""</f>
        <v/>
      </c>
      <c r="R7" s="53">
        <f>計5!$A$43</f>
        <v>2026</v>
      </c>
      <c r="S7" s="53" t="str">
        <f>計5!$C$42&amp;""</f>
        <v/>
      </c>
      <c r="T7" s="53" t="str">
        <f ca="1">計5!$D$44&amp;""</f>
        <v/>
      </c>
      <c r="U7" s="53" t="str">
        <f>計5!$I$42&amp;""</f>
        <v/>
      </c>
      <c r="V7" s="53" t="str">
        <f>計5!$O$42&amp;""</f>
        <v/>
      </c>
      <c r="W7" s="53" t="str">
        <f>計5!$J$44&amp;""</f>
        <v/>
      </c>
      <c r="X7" s="53" t="str">
        <f>計5!$R$46&amp;""</f>
        <v>0</v>
      </c>
      <c r="Y7" s="53" t="str">
        <f>計5!$C$45&amp;""</f>
        <v/>
      </c>
      <c r="Z7" s="53" t="str">
        <f>計5!P33</f>
        <v/>
      </c>
    </row>
    <row r="8" spans="1:27">
      <c r="B8" s="53" t="str">
        <f>はじめに!$B$6&amp;""</f>
        <v/>
      </c>
      <c r="C8" s="53" t="str">
        <f>計1!$I$8</f>
        <v/>
      </c>
      <c r="D8" s="53">
        <f t="shared" ref="D8:D45" si="1">D7+1</f>
        <v>3</v>
      </c>
      <c r="E8" s="53" t="str">
        <f t="shared" si="0"/>
        <v>__3</v>
      </c>
      <c r="F8" s="53" t="str">
        <f t="shared" ref="F8:F45" si="2">$F$6</f>
        <v/>
      </c>
      <c r="G8" s="53" t="str">
        <f>計5!$D$56</f>
        <v>事業所名を入力3</v>
      </c>
      <c r="H8" s="53">
        <f>計5!$D$57</f>
        <v>0</v>
      </c>
      <c r="I8" s="1005" t="str">
        <f>計5!$C$58&amp;""</f>
        <v>0</v>
      </c>
      <c r="J8" s="1005" t="str">
        <f ca="1">計5!$H$58</f>
        <v/>
      </c>
      <c r="K8" s="53" t="str">
        <f>計5!$M$58&amp;""</f>
        <v>0</v>
      </c>
      <c r="L8" s="53" t="str">
        <f>計5!$C$59&amp;""</f>
        <v>0</v>
      </c>
      <c r="M8" s="53" t="str">
        <f>計5!$H$59&amp;""</f>
        <v>0</v>
      </c>
      <c r="N8" s="53">
        <f>計5!$A$66</f>
        <v>2023</v>
      </c>
      <c r="O8" s="1740" t="str">
        <f ca="1">計5!$C$65</f>
        <v/>
      </c>
      <c r="P8" s="53" t="str">
        <f>計5!$I$65&amp;""</f>
        <v/>
      </c>
      <c r="Q8" s="53" t="str">
        <f>計5!$O$65&amp;""</f>
        <v/>
      </c>
      <c r="R8" s="53">
        <f>計5!$A$68</f>
        <v>2026</v>
      </c>
      <c r="S8" s="53" t="str">
        <f>計5!$C$67&amp;""</f>
        <v/>
      </c>
      <c r="T8" s="53" t="str">
        <f ca="1">計5!$D$69&amp;""</f>
        <v/>
      </c>
      <c r="U8" s="53" t="str">
        <f>計5!$I$67&amp;""</f>
        <v/>
      </c>
      <c r="V8" s="53" t="str">
        <f>計5!$O$67&amp;""</f>
        <v/>
      </c>
      <c r="W8" s="53" t="str">
        <f>計5!$J$69&amp;""</f>
        <v/>
      </c>
      <c r="X8" s="53" t="str">
        <f>計5!$R$71&amp;""</f>
        <v>0</v>
      </c>
      <c r="Y8" s="53" t="str">
        <f>計5!$C$70&amp;""</f>
        <v/>
      </c>
      <c r="Z8" s="53" t="str">
        <f>計5!P58</f>
        <v/>
      </c>
    </row>
    <row r="9" spans="1:27">
      <c r="B9" s="53" t="str">
        <f>はじめに!$B$6&amp;""</f>
        <v/>
      </c>
      <c r="C9" s="53" t="str">
        <f>計1!$I$8</f>
        <v/>
      </c>
      <c r="D9" s="53">
        <f t="shared" si="1"/>
        <v>4</v>
      </c>
      <c r="E9" s="53" t="str">
        <f t="shared" si="0"/>
        <v>__4</v>
      </c>
      <c r="F9" s="53" t="str">
        <f t="shared" si="2"/>
        <v/>
      </c>
      <c r="G9" s="53" t="str">
        <f>計5!$D$81</f>
        <v>事業所名を入力4</v>
      </c>
      <c r="H9" s="53">
        <f>計5!$D$82</f>
        <v>0</v>
      </c>
      <c r="I9" s="1005" t="str">
        <f>計5!$C$83&amp;""</f>
        <v>0</v>
      </c>
      <c r="J9" s="1005" t="str">
        <f ca="1">計5!$H$83</f>
        <v/>
      </c>
      <c r="K9" s="53" t="str">
        <f>計5!$M$83&amp;""</f>
        <v>0</v>
      </c>
      <c r="L9" s="53" t="str">
        <f>計5!$C$84&amp;""</f>
        <v>0</v>
      </c>
      <c r="M9" s="53" t="str">
        <f>計5!$H$84&amp;""</f>
        <v>0</v>
      </c>
      <c r="N9" s="53">
        <f>計5!$A$91</f>
        <v>2023</v>
      </c>
      <c r="O9" s="1740" t="str">
        <f ca="1">計5!$C$90</f>
        <v/>
      </c>
      <c r="P9" s="53" t="str">
        <f>計5!$I$90&amp;""</f>
        <v/>
      </c>
      <c r="Q9" s="53" t="str">
        <f>計5!$O$90&amp;""</f>
        <v/>
      </c>
      <c r="R9" s="53">
        <f>計5!$A$93</f>
        <v>2026</v>
      </c>
      <c r="S9" s="53" t="str">
        <f>計5!$C$92&amp;""</f>
        <v/>
      </c>
      <c r="T9" s="53" t="str">
        <f ca="1">計5!$D$94&amp;""</f>
        <v/>
      </c>
      <c r="U9" s="53" t="str">
        <f>計5!$I$92&amp;""</f>
        <v/>
      </c>
      <c r="V9" s="53" t="str">
        <f>計5!$O$92&amp;""</f>
        <v/>
      </c>
      <c r="W9" s="53" t="str">
        <f>計5!$J$94&amp;""</f>
        <v/>
      </c>
      <c r="X9" s="53" t="str">
        <f>計5!$R$96&amp;""</f>
        <v>0</v>
      </c>
      <c r="Y9" s="53" t="str">
        <f>計5!$C$95&amp;""</f>
        <v/>
      </c>
      <c r="Z9" s="53" t="str">
        <f>計5!P83</f>
        <v/>
      </c>
    </row>
    <row r="10" spans="1:27">
      <c r="B10" s="53" t="str">
        <f>はじめに!$B$6&amp;""</f>
        <v/>
      </c>
      <c r="C10" s="53" t="str">
        <f>計1!$I$8</f>
        <v/>
      </c>
      <c r="D10" s="53">
        <f t="shared" si="1"/>
        <v>5</v>
      </c>
      <c r="E10" s="53" t="str">
        <f t="shared" si="0"/>
        <v>__5</v>
      </c>
      <c r="F10" s="53" t="str">
        <f t="shared" si="2"/>
        <v/>
      </c>
      <c r="G10" s="53" t="str">
        <f>計5!$D$106</f>
        <v>事業所名を入力5</v>
      </c>
      <c r="H10" s="53">
        <f>計5!$D$107</f>
        <v>0</v>
      </c>
      <c r="I10" s="1005" t="str">
        <f>計5!$C$108&amp;""</f>
        <v>0</v>
      </c>
      <c r="J10" s="1005" t="str">
        <f ca="1">計5!$H$108</f>
        <v/>
      </c>
      <c r="K10" s="53" t="str">
        <f>計5!$M$108&amp;""</f>
        <v>0</v>
      </c>
      <c r="L10" s="53" t="str">
        <f>計5!$C$109&amp;""</f>
        <v>0</v>
      </c>
      <c r="M10" s="53" t="str">
        <f>計5!$H$109&amp;""</f>
        <v>0</v>
      </c>
      <c r="N10" s="53">
        <f>計5!$A$116</f>
        <v>2023</v>
      </c>
      <c r="O10" s="1740" t="str">
        <f ca="1">計5!$C$115</f>
        <v/>
      </c>
      <c r="P10" s="53" t="str">
        <f>計5!$I$115&amp;""</f>
        <v/>
      </c>
      <c r="Q10" s="53" t="str">
        <f>計5!$O$115&amp;""</f>
        <v/>
      </c>
      <c r="R10" s="53">
        <f>計5!$A$118</f>
        <v>2026</v>
      </c>
      <c r="S10" s="53" t="str">
        <f>計5!$C$117&amp;""</f>
        <v/>
      </c>
      <c r="T10" s="53" t="str">
        <f ca="1">計5!$D$119&amp;""</f>
        <v/>
      </c>
      <c r="U10" s="53" t="str">
        <f>計5!$I$117&amp;""</f>
        <v/>
      </c>
      <c r="V10" s="53" t="str">
        <f>計5!$O$117&amp;""</f>
        <v/>
      </c>
      <c r="W10" s="53" t="str">
        <f>計5!$J$119&amp;""</f>
        <v/>
      </c>
      <c r="X10" s="53" t="str">
        <f>計5!$R$121&amp;""</f>
        <v>0</v>
      </c>
      <c r="Y10" s="53" t="str">
        <f>計5!$C$120&amp;""</f>
        <v/>
      </c>
      <c r="Z10" s="53" t="str">
        <f>計5!P108</f>
        <v/>
      </c>
    </row>
    <row r="11" spans="1:27">
      <c r="B11" s="53" t="str">
        <f>はじめに!$B$6&amp;""</f>
        <v/>
      </c>
      <c r="C11" s="53" t="str">
        <f>計1!$I$8</f>
        <v/>
      </c>
      <c r="D11" s="53">
        <f t="shared" si="1"/>
        <v>6</v>
      </c>
      <c r="E11" s="53" t="str">
        <f t="shared" si="0"/>
        <v>__6</v>
      </c>
      <c r="F11" s="53" t="str">
        <f t="shared" si="2"/>
        <v/>
      </c>
      <c r="G11" s="53" t="str">
        <f>計5!$D$131</f>
        <v>事業所名を入力6</v>
      </c>
      <c r="H11" s="53">
        <f>計5!$D$132</f>
        <v>0</v>
      </c>
      <c r="I11" s="1005" t="str">
        <f>計5!$C$133&amp;""</f>
        <v>0</v>
      </c>
      <c r="J11" s="1005" t="str">
        <f ca="1">計5!$H$133</f>
        <v/>
      </c>
      <c r="K11" s="53" t="str">
        <f>計5!$M$133&amp;""</f>
        <v>0</v>
      </c>
      <c r="L11" s="53" t="str">
        <f>計5!$C$134&amp;""</f>
        <v>0</v>
      </c>
      <c r="M11" s="53" t="str">
        <f>計5!$H$134&amp;""</f>
        <v>0</v>
      </c>
      <c r="N11" s="53">
        <f>計5!$A$141</f>
        <v>2023</v>
      </c>
      <c r="O11" s="1740" t="str">
        <f ca="1">計5!$C$140</f>
        <v/>
      </c>
      <c r="P11" s="53" t="str">
        <f>計5!$I$140&amp;""</f>
        <v/>
      </c>
      <c r="Q11" s="53" t="str">
        <f>計5!$O$140&amp;""</f>
        <v/>
      </c>
      <c r="R11" s="53">
        <f>計5!$A$143</f>
        <v>2026</v>
      </c>
      <c r="S11" s="53" t="str">
        <f>計5!$C$142&amp;""</f>
        <v/>
      </c>
      <c r="T11" s="53" t="str">
        <f ca="1">計5!$D$144&amp;""</f>
        <v/>
      </c>
      <c r="U11" s="53" t="str">
        <f>計5!$I$142&amp;""</f>
        <v/>
      </c>
      <c r="V11" s="53" t="str">
        <f>計5!$O$142&amp;""</f>
        <v/>
      </c>
      <c r="W11" s="53" t="str">
        <f>計5!$J$144&amp;""</f>
        <v/>
      </c>
      <c r="X11" s="53" t="str">
        <f>計5!$R$146&amp;""</f>
        <v>0</v>
      </c>
      <c r="Y11" s="53" t="str">
        <f>計5!$C$145&amp;""</f>
        <v/>
      </c>
      <c r="Z11" s="53" t="str">
        <f>計5!P133</f>
        <v/>
      </c>
      <c r="AA11" s="1815"/>
    </row>
    <row r="12" spans="1:27">
      <c r="B12" s="53" t="str">
        <f>はじめに!$B$6&amp;""</f>
        <v/>
      </c>
      <c r="C12" s="53" t="str">
        <f>計1!$I$8</f>
        <v/>
      </c>
      <c r="D12" s="53">
        <f t="shared" si="1"/>
        <v>7</v>
      </c>
      <c r="E12" s="53" t="str">
        <f t="shared" si="0"/>
        <v>__7</v>
      </c>
      <c r="F12" s="53" t="str">
        <f t="shared" si="2"/>
        <v/>
      </c>
      <c r="G12" s="53" t="str">
        <f>計5!$D$156</f>
        <v>事業所名を入力7</v>
      </c>
      <c r="H12" s="53">
        <f>計5!$D$157</f>
        <v>0</v>
      </c>
      <c r="I12" s="1005" t="str">
        <f>計5!$C$158&amp;""</f>
        <v>0</v>
      </c>
      <c r="J12" s="1005" t="str">
        <f ca="1">計5!$H$158</f>
        <v/>
      </c>
      <c r="K12" s="53" t="str">
        <f>計5!$M$158&amp;""</f>
        <v>0</v>
      </c>
      <c r="L12" s="53" t="str">
        <f>計5!$C$159&amp;""</f>
        <v>0</v>
      </c>
      <c r="M12" s="53" t="str">
        <f>計5!$H$159&amp;""</f>
        <v>0</v>
      </c>
      <c r="N12" s="53">
        <f>計5!$A$166</f>
        <v>2023</v>
      </c>
      <c r="O12" s="53" t="str">
        <f ca="1">計5!$C$165</f>
        <v/>
      </c>
      <c r="P12" s="53" t="str">
        <f>計5!$I$165&amp;""</f>
        <v/>
      </c>
      <c r="Q12" s="53" t="str">
        <f>計5!$O$165&amp;""</f>
        <v/>
      </c>
      <c r="R12" s="53">
        <f>計5!$A$168</f>
        <v>2026</v>
      </c>
      <c r="S12" s="53" t="str">
        <f>計5!$C$167&amp;""</f>
        <v/>
      </c>
      <c r="T12" s="53" t="str">
        <f ca="1">計5!$D$169&amp;""</f>
        <v/>
      </c>
      <c r="U12" s="53" t="str">
        <f>計5!$I$167&amp;""</f>
        <v/>
      </c>
      <c r="V12" s="53" t="str">
        <f>計5!$O$167&amp;""</f>
        <v/>
      </c>
      <c r="W12" s="53" t="str">
        <f>計5!$J$169&amp;""</f>
        <v/>
      </c>
      <c r="X12" s="53" t="str">
        <f>計5!$R$171&amp;""</f>
        <v>0</v>
      </c>
      <c r="Y12" s="53" t="str">
        <f>計5!$C$170&amp;""</f>
        <v/>
      </c>
      <c r="Z12" s="53" t="str">
        <f>計5!P158</f>
        <v/>
      </c>
      <c r="AA12" s="1815"/>
    </row>
    <row r="13" spans="1:27">
      <c r="B13" s="53" t="str">
        <f>はじめに!$B$6&amp;""</f>
        <v/>
      </c>
      <c r="C13" s="53" t="str">
        <f>計1!$I$8</f>
        <v/>
      </c>
      <c r="D13" s="53">
        <f t="shared" si="1"/>
        <v>8</v>
      </c>
      <c r="E13" s="53" t="str">
        <f t="shared" si="0"/>
        <v>__8</v>
      </c>
      <c r="F13" s="53" t="str">
        <f t="shared" si="2"/>
        <v/>
      </c>
      <c r="G13" s="53" t="str">
        <f>計5!$D$181</f>
        <v>事業所名を入力8</v>
      </c>
      <c r="H13" s="53">
        <f>計5!$D$182</f>
        <v>0</v>
      </c>
      <c r="I13" s="1005" t="str">
        <f>計5!$C$183&amp;""</f>
        <v>0</v>
      </c>
      <c r="J13" s="1005" t="str">
        <f ca="1">計5!$H$183</f>
        <v/>
      </c>
      <c r="K13" s="53" t="str">
        <f>計5!$M$183&amp;""</f>
        <v>0</v>
      </c>
      <c r="L13" s="53" t="str">
        <f>計5!$C$184&amp;""</f>
        <v>0</v>
      </c>
      <c r="M13" s="53" t="str">
        <f>計5!$H$184&amp;""</f>
        <v>0</v>
      </c>
      <c r="N13" s="53">
        <f>計5!$A$191</f>
        <v>2023</v>
      </c>
      <c r="O13" s="53" t="str">
        <f ca="1">計5!$C$190</f>
        <v/>
      </c>
      <c r="P13" s="53" t="str">
        <f>計5!$I$190&amp;""</f>
        <v/>
      </c>
      <c r="Q13" s="53" t="str">
        <f>計5!$O$190&amp;""</f>
        <v/>
      </c>
      <c r="R13" s="53">
        <f>計5!$A$193</f>
        <v>2026</v>
      </c>
      <c r="S13" s="53" t="str">
        <f>計5!$C$192&amp;""</f>
        <v/>
      </c>
      <c r="T13" s="53" t="str">
        <f ca="1">計5!$D$194&amp;""</f>
        <v/>
      </c>
      <c r="U13" s="53" t="str">
        <f>計5!$I$192&amp;""</f>
        <v/>
      </c>
      <c r="V13" s="53" t="str">
        <f>計5!$O$192&amp;""</f>
        <v/>
      </c>
      <c r="W13" s="53" t="str">
        <f>計5!$J$194&amp;""</f>
        <v/>
      </c>
      <c r="X13" s="53" t="str">
        <f>計5!$R$196&amp;""</f>
        <v>0</v>
      </c>
      <c r="Y13" s="53" t="str">
        <f>計5!$C$195&amp;""</f>
        <v/>
      </c>
      <c r="Z13" s="53" t="str">
        <f>計5!P183</f>
        <v/>
      </c>
      <c r="AA13" s="1815"/>
    </row>
    <row r="14" spans="1:27">
      <c r="B14" s="53" t="str">
        <f>はじめに!$B$6&amp;""</f>
        <v/>
      </c>
      <c r="C14" s="53" t="str">
        <f>計1!$I$8</f>
        <v/>
      </c>
      <c r="D14" s="53">
        <f t="shared" si="1"/>
        <v>9</v>
      </c>
      <c r="E14" s="53" t="str">
        <f t="shared" si="0"/>
        <v>__9</v>
      </c>
      <c r="F14" s="53" t="str">
        <f t="shared" si="2"/>
        <v/>
      </c>
      <c r="G14" s="53" t="str">
        <f>計5!$D$206</f>
        <v>事業所名を入力9</v>
      </c>
      <c r="H14" s="53">
        <f>計5!$D$207</f>
        <v>0</v>
      </c>
      <c r="I14" s="1005" t="str">
        <f>計5!$C$208&amp;""</f>
        <v>0</v>
      </c>
      <c r="J14" s="1005" t="str">
        <f ca="1">計5!$H$208</f>
        <v/>
      </c>
      <c r="K14" s="53" t="str">
        <f>計5!$M$208&amp;""</f>
        <v>0</v>
      </c>
      <c r="L14" s="53" t="str">
        <f>計5!$C$209&amp;""</f>
        <v>0</v>
      </c>
      <c r="M14" s="53" t="str">
        <f>計5!$H$209&amp;""</f>
        <v>0</v>
      </c>
      <c r="N14" s="53">
        <f>計5!$A$216</f>
        <v>2023</v>
      </c>
      <c r="O14" s="53" t="str">
        <f ca="1">計5!$C$215</f>
        <v/>
      </c>
      <c r="P14" s="53" t="str">
        <f>計5!$I$215&amp;""</f>
        <v/>
      </c>
      <c r="Q14" s="53" t="str">
        <f>計5!$O$215&amp;""</f>
        <v/>
      </c>
      <c r="R14" s="53">
        <f>計5!$A$218</f>
        <v>2026</v>
      </c>
      <c r="S14" s="53" t="str">
        <f>計5!$C$217&amp;""</f>
        <v/>
      </c>
      <c r="T14" s="53" t="str">
        <f ca="1">計5!$D$219&amp;""</f>
        <v/>
      </c>
      <c r="U14" s="53" t="str">
        <f>計5!$I$217&amp;""</f>
        <v/>
      </c>
      <c r="V14" s="53" t="str">
        <f>計5!$O$217&amp;""</f>
        <v/>
      </c>
      <c r="W14" s="53" t="str">
        <f>計5!$J$219&amp;""</f>
        <v/>
      </c>
      <c r="X14" s="53" t="str">
        <f>計5!$R$221&amp;""</f>
        <v>0</v>
      </c>
      <c r="Y14" s="53" t="str">
        <f>計5!$C$220&amp;""</f>
        <v/>
      </c>
      <c r="Z14" s="53" t="str">
        <f>計5!P208</f>
        <v/>
      </c>
      <c r="AA14" s="1815"/>
    </row>
    <row r="15" spans="1:27">
      <c r="B15" s="53" t="str">
        <f>はじめに!$B$6&amp;""</f>
        <v/>
      </c>
      <c r="C15" s="53" t="str">
        <f>計1!$I$8</f>
        <v/>
      </c>
      <c r="D15" s="53">
        <f t="shared" si="1"/>
        <v>10</v>
      </c>
      <c r="E15" s="53" t="str">
        <f t="shared" si="0"/>
        <v>__10</v>
      </c>
      <c r="F15" s="53" t="str">
        <f t="shared" si="2"/>
        <v/>
      </c>
      <c r="G15" s="53" t="str">
        <f>計5!$D$231</f>
        <v>事業所名を入力10</v>
      </c>
      <c r="H15" s="53">
        <f>計5!$D$232</f>
        <v>0</v>
      </c>
      <c r="I15" s="1005" t="str">
        <f>計5!$C$233&amp;""</f>
        <v>0</v>
      </c>
      <c r="J15" s="1005" t="str">
        <f ca="1">計5!$H$233</f>
        <v/>
      </c>
      <c r="K15" s="53" t="str">
        <f>計5!$M$233&amp;""</f>
        <v>0</v>
      </c>
      <c r="L15" s="53" t="str">
        <f>計5!$C$234&amp;""</f>
        <v>0</v>
      </c>
      <c r="M15" s="53" t="str">
        <f>計5!$H$234&amp;""</f>
        <v>0</v>
      </c>
      <c r="N15" s="53">
        <f>計5!$A$241</f>
        <v>2023</v>
      </c>
      <c r="O15" s="53" t="str">
        <f ca="1">計5!$C$240</f>
        <v/>
      </c>
      <c r="P15" s="53" t="str">
        <f>計5!$I$240&amp;""</f>
        <v/>
      </c>
      <c r="Q15" s="53" t="str">
        <f>計5!$O$240&amp;""</f>
        <v/>
      </c>
      <c r="R15" s="53">
        <f>計5!$A$243</f>
        <v>2026</v>
      </c>
      <c r="S15" s="53" t="str">
        <f>計5!$C$242&amp;""</f>
        <v/>
      </c>
      <c r="T15" s="53" t="str">
        <f ca="1">計5!$D$244&amp;""</f>
        <v/>
      </c>
      <c r="U15" s="53" t="str">
        <f>計5!$I$242&amp;""</f>
        <v/>
      </c>
      <c r="V15" s="53" t="str">
        <f>計5!$O$242&amp;""</f>
        <v/>
      </c>
      <c r="W15" s="53" t="str">
        <f>計5!$J$244&amp;""</f>
        <v/>
      </c>
      <c r="X15" s="53" t="str">
        <f>計5!$R$246&amp;""</f>
        <v>0</v>
      </c>
      <c r="Y15" s="53" t="str">
        <f>計5!$C$245&amp;""</f>
        <v/>
      </c>
      <c r="Z15" s="53" t="str">
        <f>計5!P233</f>
        <v/>
      </c>
      <c r="AA15" s="1815"/>
    </row>
    <row r="16" spans="1:27">
      <c r="B16" s="53" t="str">
        <f>はじめに!$B$6&amp;""</f>
        <v/>
      </c>
      <c r="C16" s="53" t="str">
        <f>計1!$I$8</f>
        <v/>
      </c>
      <c r="D16" s="53">
        <f t="shared" si="1"/>
        <v>11</v>
      </c>
      <c r="E16" s="53" t="str">
        <f t="shared" si="0"/>
        <v>__11</v>
      </c>
      <c r="F16" s="53" t="str">
        <f t="shared" si="2"/>
        <v/>
      </c>
      <c r="G16" s="53" t="str">
        <f>計5!$D$256</f>
        <v>事業所名を入力11</v>
      </c>
      <c r="H16" s="53">
        <f>計5!$D$257</f>
        <v>0</v>
      </c>
      <c r="I16" s="1005" t="str">
        <f>計5!$C$258&amp;""</f>
        <v>0</v>
      </c>
      <c r="J16" s="1005" t="str">
        <f ca="1">計5!$H$258</f>
        <v/>
      </c>
      <c r="K16" s="53" t="str">
        <f>計5!$M$258&amp;""</f>
        <v>0</v>
      </c>
      <c r="L16" s="53" t="str">
        <f>計5!$C$259&amp;""</f>
        <v>0</v>
      </c>
      <c r="M16" s="53" t="str">
        <f>計5!$H$259&amp;""</f>
        <v>0</v>
      </c>
      <c r="N16" s="53">
        <f>計5!$A$266</f>
        <v>2023</v>
      </c>
      <c r="O16" s="53" t="str">
        <f ca="1">計5!$C$265</f>
        <v/>
      </c>
      <c r="P16" s="53" t="str">
        <f>計5!$I$265&amp;""</f>
        <v/>
      </c>
      <c r="Q16" s="53" t="str">
        <f>計5!$O$265&amp;""</f>
        <v/>
      </c>
      <c r="R16" s="53">
        <f>計5!$A$268</f>
        <v>2026</v>
      </c>
      <c r="S16" s="53" t="str">
        <f>計5!$C$267&amp;""</f>
        <v/>
      </c>
      <c r="T16" s="53" t="str">
        <f ca="1">計5!$D$269&amp;""</f>
        <v/>
      </c>
      <c r="U16" s="53" t="str">
        <f>計5!$I$267&amp;""</f>
        <v/>
      </c>
      <c r="V16" s="53" t="str">
        <f>計5!$O$267&amp;""</f>
        <v/>
      </c>
      <c r="W16" s="53" t="str">
        <f>計5!$J$269&amp;""</f>
        <v/>
      </c>
      <c r="X16" s="53" t="str">
        <f>計5!$R$271&amp;""</f>
        <v>0</v>
      </c>
      <c r="Y16" s="53" t="str">
        <f>計5!$C$270&amp;""</f>
        <v/>
      </c>
      <c r="Z16" s="53" t="str">
        <f>計5!P258</f>
        <v/>
      </c>
      <c r="AA16" s="1815"/>
    </row>
    <row r="17" spans="2:27">
      <c r="B17" s="53" t="str">
        <f>はじめに!$B$6&amp;""</f>
        <v/>
      </c>
      <c r="C17" s="53" t="str">
        <f>計1!$I$8</f>
        <v/>
      </c>
      <c r="D17" s="53">
        <f t="shared" si="1"/>
        <v>12</v>
      </c>
      <c r="E17" s="53" t="str">
        <f t="shared" si="0"/>
        <v>__12</v>
      </c>
      <c r="F17" s="53" t="str">
        <f t="shared" si="2"/>
        <v/>
      </c>
      <c r="G17" s="53" t="str">
        <f>計5!$D$281</f>
        <v>事業所名を入力12</v>
      </c>
      <c r="H17" s="53">
        <f>計5!$D$282</f>
        <v>0</v>
      </c>
      <c r="I17" s="1005" t="str">
        <f>計5!$C$283&amp;""</f>
        <v>0</v>
      </c>
      <c r="J17" s="1005" t="str">
        <f ca="1">計5!$H$283</f>
        <v/>
      </c>
      <c r="K17" s="53" t="str">
        <f>計5!$M$283&amp;""</f>
        <v>0</v>
      </c>
      <c r="L17" s="53" t="str">
        <f>計5!$C$284&amp;""</f>
        <v>0</v>
      </c>
      <c r="M17" s="53" t="str">
        <f>計5!$H$284&amp;""</f>
        <v>0</v>
      </c>
      <c r="N17" s="53">
        <f>計5!$A$291</f>
        <v>2023</v>
      </c>
      <c r="O17" s="53" t="str">
        <f ca="1">計5!$C$290</f>
        <v/>
      </c>
      <c r="P17" s="53" t="str">
        <f>計5!$I$290&amp;""</f>
        <v/>
      </c>
      <c r="Q17" s="53" t="str">
        <f>計5!$O$290&amp;""</f>
        <v/>
      </c>
      <c r="R17" s="53">
        <f>計5!$A$293</f>
        <v>2026</v>
      </c>
      <c r="S17" s="53" t="str">
        <f>計5!$C$292&amp;""</f>
        <v/>
      </c>
      <c r="T17" s="53" t="str">
        <f ca="1">計5!$D$294&amp;""</f>
        <v/>
      </c>
      <c r="U17" s="53" t="str">
        <f>計5!$I$292&amp;""</f>
        <v/>
      </c>
      <c r="V17" s="53" t="str">
        <f>計5!$O$292&amp;""</f>
        <v/>
      </c>
      <c r="W17" s="53" t="str">
        <f>計5!$J$294&amp;""</f>
        <v/>
      </c>
      <c r="X17" s="53" t="str">
        <f>計5!$R$296&amp;""</f>
        <v>0</v>
      </c>
      <c r="Y17" s="53" t="str">
        <f>計5!$C$295&amp;""</f>
        <v/>
      </c>
      <c r="Z17" s="53" t="str">
        <f>計5!P283</f>
        <v/>
      </c>
      <c r="AA17" s="1815"/>
    </row>
    <row r="18" spans="2:27">
      <c r="B18" s="53" t="str">
        <f>はじめに!$B$6&amp;""</f>
        <v/>
      </c>
      <c r="C18" s="53" t="str">
        <f>計1!$I$8</f>
        <v/>
      </c>
      <c r="D18" s="53">
        <f t="shared" si="1"/>
        <v>13</v>
      </c>
      <c r="E18" s="53" t="str">
        <f t="shared" si="0"/>
        <v>__13</v>
      </c>
      <c r="F18" s="53" t="str">
        <f t="shared" si="2"/>
        <v/>
      </c>
      <c r="G18" s="53" t="str">
        <f>計5!$D$306</f>
        <v>事業所名を入力13</v>
      </c>
      <c r="H18" s="53">
        <f>計5!$D$307</f>
        <v>0</v>
      </c>
      <c r="I18" s="1005" t="str">
        <f>計5!$C$308&amp;""</f>
        <v>0</v>
      </c>
      <c r="J18" s="1005" t="str">
        <f ca="1">計5!$H$308</f>
        <v/>
      </c>
      <c r="K18" s="53" t="str">
        <f>計5!$M$308&amp;""</f>
        <v>0</v>
      </c>
      <c r="L18" s="53" t="str">
        <f>計5!$C$309&amp;""</f>
        <v>0</v>
      </c>
      <c r="M18" s="53" t="str">
        <f>計5!$H$309&amp;""</f>
        <v>0</v>
      </c>
      <c r="N18" s="53">
        <f>計5!$A$316</f>
        <v>2023</v>
      </c>
      <c r="O18" s="53" t="str">
        <f ca="1">計5!$C$315</f>
        <v/>
      </c>
      <c r="P18" s="53" t="str">
        <f>計5!$I$315&amp;""</f>
        <v/>
      </c>
      <c r="Q18" s="53" t="str">
        <f>計5!$O$315&amp;""</f>
        <v/>
      </c>
      <c r="R18" s="53">
        <f>計5!$A$318</f>
        <v>2026</v>
      </c>
      <c r="S18" s="53" t="str">
        <f>計5!$C$317&amp;""</f>
        <v/>
      </c>
      <c r="T18" s="53" t="str">
        <f ca="1">計5!$D$319&amp;""</f>
        <v/>
      </c>
      <c r="U18" s="53" t="str">
        <f>計5!$I$317&amp;""</f>
        <v/>
      </c>
      <c r="V18" s="53" t="str">
        <f>計5!$O$37&amp;""</f>
        <v/>
      </c>
      <c r="W18" s="53" t="str">
        <f>計5!$J$319&amp;""</f>
        <v/>
      </c>
      <c r="X18" s="53" t="str">
        <f>計5!$R$321&amp;""</f>
        <v>0</v>
      </c>
      <c r="Y18" s="53" t="str">
        <f>計5!$C$320&amp;""</f>
        <v/>
      </c>
      <c r="Z18" s="53" t="str">
        <f>計5!P308</f>
        <v/>
      </c>
      <c r="AA18" s="1815"/>
    </row>
    <row r="19" spans="2:27">
      <c r="B19" s="53" t="str">
        <f>はじめに!$B$6&amp;""</f>
        <v/>
      </c>
      <c r="C19" s="53" t="str">
        <f>計1!$I$8</f>
        <v/>
      </c>
      <c r="D19" s="53">
        <f t="shared" si="1"/>
        <v>14</v>
      </c>
      <c r="E19" s="53" t="str">
        <f t="shared" si="0"/>
        <v>__14</v>
      </c>
      <c r="F19" s="53" t="str">
        <f t="shared" si="2"/>
        <v/>
      </c>
      <c r="G19" s="53" t="str">
        <f>計5!$D$331</f>
        <v>事業所名を入力14</v>
      </c>
      <c r="H19" s="53">
        <f>計5!$D$332</f>
        <v>0</v>
      </c>
      <c r="I19" s="1005" t="str">
        <f>計5!$C$333&amp;""</f>
        <v>0</v>
      </c>
      <c r="J19" s="1005" t="str">
        <f ca="1">計5!$H$333</f>
        <v/>
      </c>
      <c r="K19" s="53" t="str">
        <f>計5!$M$333&amp;""</f>
        <v>0</v>
      </c>
      <c r="L19" s="53" t="str">
        <f>計5!$C$334&amp;""</f>
        <v>0</v>
      </c>
      <c r="M19" s="53" t="str">
        <f>計5!$H$334&amp;""</f>
        <v>0</v>
      </c>
      <c r="N19" s="53">
        <f>計5!$A$341</f>
        <v>2023</v>
      </c>
      <c r="O19" s="53" t="str">
        <f ca="1">計5!$C$340</f>
        <v/>
      </c>
      <c r="P19" s="53" t="str">
        <f>計5!$I$340&amp;""</f>
        <v/>
      </c>
      <c r="Q19" s="53" t="str">
        <f>計5!$O$340&amp;""</f>
        <v/>
      </c>
      <c r="R19" s="53">
        <f>計5!$A$343</f>
        <v>2026</v>
      </c>
      <c r="S19" s="53" t="str">
        <f>計5!$C$342&amp;""</f>
        <v/>
      </c>
      <c r="T19" s="53" t="str">
        <f ca="1">計5!$D$344&amp;""</f>
        <v/>
      </c>
      <c r="U19" s="53" t="str">
        <f>計5!$I$342&amp;""</f>
        <v/>
      </c>
      <c r="V19" s="53" t="str">
        <f>計5!$O$342&amp;""</f>
        <v/>
      </c>
      <c r="W19" s="53" t="str">
        <f>計5!$J$344&amp;""</f>
        <v/>
      </c>
      <c r="X19" s="53" t="str">
        <f>計5!$R$346&amp;""</f>
        <v>0</v>
      </c>
      <c r="Y19" s="53" t="str">
        <f>計5!$C$345&amp;""</f>
        <v/>
      </c>
      <c r="Z19" s="53" t="str">
        <f>計5!P333</f>
        <v/>
      </c>
      <c r="AA19" s="1815"/>
    </row>
    <row r="20" spans="2:27">
      <c r="B20" s="53" t="str">
        <f>はじめに!$B$6&amp;""</f>
        <v/>
      </c>
      <c r="C20" s="53" t="str">
        <f>計1!$I$8</f>
        <v/>
      </c>
      <c r="D20" s="53">
        <f t="shared" si="1"/>
        <v>15</v>
      </c>
      <c r="E20" s="53" t="str">
        <f t="shared" si="0"/>
        <v>__15</v>
      </c>
      <c r="F20" s="53" t="str">
        <f t="shared" si="2"/>
        <v/>
      </c>
      <c r="G20" s="53" t="str">
        <f>計5!$D$356</f>
        <v>事業所名を入力15</v>
      </c>
      <c r="H20" s="53">
        <f>計5!$D$357</f>
        <v>0</v>
      </c>
      <c r="I20" s="1005" t="str">
        <f>計5!$C$358&amp;""</f>
        <v>0</v>
      </c>
      <c r="J20" s="1005" t="str">
        <f ca="1">計5!$H$358</f>
        <v/>
      </c>
      <c r="K20" s="53" t="str">
        <f>計5!$M$358&amp;""</f>
        <v>0</v>
      </c>
      <c r="L20" s="53" t="str">
        <f>計5!$C$359&amp;""</f>
        <v>0</v>
      </c>
      <c r="M20" s="53" t="str">
        <f>計5!$H$359&amp;""</f>
        <v>0</v>
      </c>
      <c r="N20" s="53">
        <f>計5!$A$366</f>
        <v>2023</v>
      </c>
      <c r="O20" s="53" t="str">
        <f ca="1">計5!$C$365</f>
        <v/>
      </c>
      <c r="P20" s="53" t="str">
        <f>計5!$I$365&amp;""</f>
        <v/>
      </c>
      <c r="Q20" s="53" t="str">
        <f>計5!$O$365&amp;""</f>
        <v/>
      </c>
      <c r="R20" s="53">
        <f>計5!$A$368</f>
        <v>2026</v>
      </c>
      <c r="S20" s="53" t="str">
        <f>計5!$C$367&amp;""</f>
        <v/>
      </c>
      <c r="T20" s="53" t="str">
        <f ca="1">計5!$D$369&amp;""</f>
        <v/>
      </c>
      <c r="U20" s="53" t="str">
        <f>計5!$I$367&amp;""</f>
        <v/>
      </c>
      <c r="V20" s="53" t="str">
        <f>計5!$O$367&amp;""</f>
        <v/>
      </c>
      <c r="W20" s="53" t="str">
        <f>計5!$J$369&amp;""</f>
        <v/>
      </c>
      <c r="X20" s="53" t="str">
        <f>計5!$R$371&amp;""</f>
        <v>0</v>
      </c>
      <c r="Y20" s="53" t="str">
        <f>計5!$C$370&amp;""</f>
        <v/>
      </c>
      <c r="Z20" s="53" t="str">
        <f>計5!P358</f>
        <v/>
      </c>
      <c r="AA20" s="1815"/>
    </row>
    <row r="21" spans="2:27">
      <c r="B21" s="53" t="str">
        <f>はじめに!$B$6&amp;""</f>
        <v/>
      </c>
      <c r="C21" s="53" t="str">
        <f>計1!$I$8</f>
        <v/>
      </c>
      <c r="D21" s="53">
        <f t="shared" si="1"/>
        <v>16</v>
      </c>
      <c r="E21" s="53" t="str">
        <f t="shared" si="0"/>
        <v>__16</v>
      </c>
      <c r="F21" s="53" t="str">
        <f t="shared" si="2"/>
        <v/>
      </c>
      <c r="G21" s="53" t="str">
        <f>計5!$D$381</f>
        <v>事業所名を入力16</v>
      </c>
      <c r="H21" s="53">
        <f>計5!$D$382</f>
        <v>0</v>
      </c>
      <c r="I21" s="1005" t="str">
        <f>計5!$C$383&amp;""</f>
        <v>0</v>
      </c>
      <c r="J21" s="1005" t="str">
        <f ca="1">計5!$H$383</f>
        <v/>
      </c>
      <c r="K21" s="53" t="str">
        <f>計5!$M$383&amp;""</f>
        <v>0</v>
      </c>
      <c r="L21" s="53" t="str">
        <f>計5!$C$384&amp;""</f>
        <v>0</v>
      </c>
      <c r="M21" s="53" t="str">
        <f>計5!$H$384&amp;""</f>
        <v>0</v>
      </c>
      <c r="N21" s="53">
        <f>計5!$A$391</f>
        <v>2023</v>
      </c>
      <c r="O21" s="53" t="str">
        <f ca="1">計5!$C$390</f>
        <v/>
      </c>
      <c r="P21" s="53" t="str">
        <f>計5!$I$390&amp;""</f>
        <v/>
      </c>
      <c r="Q21" s="53" t="str">
        <f>計5!$O$390&amp;""</f>
        <v/>
      </c>
      <c r="R21" s="53">
        <f>計5!$A$393</f>
        <v>2026</v>
      </c>
      <c r="S21" s="53" t="str">
        <f>計5!$C$392&amp;""</f>
        <v/>
      </c>
      <c r="T21" s="53" t="str">
        <f ca="1">計5!$D$394&amp;""</f>
        <v/>
      </c>
      <c r="U21" s="53" t="str">
        <f>計5!$I$392&amp;""</f>
        <v/>
      </c>
      <c r="V21" s="53" t="str">
        <f>計5!$O$392&amp;""</f>
        <v/>
      </c>
      <c r="W21" s="53" t="str">
        <f>計5!$J$394&amp;""</f>
        <v/>
      </c>
      <c r="X21" s="53" t="str">
        <f>計5!$R$396&amp;""</f>
        <v>0</v>
      </c>
      <c r="Y21" s="53" t="str">
        <f>計5!$C$395&amp;""</f>
        <v/>
      </c>
      <c r="Z21" s="53" t="str">
        <f>計5!P383</f>
        <v/>
      </c>
      <c r="AA21" s="1815"/>
    </row>
    <row r="22" spans="2:27">
      <c r="B22" s="53" t="str">
        <f>はじめに!$B$6&amp;""</f>
        <v/>
      </c>
      <c r="C22" s="53" t="str">
        <f>計1!$I$8</f>
        <v/>
      </c>
      <c r="D22" s="53">
        <f t="shared" si="1"/>
        <v>17</v>
      </c>
      <c r="E22" s="53" t="str">
        <f t="shared" si="0"/>
        <v>__17</v>
      </c>
      <c r="F22" s="53" t="str">
        <f t="shared" si="2"/>
        <v/>
      </c>
      <c r="G22" s="53" t="str">
        <f>計5!$D$406</f>
        <v>事業所名を入力17</v>
      </c>
      <c r="H22" s="53">
        <f>計5!$D$407</f>
        <v>0</v>
      </c>
      <c r="I22" s="1005" t="str">
        <f>計5!$C$408&amp;""</f>
        <v>0</v>
      </c>
      <c r="J22" s="1005" t="str">
        <f ca="1">計5!$H$408</f>
        <v/>
      </c>
      <c r="K22" s="53" t="str">
        <f>計5!$M$408&amp;""</f>
        <v>0</v>
      </c>
      <c r="L22" s="53" t="str">
        <f>計5!$C$409&amp;""</f>
        <v>0</v>
      </c>
      <c r="M22" s="53" t="str">
        <f>計5!$H$409&amp;""</f>
        <v>0</v>
      </c>
      <c r="N22" s="53">
        <f>計5!$A$416</f>
        <v>2023</v>
      </c>
      <c r="O22" s="53" t="str">
        <f ca="1">計5!$C$415</f>
        <v/>
      </c>
      <c r="P22" s="53" t="str">
        <f>計5!$I$415&amp;""</f>
        <v/>
      </c>
      <c r="Q22" s="53" t="str">
        <f>計5!$O$415&amp;""</f>
        <v/>
      </c>
      <c r="R22" s="53">
        <f>計5!$A$418</f>
        <v>2026</v>
      </c>
      <c r="S22" s="53" t="str">
        <f>計5!$C$417&amp;""</f>
        <v/>
      </c>
      <c r="T22" s="53" t="str">
        <f ca="1">計5!$D$419&amp;""</f>
        <v/>
      </c>
      <c r="U22" s="53" t="str">
        <f>計5!$I$417&amp;""</f>
        <v/>
      </c>
      <c r="V22" s="53" t="str">
        <f>計5!$O$417&amp;""</f>
        <v/>
      </c>
      <c r="W22" s="53" t="str">
        <f>計5!$J$419&amp;""</f>
        <v/>
      </c>
      <c r="X22" s="53" t="str">
        <f>計5!$R$421&amp;""</f>
        <v>0</v>
      </c>
      <c r="Y22" s="53" t="str">
        <f>計5!$C$420&amp;""</f>
        <v/>
      </c>
      <c r="Z22" s="53" t="str">
        <f>計5!P408</f>
        <v/>
      </c>
      <c r="AA22" s="1815"/>
    </row>
    <row r="23" spans="2:27">
      <c r="B23" s="53" t="str">
        <f>はじめに!$B$6&amp;""</f>
        <v/>
      </c>
      <c r="C23" s="53" t="str">
        <f>計1!$I$8</f>
        <v/>
      </c>
      <c r="D23" s="53">
        <f t="shared" si="1"/>
        <v>18</v>
      </c>
      <c r="E23" s="53" t="str">
        <f t="shared" si="0"/>
        <v>__18</v>
      </c>
      <c r="F23" s="53" t="str">
        <f t="shared" si="2"/>
        <v/>
      </c>
      <c r="G23" s="53" t="str">
        <f>計5!$D$431</f>
        <v>事業所名を入力18</v>
      </c>
      <c r="H23" s="53">
        <f>計5!$D$432</f>
        <v>0</v>
      </c>
      <c r="I23" s="1005" t="str">
        <f>計5!$C$433&amp;""</f>
        <v>0</v>
      </c>
      <c r="J23" s="1005" t="str">
        <f ca="1">計5!$H$433</f>
        <v/>
      </c>
      <c r="K23" s="53" t="str">
        <f>計5!$M$433&amp;""</f>
        <v>0</v>
      </c>
      <c r="L23" s="53" t="str">
        <f>計5!$C$434&amp;""</f>
        <v>0</v>
      </c>
      <c r="M23" s="53" t="str">
        <f>計5!$H$434&amp;""</f>
        <v>0</v>
      </c>
      <c r="N23" s="53">
        <f>計5!$A$441</f>
        <v>2023</v>
      </c>
      <c r="O23" s="53" t="str">
        <f ca="1">計5!$C$440</f>
        <v/>
      </c>
      <c r="P23" s="53" t="str">
        <f>計5!$I$440&amp;""</f>
        <v/>
      </c>
      <c r="Q23" s="53" t="str">
        <f>計5!$O$440&amp;""</f>
        <v/>
      </c>
      <c r="R23" s="53">
        <f>計5!$A$443</f>
        <v>2026</v>
      </c>
      <c r="S23" s="53" t="str">
        <f>計5!$C$442&amp;""</f>
        <v/>
      </c>
      <c r="T23" s="53" t="str">
        <f ca="1">計5!$D$444&amp;""</f>
        <v/>
      </c>
      <c r="U23" s="53" t="str">
        <f>計5!$I$442&amp;""</f>
        <v/>
      </c>
      <c r="V23" s="53" t="str">
        <f>計5!$O$442&amp;""</f>
        <v/>
      </c>
      <c r="W23" s="53" t="str">
        <f>計5!$J$444&amp;""</f>
        <v/>
      </c>
      <c r="X23" s="53" t="str">
        <f>計5!$R$446&amp;""</f>
        <v>0</v>
      </c>
      <c r="Y23" s="53" t="str">
        <f>計5!$C$445&amp;""</f>
        <v/>
      </c>
      <c r="Z23" s="53" t="str">
        <f>計5!P433</f>
        <v/>
      </c>
      <c r="AA23" s="1815"/>
    </row>
    <row r="24" spans="2:27">
      <c r="B24" s="53" t="str">
        <f>はじめに!$B$6&amp;""</f>
        <v/>
      </c>
      <c r="C24" s="53" t="str">
        <f>計1!$I$8</f>
        <v/>
      </c>
      <c r="D24" s="53">
        <f t="shared" si="1"/>
        <v>19</v>
      </c>
      <c r="E24" s="53" t="str">
        <f t="shared" si="0"/>
        <v>__19</v>
      </c>
      <c r="F24" s="53" t="str">
        <f t="shared" si="2"/>
        <v/>
      </c>
      <c r="G24" s="53" t="str">
        <f>計5!$D$456</f>
        <v>事業所名を入力19</v>
      </c>
      <c r="H24" s="53">
        <f>計5!$D$457</f>
        <v>0</v>
      </c>
      <c r="I24" s="1005" t="str">
        <f>計5!$C$458&amp;""</f>
        <v>0</v>
      </c>
      <c r="J24" s="1005" t="str">
        <f ca="1">計5!$H$458</f>
        <v/>
      </c>
      <c r="K24" s="53" t="str">
        <f>計5!$M$458&amp;""</f>
        <v>0</v>
      </c>
      <c r="L24" s="53" t="str">
        <f>計5!$C$459&amp;""</f>
        <v>0</v>
      </c>
      <c r="M24" s="53" t="str">
        <f>計5!$H$459&amp;""</f>
        <v>0</v>
      </c>
      <c r="N24" s="53">
        <f>計5!$A$466</f>
        <v>2023</v>
      </c>
      <c r="O24" s="53" t="str">
        <f ca="1">計5!$C$465</f>
        <v/>
      </c>
      <c r="P24" s="53" t="str">
        <f>計5!$I$465&amp;""</f>
        <v/>
      </c>
      <c r="Q24" s="53" t="str">
        <f>計5!$O$465&amp;""</f>
        <v/>
      </c>
      <c r="R24" s="53">
        <f>計5!$A$468</f>
        <v>2026</v>
      </c>
      <c r="S24" s="53" t="str">
        <f>計5!$C$467&amp;""</f>
        <v/>
      </c>
      <c r="T24" s="53" t="str">
        <f ca="1">計5!$D$469&amp;""</f>
        <v/>
      </c>
      <c r="U24" s="53" t="str">
        <f>計5!$I$467&amp;""</f>
        <v/>
      </c>
      <c r="V24" s="53" t="str">
        <f>計5!$O$467&amp;""</f>
        <v/>
      </c>
      <c r="W24" s="53" t="str">
        <f>計5!$J$469&amp;""</f>
        <v/>
      </c>
      <c r="X24" s="53" t="str">
        <f>計5!$R$471&amp;""</f>
        <v>0</v>
      </c>
      <c r="Y24" s="53" t="str">
        <f>計5!$C$470&amp;""</f>
        <v/>
      </c>
      <c r="Z24" s="53" t="str">
        <f>計5!P458</f>
        <v/>
      </c>
      <c r="AA24" s="1815"/>
    </row>
    <row r="25" spans="2:27">
      <c r="B25" s="53" t="str">
        <f>はじめに!$B$6&amp;""</f>
        <v/>
      </c>
      <c r="C25" s="53" t="str">
        <f>計1!$I$8</f>
        <v/>
      </c>
      <c r="D25" s="53">
        <f t="shared" si="1"/>
        <v>20</v>
      </c>
      <c r="E25" s="53" t="str">
        <f t="shared" si="0"/>
        <v>__20</v>
      </c>
      <c r="F25" s="53" t="str">
        <f t="shared" si="2"/>
        <v/>
      </c>
      <c r="G25" s="53" t="str">
        <f>計5!$D$481</f>
        <v>事業所名を入力20</v>
      </c>
      <c r="H25" s="53">
        <f>計5!$D$482</f>
        <v>0</v>
      </c>
      <c r="I25" s="1005" t="str">
        <f>計5!$C$483&amp;""</f>
        <v>0</v>
      </c>
      <c r="J25" s="1005" t="str">
        <f ca="1">計5!$H$483</f>
        <v/>
      </c>
      <c r="K25" s="53" t="str">
        <f>計5!$M$483&amp;""</f>
        <v>0</v>
      </c>
      <c r="L25" s="53" t="str">
        <f>計5!$C$484&amp;""</f>
        <v>0</v>
      </c>
      <c r="M25" s="53" t="str">
        <f>計5!$H$484&amp;""</f>
        <v>0</v>
      </c>
      <c r="N25" s="53">
        <f>計5!$A$491</f>
        <v>2023</v>
      </c>
      <c r="O25" s="53" t="str">
        <f ca="1">計5!$C$490</f>
        <v/>
      </c>
      <c r="P25" s="53" t="str">
        <f>計5!$I$490&amp;""</f>
        <v/>
      </c>
      <c r="Q25" s="53" t="str">
        <f>計5!$O$490&amp;""</f>
        <v/>
      </c>
      <c r="R25" s="53">
        <f>計5!$A$493</f>
        <v>2026</v>
      </c>
      <c r="S25" s="53" t="str">
        <f>計5!$C$492&amp;""</f>
        <v/>
      </c>
      <c r="T25" s="53" t="str">
        <f ca="1">計5!$D$494&amp;""</f>
        <v/>
      </c>
      <c r="U25" s="53" t="str">
        <f>計5!$I$492&amp;""</f>
        <v/>
      </c>
      <c r="V25" s="53" t="str">
        <f>計5!$O$492&amp;""</f>
        <v/>
      </c>
      <c r="W25" s="53" t="str">
        <f>計5!$J$494&amp;""</f>
        <v/>
      </c>
      <c r="X25" s="53" t="str">
        <f>計5!$R$496&amp;""</f>
        <v>0</v>
      </c>
      <c r="Y25" s="53" t="str">
        <f>計5!$C$495&amp;""</f>
        <v/>
      </c>
      <c r="Z25" s="53" t="str">
        <f>計5!P483</f>
        <v/>
      </c>
      <c r="AA25" s="1815"/>
    </row>
    <row r="26" spans="2:27">
      <c r="B26" s="53" t="str">
        <f>はじめに!$B$6&amp;""</f>
        <v/>
      </c>
      <c r="C26" s="53" t="str">
        <f>計1!$I$8</f>
        <v/>
      </c>
      <c r="D26" s="53">
        <f t="shared" si="1"/>
        <v>21</v>
      </c>
      <c r="E26" s="53" t="str">
        <f t="shared" si="0"/>
        <v>__21</v>
      </c>
      <c r="F26" s="53" t="str">
        <f t="shared" si="2"/>
        <v/>
      </c>
      <c r="G26" s="53" t="str">
        <f>計5!$D$506</f>
        <v>事業所名を入力21</v>
      </c>
      <c r="H26" s="53">
        <f>計5!$D$507</f>
        <v>0</v>
      </c>
      <c r="I26" s="1005" t="str">
        <f>計5!$C$508&amp;""</f>
        <v>0</v>
      </c>
      <c r="J26" s="1005" t="str">
        <f ca="1">計5!$H$508</f>
        <v/>
      </c>
      <c r="K26" s="53" t="str">
        <f>計5!$M$508&amp;""</f>
        <v>0</v>
      </c>
      <c r="L26" s="53" t="str">
        <f>計5!$C$509&amp;""</f>
        <v>0</v>
      </c>
      <c r="M26" s="53" t="str">
        <f>計5!$H$509&amp;""</f>
        <v>0</v>
      </c>
      <c r="N26" s="53">
        <f>計5!$A$516</f>
        <v>2023</v>
      </c>
      <c r="O26" s="53" t="str">
        <f ca="1">計5!$C$515</f>
        <v/>
      </c>
      <c r="P26" s="53" t="str">
        <f>計5!$I$515&amp;""</f>
        <v/>
      </c>
      <c r="Q26" s="53" t="str">
        <f>計5!$O$515&amp;""</f>
        <v/>
      </c>
      <c r="R26" s="53">
        <f>計5!$A$518</f>
        <v>2026</v>
      </c>
      <c r="S26" s="53" t="str">
        <f>計5!$C$517&amp;""</f>
        <v/>
      </c>
      <c r="T26" s="53" t="str">
        <f ca="1">計5!$D$519&amp;""</f>
        <v/>
      </c>
      <c r="U26" s="53" t="str">
        <f>計5!$I$517&amp;""</f>
        <v/>
      </c>
      <c r="V26" s="53" t="str">
        <f>計5!$O$517&amp;""</f>
        <v/>
      </c>
      <c r="W26" s="53" t="str">
        <f>計5!$J$519&amp;""</f>
        <v/>
      </c>
      <c r="X26" s="53" t="str">
        <f>計5!$R$521&amp;""</f>
        <v>0</v>
      </c>
      <c r="Y26" s="53" t="str">
        <f>計5!$C$520&amp;""</f>
        <v/>
      </c>
      <c r="Z26" s="53" t="str">
        <f>計5!P508</f>
        <v/>
      </c>
      <c r="AA26" s="1815"/>
    </row>
    <row r="27" spans="2:27">
      <c r="B27" s="53" t="str">
        <f>はじめに!$B$6&amp;""</f>
        <v/>
      </c>
      <c r="C27" s="53" t="str">
        <f>計1!$I$8</f>
        <v/>
      </c>
      <c r="D27" s="53">
        <f t="shared" si="1"/>
        <v>22</v>
      </c>
      <c r="E27" s="53" t="str">
        <f t="shared" si="0"/>
        <v>__22</v>
      </c>
      <c r="F27" s="53" t="str">
        <f t="shared" si="2"/>
        <v/>
      </c>
      <c r="G27" s="53" t="str">
        <f>計5!$D$531</f>
        <v>事業所名を入力22</v>
      </c>
      <c r="H27" s="53">
        <f>計5!$D$532</f>
        <v>0</v>
      </c>
      <c r="I27" s="1005" t="str">
        <f>計5!$C$533&amp;""</f>
        <v>0</v>
      </c>
      <c r="J27" s="1005" t="str">
        <f ca="1">計5!$H$533</f>
        <v/>
      </c>
      <c r="K27" s="53" t="str">
        <f>計5!$M$533&amp;""</f>
        <v>0</v>
      </c>
      <c r="L27" s="53" t="str">
        <f>計5!$C$534&amp;""</f>
        <v>0</v>
      </c>
      <c r="M27" s="53" t="str">
        <f>計5!$H$534&amp;""</f>
        <v>0</v>
      </c>
      <c r="N27" s="53">
        <f>計5!$A$541</f>
        <v>2023</v>
      </c>
      <c r="O27" s="53" t="str">
        <f ca="1">計5!$C$540</f>
        <v/>
      </c>
      <c r="P27" s="53" t="str">
        <f>計5!$I$540&amp;""</f>
        <v/>
      </c>
      <c r="Q27" s="53" t="str">
        <f>計5!$O$540&amp;""</f>
        <v/>
      </c>
      <c r="R27" s="53">
        <f>計5!$A$543</f>
        <v>2026</v>
      </c>
      <c r="S27" s="53" t="str">
        <f>計5!$C$542&amp;""</f>
        <v/>
      </c>
      <c r="T27" s="53" t="str">
        <f ca="1">計5!$D$544&amp;""</f>
        <v/>
      </c>
      <c r="U27" s="53" t="str">
        <f>計5!$I$542&amp;""</f>
        <v/>
      </c>
      <c r="V27" s="53" t="str">
        <f>計5!$O$542&amp;""</f>
        <v/>
      </c>
      <c r="W27" s="53" t="str">
        <f>計5!$J$544&amp;""</f>
        <v/>
      </c>
      <c r="X27" s="53" t="str">
        <f>計5!$R$546&amp;""</f>
        <v>0</v>
      </c>
      <c r="Y27" s="53" t="str">
        <f>計5!$C$545&amp;""</f>
        <v/>
      </c>
      <c r="Z27" s="53" t="str">
        <f>計5!P533</f>
        <v/>
      </c>
      <c r="AA27" s="1815"/>
    </row>
    <row r="28" spans="2:27">
      <c r="B28" s="53" t="str">
        <f>はじめに!$B$6&amp;""</f>
        <v/>
      </c>
      <c r="C28" s="53" t="str">
        <f>計1!$I$8</f>
        <v/>
      </c>
      <c r="D28" s="53">
        <f t="shared" si="1"/>
        <v>23</v>
      </c>
      <c r="E28" s="53" t="str">
        <f t="shared" si="0"/>
        <v>__23</v>
      </c>
      <c r="F28" s="53" t="str">
        <f t="shared" si="2"/>
        <v/>
      </c>
      <c r="G28" s="53" t="str">
        <f>計5!$D$556</f>
        <v>事業所名を入力23</v>
      </c>
      <c r="H28" s="53">
        <f>計5!$D$557</f>
        <v>0</v>
      </c>
      <c r="I28" s="1005" t="str">
        <f>計5!$C$558&amp;""</f>
        <v>0</v>
      </c>
      <c r="J28" s="1005" t="str">
        <f ca="1">計5!$H$558</f>
        <v/>
      </c>
      <c r="K28" s="53" t="str">
        <f>計5!$M$558&amp;""</f>
        <v>0</v>
      </c>
      <c r="L28" s="53" t="str">
        <f>計5!$C$559&amp;""</f>
        <v>0</v>
      </c>
      <c r="M28" s="53" t="str">
        <f>計5!$H$559&amp;""</f>
        <v>0</v>
      </c>
      <c r="N28" s="53">
        <f>計5!$A$566</f>
        <v>2023</v>
      </c>
      <c r="O28" s="53" t="str">
        <f ca="1">計5!$C$565</f>
        <v/>
      </c>
      <c r="P28" s="53" t="str">
        <f>計5!$I$565&amp;""</f>
        <v/>
      </c>
      <c r="Q28" s="53" t="str">
        <f>計5!$O$565&amp;""</f>
        <v/>
      </c>
      <c r="R28" s="53">
        <f>計5!$A$568</f>
        <v>2026</v>
      </c>
      <c r="S28" s="53" t="str">
        <f>計5!$C$567&amp;""</f>
        <v/>
      </c>
      <c r="T28" s="53" t="str">
        <f ca="1">計5!$D$569&amp;""</f>
        <v/>
      </c>
      <c r="U28" s="53" t="str">
        <f>計5!$I$567&amp;""</f>
        <v/>
      </c>
      <c r="V28" s="53" t="str">
        <f>計5!$O$567&amp;""</f>
        <v/>
      </c>
      <c r="W28" s="53" t="str">
        <f>計5!$J$569&amp;""</f>
        <v/>
      </c>
      <c r="X28" s="53" t="str">
        <f>計5!$R$571&amp;""</f>
        <v>0</v>
      </c>
      <c r="Y28" s="53" t="str">
        <f>計5!$C$570&amp;""</f>
        <v/>
      </c>
      <c r="Z28" s="53" t="str">
        <f>計5!P558</f>
        <v/>
      </c>
      <c r="AA28" s="1815"/>
    </row>
    <row r="29" spans="2:27">
      <c r="B29" s="53" t="str">
        <f>はじめに!$B$6&amp;""</f>
        <v/>
      </c>
      <c r="C29" s="53" t="str">
        <f>計1!$I$8</f>
        <v/>
      </c>
      <c r="D29" s="53">
        <f t="shared" si="1"/>
        <v>24</v>
      </c>
      <c r="E29" s="53" t="str">
        <f t="shared" si="0"/>
        <v>__24</v>
      </c>
      <c r="F29" s="53" t="str">
        <f t="shared" si="2"/>
        <v/>
      </c>
      <c r="G29" s="53" t="str">
        <f>計5!$D$581</f>
        <v>事業所名を入力24</v>
      </c>
      <c r="H29" s="53">
        <f>計5!$D$582</f>
        <v>0</v>
      </c>
      <c r="I29" s="1005" t="str">
        <f>計5!$C$583&amp;""</f>
        <v>0</v>
      </c>
      <c r="J29" s="1005" t="str">
        <f ca="1">計5!$H$583</f>
        <v/>
      </c>
      <c r="K29" s="53" t="str">
        <f>計5!$M$583&amp;""</f>
        <v>0</v>
      </c>
      <c r="L29" s="53" t="str">
        <f>計5!$C$584&amp;""</f>
        <v>0</v>
      </c>
      <c r="M29" s="53" t="str">
        <f>計5!$H$584&amp;""</f>
        <v>0</v>
      </c>
      <c r="N29" s="53">
        <f>計5!$A$591</f>
        <v>2023</v>
      </c>
      <c r="O29" s="53" t="str">
        <f ca="1">計5!$C$590</f>
        <v/>
      </c>
      <c r="P29" s="53" t="str">
        <f>計5!$I$590&amp;""</f>
        <v/>
      </c>
      <c r="Q29" s="53" t="str">
        <f>計5!$O$590&amp;""</f>
        <v/>
      </c>
      <c r="R29" s="53">
        <f>計5!$A$593</f>
        <v>2026</v>
      </c>
      <c r="S29" s="53" t="str">
        <f>計5!$C$592&amp;""</f>
        <v/>
      </c>
      <c r="T29" s="53" t="str">
        <f ca="1">計5!$D$594&amp;""</f>
        <v/>
      </c>
      <c r="U29" s="53" t="str">
        <f>計5!$I$592&amp;""</f>
        <v/>
      </c>
      <c r="V29" s="53" t="str">
        <f>計5!$O$592&amp;""</f>
        <v/>
      </c>
      <c r="W29" s="53" t="str">
        <f>計5!$J$594&amp;""</f>
        <v/>
      </c>
      <c r="X29" s="53" t="str">
        <f>計5!$R$596&amp;""</f>
        <v>0</v>
      </c>
      <c r="Y29" s="53" t="str">
        <f>計5!$C$595&amp;""</f>
        <v/>
      </c>
      <c r="Z29" s="53" t="str">
        <f>計5!P583</f>
        <v/>
      </c>
      <c r="AA29" s="1815"/>
    </row>
    <row r="30" spans="2:27">
      <c r="B30" s="53" t="str">
        <f>はじめに!$B$6&amp;""</f>
        <v/>
      </c>
      <c r="C30" s="53" t="str">
        <f>計1!$I$8</f>
        <v/>
      </c>
      <c r="D30" s="53">
        <f t="shared" si="1"/>
        <v>25</v>
      </c>
      <c r="E30" s="53" t="str">
        <f t="shared" si="0"/>
        <v>__25</v>
      </c>
      <c r="F30" s="53" t="str">
        <f t="shared" si="2"/>
        <v/>
      </c>
      <c r="G30" s="53" t="str">
        <f>計5!$D$606</f>
        <v>事業所名を入力25</v>
      </c>
      <c r="H30" s="53">
        <f>計5!$D$607</f>
        <v>0</v>
      </c>
      <c r="I30" s="1005" t="str">
        <f>計5!$C$608&amp;""</f>
        <v>0</v>
      </c>
      <c r="J30" s="1005" t="str">
        <f ca="1">計5!$H$608</f>
        <v/>
      </c>
      <c r="K30" s="53" t="str">
        <f>計5!$M$608&amp;""</f>
        <v>0</v>
      </c>
      <c r="L30" s="53" t="str">
        <f>計5!$C$609&amp;""</f>
        <v>0</v>
      </c>
      <c r="M30" s="53" t="str">
        <f>計5!$H$609&amp;""</f>
        <v>0</v>
      </c>
      <c r="N30" s="53">
        <f>計5!$A$616</f>
        <v>2023</v>
      </c>
      <c r="O30" s="53" t="str">
        <f ca="1">計5!$C$615</f>
        <v/>
      </c>
      <c r="P30" s="53" t="str">
        <f>計5!$I$615&amp;""</f>
        <v/>
      </c>
      <c r="Q30" s="53" t="str">
        <f>計5!$O$615&amp;""</f>
        <v/>
      </c>
      <c r="R30" s="53">
        <f>計5!$A$618</f>
        <v>2026</v>
      </c>
      <c r="S30" s="53" t="str">
        <f>計5!$C$617&amp;""</f>
        <v/>
      </c>
      <c r="T30" s="53" t="str">
        <f ca="1">計5!$D$619&amp;""</f>
        <v/>
      </c>
      <c r="U30" s="53" t="str">
        <f>計5!$I$617&amp;""</f>
        <v/>
      </c>
      <c r="V30" s="53" t="str">
        <f>計5!$O$617&amp;""</f>
        <v/>
      </c>
      <c r="W30" s="53" t="str">
        <f>計5!$J$619&amp;""</f>
        <v/>
      </c>
      <c r="X30" s="53" t="str">
        <f>計5!$R$621&amp;""</f>
        <v>0</v>
      </c>
      <c r="Y30" s="53" t="str">
        <f>計5!$C$620&amp;""</f>
        <v/>
      </c>
      <c r="Z30" s="53" t="str">
        <f>計5!P608</f>
        <v/>
      </c>
      <c r="AA30" s="1815"/>
    </row>
    <row r="31" spans="2:27">
      <c r="B31" s="53" t="str">
        <f>はじめに!$B$6&amp;""</f>
        <v/>
      </c>
      <c r="C31" s="53" t="str">
        <f>計1!$I$8</f>
        <v/>
      </c>
      <c r="D31" s="53">
        <f t="shared" si="1"/>
        <v>26</v>
      </c>
      <c r="E31" s="53" t="str">
        <f t="shared" si="0"/>
        <v>__26</v>
      </c>
      <c r="F31" s="53" t="str">
        <f t="shared" si="2"/>
        <v/>
      </c>
      <c r="G31" s="53" t="str">
        <f>計5!$D$631</f>
        <v>事業所名を入力26</v>
      </c>
      <c r="H31" s="53">
        <f>計5!$D$632</f>
        <v>0</v>
      </c>
      <c r="I31" s="1005" t="str">
        <f>計5!$C$633&amp;""</f>
        <v>0</v>
      </c>
      <c r="J31" s="1005" t="str">
        <f ca="1">計5!$H$633</f>
        <v/>
      </c>
      <c r="K31" s="53" t="str">
        <f>計5!$M$633&amp;""</f>
        <v>0</v>
      </c>
      <c r="L31" s="53" t="str">
        <f>計5!$C$634&amp;""</f>
        <v>0</v>
      </c>
      <c r="M31" s="53" t="str">
        <f>計5!$H$634&amp;""</f>
        <v>0</v>
      </c>
      <c r="N31" s="53">
        <f>計5!$A$641</f>
        <v>2023</v>
      </c>
      <c r="O31" s="53" t="str">
        <f ca="1">計5!$C$640</f>
        <v/>
      </c>
      <c r="P31" s="53" t="str">
        <f>計5!$I$640&amp;""</f>
        <v/>
      </c>
      <c r="Q31" s="53" t="str">
        <f>計5!$O$640&amp;""</f>
        <v/>
      </c>
      <c r="R31" s="53">
        <f>計5!$A$643</f>
        <v>2026</v>
      </c>
      <c r="S31" s="53" t="str">
        <f>計5!$C$642&amp;""</f>
        <v/>
      </c>
      <c r="T31" s="53" t="str">
        <f ca="1">計5!$D$644&amp;""</f>
        <v/>
      </c>
      <c r="U31" s="53" t="str">
        <f>計5!$I$642&amp;""</f>
        <v/>
      </c>
      <c r="V31" s="53" t="str">
        <f>計5!$O$642&amp;""</f>
        <v/>
      </c>
      <c r="W31" s="53" t="str">
        <f>計5!$J$644&amp;""</f>
        <v/>
      </c>
      <c r="X31" s="53" t="str">
        <f>計5!$R$646&amp;""</f>
        <v>0</v>
      </c>
      <c r="Y31" s="53" t="str">
        <f>計5!$C$645&amp;""</f>
        <v/>
      </c>
      <c r="Z31" s="53" t="str">
        <f>計5!P633</f>
        <v/>
      </c>
      <c r="AA31" s="1815"/>
    </row>
    <row r="32" spans="2:27">
      <c r="B32" s="53" t="str">
        <f>はじめに!$B$6&amp;""</f>
        <v/>
      </c>
      <c r="C32" s="53" t="str">
        <f>計1!$I$8</f>
        <v/>
      </c>
      <c r="D32" s="53">
        <f t="shared" si="1"/>
        <v>27</v>
      </c>
      <c r="E32" s="53" t="str">
        <f t="shared" si="0"/>
        <v>__27</v>
      </c>
      <c r="F32" s="53" t="str">
        <f t="shared" si="2"/>
        <v/>
      </c>
      <c r="G32" s="53" t="str">
        <f>計5!$D$656</f>
        <v>事業所名を入力27</v>
      </c>
      <c r="H32" s="53">
        <f>計5!$D$657</f>
        <v>0</v>
      </c>
      <c r="I32" s="1005" t="str">
        <f>計5!$C$658&amp;""</f>
        <v>0</v>
      </c>
      <c r="J32" s="1005" t="str">
        <f ca="1">計5!$H$658</f>
        <v/>
      </c>
      <c r="K32" s="53" t="str">
        <f>計5!$M$658&amp;""</f>
        <v>0</v>
      </c>
      <c r="L32" s="53" t="str">
        <f>計5!$C$659&amp;""</f>
        <v>0</v>
      </c>
      <c r="M32" s="53" t="str">
        <f>計5!$H$659&amp;""</f>
        <v>0</v>
      </c>
      <c r="N32" s="53">
        <f>計5!$A$666</f>
        <v>2023</v>
      </c>
      <c r="O32" s="53" t="str">
        <f ca="1">計5!$C$665</f>
        <v/>
      </c>
      <c r="P32" s="53" t="str">
        <f>計5!$I$665&amp;""</f>
        <v/>
      </c>
      <c r="Q32" s="53" t="str">
        <f>計5!$O$665&amp;""</f>
        <v/>
      </c>
      <c r="R32" s="53">
        <f>計5!$A$668</f>
        <v>2026</v>
      </c>
      <c r="S32" s="53" t="str">
        <f>計5!$C$667&amp;""</f>
        <v/>
      </c>
      <c r="T32" s="53" t="str">
        <f ca="1">計5!$D$669&amp;""</f>
        <v/>
      </c>
      <c r="U32" s="53" t="str">
        <f>計5!$I$667&amp;""</f>
        <v/>
      </c>
      <c r="V32" s="53" t="str">
        <f>計5!$O$667&amp;""</f>
        <v/>
      </c>
      <c r="W32" s="53" t="str">
        <f>計5!$J$669&amp;""</f>
        <v/>
      </c>
      <c r="X32" s="53" t="str">
        <f>計5!$R$671&amp;""</f>
        <v>0</v>
      </c>
      <c r="Y32" s="53" t="str">
        <f>計5!$C$670&amp;""</f>
        <v/>
      </c>
      <c r="Z32" s="53" t="str">
        <f>計5!P658</f>
        <v/>
      </c>
      <c r="AA32" s="1815"/>
    </row>
    <row r="33" spans="2:27">
      <c r="B33" s="53" t="str">
        <f>はじめに!$B$6&amp;""</f>
        <v/>
      </c>
      <c r="C33" s="53" t="str">
        <f>計1!$I$8</f>
        <v/>
      </c>
      <c r="D33" s="53">
        <f t="shared" si="1"/>
        <v>28</v>
      </c>
      <c r="E33" s="53" t="str">
        <f t="shared" si="0"/>
        <v>__28</v>
      </c>
      <c r="F33" s="53" t="str">
        <f t="shared" si="2"/>
        <v/>
      </c>
      <c r="G33" s="53" t="str">
        <f>計5!$D$681</f>
        <v>事業所名を入力28</v>
      </c>
      <c r="H33" s="53">
        <f>計5!$D$682</f>
        <v>0</v>
      </c>
      <c r="I33" s="1005" t="str">
        <f>計5!$C$683&amp;""</f>
        <v>0</v>
      </c>
      <c r="J33" s="1005" t="str">
        <f ca="1">計5!$H$683</f>
        <v/>
      </c>
      <c r="K33" s="53" t="str">
        <f>計5!$M$683&amp;""</f>
        <v>0</v>
      </c>
      <c r="L33" s="53" t="str">
        <f>計5!$C$684&amp;""</f>
        <v>0</v>
      </c>
      <c r="M33" s="53" t="str">
        <f>計5!$H$684&amp;""</f>
        <v>0</v>
      </c>
      <c r="N33" s="53">
        <f>計5!$A$691</f>
        <v>2023</v>
      </c>
      <c r="O33" s="53" t="str">
        <f ca="1">計5!$C$690</f>
        <v/>
      </c>
      <c r="P33" s="53" t="str">
        <f>計5!$I$690&amp;""</f>
        <v/>
      </c>
      <c r="Q33" s="53" t="str">
        <f>計5!$O$690&amp;""</f>
        <v/>
      </c>
      <c r="R33" s="53">
        <f>計5!$A$693</f>
        <v>2026</v>
      </c>
      <c r="S33" s="53" t="str">
        <f>計5!$C$692&amp;""</f>
        <v/>
      </c>
      <c r="T33" s="53" t="str">
        <f ca="1">計5!$D$694&amp;""</f>
        <v/>
      </c>
      <c r="U33" s="53" t="str">
        <f>計5!$I$692&amp;""</f>
        <v/>
      </c>
      <c r="V33" s="53" t="str">
        <f>計5!$O$692&amp;""</f>
        <v/>
      </c>
      <c r="W33" s="53" t="str">
        <f>計5!$J$694&amp;""</f>
        <v/>
      </c>
      <c r="X33" s="53" t="str">
        <f>計5!$R$696&amp;""</f>
        <v>0</v>
      </c>
      <c r="Y33" s="53" t="str">
        <f>計5!$C$695&amp;""</f>
        <v/>
      </c>
      <c r="Z33" s="53" t="str">
        <f>計5!P683</f>
        <v/>
      </c>
      <c r="AA33" s="1815"/>
    </row>
    <row r="34" spans="2:27">
      <c r="B34" s="53" t="str">
        <f>はじめに!$B$6&amp;""</f>
        <v/>
      </c>
      <c r="C34" s="53" t="str">
        <f>計1!$I$8</f>
        <v/>
      </c>
      <c r="D34" s="53">
        <f t="shared" si="1"/>
        <v>29</v>
      </c>
      <c r="E34" s="53" t="str">
        <f t="shared" si="0"/>
        <v>__29</v>
      </c>
      <c r="F34" s="53" t="str">
        <f t="shared" si="2"/>
        <v/>
      </c>
      <c r="G34" s="53" t="str">
        <f>計5!$D$706</f>
        <v>事業所名を入力29</v>
      </c>
      <c r="H34" s="53">
        <f>計5!$D$707</f>
        <v>0</v>
      </c>
      <c r="I34" s="1005" t="str">
        <f>計5!$C$708&amp;""</f>
        <v>0</v>
      </c>
      <c r="J34" s="1005" t="str">
        <f ca="1">計5!$H$708</f>
        <v/>
      </c>
      <c r="K34" s="53" t="str">
        <f>計5!$M$708&amp;""</f>
        <v>0</v>
      </c>
      <c r="L34" s="53" t="str">
        <f>計5!$C$709&amp;""</f>
        <v>0</v>
      </c>
      <c r="M34" s="53" t="str">
        <f>計5!$H$709&amp;""</f>
        <v>0</v>
      </c>
      <c r="N34" s="53">
        <f>計5!$A$716</f>
        <v>2023</v>
      </c>
      <c r="O34" s="53" t="str">
        <f ca="1">計5!$C$715</f>
        <v/>
      </c>
      <c r="P34" s="53" t="str">
        <f>計5!$I$715&amp;""</f>
        <v/>
      </c>
      <c r="Q34" s="53" t="str">
        <f>計5!$O$715&amp;""</f>
        <v/>
      </c>
      <c r="R34" s="53">
        <f>計5!$A$718</f>
        <v>2026</v>
      </c>
      <c r="S34" s="53" t="str">
        <f>計5!$C$717&amp;""</f>
        <v/>
      </c>
      <c r="T34" s="53" t="str">
        <f ca="1">計5!$D$719&amp;""</f>
        <v/>
      </c>
      <c r="U34" s="53" t="str">
        <f>計5!$I$717&amp;""</f>
        <v/>
      </c>
      <c r="V34" s="53" t="str">
        <f>計5!$O$717&amp;""</f>
        <v/>
      </c>
      <c r="W34" s="53" t="str">
        <f>計5!$J$719&amp;""</f>
        <v/>
      </c>
      <c r="X34" s="53" t="str">
        <f>計5!$R$721&amp;""</f>
        <v>0</v>
      </c>
      <c r="Y34" s="53" t="str">
        <f>計5!$C$720&amp;""</f>
        <v/>
      </c>
      <c r="Z34" s="53" t="str">
        <f>計5!P708</f>
        <v/>
      </c>
      <c r="AA34" s="1815"/>
    </row>
    <row r="35" spans="2:27">
      <c r="B35" s="53" t="str">
        <f>はじめに!$B$6&amp;""</f>
        <v/>
      </c>
      <c r="C35" s="53" t="str">
        <f>計1!$I$8</f>
        <v/>
      </c>
      <c r="D35" s="53">
        <f t="shared" si="1"/>
        <v>30</v>
      </c>
      <c r="E35" s="53" t="str">
        <f t="shared" si="0"/>
        <v>__30</v>
      </c>
      <c r="F35" s="53" t="str">
        <f t="shared" si="2"/>
        <v/>
      </c>
      <c r="G35" s="53" t="str">
        <f>計5!$D$731</f>
        <v>事業所名を入力30</v>
      </c>
      <c r="H35" s="53">
        <f>計5!$D$732</f>
        <v>0</v>
      </c>
      <c r="I35" s="1005" t="str">
        <f>計5!$C$733&amp;""</f>
        <v>0</v>
      </c>
      <c r="J35" s="1005" t="str">
        <f ca="1">計5!$H$733</f>
        <v/>
      </c>
      <c r="K35" s="53" t="str">
        <f>計5!$M$733&amp;""</f>
        <v>0</v>
      </c>
      <c r="L35" s="53" t="str">
        <f>計5!$C$734&amp;""</f>
        <v>0</v>
      </c>
      <c r="M35" s="53" t="str">
        <f>計5!$H$734&amp;""</f>
        <v>0</v>
      </c>
      <c r="N35" s="53">
        <f>計5!$A$741</f>
        <v>2023</v>
      </c>
      <c r="O35" s="53" t="str">
        <f ca="1">計5!$C$740</f>
        <v/>
      </c>
      <c r="P35" s="53" t="str">
        <f>計5!$I$740&amp;""</f>
        <v/>
      </c>
      <c r="Q35" s="53" t="str">
        <f>計5!$O$740&amp;""</f>
        <v/>
      </c>
      <c r="R35" s="53">
        <f>計5!$A$743</f>
        <v>2026</v>
      </c>
      <c r="S35" s="53" t="str">
        <f>計5!$C$742&amp;""</f>
        <v/>
      </c>
      <c r="T35" s="53" t="str">
        <f ca="1">計5!$D$744&amp;""</f>
        <v/>
      </c>
      <c r="U35" s="53" t="str">
        <f>計5!$I$742&amp;""</f>
        <v/>
      </c>
      <c r="V35" s="53" t="str">
        <f>計5!$O$742&amp;""</f>
        <v/>
      </c>
      <c r="W35" s="53" t="str">
        <f>計5!$J$744&amp;""</f>
        <v/>
      </c>
      <c r="X35" s="53" t="str">
        <f>計5!$R$746&amp;""</f>
        <v>0</v>
      </c>
      <c r="Y35" s="53" t="str">
        <f>計5!$C$745&amp;""</f>
        <v/>
      </c>
      <c r="Z35" s="53" t="str">
        <f>計5!P733</f>
        <v/>
      </c>
      <c r="AA35" s="1815"/>
    </row>
    <row r="36" spans="2:27">
      <c r="B36" s="53" t="str">
        <f>はじめに!$B$6&amp;""</f>
        <v/>
      </c>
      <c r="C36" s="53" t="str">
        <f>計1!$I$8</f>
        <v/>
      </c>
      <c r="D36" s="53">
        <f t="shared" si="1"/>
        <v>31</v>
      </c>
      <c r="E36" s="53" t="str">
        <f t="shared" si="0"/>
        <v>__31</v>
      </c>
      <c r="F36" s="53" t="str">
        <f t="shared" si="2"/>
        <v/>
      </c>
      <c r="G36" s="53" t="str">
        <f>計5!$D$756</f>
        <v>事業所名を入力31</v>
      </c>
      <c r="H36" s="53">
        <f>計5!$D$757</f>
        <v>0</v>
      </c>
      <c r="I36" s="1005" t="str">
        <f>計5!$C$758&amp;""</f>
        <v>0</v>
      </c>
      <c r="J36" s="1005" t="str">
        <f ca="1">計5!$H$758</f>
        <v/>
      </c>
      <c r="K36" s="53" t="str">
        <f>計5!$M$758&amp;""</f>
        <v>0</v>
      </c>
      <c r="L36" s="53" t="str">
        <f>計5!$C$759&amp;""</f>
        <v>0</v>
      </c>
      <c r="M36" s="53" t="str">
        <f>計5!$H$759&amp;""</f>
        <v>0</v>
      </c>
      <c r="N36" s="53">
        <f>計5!$A$766</f>
        <v>2023</v>
      </c>
      <c r="O36" s="53" t="str">
        <f ca="1">計5!$C$765</f>
        <v/>
      </c>
      <c r="P36" s="53" t="str">
        <f>計5!$I$765&amp;""</f>
        <v/>
      </c>
      <c r="Q36" s="53" t="str">
        <f>計5!$O$765&amp;""</f>
        <v/>
      </c>
      <c r="R36" s="53">
        <f>計5!$A$768</f>
        <v>2026</v>
      </c>
      <c r="S36" s="53" t="str">
        <f>計5!$C$767&amp;""</f>
        <v/>
      </c>
      <c r="T36" s="53" t="str">
        <f ca="1">計5!$D$769&amp;""</f>
        <v/>
      </c>
      <c r="U36" s="53" t="str">
        <f>計5!$I$767&amp;""</f>
        <v/>
      </c>
      <c r="V36" s="53" t="str">
        <f>計5!$O$767&amp;""</f>
        <v/>
      </c>
      <c r="W36" s="53" t="str">
        <f>計5!$J$769&amp;""</f>
        <v/>
      </c>
      <c r="X36" s="53" t="str">
        <f>計5!$R$771&amp;""</f>
        <v>0</v>
      </c>
      <c r="Y36" s="53" t="str">
        <f>計5!$C$770&amp;""</f>
        <v/>
      </c>
      <c r="Z36" s="53" t="str">
        <f>計5!P758</f>
        <v/>
      </c>
      <c r="AA36" s="1815"/>
    </row>
    <row r="37" spans="2:27">
      <c r="B37" s="53" t="str">
        <f>はじめに!$B$6&amp;""</f>
        <v/>
      </c>
      <c r="C37" s="53" t="str">
        <f>計1!$I$8</f>
        <v/>
      </c>
      <c r="D37" s="53">
        <f t="shared" si="1"/>
        <v>32</v>
      </c>
      <c r="E37" s="53" t="str">
        <f t="shared" si="0"/>
        <v>__32</v>
      </c>
      <c r="F37" s="53" t="str">
        <f t="shared" si="2"/>
        <v/>
      </c>
      <c r="G37" s="53" t="str">
        <f>計5!$D$781</f>
        <v>事業所名を入力32</v>
      </c>
      <c r="H37" s="53">
        <f>計5!$D$782</f>
        <v>0</v>
      </c>
      <c r="I37" s="1005" t="str">
        <f>計5!$C$783&amp;""</f>
        <v>0</v>
      </c>
      <c r="J37" s="1005" t="str">
        <f ca="1">計5!$H$783</f>
        <v/>
      </c>
      <c r="K37" s="53" t="str">
        <f>計5!$M$783&amp;""</f>
        <v>0</v>
      </c>
      <c r="L37" s="53" t="str">
        <f>計5!$C$784&amp;""</f>
        <v>0</v>
      </c>
      <c r="M37" s="53" t="str">
        <f>計5!$H$784&amp;""</f>
        <v>0</v>
      </c>
      <c r="N37" s="53">
        <f>計5!$A$791</f>
        <v>2023</v>
      </c>
      <c r="O37" s="53" t="str">
        <f ca="1">計5!$C$790</f>
        <v/>
      </c>
      <c r="P37" s="53" t="str">
        <f>計5!$I$790&amp;""</f>
        <v/>
      </c>
      <c r="Q37" s="53" t="str">
        <f>計5!$O$790&amp;""</f>
        <v/>
      </c>
      <c r="R37" s="53">
        <f>計5!$A$793</f>
        <v>2026</v>
      </c>
      <c r="S37" s="53" t="str">
        <f>計5!$C$792&amp;""</f>
        <v/>
      </c>
      <c r="T37" s="53" t="str">
        <f ca="1">計5!$D$794&amp;""</f>
        <v/>
      </c>
      <c r="U37" s="53" t="str">
        <f>計5!$I$792&amp;""</f>
        <v/>
      </c>
      <c r="V37" s="53" t="str">
        <f>計5!$O$792&amp;""</f>
        <v/>
      </c>
      <c r="W37" s="53" t="str">
        <f>計5!$J$794&amp;""</f>
        <v/>
      </c>
      <c r="X37" s="53" t="str">
        <f>計5!$R$796&amp;""</f>
        <v>0</v>
      </c>
      <c r="Y37" s="53" t="str">
        <f>計5!$C$795&amp;""</f>
        <v/>
      </c>
      <c r="Z37" s="53" t="str">
        <f>計5!P783</f>
        <v/>
      </c>
      <c r="AA37" s="1815"/>
    </row>
    <row r="38" spans="2:27">
      <c r="B38" s="53" t="str">
        <f>はじめに!$B$6&amp;""</f>
        <v/>
      </c>
      <c r="C38" s="53" t="str">
        <f>計1!$I$8</f>
        <v/>
      </c>
      <c r="D38" s="53">
        <f t="shared" si="1"/>
        <v>33</v>
      </c>
      <c r="E38" s="53" t="str">
        <f t="shared" si="0"/>
        <v>__33</v>
      </c>
      <c r="F38" s="53" t="str">
        <f t="shared" si="2"/>
        <v/>
      </c>
      <c r="G38" s="53" t="str">
        <f>計5!$D$806</f>
        <v>事業所名を入力33</v>
      </c>
      <c r="H38" s="53">
        <f>計5!$D$807</f>
        <v>0</v>
      </c>
      <c r="I38" s="1005" t="str">
        <f>計5!$C$808&amp;""</f>
        <v>0</v>
      </c>
      <c r="J38" s="1005" t="str">
        <f ca="1">計5!$H$808</f>
        <v/>
      </c>
      <c r="K38" s="53" t="str">
        <f>計5!$M$808&amp;""</f>
        <v>0</v>
      </c>
      <c r="L38" s="53" t="str">
        <f>計5!$C$809&amp;""</f>
        <v>0</v>
      </c>
      <c r="M38" s="53" t="str">
        <f>計5!$H$809&amp;""</f>
        <v>0</v>
      </c>
      <c r="N38" s="53">
        <f>計5!$A$816</f>
        <v>2023</v>
      </c>
      <c r="O38" s="53" t="str">
        <f ca="1">計5!$C$815</f>
        <v/>
      </c>
      <c r="P38" s="53" t="str">
        <f>計5!$I$815&amp;""</f>
        <v/>
      </c>
      <c r="Q38" s="53" t="str">
        <f>計5!$O$815&amp;""</f>
        <v/>
      </c>
      <c r="R38" s="53">
        <f>計5!$A$818</f>
        <v>2026</v>
      </c>
      <c r="S38" s="53" t="str">
        <f>計5!$C$817&amp;""</f>
        <v/>
      </c>
      <c r="T38" s="53" t="str">
        <f ca="1">計5!$D$819&amp;""</f>
        <v/>
      </c>
      <c r="U38" s="53" t="str">
        <f>計5!$I$817&amp;""</f>
        <v/>
      </c>
      <c r="V38" s="53" t="str">
        <f>計5!$O$817&amp;""</f>
        <v/>
      </c>
      <c r="W38" s="53" t="str">
        <f>計5!$J$819&amp;""</f>
        <v/>
      </c>
      <c r="X38" s="53" t="str">
        <f>計5!$R$821&amp;""</f>
        <v>0</v>
      </c>
      <c r="Y38" s="53" t="str">
        <f>計5!$C$820&amp;""</f>
        <v/>
      </c>
      <c r="Z38" s="53" t="str">
        <f>計5!P808</f>
        <v/>
      </c>
      <c r="AA38" s="1815"/>
    </row>
    <row r="39" spans="2:27">
      <c r="B39" s="53" t="str">
        <f>はじめに!$B$6&amp;""</f>
        <v/>
      </c>
      <c r="C39" s="53" t="str">
        <f>計1!$I$8</f>
        <v/>
      </c>
      <c r="D39" s="53">
        <f t="shared" si="1"/>
        <v>34</v>
      </c>
      <c r="E39" s="53" t="str">
        <f t="shared" si="0"/>
        <v>__34</v>
      </c>
      <c r="F39" s="53" t="str">
        <f t="shared" si="2"/>
        <v/>
      </c>
      <c r="G39" s="53" t="str">
        <f>計5!$D$831</f>
        <v>事業所名を入力34</v>
      </c>
      <c r="H39" s="53">
        <f>計5!$D$832</f>
        <v>0</v>
      </c>
      <c r="I39" s="1005" t="str">
        <f>計5!$C$833&amp;""</f>
        <v>0</v>
      </c>
      <c r="J39" s="1005" t="str">
        <f ca="1">計5!$H$833</f>
        <v/>
      </c>
      <c r="K39" s="53" t="str">
        <f>計5!$M$833&amp;""</f>
        <v>0</v>
      </c>
      <c r="L39" s="53" t="str">
        <f>計5!$C$834&amp;""</f>
        <v>0</v>
      </c>
      <c r="M39" s="53" t="str">
        <f>計5!$H$834&amp;""</f>
        <v>0</v>
      </c>
      <c r="N39" s="53">
        <f>計5!$A$841</f>
        <v>2023</v>
      </c>
      <c r="O39" s="53" t="str">
        <f ca="1">計5!$C$840</f>
        <v/>
      </c>
      <c r="P39" s="53" t="str">
        <f>計5!$I$840&amp;""</f>
        <v/>
      </c>
      <c r="Q39" s="53" t="str">
        <f>計5!$O$840&amp;""</f>
        <v/>
      </c>
      <c r="R39" s="53">
        <f>計5!$A$843</f>
        <v>2026</v>
      </c>
      <c r="S39" s="53" t="str">
        <f>計5!$C$842&amp;""</f>
        <v/>
      </c>
      <c r="T39" s="53" t="str">
        <f ca="1">計5!$D$844&amp;""</f>
        <v/>
      </c>
      <c r="U39" s="53" t="str">
        <f>計5!$I$842&amp;""</f>
        <v/>
      </c>
      <c r="V39" s="53" t="str">
        <f>計5!$O$842&amp;""</f>
        <v/>
      </c>
      <c r="W39" s="53" t="str">
        <f>計5!$J$844&amp;""</f>
        <v/>
      </c>
      <c r="X39" s="53" t="str">
        <f>計5!$R$846&amp;""</f>
        <v>0</v>
      </c>
      <c r="Y39" s="53" t="str">
        <f>計5!$C$845&amp;""</f>
        <v/>
      </c>
      <c r="Z39" s="53" t="str">
        <f>計5!P833</f>
        <v/>
      </c>
      <c r="AA39" s="1815"/>
    </row>
    <row r="40" spans="2:27">
      <c r="B40" s="53" t="str">
        <f>はじめに!$B$6&amp;""</f>
        <v/>
      </c>
      <c r="C40" s="53" t="str">
        <f>計1!$I$8</f>
        <v/>
      </c>
      <c r="D40" s="53">
        <f t="shared" si="1"/>
        <v>35</v>
      </c>
      <c r="E40" s="53" t="str">
        <f t="shared" si="0"/>
        <v>__35</v>
      </c>
      <c r="F40" s="53" t="str">
        <f t="shared" si="2"/>
        <v/>
      </c>
      <c r="G40" s="53" t="str">
        <f>計5!$D$856</f>
        <v>事業所名を入力35</v>
      </c>
      <c r="H40" s="53">
        <f>計5!$D$857</f>
        <v>0</v>
      </c>
      <c r="I40" s="1005" t="str">
        <f>計5!$C$858&amp;""</f>
        <v>0</v>
      </c>
      <c r="J40" s="1005" t="str">
        <f ca="1">計5!$H$858</f>
        <v/>
      </c>
      <c r="K40" s="53" t="str">
        <f>計5!$M$858&amp;""</f>
        <v>0</v>
      </c>
      <c r="L40" s="53" t="str">
        <f>計5!$C$859&amp;""</f>
        <v>0</v>
      </c>
      <c r="M40" s="53" t="str">
        <f>計5!$H$859&amp;""</f>
        <v>0</v>
      </c>
      <c r="N40" s="53">
        <f>計5!$A$866</f>
        <v>2023</v>
      </c>
      <c r="O40" s="53" t="str">
        <f ca="1">計5!$C$865</f>
        <v/>
      </c>
      <c r="P40" s="53" t="str">
        <f>計5!$I$865&amp;""</f>
        <v/>
      </c>
      <c r="Q40" s="53" t="str">
        <f>計5!$O$865&amp;""</f>
        <v/>
      </c>
      <c r="R40" s="53">
        <f>計5!$A$868</f>
        <v>2026</v>
      </c>
      <c r="S40" s="53" t="str">
        <f>計5!$C$867&amp;""</f>
        <v/>
      </c>
      <c r="T40" s="53" t="str">
        <f ca="1">計5!$D$869&amp;""</f>
        <v/>
      </c>
      <c r="U40" s="53" t="str">
        <f>計5!$I$867&amp;""</f>
        <v/>
      </c>
      <c r="V40" s="53" t="str">
        <f>計5!$O$867&amp;""</f>
        <v/>
      </c>
      <c r="W40" s="53" t="str">
        <f>計5!$J$869&amp;""</f>
        <v/>
      </c>
      <c r="X40" s="53" t="str">
        <f>計5!$R$871&amp;""</f>
        <v>0</v>
      </c>
      <c r="Y40" s="53" t="str">
        <f>計5!$C$870&amp;""</f>
        <v/>
      </c>
      <c r="Z40" s="53" t="str">
        <f>計5!P858</f>
        <v/>
      </c>
      <c r="AA40" s="1815"/>
    </row>
    <row r="41" spans="2:27">
      <c r="B41" s="53" t="str">
        <f>はじめに!$B$6&amp;""</f>
        <v/>
      </c>
      <c r="C41" s="53" t="str">
        <f>計1!$I$8</f>
        <v/>
      </c>
      <c r="D41" s="53">
        <f t="shared" si="1"/>
        <v>36</v>
      </c>
      <c r="E41" s="53" t="str">
        <f t="shared" si="0"/>
        <v>__36</v>
      </c>
      <c r="F41" s="53" t="str">
        <f t="shared" si="2"/>
        <v/>
      </c>
      <c r="G41" s="53" t="str">
        <f>計5!$D$881</f>
        <v>事業所名を入力36</v>
      </c>
      <c r="H41" s="53">
        <f>計5!$D$882</f>
        <v>0</v>
      </c>
      <c r="I41" s="1005" t="str">
        <f>計5!$C$883&amp;""</f>
        <v>0</v>
      </c>
      <c r="J41" s="1005" t="str">
        <f ca="1">計5!$H$883</f>
        <v/>
      </c>
      <c r="K41" s="53" t="str">
        <f>計5!$M$883&amp;""</f>
        <v>0</v>
      </c>
      <c r="L41" s="53" t="str">
        <f>計5!$C$884&amp;""</f>
        <v>0</v>
      </c>
      <c r="M41" s="53" t="str">
        <f>計5!$H$884&amp;""</f>
        <v>0</v>
      </c>
      <c r="N41" s="53">
        <f>計5!$A$891</f>
        <v>2023</v>
      </c>
      <c r="O41" s="53" t="str">
        <f ca="1">計5!$C$890</f>
        <v/>
      </c>
      <c r="P41" s="53" t="str">
        <f>計5!$I$890&amp;""</f>
        <v/>
      </c>
      <c r="Q41" s="53" t="str">
        <f>計5!$O$890&amp;""</f>
        <v/>
      </c>
      <c r="R41" s="53">
        <f>計5!$A$893</f>
        <v>2026</v>
      </c>
      <c r="S41" s="53" t="str">
        <f>計5!$C$892&amp;""</f>
        <v/>
      </c>
      <c r="T41" s="53" t="str">
        <f ca="1">計5!$D$894&amp;""</f>
        <v/>
      </c>
      <c r="U41" s="53" t="str">
        <f>計5!$I$892&amp;""</f>
        <v/>
      </c>
      <c r="V41" s="53" t="str">
        <f>計5!$O$892&amp;""</f>
        <v/>
      </c>
      <c r="W41" s="53" t="str">
        <f>計5!$J$894&amp;""</f>
        <v/>
      </c>
      <c r="X41" s="53" t="str">
        <f>計5!$R$896&amp;""</f>
        <v>0</v>
      </c>
      <c r="Y41" s="53" t="str">
        <f>計5!$C$895&amp;""</f>
        <v/>
      </c>
      <c r="Z41" s="53" t="str">
        <f>計5!P883</f>
        <v/>
      </c>
      <c r="AA41" s="1815"/>
    </row>
    <row r="42" spans="2:27">
      <c r="B42" s="53" t="str">
        <f>はじめに!$B$6&amp;""</f>
        <v/>
      </c>
      <c r="C42" s="53" t="str">
        <f>計1!$I$8</f>
        <v/>
      </c>
      <c r="D42" s="53">
        <f t="shared" si="1"/>
        <v>37</v>
      </c>
      <c r="E42" s="53" t="str">
        <f t="shared" si="0"/>
        <v>__37</v>
      </c>
      <c r="F42" s="53" t="str">
        <f t="shared" si="2"/>
        <v/>
      </c>
      <c r="G42" s="53" t="str">
        <f>計5!$D$906</f>
        <v>事業所名を入力37</v>
      </c>
      <c r="H42" s="53">
        <f>計5!$D$907</f>
        <v>0</v>
      </c>
      <c r="I42" s="1005" t="str">
        <f>計5!$C$908&amp;""</f>
        <v>0</v>
      </c>
      <c r="J42" s="1005" t="str">
        <f ca="1">計5!$H$908</f>
        <v/>
      </c>
      <c r="K42" s="53" t="str">
        <f>計5!$M$908&amp;""</f>
        <v>0</v>
      </c>
      <c r="L42" s="53" t="str">
        <f>計5!$C$909&amp;""</f>
        <v>0</v>
      </c>
      <c r="M42" s="53" t="str">
        <f>計5!$H$909&amp;""</f>
        <v>0</v>
      </c>
      <c r="N42" s="53">
        <f>計5!$A$916</f>
        <v>2023</v>
      </c>
      <c r="O42" s="53" t="str">
        <f ca="1">計5!$C$915</f>
        <v/>
      </c>
      <c r="P42" s="53" t="str">
        <f>計5!$I$915&amp;""</f>
        <v/>
      </c>
      <c r="Q42" s="53" t="str">
        <f>計5!$O$915&amp;""</f>
        <v/>
      </c>
      <c r="R42" s="53">
        <f>計5!$A$918</f>
        <v>2026</v>
      </c>
      <c r="S42" s="53" t="str">
        <f>計5!$C$917&amp;""</f>
        <v/>
      </c>
      <c r="T42" s="53" t="str">
        <f ca="1">計5!$D$919&amp;""</f>
        <v/>
      </c>
      <c r="U42" s="53" t="str">
        <f>計5!$I$917&amp;""</f>
        <v/>
      </c>
      <c r="V42" s="53" t="str">
        <f>計5!$O$917&amp;""</f>
        <v/>
      </c>
      <c r="W42" s="53" t="str">
        <f>計5!$J$919&amp;""</f>
        <v/>
      </c>
      <c r="X42" s="53" t="str">
        <f>計5!$R$921&amp;""</f>
        <v>0</v>
      </c>
      <c r="Y42" s="53" t="str">
        <f>計5!$C$920&amp;""</f>
        <v/>
      </c>
      <c r="Z42" s="53" t="str">
        <f>計5!P908</f>
        <v/>
      </c>
      <c r="AA42" s="1815"/>
    </row>
    <row r="43" spans="2:27">
      <c r="B43" s="53" t="str">
        <f>はじめに!$B$6&amp;""</f>
        <v/>
      </c>
      <c r="C43" s="53" t="str">
        <f>計1!$I$8</f>
        <v/>
      </c>
      <c r="D43" s="53">
        <f t="shared" si="1"/>
        <v>38</v>
      </c>
      <c r="E43" s="53" t="str">
        <f t="shared" si="0"/>
        <v>__38</v>
      </c>
      <c r="F43" s="53" t="str">
        <f t="shared" si="2"/>
        <v/>
      </c>
      <c r="G43" s="53" t="str">
        <f>計5!$D$931</f>
        <v>事業所名を入力38</v>
      </c>
      <c r="H43" s="53">
        <f>計5!$D$932</f>
        <v>0</v>
      </c>
      <c r="I43" s="1005" t="str">
        <f>計5!$C$933&amp;""</f>
        <v>0</v>
      </c>
      <c r="J43" s="1005" t="str">
        <f ca="1">計5!$H$933</f>
        <v/>
      </c>
      <c r="K43" s="53" t="str">
        <f>計5!$M$933&amp;""</f>
        <v>0</v>
      </c>
      <c r="L43" s="53" t="str">
        <f>計5!$C$934&amp;""</f>
        <v>0</v>
      </c>
      <c r="M43" s="53" t="str">
        <f>計5!$H$934&amp;""</f>
        <v>0</v>
      </c>
      <c r="N43" s="53">
        <f>計5!$A$941</f>
        <v>2023</v>
      </c>
      <c r="O43" s="53" t="str">
        <f ca="1">計5!$C$940</f>
        <v/>
      </c>
      <c r="P43" s="53" t="str">
        <f>計5!$I$940&amp;""</f>
        <v/>
      </c>
      <c r="Q43" s="53" t="str">
        <f>計5!$O$940&amp;""</f>
        <v/>
      </c>
      <c r="R43" s="53">
        <f>計5!$A$943</f>
        <v>2026</v>
      </c>
      <c r="S43" s="53" t="str">
        <f>計5!$C$942&amp;""</f>
        <v/>
      </c>
      <c r="T43" s="53" t="str">
        <f ca="1">計5!$D$944&amp;""</f>
        <v/>
      </c>
      <c r="U43" s="53" t="str">
        <f>計5!$I$942&amp;""</f>
        <v/>
      </c>
      <c r="V43" s="53" t="str">
        <f>計5!$O$942&amp;""</f>
        <v/>
      </c>
      <c r="W43" s="53" t="str">
        <f>計5!$J$944&amp;""</f>
        <v/>
      </c>
      <c r="X43" s="53" t="str">
        <f>計5!$R$946&amp;""</f>
        <v>0</v>
      </c>
      <c r="Y43" s="53" t="str">
        <f>計5!$C$945&amp;""</f>
        <v/>
      </c>
      <c r="Z43" s="53" t="str">
        <f>計5!P933</f>
        <v/>
      </c>
      <c r="AA43" s="1815"/>
    </row>
    <row r="44" spans="2:27">
      <c r="B44" s="53" t="str">
        <f>はじめに!$B$6&amp;""</f>
        <v/>
      </c>
      <c r="C44" s="53" t="str">
        <f>計1!$I$8</f>
        <v/>
      </c>
      <c r="D44" s="53">
        <f t="shared" si="1"/>
        <v>39</v>
      </c>
      <c r="E44" s="53" t="str">
        <f t="shared" si="0"/>
        <v>__39</v>
      </c>
      <c r="F44" s="53" t="str">
        <f t="shared" si="2"/>
        <v/>
      </c>
      <c r="G44" s="53" t="str">
        <f>計5!$D$956</f>
        <v>事業所名を入力39</v>
      </c>
      <c r="H44" s="1812">
        <f>計5!$D$957</f>
        <v>0</v>
      </c>
      <c r="I44" s="1005" t="str">
        <f>計5!$C$958&amp;""</f>
        <v>0</v>
      </c>
      <c r="J44" s="1005" t="str">
        <f ca="1">計5!$H$958</f>
        <v/>
      </c>
      <c r="K44" s="53" t="str">
        <f>計5!$M$958&amp;""</f>
        <v>0</v>
      </c>
      <c r="L44" s="53" t="str">
        <f>計5!$C$959&amp;""</f>
        <v>0</v>
      </c>
      <c r="M44" s="53" t="str">
        <f>計5!$H$959&amp;""</f>
        <v>0</v>
      </c>
      <c r="N44" s="53">
        <f>計5!$A$966</f>
        <v>2023</v>
      </c>
      <c r="O44" s="53" t="str">
        <f ca="1">計5!$C$965</f>
        <v/>
      </c>
      <c r="P44" s="53" t="str">
        <f>計5!$I$965&amp;""</f>
        <v/>
      </c>
      <c r="Q44" s="53" t="str">
        <f>計5!$O$965&amp;""</f>
        <v/>
      </c>
      <c r="R44" s="53">
        <f>計5!$A$968</f>
        <v>2026</v>
      </c>
      <c r="S44" s="53" t="str">
        <f>計5!$C$967&amp;""</f>
        <v/>
      </c>
      <c r="T44" s="53" t="str">
        <f ca="1">計5!$D$969&amp;""</f>
        <v/>
      </c>
      <c r="U44" s="53" t="str">
        <f>計5!$I$967&amp;""</f>
        <v/>
      </c>
      <c r="V44" s="53" t="str">
        <f>計5!$O$967&amp;""</f>
        <v/>
      </c>
      <c r="W44" s="53" t="str">
        <f>計5!$J$969&amp;""</f>
        <v/>
      </c>
      <c r="X44" s="53" t="str">
        <f>計5!$R$971&amp;""</f>
        <v>0</v>
      </c>
      <c r="Y44" s="53" t="str">
        <f>計5!$C$970&amp;""</f>
        <v/>
      </c>
      <c r="Z44" s="53" t="str">
        <f>計5!P958</f>
        <v/>
      </c>
      <c r="AA44" s="1815"/>
    </row>
    <row r="45" spans="2:27">
      <c r="B45" s="53" t="str">
        <f>はじめに!$B$6&amp;""</f>
        <v/>
      </c>
      <c r="C45" s="53" t="str">
        <f>計1!$I$8</f>
        <v/>
      </c>
      <c r="D45" s="53">
        <f t="shared" si="1"/>
        <v>40</v>
      </c>
      <c r="E45" s="53" t="str">
        <f t="shared" si="0"/>
        <v>__40</v>
      </c>
      <c r="F45" s="53" t="str">
        <f t="shared" si="2"/>
        <v/>
      </c>
      <c r="G45" s="53" t="str">
        <f>計5!$D$981</f>
        <v>事業所名を入力40</v>
      </c>
      <c r="H45" s="53" t="str">
        <f>計5!$D$982</f>
        <v/>
      </c>
      <c r="I45" s="1005" t="str">
        <f>計5!$C$983&amp;""</f>
        <v>0</v>
      </c>
      <c r="J45" s="1005" t="str">
        <f ca="1">計5!$H$983</f>
        <v/>
      </c>
      <c r="K45" s="53" t="str">
        <f>計5!$M$983&amp;""</f>
        <v>0</v>
      </c>
      <c r="L45" s="53" t="str">
        <f>計5!$C$984&amp;""</f>
        <v>0</v>
      </c>
      <c r="M45" s="53" t="str">
        <f>計5!$H$984&amp;""</f>
        <v>0</v>
      </c>
      <c r="N45" s="53">
        <f>計5!$A$991</f>
        <v>2023</v>
      </c>
      <c r="O45" s="53" t="str">
        <f ca="1">計5!$C$990</f>
        <v/>
      </c>
      <c r="P45" s="53" t="str">
        <f>計5!$I$990&amp;""</f>
        <v/>
      </c>
      <c r="Q45" s="53" t="str">
        <f>計5!$O$990&amp;""</f>
        <v/>
      </c>
      <c r="R45" s="53">
        <f>計5!$A$993</f>
        <v>2026</v>
      </c>
      <c r="S45" s="53" t="str">
        <f>計5!$C$992&amp;""</f>
        <v/>
      </c>
      <c r="T45" s="53" t="str">
        <f ca="1">計5!$D$994&amp;""</f>
        <v/>
      </c>
      <c r="U45" s="53" t="str">
        <f>計5!$I$992&amp;""</f>
        <v/>
      </c>
      <c r="V45" s="53" t="str">
        <f>計5!$O$992&amp;""</f>
        <v/>
      </c>
      <c r="W45" s="53" t="str">
        <f>計5!$J$994&amp;""</f>
        <v/>
      </c>
      <c r="X45" s="53" t="str">
        <f>計5!$R$996&amp;""</f>
        <v>0</v>
      </c>
      <c r="Y45" s="53" t="str">
        <f>計5!$C$995&amp;""</f>
        <v/>
      </c>
      <c r="Z45" s="53" t="str">
        <f>計5!P983</f>
        <v/>
      </c>
      <c r="AA45" s="1815"/>
    </row>
  </sheetData>
  <phoneticPr fontId="15"/>
  <conditionalFormatting sqref="Y6">
    <cfRule type="expression" dxfId="899" priority="40">
      <formula>AND($J$6&lt;&gt;"",$J$6&gt;1500)</formula>
    </cfRule>
  </conditionalFormatting>
  <conditionalFormatting sqref="Y7">
    <cfRule type="expression" dxfId="898" priority="39">
      <formula>AND($J$7&lt;&gt;"",$J$7&gt;1500)</formula>
    </cfRule>
  </conditionalFormatting>
  <conditionalFormatting sqref="Y8">
    <cfRule type="expression" dxfId="897" priority="38">
      <formula>AND($J$8&lt;&gt;"",$J$8&gt;1500)</formula>
    </cfRule>
  </conditionalFormatting>
  <conditionalFormatting sqref="Y9">
    <cfRule type="expression" dxfId="896" priority="37">
      <formula>AND($J$9&lt;&gt;"",$J$9&gt;1500)</formula>
    </cfRule>
  </conditionalFormatting>
  <conditionalFormatting sqref="Y10">
    <cfRule type="expression" dxfId="895" priority="36">
      <formula>AND($J$10&lt;&gt;"",$J$10&gt;1500)</formula>
    </cfRule>
  </conditionalFormatting>
  <conditionalFormatting sqref="Y11">
    <cfRule type="expression" dxfId="894" priority="35">
      <formula>AND($J$11&lt;&gt;"",$J$11&gt;1500)</formula>
    </cfRule>
  </conditionalFormatting>
  <conditionalFormatting sqref="Y12">
    <cfRule type="expression" dxfId="893" priority="34">
      <formula>AND($J$12&lt;&gt;"",$J$12&gt;1500)</formula>
    </cfRule>
  </conditionalFormatting>
  <conditionalFormatting sqref="Y13">
    <cfRule type="expression" dxfId="892" priority="33">
      <formula>AND($J$13&lt;&gt;"",$J$13&gt;1500)</formula>
    </cfRule>
  </conditionalFormatting>
  <conditionalFormatting sqref="Y14">
    <cfRule type="expression" dxfId="891" priority="32">
      <formula>AND($J$14&lt;&gt;"",$J$14&gt;1500)</formula>
    </cfRule>
  </conditionalFormatting>
  <conditionalFormatting sqref="Y15">
    <cfRule type="expression" dxfId="890" priority="31">
      <formula>AND($J$15&lt;&gt;"",$J$15&gt;1500)</formula>
    </cfRule>
  </conditionalFormatting>
  <conditionalFormatting sqref="Y16">
    <cfRule type="expression" dxfId="889" priority="30">
      <formula>AND($J$16&lt;&gt;"",$J$16&gt;1500)</formula>
    </cfRule>
  </conditionalFormatting>
  <conditionalFormatting sqref="Y17">
    <cfRule type="expression" dxfId="888" priority="29">
      <formula>AND($J$17&lt;&gt;"",$J$17&gt;1500)</formula>
    </cfRule>
  </conditionalFormatting>
  <conditionalFormatting sqref="Y18">
    <cfRule type="expression" dxfId="887" priority="28">
      <formula>AND($J$18&lt;&gt;"",$J$18&gt;1500)</formula>
    </cfRule>
  </conditionalFormatting>
  <conditionalFormatting sqref="Y19">
    <cfRule type="expression" dxfId="886" priority="27">
      <formula>AND($J$19&lt;&gt;"",$J$19&gt;1500)</formula>
    </cfRule>
  </conditionalFormatting>
  <conditionalFormatting sqref="Y20">
    <cfRule type="expression" dxfId="885" priority="26">
      <formula>AND($J$20&lt;&gt;"",$J$20&gt;1500)</formula>
    </cfRule>
  </conditionalFormatting>
  <conditionalFormatting sqref="Y21">
    <cfRule type="expression" dxfId="884" priority="25">
      <formula>AND($J$21&lt;&gt;"",$J$21&gt;1500)</formula>
    </cfRule>
  </conditionalFormatting>
  <conditionalFormatting sqref="Y22">
    <cfRule type="expression" dxfId="883" priority="24">
      <formula>AND($J$22&lt;&gt;"",$J$22&gt;1500)</formula>
    </cfRule>
  </conditionalFormatting>
  <conditionalFormatting sqref="Y23">
    <cfRule type="expression" dxfId="882" priority="23">
      <formula>AND($J$23&lt;&gt;"",$J$23&gt;1500)</formula>
    </cfRule>
  </conditionalFormatting>
  <conditionalFormatting sqref="Y24">
    <cfRule type="expression" dxfId="881" priority="22">
      <formula>AND($J$24&lt;&gt;"",$J$24&gt;1500)</formula>
    </cfRule>
  </conditionalFormatting>
  <conditionalFormatting sqref="Y25">
    <cfRule type="expression" dxfId="880" priority="21">
      <formula>AND($J$25&lt;&gt;"",$J$25&gt;1500)</formula>
    </cfRule>
  </conditionalFormatting>
  <conditionalFormatting sqref="Y26">
    <cfRule type="expression" dxfId="879" priority="20">
      <formula>AND($J$26&lt;&gt;"",$J$26&gt;1500)</formula>
    </cfRule>
  </conditionalFormatting>
  <conditionalFormatting sqref="Y27">
    <cfRule type="expression" dxfId="878" priority="19">
      <formula>AND($J$27&lt;&gt;"",$J$27&gt;1500)</formula>
    </cfRule>
  </conditionalFormatting>
  <conditionalFormatting sqref="Y28">
    <cfRule type="expression" dxfId="877" priority="18">
      <formula>AND($J$28&lt;&gt;"",$J$28&gt;1500)</formula>
    </cfRule>
  </conditionalFormatting>
  <conditionalFormatting sqref="Y29">
    <cfRule type="expression" dxfId="876" priority="17">
      <formula>AND($J$29&lt;&gt;"",$J$29&gt;1500)</formula>
    </cfRule>
  </conditionalFormatting>
  <conditionalFormatting sqref="Y30">
    <cfRule type="expression" dxfId="875" priority="16">
      <formula>AND($J$30&lt;&gt;"",$J$30&gt;1500)</formula>
    </cfRule>
  </conditionalFormatting>
  <conditionalFormatting sqref="Y31">
    <cfRule type="expression" dxfId="874" priority="15">
      <formula>AND($J$31&lt;&gt;"",$J$31&gt;1500)</formula>
    </cfRule>
  </conditionalFormatting>
  <conditionalFormatting sqref="Y32">
    <cfRule type="expression" dxfId="873" priority="14">
      <formula>AND($J$32&lt;&gt;"",$J$32&gt;1500)</formula>
    </cfRule>
  </conditionalFormatting>
  <conditionalFormatting sqref="Y33">
    <cfRule type="expression" dxfId="872" priority="13">
      <formula>AND($J$33&lt;&gt;"",$J$33&gt;1500)</formula>
    </cfRule>
  </conditionalFormatting>
  <conditionalFormatting sqref="Y34">
    <cfRule type="expression" dxfId="871" priority="12">
      <formula>AND($J$34&lt;&gt;"",$J$34&gt;1500)</formula>
    </cfRule>
  </conditionalFormatting>
  <conditionalFormatting sqref="Y35">
    <cfRule type="expression" dxfId="870" priority="11">
      <formula>AND($J$35&lt;&gt;"",$J$35&gt;1500)</formula>
    </cfRule>
  </conditionalFormatting>
  <conditionalFormatting sqref="Y36">
    <cfRule type="expression" dxfId="869" priority="10">
      <formula>AND($J$36&lt;&gt;"",$J$36&gt;1500)</formula>
    </cfRule>
  </conditionalFormatting>
  <conditionalFormatting sqref="Y37">
    <cfRule type="expression" dxfId="868" priority="9">
      <formula>AND($J$37&lt;&gt;"",$J$37&gt;1500)</formula>
    </cfRule>
  </conditionalFormatting>
  <conditionalFormatting sqref="Y38">
    <cfRule type="expression" dxfId="867" priority="8">
      <formula>AND($J$38&lt;&gt;"",$J$38&gt;1500)</formula>
    </cfRule>
  </conditionalFormatting>
  <conditionalFormatting sqref="Y39">
    <cfRule type="expression" dxfId="866" priority="7">
      <formula>AND($J$39&lt;&gt;"",$J$39&gt;1500)</formula>
    </cfRule>
  </conditionalFormatting>
  <conditionalFormatting sqref="Y40">
    <cfRule type="expression" dxfId="865" priority="6">
      <formula>AND($J$40&lt;&gt;"",$J$40&gt;1500)</formula>
    </cfRule>
  </conditionalFormatting>
  <conditionalFormatting sqref="Y41">
    <cfRule type="expression" dxfId="864" priority="5">
      <formula>AND($J$41&lt;&gt;"",$J$41&gt;1500)</formula>
    </cfRule>
  </conditionalFormatting>
  <conditionalFormatting sqref="Y42">
    <cfRule type="expression" dxfId="863" priority="4">
      <formula>AND($J$42&lt;&gt;"",$J$42&gt;1500)</formula>
    </cfRule>
  </conditionalFormatting>
  <conditionalFormatting sqref="Y43">
    <cfRule type="expression" dxfId="862" priority="3">
      <formula>AND($J$43&lt;&gt;"",$J$43&gt;1500)</formula>
    </cfRule>
  </conditionalFormatting>
  <conditionalFormatting sqref="Y44">
    <cfRule type="expression" dxfId="861" priority="2">
      <formula>AND($J$44&lt;&gt;"",$J$44&gt;1500)</formula>
    </cfRule>
  </conditionalFormatting>
  <conditionalFormatting sqref="Y45">
    <cfRule type="expression" dxfId="860" priority="1">
      <formula>AND($J$45&lt;&gt;"",$J$45&gt;1500)</formula>
    </cfRule>
  </conditionalFormatting>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
    <pageSetUpPr fitToPage="1"/>
  </sheetPr>
  <dimension ref="A1:AX71"/>
  <sheetViews>
    <sheetView showGridLines="0" topLeftCell="A10" zoomScaleNormal="100" workbookViewId="0">
      <selection activeCell="B6" sqref="B6"/>
    </sheetView>
  </sheetViews>
  <sheetFormatPr defaultColWidth="9" defaultRowHeight="13.5"/>
  <cols>
    <col min="1" max="1" width="5.125" style="3" customWidth="1"/>
    <col min="2" max="2" width="5.625" style="3" customWidth="1"/>
    <col min="3" max="3" width="6.625" style="3" customWidth="1"/>
    <col min="4" max="4" width="4.625" style="3" customWidth="1"/>
    <col min="5" max="5" width="6.625" style="3" customWidth="1"/>
    <col min="6" max="6" width="7.625" style="3" customWidth="1"/>
    <col min="7" max="7" width="12.625" style="3" customWidth="1"/>
    <col min="8" max="9" width="7.625" style="3" customWidth="1"/>
    <col min="10" max="10" width="4.625" style="3" customWidth="1"/>
    <col min="11" max="11" width="9.625" style="3" customWidth="1"/>
    <col min="12" max="12" width="4.625" style="3" customWidth="1"/>
    <col min="13" max="13" width="5.625" style="3" customWidth="1"/>
    <col min="14" max="14" width="6.625" style="3" customWidth="1"/>
    <col min="15" max="15" width="2.125" style="3" customWidth="1"/>
    <col min="16" max="16" width="9" style="3" hidden="1" customWidth="1"/>
    <col min="17" max="17" width="19.25" style="3" hidden="1" customWidth="1"/>
    <col min="18" max="18" width="9" style="3" hidden="1" customWidth="1"/>
    <col min="19" max="19" width="9.625" style="3" hidden="1" customWidth="1"/>
    <col min="20" max="43" width="9" style="3" hidden="1" customWidth="1"/>
    <col min="44" max="46" width="9.75" style="3" customWidth="1"/>
    <col min="47" max="50" width="9" style="3" customWidth="1"/>
    <col min="51" max="16384" width="9" style="3"/>
  </cols>
  <sheetData>
    <row r="1" spans="1:50" ht="14.25" customHeight="1" thickBot="1">
      <c r="A1" s="1" t="s">
        <v>174</v>
      </c>
      <c r="B1" s="2"/>
      <c r="C1" s="2"/>
      <c r="D1" s="2"/>
      <c r="E1" s="2"/>
      <c r="F1" s="2"/>
      <c r="G1" s="2"/>
      <c r="H1" s="2"/>
      <c r="I1" s="2"/>
      <c r="J1" s="2"/>
      <c r="K1" s="2608"/>
      <c r="L1" s="2608"/>
      <c r="M1" s="2609"/>
      <c r="N1" s="2609"/>
      <c r="P1" s="1320"/>
      <c r="Q1" s="1242"/>
      <c r="R1" s="1242"/>
      <c r="S1" s="1242"/>
      <c r="T1" s="1242"/>
      <c r="U1" s="1242"/>
      <c r="V1" s="1242"/>
      <c r="W1" s="1242"/>
      <c r="X1" s="1242"/>
      <c r="Y1" s="1242"/>
      <c r="Z1" s="1242"/>
      <c r="AA1" s="1242"/>
      <c r="AB1" s="1242"/>
      <c r="AC1" s="1242"/>
      <c r="AD1" s="1242"/>
      <c r="AE1" s="1242"/>
      <c r="AF1" s="1242"/>
      <c r="AG1" s="1242"/>
      <c r="AH1" s="1242"/>
      <c r="AI1" s="1242"/>
      <c r="AJ1" s="1242"/>
      <c r="AK1" s="1242"/>
      <c r="AL1" s="1242"/>
      <c r="AM1" s="1242"/>
      <c r="AN1" s="1242"/>
      <c r="AO1" s="1242"/>
      <c r="AP1" s="1242"/>
      <c r="AQ1" s="1242"/>
      <c r="AR1" s="1410"/>
      <c r="AS1" s="1410"/>
      <c r="AT1" s="1410"/>
      <c r="AU1" s="1410"/>
      <c r="AV1" s="156"/>
      <c r="AW1" s="156"/>
      <c r="AX1" s="156"/>
    </row>
    <row r="2" spans="1:50" ht="15.95" customHeight="1" thickBot="1">
      <c r="A2" s="26" t="s">
        <v>256</v>
      </c>
      <c r="B2" s="4"/>
      <c r="C2" s="4"/>
      <c r="D2" s="4"/>
      <c r="E2" s="4"/>
      <c r="F2" s="4"/>
      <c r="G2" s="4"/>
      <c r="H2" s="4"/>
      <c r="I2" s="4"/>
      <c r="J2" s="4"/>
      <c r="K2" s="2610" t="s">
        <v>257</v>
      </c>
      <c r="L2" s="2611"/>
      <c r="M2" s="2610" t="str">
        <f>参照元!$F$14</f>
        <v>新規</v>
      </c>
      <c r="N2" s="2611"/>
      <c r="P2" s="1320"/>
      <c r="Q2" s="1242"/>
      <c r="R2" s="1242"/>
      <c r="S2" s="1242"/>
      <c r="T2" s="1242"/>
      <c r="U2" s="1242"/>
      <c r="V2" s="1242"/>
      <c r="W2" s="1242"/>
      <c r="X2" s="1242"/>
      <c r="Y2" s="1242"/>
      <c r="Z2" s="1242"/>
      <c r="AA2" s="1242"/>
      <c r="AB2" s="1242"/>
      <c r="AC2" s="1242"/>
      <c r="AD2" s="1242"/>
      <c r="AE2" s="1242"/>
      <c r="AF2" s="1242"/>
      <c r="AG2" s="1242"/>
      <c r="AH2" s="1242"/>
      <c r="AI2" s="1242"/>
      <c r="AJ2" s="1242"/>
      <c r="AK2" s="1242"/>
      <c r="AL2" s="1242"/>
      <c r="AM2" s="1242"/>
      <c r="AN2" s="1242"/>
      <c r="AO2" s="1242"/>
      <c r="AP2" s="1242"/>
      <c r="AQ2" s="1242"/>
      <c r="AR2" s="1410"/>
      <c r="AS2" s="1435" t="str">
        <f>はじめに!A2&amp;"管理用："</f>
        <v>2024管理用：</v>
      </c>
      <c r="AT2" s="1436">
        <v>0</v>
      </c>
      <c r="AU2" s="1410"/>
      <c r="AV2" s="156"/>
      <c r="AW2" s="156"/>
      <c r="AX2" s="156"/>
    </row>
    <row r="3" spans="1:50" ht="20.100000000000001" customHeight="1" thickBot="1">
      <c r="A3" s="2612" t="s">
        <v>137</v>
      </c>
      <c r="B3" s="2612"/>
      <c r="C3" s="2612"/>
      <c r="D3" s="2612"/>
      <c r="E3" s="2612"/>
      <c r="F3" s="2612"/>
      <c r="G3" s="2612"/>
      <c r="H3" s="2612"/>
      <c r="I3" s="2612"/>
      <c r="J3" s="2612"/>
      <c r="K3" s="2612"/>
      <c r="L3" s="2612"/>
      <c r="M3" s="2612"/>
      <c r="N3" s="2612"/>
      <c r="P3" s="1320" t="s">
        <v>411</v>
      </c>
      <c r="Q3" s="1242" t="s">
        <v>412</v>
      </c>
      <c r="R3" s="1242"/>
      <c r="S3" s="1242"/>
      <c r="T3" s="1242"/>
      <c r="U3" s="1242"/>
      <c r="V3" s="1242"/>
      <c r="W3" s="1242"/>
      <c r="X3" s="1242"/>
      <c r="Y3" s="1242"/>
      <c r="Z3" s="1242"/>
      <c r="AA3" s="1242"/>
      <c r="AB3" s="1242"/>
      <c r="AC3" s="1242"/>
      <c r="AD3" s="1242"/>
      <c r="AE3" s="1242"/>
      <c r="AF3" s="1242"/>
      <c r="AG3" s="1242"/>
      <c r="AH3" s="1242"/>
      <c r="AI3" s="1242"/>
      <c r="AJ3" s="1242"/>
      <c r="AK3" s="1242"/>
      <c r="AL3" s="1242"/>
      <c r="AM3" s="1242"/>
      <c r="AN3" s="1242"/>
      <c r="AO3" s="1242"/>
      <c r="AP3" s="1242"/>
      <c r="AQ3" s="1242"/>
      <c r="AR3" s="1410"/>
      <c r="AS3" s="1410"/>
      <c r="AT3" s="1410"/>
      <c r="AU3" s="1410"/>
      <c r="AV3" s="156"/>
      <c r="AW3" s="156"/>
      <c r="AX3" s="156"/>
    </row>
    <row r="4" spans="1:50" ht="18" customHeight="1" thickBot="1">
      <c r="A4" s="28"/>
      <c r="B4" s="28"/>
      <c r="C4" s="28"/>
      <c r="D4" s="28"/>
      <c r="E4" s="28"/>
      <c r="F4" s="28"/>
      <c r="G4" s="28"/>
      <c r="H4" s="28"/>
      <c r="I4" s="28"/>
      <c r="J4" s="28"/>
      <c r="K4" s="28"/>
      <c r="L4" s="28"/>
      <c r="M4" s="28"/>
      <c r="N4" s="28"/>
      <c r="P4" s="1320"/>
      <c r="Q4" s="1242" t="str">
        <f>IF(AND(L23=1,L24=1),"","○")</f>
        <v>○</v>
      </c>
      <c r="R4" s="1242" t="s">
        <v>4350</v>
      </c>
      <c r="S4" s="1242"/>
      <c r="T4" s="1242"/>
      <c r="U4" s="1242"/>
      <c r="V4" s="1242"/>
      <c r="W4" s="1242"/>
      <c r="X4" s="1242"/>
      <c r="Y4" s="1242"/>
      <c r="Z4" s="1242"/>
      <c r="AA4" s="1242"/>
      <c r="AB4" s="1242"/>
      <c r="AC4" s="1242"/>
      <c r="AD4" s="1242"/>
      <c r="AE4" s="1242"/>
      <c r="AF4" s="1242"/>
      <c r="AG4" s="1242"/>
      <c r="AH4" s="1242"/>
      <c r="AI4" s="1242"/>
      <c r="AJ4" s="1242"/>
      <c r="AK4" s="1242"/>
      <c r="AL4" s="1242"/>
      <c r="AM4" s="1242"/>
      <c r="AN4" s="1242"/>
      <c r="AO4" s="1242"/>
      <c r="AP4" s="1242"/>
      <c r="AQ4" s="1242"/>
      <c r="AR4" s="1410"/>
      <c r="AS4" s="1410"/>
      <c r="AT4" s="1410"/>
      <c r="AU4" s="1410"/>
      <c r="AV4" s="156"/>
      <c r="AW4" s="156"/>
      <c r="AX4" s="156"/>
    </row>
    <row r="5" spans="1:50" ht="18.75" customHeight="1" thickBot="1">
      <c r="H5" s="27"/>
      <c r="I5" s="27"/>
      <c r="J5" s="83"/>
      <c r="K5" s="2607" t="s">
        <v>450</v>
      </c>
      <c r="L5" s="2607"/>
      <c r="M5" s="149" t="s">
        <v>448</v>
      </c>
      <c r="N5" s="150" t="s">
        <v>449</v>
      </c>
      <c r="P5" s="1320"/>
      <c r="Q5" s="1242"/>
      <c r="R5" s="1242"/>
      <c r="S5" s="1321" t="str">
        <f>IFERROR(DATE(VALUE(SUBSTITUTE(K5,"年","")),VALUE(SUBSTITUTE(M5,"月","")),VALUE(SUBSTITUTE(N5,"日",""))),"")</f>
        <v/>
      </c>
      <c r="T5" s="1242"/>
      <c r="U5" s="1242"/>
      <c r="V5" s="1242"/>
      <c r="W5" s="1242"/>
      <c r="X5" s="1242"/>
      <c r="Y5" s="1242"/>
      <c r="Z5" s="1242"/>
      <c r="AA5" s="1242"/>
      <c r="AB5" s="1242"/>
      <c r="AC5" s="1242"/>
      <c r="AD5" s="1242"/>
      <c r="AE5" s="1242"/>
      <c r="AF5" s="1242"/>
      <c r="AG5" s="1242"/>
      <c r="AH5" s="1242"/>
      <c r="AI5" s="1242"/>
      <c r="AJ5" s="1242"/>
      <c r="AK5" s="1242"/>
      <c r="AL5" s="1242"/>
      <c r="AM5" s="1242"/>
      <c r="AN5" s="1242"/>
      <c r="AO5" s="1242"/>
      <c r="AP5" s="1242"/>
      <c r="AQ5" s="1242"/>
      <c r="AR5" s="1410"/>
      <c r="AS5" s="1410"/>
      <c r="AT5" s="1410"/>
      <c r="AU5" s="1410"/>
      <c r="AV5" s="156"/>
      <c r="AW5" s="156"/>
      <c r="AX5" s="156"/>
    </row>
    <row r="6" spans="1:50" ht="24" customHeight="1" thickBot="1">
      <c r="A6" s="28" t="s">
        <v>258</v>
      </c>
      <c r="B6" s="28"/>
      <c r="C6" s="28"/>
      <c r="D6" s="28"/>
      <c r="E6" s="28"/>
      <c r="F6" s="28"/>
      <c r="G6" s="28"/>
      <c r="H6" s="28"/>
      <c r="I6" s="28"/>
      <c r="J6" s="28"/>
      <c r="K6" s="28"/>
      <c r="L6" s="28"/>
      <c r="M6" s="28"/>
      <c r="N6" s="28"/>
      <c r="P6" s="1320"/>
      <c r="Q6" s="1242"/>
      <c r="R6" s="1242"/>
      <c r="S6" s="1242"/>
      <c r="T6" s="1242"/>
      <c r="U6" s="1242"/>
      <c r="V6" s="1242"/>
      <c r="W6" s="1242"/>
      <c r="X6" s="1242"/>
      <c r="Y6" s="1242"/>
      <c r="Z6" s="1242"/>
      <c r="AA6" s="1242"/>
      <c r="AB6" s="1242"/>
      <c r="AC6" s="1242"/>
      <c r="AD6" s="1242"/>
      <c r="AE6" s="1242"/>
      <c r="AF6" s="1242"/>
      <c r="AG6" s="1242"/>
      <c r="AH6" s="1242"/>
      <c r="AI6" s="1242"/>
      <c r="AJ6" s="1242"/>
      <c r="AK6" s="1242"/>
      <c r="AL6" s="1242"/>
      <c r="AM6" s="1242"/>
      <c r="AN6" s="1242"/>
      <c r="AO6" s="1242"/>
      <c r="AP6" s="1242"/>
      <c r="AQ6" s="1242"/>
      <c r="AR6" s="1410"/>
      <c r="AS6" s="1410"/>
      <c r="AT6" s="1410"/>
      <c r="AU6" s="1410"/>
      <c r="AV6" s="156"/>
      <c r="AW6" s="156"/>
      <c r="AX6" s="156"/>
    </row>
    <row r="7" spans="1:50" ht="30" customHeight="1" thickBot="1">
      <c r="A7" s="2590" t="s">
        <v>131</v>
      </c>
      <c r="B7" s="2590"/>
      <c r="C7" s="2590"/>
      <c r="D7" s="28"/>
      <c r="E7" s="28"/>
      <c r="F7" s="28"/>
      <c r="G7" s="28"/>
      <c r="H7" s="56" t="s">
        <v>132</v>
      </c>
      <c r="I7" s="2591" t="str">
        <f>D16</f>
        <v/>
      </c>
      <c r="J7" s="2591"/>
      <c r="K7" s="2591"/>
      <c r="L7" s="2591"/>
      <c r="M7" s="2591"/>
      <c r="N7" s="2591"/>
      <c r="P7" s="157" t="b">
        <f>参照元!EF14</f>
        <v>0</v>
      </c>
      <c r="Q7" s="156" t="s">
        <v>578</v>
      </c>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row>
    <row r="8" spans="1:50" ht="30" customHeight="1" thickTop="1" thickBot="1">
      <c r="A8" s="28"/>
      <c r="B8" s="28"/>
      <c r="C8" s="28"/>
      <c r="D8" s="28"/>
      <c r="E8" s="28"/>
      <c r="F8" s="28"/>
      <c r="G8" s="28"/>
      <c r="H8" s="2605" t="s">
        <v>133</v>
      </c>
      <c r="I8" s="2606" t="str">
        <f>D14</f>
        <v/>
      </c>
      <c r="J8" s="2606"/>
      <c r="K8" s="2606"/>
      <c r="L8" s="2606"/>
      <c r="M8" s="2606"/>
      <c r="N8" s="2606"/>
      <c r="P8" s="157" t="b">
        <f>参照元!EG14</f>
        <v>0</v>
      </c>
      <c r="Q8" s="156" t="s">
        <v>579</v>
      </c>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row>
    <row r="9" spans="1:50" ht="30" customHeight="1" thickBot="1">
      <c r="A9" s="28"/>
      <c r="B9" s="28"/>
      <c r="C9" s="28"/>
      <c r="D9" s="28"/>
      <c r="E9" s="28"/>
      <c r="F9" s="28"/>
      <c r="G9" s="28"/>
      <c r="H9" s="2605"/>
      <c r="I9" s="2592" t="str">
        <f>D15</f>
        <v/>
      </c>
      <c r="J9" s="2592"/>
      <c r="K9" s="2592"/>
      <c r="L9" s="2592"/>
      <c r="M9" s="2592"/>
      <c r="N9" s="2592"/>
      <c r="P9" s="157" t="b">
        <f>参照元!EH14</f>
        <v>0</v>
      </c>
      <c r="Q9" s="156" t="s">
        <v>580</v>
      </c>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row>
    <row r="10" spans="1:50" ht="14.25" customHeight="1" thickBot="1">
      <c r="A10" s="28"/>
      <c r="B10" s="28"/>
      <c r="C10" s="28"/>
      <c r="D10" s="28"/>
      <c r="E10" s="28"/>
      <c r="F10" s="28"/>
      <c r="G10" s="28"/>
      <c r="H10" s="28" t="s">
        <v>177</v>
      </c>
      <c r="P10" s="157" t="b">
        <f>参照元!EJ14</f>
        <v>0</v>
      </c>
      <c r="Q10" s="156" t="s">
        <v>2677</v>
      </c>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row>
    <row r="11" spans="1:50" ht="10.5" customHeight="1" thickBot="1">
      <c r="A11" s="28"/>
      <c r="B11" s="28"/>
      <c r="C11" s="28"/>
      <c r="D11" s="28"/>
      <c r="E11" s="28"/>
      <c r="F11" s="28"/>
      <c r="G11" s="28"/>
      <c r="H11" s="28"/>
      <c r="I11" s="28"/>
      <c r="J11" s="28"/>
      <c r="K11" s="28"/>
      <c r="L11" s="28"/>
      <c r="M11" s="28"/>
      <c r="N11" s="28"/>
      <c r="P11" s="157" t="b">
        <f>参照元!EK14</f>
        <v>0</v>
      </c>
      <c r="Q11" s="156" t="s">
        <v>2678</v>
      </c>
      <c r="R11" s="156" t="str">
        <f t="shared" ref="R11:R30" si="0">LEFT(S11,1)&amp;LEFT(S11,1)</f>
        <v>ＡＡ</v>
      </c>
      <c r="S11" s="159" t="s">
        <v>0</v>
      </c>
      <c r="T11" s="159" t="s">
        <v>1</v>
      </c>
      <c r="U11" s="159" t="s">
        <v>2</v>
      </c>
      <c r="V11" s="159"/>
      <c r="W11" s="159"/>
      <c r="X11" s="159"/>
      <c r="Y11" s="159"/>
      <c r="Z11" s="159"/>
      <c r="AA11" s="159"/>
      <c r="AB11" s="159"/>
      <c r="AC11" s="159"/>
      <c r="AD11" s="159"/>
      <c r="AE11" s="159"/>
      <c r="AF11" s="159"/>
      <c r="AG11" s="159"/>
      <c r="AH11" s="159"/>
      <c r="AI11" s="159"/>
      <c r="AJ11" s="159"/>
      <c r="AK11" s="159"/>
      <c r="AL11" s="159"/>
      <c r="AM11" s="159"/>
      <c r="AN11" s="159"/>
      <c r="AO11" s="159"/>
      <c r="AP11" s="159"/>
      <c r="AQ11" s="159"/>
      <c r="AR11" s="156"/>
      <c r="AS11" s="156"/>
      <c r="AT11" s="156"/>
      <c r="AU11" s="156"/>
      <c r="AV11" s="156"/>
      <c r="AW11" s="156"/>
      <c r="AX11" s="156"/>
    </row>
    <row r="12" spans="1:50" ht="42" customHeight="1" thickBot="1">
      <c r="A12" s="2596" t="s">
        <v>259</v>
      </c>
      <c r="B12" s="2596"/>
      <c r="C12" s="2596"/>
      <c r="D12" s="2596"/>
      <c r="E12" s="2596"/>
      <c r="F12" s="2596"/>
      <c r="G12" s="2596"/>
      <c r="H12" s="2596"/>
      <c r="I12" s="2596"/>
      <c r="J12" s="2596"/>
      <c r="K12" s="2596"/>
      <c r="L12" s="2596"/>
      <c r="M12" s="2596"/>
      <c r="N12" s="2596"/>
      <c r="P12" s="157" t="b">
        <f>参照元!EI14</f>
        <v>0</v>
      </c>
      <c r="Q12" s="156" t="s">
        <v>581</v>
      </c>
      <c r="R12" s="156" t="str">
        <f t="shared" si="0"/>
        <v>ＢＢ</v>
      </c>
      <c r="S12" s="159" t="s">
        <v>3</v>
      </c>
      <c r="T12" s="159" t="s">
        <v>4</v>
      </c>
      <c r="U12" s="159" t="s">
        <v>5</v>
      </c>
      <c r="V12" s="159"/>
      <c r="W12" s="159"/>
      <c r="X12" s="159"/>
      <c r="Y12" s="159"/>
      <c r="Z12" s="159"/>
      <c r="AA12" s="159"/>
      <c r="AB12" s="159"/>
      <c r="AC12" s="159"/>
      <c r="AD12" s="159"/>
      <c r="AE12" s="159"/>
      <c r="AF12" s="159"/>
      <c r="AG12" s="159"/>
      <c r="AH12" s="159"/>
      <c r="AI12" s="159"/>
      <c r="AJ12" s="159"/>
      <c r="AK12" s="159"/>
      <c r="AL12" s="159"/>
      <c r="AM12" s="159"/>
      <c r="AN12" s="159"/>
      <c r="AO12" s="159"/>
      <c r="AP12" s="159"/>
      <c r="AQ12" s="159"/>
      <c r="AR12" s="156"/>
      <c r="AS12" s="156"/>
      <c r="AT12" s="156"/>
      <c r="AU12" s="156"/>
      <c r="AV12" s="156"/>
      <c r="AW12" s="156"/>
      <c r="AX12" s="156"/>
    </row>
    <row r="13" spans="1:50" ht="15" customHeight="1">
      <c r="A13" s="48" t="s">
        <v>138</v>
      </c>
      <c r="B13" s="45"/>
      <c r="C13" s="45"/>
      <c r="D13" s="45"/>
      <c r="E13" s="45"/>
      <c r="F13" s="45"/>
      <c r="G13" s="45"/>
      <c r="H13" s="45"/>
      <c r="I13" s="45"/>
      <c r="J13" s="45"/>
      <c r="K13" s="45"/>
      <c r="L13" s="45"/>
      <c r="M13" s="45"/>
      <c r="N13" s="45"/>
      <c r="P13" s="156"/>
      <c r="Q13" s="156"/>
      <c r="R13" s="156" t="str">
        <f t="shared" si="0"/>
        <v>ＣＣ</v>
      </c>
      <c r="S13" s="159" t="s">
        <v>6</v>
      </c>
      <c r="T13" s="159" t="s">
        <v>7</v>
      </c>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6"/>
      <c r="AS13" s="156"/>
      <c r="AT13" s="156"/>
      <c r="AU13" s="156"/>
      <c r="AV13" s="156"/>
      <c r="AW13" s="156"/>
      <c r="AX13" s="156"/>
    </row>
    <row r="14" spans="1:50" ht="14.25" customHeight="1">
      <c r="A14" s="2576" t="s">
        <v>260</v>
      </c>
      <c r="B14" s="2597"/>
      <c r="C14" s="2598"/>
      <c r="D14" s="2593" t="str">
        <f>IF(はじめに!$B$12=はじめに!$L$13,はじめに!$C$14,参照元!L14)</f>
        <v/>
      </c>
      <c r="E14" s="2594"/>
      <c r="F14" s="2594"/>
      <c r="G14" s="2594"/>
      <c r="H14" s="2594"/>
      <c r="I14" s="2594"/>
      <c r="J14" s="2594"/>
      <c r="K14" s="2594"/>
      <c r="L14" s="2594"/>
      <c r="M14" s="2594"/>
      <c r="N14" s="2595"/>
      <c r="P14" s="156"/>
      <c r="Q14" s="156"/>
      <c r="R14" s="156" t="str">
        <f t="shared" si="0"/>
        <v>ＤＤ</v>
      </c>
      <c r="S14" s="159" t="s">
        <v>8</v>
      </c>
      <c r="T14" s="159" t="s">
        <v>9</v>
      </c>
      <c r="U14" s="159" t="s">
        <v>10</v>
      </c>
      <c r="V14" s="159" t="s">
        <v>11</v>
      </c>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6"/>
      <c r="AS14" s="156"/>
      <c r="AT14" s="156"/>
      <c r="AU14" s="156"/>
      <c r="AV14" s="156"/>
      <c r="AW14" s="156"/>
      <c r="AX14" s="156"/>
    </row>
    <row r="15" spans="1:50" ht="14.25" customHeight="1">
      <c r="A15" s="2599"/>
      <c r="B15" s="2600"/>
      <c r="C15" s="2601"/>
      <c r="D15" s="2602" t="str">
        <f>IF(はじめに!$B$12=はじめに!$L$13,はじめに!$C$15,参照元!M14)</f>
        <v/>
      </c>
      <c r="E15" s="2603"/>
      <c r="F15" s="2603"/>
      <c r="G15" s="2603"/>
      <c r="H15" s="2603"/>
      <c r="I15" s="2603"/>
      <c r="J15" s="2603"/>
      <c r="K15" s="2603"/>
      <c r="L15" s="2603"/>
      <c r="M15" s="2603"/>
      <c r="N15" s="2604"/>
      <c r="P15" s="156"/>
      <c r="Q15" s="156"/>
      <c r="R15" s="156" t="str">
        <f t="shared" si="0"/>
        <v>ＥＥ</v>
      </c>
      <c r="S15" s="159" t="s">
        <v>12</v>
      </c>
      <c r="T15" s="159" t="s">
        <v>13</v>
      </c>
      <c r="U15" s="159" t="s">
        <v>14</v>
      </c>
      <c r="V15" s="159" t="s">
        <v>15</v>
      </c>
      <c r="W15" s="159" t="s">
        <v>16</v>
      </c>
      <c r="X15" s="159" t="s">
        <v>17</v>
      </c>
      <c r="Y15" s="159" t="s">
        <v>18</v>
      </c>
      <c r="Z15" s="159" t="s">
        <v>19</v>
      </c>
      <c r="AA15" s="159" t="s">
        <v>20</v>
      </c>
      <c r="AB15" s="159" t="s">
        <v>21</v>
      </c>
      <c r="AC15" s="159" t="s">
        <v>22</v>
      </c>
      <c r="AD15" s="159" t="s">
        <v>23</v>
      </c>
      <c r="AE15" s="159" t="s">
        <v>24</v>
      </c>
      <c r="AF15" s="159" t="s">
        <v>25</v>
      </c>
      <c r="AG15" s="159" t="s">
        <v>26</v>
      </c>
      <c r="AH15" s="159" t="s">
        <v>27</v>
      </c>
      <c r="AI15" s="159" t="s">
        <v>28</v>
      </c>
      <c r="AJ15" s="159" t="s">
        <v>29</v>
      </c>
      <c r="AK15" s="159" t="s">
        <v>30</v>
      </c>
      <c r="AL15" s="159" t="s">
        <v>31</v>
      </c>
      <c r="AM15" s="159" t="s">
        <v>32</v>
      </c>
      <c r="AN15" s="159" t="s">
        <v>33</v>
      </c>
      <c r="AO15" s="159" t="s">
        <v>34</v>
      </c>
      <c r="AP15" s="159" t="s">
        <v>35</v>
      </c>
      <c r="AQ15" s="159" t="s">
        <v>36</v>
      </c>
      <c r="AR15" s="156"/>
      <c r="AS15" s="156"/>
      <c r="AT15" s="156"/>
      <c r="AU15" s="156"/>
      <c r="AV15" s="156"/>
      <c r="AW15" s="156"/>
      <c r="AX15" s="156"/>
    </row>
    <row r="16" spans="1:50" ht="28.5" customHeight="1">
      <c r="A16" s="2570" t="s">
        <v>261</v>
      </c>
      <c r="B16" s="2571"/>
      <c r="C16" s="2572"/>
      <c r="D16" s="2573" t="str">
        <f>IF(はじめに!$B$12=はじめに!$L$13,はじめに!$C$16,参照元!N14)</f>
        <v/>
      </c>
      <c r="E16" s="2574"/>
      <c r="F16" s="2574"/>
      <c r="G16" s="2574"/>
      <c r="H16" s="2574"/>
      <c r="I16" s="2574"/>
      <c r="J16" s="2574"/>
      <c r="K16" s="2574"/>
      <c r="L16" s="2574"/>
      <c r="M16" s="2574"/>
      <c r="N16" s="2575"/>
      <c r="P16" s="156"/>
      <c r="Q16" s="156"/>
      <c r="R16" s="156" t="str">
        <f t="shared" si="0"/>
        <v>ＦＦ</v>
      </c>
      <c r="S16" s="159" t="s">
        <v>37</v>
      </c>
      <c r="T16" s="159" t="s">
        <v>38</v>
      </c>
      <c r="U16" s="159" t="s">
        <v>39</v>
      </c>
      <c r="V16" s="159" t="s">
        <v>40</v>
      </c>
      <c r="W16" s="159" t="s">
        <v>41</v>
      </c>
      <c r="X16" s="159"/>
      <c r="Y16" s="159"/>
      <c r="Z16" s="159"/>
      <c r="AA16" s="159"/>
      <c r="AB16" s="159"/>
      <c r="AC16" s="159"/>
      <c r="AD16" s="159"/>
      <c r="AE16" s="159"/>
      <c r="AF16" s="159"/>
      <c r="AG16" s="159"/>
      <c r="AH16" s="159"/>
      <c r="AI16" s="159"/>
      <c r="AJ16" s="159"/>
      <c r="AK16" s="159"/>
      <c r="AL16" s="159"/>
      <c r="AM16" s="159"/>
      <c r="AN16" s="159"/>
      <c r="AO16" s="159"/>
      <c r="AP16" s="159"/>
      <c r="AQ16" s="159"/>
      <c r="AR16" s="156"/>
      <c r="AS16" s="156"/>
      <c r="AT16" s="156"/>
      <c r="AU16" s="156"/>
      <c r="AV16" s="156"/>
      <c r="AW16" s="156"/>
      <c r="AX16" s="156"/>
    </row>
    <row r="17" spans="1:50" ht="26.1" customHeight="1">
      <c r="A17" s="2576" t="s">
        <v>120</v>
      </c>
      <c r="B17" s="2577"/>
      <c r="C17" s="2577"/>
      <c r="D17" s="2580" t="s">
        <v>117</v>
      </c>
      <c r="E17" s="2581"/>
      <c r="F17" s="2582" t="str">
        <f>参照元!O14</f>
        <v/>
      </c>
      <c r="G17" s="2582"/>
      <c r="H17" s="2582"/>
      <c r="I17" s="2582"/>
      <c r="J17" s="2582"/>
      <c r="K17" s="2582"/>
      <c r="L17" s="2582"/>
      <c r="M17" s="2582"/>
      <c r="N17" s="2583"/>
      <c r="P17" s="156"/>
      <c r="Q17" s="156"/>
      <c r="R17" s="156" t="str">
        <f t="shared" si="0"/>
        <v>ＧＧ</v>
      </c>
      <c r="S17" s="159" t="s">
        <v>42</v>
      </c>
      <c r="T17" s="159" t="s">
        <v>43</v>
      </c>
      <c r="U17" s="159" t="s">
        <v>44</v>
      </c>
      <c r="V17" s="159" t="s">
        <v>45</v>
      </c>
      <c r="W17" s="159" t="s">
        <v>46</v>
      </c>
      <c r="X17" s="159" t="s">
        <v>47</v>
      </c>
      <c r="Y17" s="159"/>
      <c r="Z17" s="159"/>
      <c r="AA17" s="159"/>
      <c r="AB17" s="159"/>
      <c r="AC17" s="159"/>
      <c r="AD17" s="159"/>
      <c r="AE17" s="159"/>
      <c r="AF17" s="159"/>
      <c r="AG17" s="159"/>
      <c r="AH17" s="159"/>
      <c r="AI17" s="159"/>
      <c r="AJ17" s="159"/>
      <c r="AK17" s="159"/>
      <c r="AL17" s="159"/>
      <c r="AM17" s="159"/>
      <c r="AN17" s="159"/>
      <c r="AO17" s="159"/>
      <c r="AP17" s="159"/>
      <c r="AQ17" s="159"/>
      <c r="AR17" s="156"/>
      <c r="AS17" s="156"/>
      <c r="AT17" s="156"/>
      <c r="AU17" s="156"/>
      <c r="AV17" s="156"/>
      <c r="AW17" s="156"/>
      <c r="AX17" s="156"/>
    </row>
    <row r="18" spans="1:50" ht="26.1" customHeight="1">
      <c r="A18" s="2578"/>
      <c r="B18" s="2579"/>
      <c r="C18" s="2579"/>
      <c r="D18" s="2509" t="s">
        <v>118</v>
      </c>
      <c r="E18" s="2584"/>
      <c r="F18" s="2585" t="str">
        <f>参照元!P14</f>
        <v/>
      </c>
      <c r="G18" s="2586"/>
      <c r="H18" s="2586"/>
      <c r="I18" s="2586"/>
      <c r="J18" s="2586"/>
      <c r="K18" s="2586"/>
      <c r="L18" s="2586"/>
      <c r="M18" s="2586"/>
      <c r="N18" s="2587"/>
      <c r="P18" s="156"/>
      <c r="Q18" s="156"/>
      <c r="R18" s="156" t="str">
        <f t="shared" si="0"/>
        <v>ＨＨ</v>
      </c>
      <c r="S18" s="159" t="s">
        <v>48</v>
      </c>
      <c r="T18" s="159" t="s">
        <v>49</v>
      </c>
      <c r="U18" s="159" t="s">
        <v>50</v>
      </c>
      <c r="V18" s="159" t="s">
        <v>51</v>
      </c>
      <c r="W18" s="159" t="s">
        <v>52</v>
      </c>
      <c r="X18" s="159" t="s">
        <v>53</v>
      </c>
      <c r="Y18" s="159" t="s">
        <v>54</v>
      </c>
      <c r="Z18" s="159" t="s">
        <v>55</v>
      </c>
      <c r="AA18" s="159" t="s">
        <v>56</v>
      </c>
      <c r="AB18" s="159"/>
      <c r="AC18" s="159"/>
      <c r="AD18" s="159"/>
      <c r="AE18" s="159"/>
      <c r="AF18" s="159"/>
      <c r="AG18" s="159"/>
      <c r="AH18" s="159"/>
      <c r="AI18" s="159"/>
      <c r="AJ18" s="159"/>
      <c r="AK18" s="159"/>
      <c r="AL18" s="159"/>
      <c r="AM18" s="159"/>
      <c r="AN18" s="159"/>
      <c r="AO18" s="159"/>
      <c r="AP18" s="159"/>
      <c r="AQ18" s="159"/>
      <c r="AR18" s="156"/>
      <c r="AS18" s="156"/>
      <c r="AT18" s="156"/>
      <c r="AU18" s="156"/>
      <c r="AV18" s="156"/>
      <c r="AW18" s="156"/>
      <c r="AX18" s="156"/>
    </row>
    <row r="19" spans="1:50" ht="27.95" customHeight="1">
      <c r="A19" s="2540" t="s">
        <v>124</v>
      </c>
      <c r="B19" s="2541"/>
      <c r="C19" s="2542"/>
      <c r="D19" s="497"/>
      <c r="E19" s="2549" t="s">
        <v>494</v>
      </c>
      <c r="F19" s="2550"/>
      <c r="G19" s="2550"/>
      <c r="H19" s="2550"/>
      <c r="I19" s="2550"/>
      <c r="J19" s="2550"/>
      <c r="K19" s="2550"/>
      <c r="L19" s="2550"/>
      <c r="M19" s="2550"/>
      <c r="N19" s="2551"/>
      <c r="P19" s="156"/>
      <c r="Q19" s="156"/>
      <c r="R19" s="156" t="str">
        <f t="shared" si="0"/>
        <v>ＩＩ</v>
      </c>
      <c r="S19" s="159" t="s">
        <v>57</v>
      </c>
      <c r="T19" s="159" t="s">
        <v>58</v>
      </c>
      <c r="U19" s="159" t="s">
        <v>59</v>
      </c>
      <c r="V19" s="159" t="s">
        <v>60</v>
      </c>
      <c r="W19" s="159" t="s">
        <v>61</v>
      </c>
      <c r="X19" s="159" t="s">
        <v>62</v>
      </c>
      <c r="Y19" s="159" t="s">
        <v>63</v>
      </c>
      <c r="Z19" s="159" t="s">
        <v>64</v>
      </c>
      <c r="AA19" s="159" t="s">
        <v>65</v>
      </c>
      <c r="AB19" s="159" t="s">
        <v>66</v>
      </c>
      <c r="AC19" s="159" t="s">
        <v>67</v>
      </c>
      <c r="AD19" s="159" t="s">
        <v>68</v>
      </c>
      <c r="AE19" s="159" t="s">
        <v>69</v>
      </c>
      <c r="AF19" s="159"/>
      <c r="AG19" s="159"/>
      <c r="AH19" s="159"/>
      <c r="AI19" s="159"/>
      <c r="AJ19" s="159"/>
      <c r="AK19" s="159"/>
      <c r="AL19" s="159"/>
      <c r="AM19" s="159"/>
      <c r="AN19" s="159"/>
      <c r="AO19" s="159"/>
      <c r="AP19" s="159"/>
      <c r="AQ19" s="159"/>
      <c r="AR19" s="156"/>
      <c r="AS19" s="156"/>
      <c r="AT19" s="156"/>
      <c r="AU19" s="156"/>
      <c r="AV19" s="156"/>
      <c r="AW19" s="156"/>
      <c r="AX19" s="156"/>
    </row>
    <row r="20" spans="1:50" ht="27.95" customHeight="1">
      <c r="A20" s="2543"/>
      <c r="B20" s="2544"/>
      <c r="C20" s="2545"/>
      <c r="D20" s="498"/>
      <c r="E20" s="2552" t="s">
        <v>495</v>
      </c>
      <c r="F20" s="2552"/>
      <c r="G20" s="2552"/>
      <c r="H20" s="2552"/>
      <c r="I20" s="2552"/>
      <c r="J20" s="2552"/>
      <c r="K20" s="2552"/>
      <c r="L20" s="2552"/>
      <c r="M20" s="2552"/>
      <c r="N20" s="2553"/>
      <c r="P20" s="156"/>
      <c r="Q20" s="156"/>
      <c r="R20" s="156" t="str">
        <f t="shared" si="0"/>
        <v>ＪＪ</v>
      </c>
      <c r="S20" s="159" t="s">
        <v>70</v>
      </c>
      <c r="T20" s="159" t="s">
        <v>71</v>
      </c>
      <c r="U20" s="159" t="s">
        <v>72</v>
      </c>
      <c r="V20" s="159" t="s">
        <v>73</v>
      </c>
      <c r="W20" s="159" t="s">
        <v>74</v>
      </c>
      <c r="X20" s="159" t="s">
        <v>75</v>
      </c>
      <c r="Y20" s="159" t="s">
        <v>76</v>
      </c>
      <c r="Z20" s="159"/>
      <c r="AA20" s="159"/>
      <c r="AB20" s="159"/>
      <c r="AC20" s="159"/>
      <c r="AD20" s="159"/>
      <c r="AE20" s="159"/>
      <c r="AF20" s="159"/>
      <c r="AG20" s="159"/>
      <c r="AH20" s="159"/>
      <c r="AI20" s="159"/>
      <c r="AJ20" s="159"/>
      <c r="AK20" s="159"/>
      <c r="AL20" s="159"/>
      <c r="AM20" s="159"/>
      <c r="AN20" s="159"/>
      <c r="AO20" s="159"/>
      <c r="AP20" s="159"/>
      <c r="AQ20" s="159"/>
      <c r="AR20" s="156"/>
      <c r="AS20" s="156"/>
      <c r="AT20" s="156"/>
      <c r="AU20" s="156"/>
      <c r="AV20" s="156"/>
      <c r="AW20" s="156"/>
      <c r="AX20" s="156"/>
    </row>
    <row r="21" spans="1:50" ht="27.95" customHeight="1">
      <c r="A21" s="2543"/>
      <c r="B21" s="2544"/>
      <c r="C21" s="2545"/>
      <c r="D21" s="499"/>
      <c r="E21" s="2552" t="s">
        <v>496</v>
      </c>
      <c r="F21" s="2552"/>
      <c r="G21" s="2552"/>
      <c r="H21" s="2552"/>
      <c r="I21" s="2552"/>
      <c r="J21" s="2552"/>
      <c r="K21" s="2552"/>
      <c r="L21" s="2552"/>
      <c r="M21" s="2552"/>
      <c r="N21" s="2553"/>
      <c r="P21" s="156"/>
      <c r="Q21" s="156"/>
      <c r="R21" s="156" t="str">
        <f t="shared" si="0"/>
        <v>ＫＫ</v>
      </c>
      <c r="S21" s="159" t="s">
        <v>77</v>
      </c>
      <c r="T21" s="159" t="s">
        <v>78</v>
      </c>
      <c r="U21" s="159" t="s">
        <v>79</v>
      </c>
      <c r="V21" s="159" t="s">
        <v>80</v>
      </c>
      <c r="W21" s="159"/>
      <c r="X21" s="159"/>
      <c r="Y21" s="159"/>
      <c r="Z21" s="159"/>
      <c r="AA21" s="159"/>
      <c r="AB21" s="159"/>
      <c r="AC21" s="159"/>
      <c r="AD21" s="159"/>
      <c r="AE21" s="159"/>
      <c r="AF21" s="159"/>
      <c r="AG21" s="159"/>
      <c r="AH21" s="159"/>
      <c r="AI21" s="159"/>
      <c r="AJ21" s="159"/>
      <c r="AK21" s="159"/>
      <c r="AL21" s="159"/>
      <c r="AM21" s="159"/>
      <c r="AN21" s="159"/>
      <c r="AO21" s="159"/>
      <c r="AP21" s="159"/>
      <c r="AQ21" s="159"/>
      <c r="AR21" s="156"/>
      <c r="AS21" s="156"/>
      <c r="AT21" s="156"/>
      <c r="AU21" s="156"/>
      <c r="AV21" s="156"/>
      <c r="AW21" s="156"/>
      <c r="AX21" s="156"/>
    </row>
    <row r="22" spans="1:50" ht="27.95" customHeight="1">
      <c r="A22" s="2543"/>
      <c r="B22" s="2544"/>
      <c r="C22" s="2545"/>
      <c r="D22" s="500"/>
      <c r="E22" s="2564" t="s">
        <v>590</v>
      </c>
      <c r="F22" s="2564"/>
      <c r="G22" s="2564"/>
      <c r="H22" s="2564"/>
      <c r="I22" s="2564"/>
      <c r="J22" s="965"/>
      <c r="K22" s="412" t="s">
        <v>591</v>
      </c>
      <c r="L22" s="965"/>
      <c r="M22" s="2588" t="s">
        <v>592</v>
      </c>
      <c r="N22" s="2589"/>
      <c r="P22" s="156"/>
      <c r="Q22" s="156"/>
      <c r="R22" s="156" t="str">
        <f t="shared" si="0"/>
        <v>ＬＬ</v>
      </c>
      <c r="S22" s="159" t="s">
        <v>81</v>
      </c>
      <c r="T22" s="159" t="s">
        <v>82</v>
      </c>
      <c r="U22" s="159" t="s">
        <v>83</v>
      </c>
      <c r="V22" s="159" t="s">
        <v>84</v>
      </c>
      <c r="W22" s="159" t="s">
        <v>85</v>
      </c>
      <c r="X22" s="159"/>
      <c r="Y22" s="159"/>
      <c r="Z22" s="159"/>
      <c r="AA22" s="159"/>
      <c r="AB22" s="159"/>
      <c r="AC22" s="159"/>
      <c r="AD22" s="159"/>
      <c r="AE22" s="159"/>
      <c r="AF22" s="159"/>
      <c r="AG22" s="159"/>
      <c r="AH22" s="159"/>
      <c r="AI22" s="159"/>
      <c r="AJ22" s="159"/>
      <c r="AK22" s="159"/>
      <c r="AL22" s="159"/>
      <c r="AM22" s="159"/>
      <c r="AN22" s="159"/>
      <c r="AO22" s="159"/>
      <c r="AP22" s="159"/>
      <c r="AQ22" s="159"/>
      <c r="AR22" s="156"/>
      <c r="AS22" s="156"/>
      <c r="AT22" s="156"/>
      <c r="AU22" s="156"/>
      <c r="AV22" s="156"/>
      <c r="AW22" s="156"/>
      <c r="AX22" s="156"/>
    </row>
    <row r="23" spans="1:50" ht="27.95" customHeight="1">
      <c r="A23" s="2543"/>
      <c r="B23" s="2544"/>
      <c r="C23" s="2545"/>
      <c r="D23" s="2554" t="s">
        <v>262</v>
      </c>
      <c r="E23" s="2555"/>
      <c r="F23" s="2556"/>
      <c r="G23" s="2560">
        <f ca="1">参照元!X14</f>
        <v>0</v>
      </c>
      <c r="H23" s="2562" t="s">
        <v>263</v>
      </c>
      <c r="I23" s="2565" t="s">
        <v>264</v>
      </c>
      <c r="J23" s="2566"/>
      <c r="K23" s="2567"/>
      <c r="L23" s="2568">
        <f>参照元!Y14</f>
        <v>0</v>
      </c>
      <c r="M23" s="2569"/>
      <c r="N23" s="59" t="s">
        <v>185</v>
      </c>
      <c r="P23" s="156"/>
      <c r="Q23" s="156"/>
      <c r="R23" s="156" t="str">
        <f t="shared" si="0"/>
        <v>ＭＭ</v>
      </c>
      <c r="S23" s="159" t="s">
        <v>86</v>
      </c>
      <c r="T23" s="159" t="s">
        <v>87</v>
      </c>
      <c r="U23" s="159" t="s">
        <v>88</v>
      </c>
      <c r="V23" s="159" t="s">
        <v>89</v>
      </c>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6"/>
      <c r="AS23" s="156"/>
      <c r="AT23" s="156"/>
      <c r="AU23" s="156"/>
      <c r="AV23" s="156"/>
      <c r="AW23" s="156"/>
      <c r="AX23" s="156"/>
    </row>
    <row r="24" spans="1:50" ht="27.95" customHeight="1">
      <c r="A24" s="2543"/>
      <c r="B24" s="2544"/>
      <c r="C24" s="2545"/>
      <c r="D24" s="2557"/>
      <c r="E24" s="2558"/>
      <c r="F24" s="2559"/>
      <c r="G24" s="2561"/>
      <c r="H24" s="2563"/>
      <c r="I24" s="2526" t="s">
        <v>265</v>
      </c>
      <c r="J24" s="2527"/>
      <c r="K24" s="2528"/>
      <c r="L24" s="2529">
        <f>参照元!Z14</f>
        <v>0</v>
      </c>
      <c r="M24" s="2530"/>
      <c r="N24" s="60" t="s">
        <v>185</v>
      </c>
      <c r="P24" s="156"/>
      <c r="Q24" s="156"/>
      <c r="R24" s="156" t="str">
        <f t="shared" si="0"/>
        <v>ＮＮ</v>
      </c>
      <c r="S24" s="159" t="s">
        <v>90</v>
      </c>
      <c r="T24" s="159" t="s">
        <v>126</v>
      </c>
      <c r="U24" s="159" t="s">
        <v>91</v>
      </c>
      <c r="V24" s="159" t="s">
        <v>92</v>
      </c>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6"/>
      <c r="AS24" s="156"/>
      <c r="AT24" s="156"/>
      <c r="AU24" s="156"/>
      <c r="AV24" s="156"/>
      <c r="AW24" s="156"/>
      <c r="AX24" s="156"/>
    </row>
    <row r="25" spans="1:50" ht="36.75" customHeight="1">
      <c r="A25" s="2546"/>
      <c r="B25" s="2547"/>
      <c r="C25" s="2548"/>
      <c r="D25" s="2531" t="s">
        <v>139</v>
      </c>
      <c r="E25" s="2532"/>
      <c r="F25" s="2533"/>
      <c r="G25" s="553">
        <f>参照元!AA14</f>
        <v>0</v>
      </c>
      <c r="H25" s="61" t="s">
        <v>140</v>
      </c>
      <c r="I25" s="2534"/>
      <c r="J25" s="2535"/>
      <c r="K25" s="2535"/>
      <c r="L25" s="2535"/>
      <c r="M25" s="2535"/>
      <c r="N25" s="2535"/>
      <c r="P25" s="156"/>
      <c r="Q25" s="156"/>
      <c r="R25" s="156" t="str">
        <f t="shared" si="0"/>
        <v>ＯＯ</v>
      </c>
      <c r="S25" s="159" t="s">
        <v>93</v>
      </c>
      <c r="T25" s="159" t="s">
        <v>94</v>
      </c>
      <c r="U25" s="159" t="s">
        <v>95</v>
      </c>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6"/>
      <c r="AS25" s="156"/>
      <c r="AT25" s="156"/>
      <c r="AU25" s="156"/>
      <c r="AV25" s="156"/>
      <c r="AW25" s="156"/>
      <c r="AX25" s="156"/>
    </row>
    <row r="26" spans="1:50" ht="15" customHeight="1">
      <c r="P26" s="156"/>
      <c r="Q26" s="156"/>
      <c r="R26" s="156" t="str">
        <f t="shared" si="0"/>
        <v>ＰＰ</v>
      </c>
      <c r="S26" s="159" t="s">
        <v>266</v>
      </c>
      <c r="T26" s="159" t="s">
        <v>96</v>
      </c>
      <c r="U26" s="159" t="s">
        <v>97</v>
      </c>
      <c r="V26" s="159" t="s">
        <v>98</v>
      </c>
      <c r="W26" s="159"/>
      <c r="X26" s="159"/>
      <c r="Y26" s="159"/>
      <c r="Z26" s="159"/>
      <c r="AA26" s="159"/>
      <c r="AB26" s="159"/>
      <c r="AC26" s="159"/>
      <c r="AD26" s="159"/>
      <c r="AE26" s="159"/>
      <c r="AF26" s="159"/>
      <c r="AG26" s="159"/>
      <c r="AH26" s="159"/>
      <c r="AI26" s="159"/>
      <c r="AJ26" s="159"/>
      <c r="AK26" s="159"/>
      <c r="AL26" s="159"/>
      <c r="AM26" s="159"/>
      <c r="AN26" s="159"/>
      <c r="AO26" s="159"/>
      <c r="AP26" s="159"/>
      <c r="AQ26" s="159"/>
      <c r="AR26" s="156"/>
      <c r="AS26" s="156"/>
      <c r="AT26" s="156"/>
      <c r="AU26" s="156"/>
      <c r="AV26" s="156"/>
      <c r="AW26" s="156"/>
      <c r="AX26" s="156"/>
    </row>
    <row r="27" spans="1:50" ht="15" customHeight="1">
      <c r="A27" s="48" t="s">
        <v>146</v>
      </c>
      <c r="P27" s="156"/>
      <c r="Q27" s="156"/>
      <c r="R27" s="156" t="str">
        <f t="shared" si="0"/>
        <v>ＱＱ</v>
      </c>
      <c r="S27" s="159" t="s">
        <v>99</v>
      </c>
      <c r="T27" s="159" t="s">
        <v>100</v>
      </c>
      <c r="U27" s="159" t="s">
        <v>101</v>
      </c>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6"/>
      <c r="AS27" s="156"/>
      <c r="AT27" s="156"/>
      <c r="AU27" s="156"/>
      <c r="AV27" s="156"/>
      <c r="AW27" s="156"/>
      <c r="AX27" s="156"/>
    </row>
    <row r="28" spans="1:50" ht="32.1" customHeight="1">
      <c r="A28" s="2536" t="s">
        <v>147</v>
      </c>
      <c r="B28" s="2537"/>
      <c r="C28" s="2538"/>
      <c r="D28" s="2509">
        <f>参照元!AC14</f>
        <v>2024</v>
      </c>
      <c r="E28" s="2539"/>
      <c r="F28" s="62" t="s">
        <v>267</v>
      </c>
      <c r="G28" s="63">
        <f>IF(D28="","",D28+2)</f>
        <v>2026</v>
      </c>
      <c r="H28" s="63" t="s">
        <v>268</v>
      </c>
      <c r="I28" s="2509" t="s">
        <v>269</v>
      </c>
      <c r="J28" s="2539"/>
      <c r="K28" s="2539"/>
      <c r="L28" s="2539">
        <f>はじめに!A2-1</f>
        <v>2023</v>
      </c>
      <c r="M28" s="2539"/>
      <c r="N28" s="58" t="s">
        <v>121</v>
      </c>
      <c r="P28" s="156"/>
      <c r="Q28" s="156"/>
      <c r="R28" s="156" t="str">
        <f t="shared" si="0"/>
        <v>ＲＲ</v>
      </c>
      <c r="S28" s="159" t="s">
        <v>102</v>
      </c>
      <c r="T28" s="159" t="s">
        <v>103</v>
      </c>
      <c r="U28" s="159" t="s">
        <v>104</v>
      </c>
      <c r="V28" s="159" t="s">
        <v>105</v>
      </c>
      <c r="W28" s="159" t="s">
        <v>106</v>
      </c>
      <c r="X28" s="159" t="s">
        <v>107</v>
      </c>
      <c r="Y28" s="159" t="s">
        <v>108</v>
      </c>
      <c r="Z28" s="159" t="s">
        <v>109</v>
      </c>
      <c r="AA28" s="159" t="s">
        <v>110</v>
      </c>
      <c r="AB28" s="159" t="s">
        <v>111</v>
      </c>
      <c r="AC28" s="159"/>
      <c r="AD28" s="159"/>
      <c r="AE28" s="159"/>
      <c r="AF28" s="159"/>
      <c r="AG28" s="159"/>
      <c r="AH28" s="159"/>
      <c r="AI28" s="159"/>
      <c r="AJ28" s="159"/>
      <c r="AK28" s="159"/>
      <c r="AL28" s="159"/>
      <c r="AM28" s="159"/>
      <c r="AN28" s="159"/>
      <c r="AO28" s="159"/>
      <c r="AP28" s="159"/>
      <c r="AQ28" s="159"/>
      <c r="AR28" s="156"/>
      <c r="AS28" s="156"/>
      <c r="AT28" s="156"/>
      <c r="AU28" s="156"/>
      <c r="AV28" s="156"/>
      <c r="AW28" s="156"/>
      <c r="AX28" s="156"/>
    </row>
    <row r="29" spans="1:50" ht="15" customHeight="1">
      <c r="A29" s="16"/>
      <c r="D29" s="29"/>
      <c r="E29" s="29"/>
      <c r="F29" s="15"/>
      <c r="G29" s="15"/>
      <c r="H29" s="5"/>
      <c r="J29" s="15"/>
      <c r="P29" s="156"/>
      <c r="Q29" s="156"/>
      <c r="R29" s="156" t="str">
        <f t="shared" si="0"/>
        <v>ＳＳ</v>
      </c>
      <c r="S29" s="159" t="s">
        <v>112</v>
      </c>
      <c r="T29" s="159" t="s">
        <v>113</v>
      </c>
      <c r="U29" s="159" t="s">
        <v>114</v>
      </c>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6"/>
      <c r="AS29" s="156"/>
      <c r="AT29" s="156"/>
      <c r="AU29" s="156"/>
      <c r="AV29" s="156"/>
      <c r="AW29" s="156"/>
      <c r="AX29" s="156"/>
    </row>
    <row r="30" spans="1:50" ht="15" customHeight="1">
      <c r="A30" s="50" t="s">
        <v>270</v>
      </c>
      <c r="P30" s="156"/>
      <c r="Q30" s="156"/>
      <c r="R30" s="156" t="str">
        <f t="shared" si="0"/>
        <v>ＴＴ</v>
      </c>
      <c r="S30" s="159" t="s">
        <v>115</v>
      </c>
      <c r="T30" s="159" t="s">
        <v>116</v>
      </c>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6"/>
      <c r="AS30" s="156"/>
      <c r="AT30" s="156"/>
      <c r="AU30" s="156"/>
      <c r="AV30" s="156"/>
      <c r="AW30" s="156"/>
      <c r="AX30" s="156"/>
    </row>
    <row r="31" spans="1:50" ht="30" customHeight="1">
      <c r="A31" s="551"/>
      <c r="B31" s="2504" t="s">
        <v>271</v>
      </c>
      <c r="C31" s="2505"/>
      <c r="D31" s="2509" t="s">
        <v>272</v>
      </c>
      <c r="E31" s="2510"/>
      <c r="F31" s="2511" t="str">
        <f>参照元!AG14</f>
        <v/>
      </c>
      <c r="G31" s="2512"/>
      <c r="H31" s="2512"/>
      <c r="I31" s="2512"/>
      <c r="J31" s="2512"/>
      <c r="K31" s="2512"/>
      <c r="L31" s="2512"/>
      <c r="M31" s="2512"/>
      <c r="N31" s="2513"/>
      <c r="P31" s="160" t="b">
        <f>参照元!EL14</f>
        <v>0</v>
      </c>
      <c r="Q31" s="156"/>
      <c r="R31" s="156" t="s">
        <v>2676</v>
      </c>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6"/>
      <c r="AS31" s="156"/>
      <c r="AT31" s="156"/>
      <c r="AU31" s="156"/>
      <c r="AV31" s="156"/>
      <c r="AW31" s="156"/>
      <c r="AX31" s="156"/>
    </row>
    <row r="32" spans="1:50" ht="30" customHeight="1">
      <c r="A32" s="2514"/>
      <c r="B32" s="2517" t="s">
        <v>273</v>
      </c>
      <c r="C32" s="2518"/>
      <c r="D32" s="2509" t="s">
        <v>129</v>
      </c>
      <c r="E32" s="2510"/>
      <c r="F32" s="2523" t="str">
        <f>参照元!AI14</f>
        <v/>
      </c>
      <c r="G32" s="2524"/>
      <c r="H32" s="2524"/>
      <c r="I32" s="2524"/>
      <c r="J32" s="2524"/>
      <c r="K32" s="2524"/>
      <c r="L32" s="2524"/>
      <c r="M32" s="2524"/>
      <c r="N32" s="2524"/>
      <c r="P32" s="160" t="b">
        <f>参照元!EM14</f>
        <v>0</v>
      </c>
      <c r="Q32" s="156"/>
      <c r="R32" s="156" t="str">
        <f>LEFT($F$17,1)&amp;LEFT($F$17,1)</f>
        <v/>
      </c>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6"/>
      <c r="AS32" s="156"/>
      <c r="AT32" s="156"/>
      <c r="AU32" s="156"/>
      <c r="AV32" s="156"/>
      <c r="AW32" s="156"/>
      <c r="AX32" s="156"/>
    </row>
    <row r="33" spans="1:50" ht="30" customHeight="1">
      <c r="A33" s="2515"/>
      <c r="B33" s="2519"/>
      <c r="C33" s="2520"/>
      <c r="D33" s="2509" t="s">
        <v>148</v>
      </c>
      <c r="E33" s="2525"/>
      <c r="F33" s="2506" t="str">
        <f>参照元!AJ14</f>
        <v/>
      </c>
      <c r="G33" s="2507"/>
      <c r="H33" s="2507"/>
      <c r="I33" s="2507"/>
      <c r="J33" s="2507"/>
      <c r="K33" s="2507"/>
      <c r="L33" s="2507"/>
      <c r="M33" s="2507"/>
      <c r="N33" s="2508"/>
      <c r="P33" s="160" t="b">
        <f>参照元!EN14</f>
        <v>0</v>
      </c>
      <c r="Q33" s="156"/>
      <c r="R33" s="156"/>
      <c r="S33" s="156"/>
      <c r="T33" s="156"/>
      <c r="U33" s="156"/>
      <c r="V33" s="156"/>
      <c r="W33" s="2501" t="str">
        <f>IFERROR(DATE(VALUE(SUBSTITUTE(K5,"年","")),VALUE(SUBSTITUTE(M5,"月","")),VALUE(SUBSTITUTE(N5,"日",""))),"")</f>
        <v/>
      </c>
      <c r="X33" s="2502"/>
      <c r="Y33" s="2503"/>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row>
    <row r="34" spans="1:50" ht="30" customHeight="1">
      <c r="A34" s="2516"/>
      <c r="B34" s="2521"/>
      <c r="C34" s="2522"/>
      <c r="D34" s="2509" t="s">
        <v>149</v>
      </c>
      <c r="E34" s="2525"/>
      <c r="F34" s="2506" t="str">
        <f>参照元!AK14</f>
        <v/>
      </c>
      <c r="G34" s="2507"/>
      <c r="H34" s="2507"/>
      <c r="I34" s="2507"/>
      <c r="J34" s="2507"/>
      <c r="K34" s="2507"/>
      <c r="L34" s="2507"/>
      <c r="M34" s="2507"/>
      <c r="N34" s="2508"/>
      <c r="P34" s="156"/>
      <c r="Q34" s="156"/>
      <c r="R34" s="156"/>
      <c r="S34" s="156"/>
      <c r="T34" s="156"/>
      <c r="U34" s="156"/>
      <c r="V34" s="156"/>
      <c r="W34" s="161" t="s">
        <v>450</v>
      </c>
      <c r="X34" s="161" t="s">
        <v>448</v>
      </c>
      <c r="Y34" s="161" t="s">
        <v>449</v>
      </c>
      <c r="Z34" s="156"/>
      <c r="AA34" s="156"/>
      <c r="AB34" s="156"/>
      <c r="AC34" s="156"/>
      <c r="AD34" s="156"/>
      <c r="AE34" s="156"/>
      <c r="AF34" s="156"/>
      <c r="AG34" s="156"/>
      <c r="AH34" s="156"/>
      <c r="AI34" s="156"/>
      <c r="AJ34" s="156"/>
      <c r="AK34" s="156"/>
      <c r="AL34" s="156"/>
      <c r="AM34" s="156"/>
      <c r="AN34" s="156"/>
      <c r="AO34" s="156"/>
      <c r="AP34" s="156"/>
      <c r="AQ34" s="156"/>
      <c r="AR34" s="156"/>
      <c r="AS34" s="156"/>
      <c r="AT34" s="156"/>
      <c r="AU34" s="156"/>
      <c r="AV34" s="156"/>
      <c r="AW34" s="156"/>
      <c r="AX34" s="156"/>
    </row>
    <row r="35" spans="1:50" ht="30" customHeight="1">
      <c r="A35" s="552"/>
      <c r="B35" s="2504" t="s">
        <v>123</v>
      </c>
      <c r="C35" s="2505"/>
      <c r="D35" s="2506" t="str">
        <f>参照元!AM14&amp;""</f>
        <v/>
      </c>
      <c r="E35" s="2507"/>
      <c r="F35" s="2507"/>
      <c r="G35" s="2507"/>
      <c r="H35" s="2507"/>
      <c r="I35" s="2507"/>
      <c r="J35" s="2507"/>
      <c r="K35" s="2507"/>
      <c r="L35" s="2507"/>
      <c r="M35" s="2507"/>
      <c r="N35" s="2508"/>
      <c r="P35" s="156"/>
      <c r="Q35" s="156"/>
      <c r="R35" s="156"/>
      <c r="S35" s="156"/>
      <c r="T35" s="156"/>
      <c r="U35" s="156"/>
      <c r="V35" s="156"/>
      <c r="W35" s="162" t="str">
        <f>はじめに!A2&amp;"年"</f>
        <v>2024年</v>
      </c>
      <c r="X35" s="162" t="s">
        <v>451</v>
      </c>
      <c r="Y35" s="162" t="s">
        <v>452</v>
      </c>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row>
    <row r="36" spans="1:50" ht="12" customHeight="1">
      <c r="N36" s="1423"/>
      <c r="P36" s="156"/>
      <c r="Q36" s="156"/>
      <c r="R36" s="156"/>
      <c r="S36" s="156"/>
      <c r="T36" s="156"/>
      <c r="U36" s="156"/>
      <c r="V36" s="156"/>
      <c r="W36" s="162" t="str">
        <f>はじめに!A2+1&amp;"年"</f>
        <v>2025年</v>
      </c>
      <c r="X36" s="162" t="s">
        <v>453</v>
      </c>
      <c r="Y36" s="162" t="s">
        <v>454</v>
      </c>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56"/>
    </row>
    <row r="37" spans="1:50" ht="26.1" customHeight="1">
      <c r="A37" s="156"/>
      <c r="B37" s="156"/>
      <c r="C37" s="156"/>
      <c r="D37" s="156"/>
      <c r="E37" s="156"/>
      <c r="F37" s="156"/>
      <c r="G37" s="156"/>
      <c r="H37" s="156"/>
      <c r="I37" s="156"/>
      <c r="J37" s="156"/>
      <c r="K37" s="156"/>
      <c r="L37" s="156"/>
      <c r="M37" s="156"/>
      <c r="N37" s="156"/>
      <c r="O37" s="156"/>
      <c r="P37" s="156"/>
      <c r="Q37" s="156"/>
      <c r="R37" s="156"/>
      <c r="S37" s="156"/>
      <c r="T37" s="156"/>
      <c r="U37" s="156"/>
      <c r="V37" s="156"/>
      <c r="W37" s="162"/>
      <c r="X37" s="162" t="s">
        <v>455</v>
      </c>
      <c r="Y37" s="162" t="s">
        <v>456</v>
      </c>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c r="AX37" s="156"/>
    </row>
    <row r="38" spans="1:50" ht="26.1" customHeight="1">
      <c r="A38" s="156"/>
      <c r="B38" s="156"/>
      <c r="C38" s="156"/>
      <c r="D38" s="156"/>
      <c r="E38" s="156"/>
      <c r="F38" s="156"/>
      <c r="G38" s="156"/>
      <c r="H38" s="156"/>
      <c r="I38" s="156"/>
      <c r="J38" s="156"/>
      <c r="K38" s="156"/>
      <c r="L38" s="156"/>
      <c r="M38" s="156"/>
      <c r="N38" s="156"/>
      <c r="O38" s="156"/>
      <c r="P38" s="156"/>
      <c r="Q38" s="156"/>
      <c r="R38" s="156"/>
      <c r="S38" s="156"/>
      <c r="T38" s="156"/>
      <c r="U38" s="156"/>
      <c r="V38" s="156"/>
      <c r="W38" s="162"/>
      <c r="X38" s="162" t="s">
        <v>457</v>
      </c>
      <c r="Y38" s="162" t="s">
        <v>458</v>
      </c>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c r="AX38" s="156"/>
    </row>
    <row r="39" spans="1:50" ht="26.1" customHeight="1">
      <c r="A39" s="156"/>
      <c r="B39" s="156"/>
      <c r="C39" s="156"/>
      <c r="D39" s="156"/>
      <c r="E39" s="156"/>
      <c r="F39" s="156"/>
      <c r="G39" s="156"/>
      <c r="H39" s="156"/>
      <c r="I39" s="156"/>
      <c r="J39" s="156"/>
      <c r="K39" s="156"/>
      <c r="L39" s="156"/>
      <c r="M39" s="156"/>
      <c r="N39" s="156"/>
      <c r="O39" s="156"/>
      <c r="P39" s="156"/>
      <c r="Q39" s="156"/>
      <c r="R39" s="156"/>
      <c r="S39" s="156"/>
      <c r="T39" s="156"/>
      <c r="U39" s="156"/>
      <c r="V39" s="156"/>
      <c r="W39" s="162"/>
      <c r="X39" s="162" t="s">
        <v>459</v>
      </c>
      <c r="Y39" s="162" t="s">
        <v>460</v>
      </c>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c r="AX39" s="156"/>
    </row>
    <row r="40" spans="1:50" ht="26.1" customHeight="1">
      <c r="A40" s="156"/>
      <c r="B40" s="156"/>
      <c r="C40" s="156"/>
      <c r="D40" s="156"/>
      <c r="E40" s="156"/>
      <c r="F40" s="156"/>
      <c r="G40" s="156"/>
      <c r="H40" s="156"/>
      <c r="I40" s="156"/>
      <c r="J40" s="156"/>
      <c r="K40" s="156"/>
      <c r="L40" s="156"/>
      <c r="M40" s="156"/>
      <c r="N40" s="156"/>
      <c r="O40" s="156"/>
      <c r="P40" s="156"/>
      <c r="Q40" s="156"/>
      <c r="R40" s="156"/>
      <c r="S40" s="156"/>
      <c r="T40" s="156"/>
      <c r="U40" s="156"/>
      <c r="V40" s="156"/>
      <c r="W40" s="162"/>
      <c r="X40" s="162" t="s">
        <v>461</v>
      </c>
      <c r="Y40" s="162" t="s">
        <v>462</v>
      </c>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X40" s="156"/>
    </row>
    <row r="41" spans="1:50" ht="26.1" customHeight="1">
      <c r="A41" s="156"/>
      <c r="B41" s="156"/>
      <c r="C41" s="156"/>
      <c r="D41" s="156"/>
      <c r="E41" s="156"/>
      <c r="F41" s="156"/>
      <c r="G41" s="156"/>
      <c r="H41" s="156"/>
      <c r="I41" s="156"/>
      <c r="J41" s="156"/>
      <c r="K41" s="156"/>
      <c r="L41" s="156"/>
      <c r="M41" s="156"/>
      <c r="N41" s="156"/>
      <c r="O41" s="156"/>
      <c r="P41" s="156"/>
      <c r="Q41" s="156"/>
      <c r="R41" s="156"/>
      <c r="S41" s="156"/>
      <c r="T41" s="156"/>
      <c r="U41" s="156"/>
      <c r="V41" s="156"/>
      <c r="W41" s="162"/>
      <c r="X41" s="162" t="s">
        <v>463</v>
      </c>
      <c r="Y41" s="162" t="s">
        <v>464</v>
      </c>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56"/>
    </row>
    <row r="42" spans="1:50" ht="26.1" customHeight="1">
      <c r="A42" s="156"/>
      <c r="B42" s="156"/>
      <c r="C42" s="156"/>
      <c r="D42" s="156"/>
      <c r="E42" s="156"/>
      <c r="F42" s="156"/>
      <c r="G42" s="156"/>
      <c r="H42" s="156"/>
      <c r="I42" s="156"/>
      <c r="J42" s="156"/>
      <c r="K42" s="156"/>
      <c r="L42" s="156"/>
      <c r="M42" s="156"/>
      <c r="N42" s="156"/>
      <c r="O42" s="156"/>
      <c r="P42" s="156"/>
      <c r="Q42" s="156"/>
      <c r="R42" s="156"/>
      <c r="S42" s="156"/>
      <c r="T42" s="156"/>
      <c r="U42" s="156"/>
      <c r="V42" s="156"/>
      <c r="W42" s="163"/>
      <c r="X42" s="162" t="s">
        <v>465</v>
      </c>
      <c r="Y42" s="162" t="s">
        <v>466</v>
      </c>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row>
    <row r="43" spans="1:50" ht="26.1" customHeight="1">
      <c r="A43" s="156"/>
      <c r="B43" s="156"/>
      <c r="C43" s="156"/>
      <c r="D43" s="156"/>
      <c r="E43" s="156"/>
      <c r="F43" s="156"/>
      <c r="G43" s="156"/>
      <c r="H43" s="156"/>
      <c r="I43" s="156"/>
      <c r="J43" s="156"/>
      <c r="K43" s="156"/>
      <c r="L43" s="156"/>
      <c r="M43" s="156"/>
      <c r="N43" s="156"/>
      <c r="O43" s="156"/>
      <c r="P43" s="156"/>
      <c r="Q43" s="156"/>
      <c r="R43" s="156"/>
      <c r="S43" s="156"/>
      <c r="T43" s="156"/>
      <c r="U43" s="156"/>
      <c r="V43" s="156"/>
      <c r="W43" s="163"/>
      <c r="X43" s="162" t="s">
        <v>467</v>
      </c>
      <c r="Y43" s="162" t="s">
        <v>468</v>
      </c>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row>
    <row r="44" spans="1:50" ht="26.1" customHeight="1">
      <c r="A44" s="156"/>
      <c r="B44" s="156"/>
      <c r="C44" s="156"/>
      <c r="D44" s="156"/>
      <c r="E44" s="156"/>
      <c r="F44" s="156"/>
      <c r="G44" s="156"/>
      <c r="H44" s="156"/>
      <c r="I44" s="156"/>
      <c r="J44" s="156"/>
      <c r="K44" s="156"/>
      <c r="L44" s="156"/>
      <c r="M44" s="156"/>
      <c r="N44" s="156"/>
      <c r="O44" s="156"/>
      <c r="P44" s="156"/>
      <c r="Q44" s="156"/>
      <c r="R44" s="156"/>
      <c r="S44" s="156"/>
      <c r="T44" s="156"/>
      <c r="U44" s="156"/>
      <c r="V44" s="156"/>
      <c r="W44" s="163"/>
      <c r="X44" s="162" t="s">
        <v>469</v>
      </c>
      <c r="Y44" s="162" t="s">
        <v>470</v>
      </c>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56"/>
    </row>
    <row r="45" spans="1:50" ht="26.1" customHeight="1">
      <c r="A45" s="156"/>
      <c r="B45" s="156"/>
      <c r="C45" s="156"/>
      <c r="D45" s="156"/>
      <c r="E45" s="156"/>
      <c r="F45" s="156"/>
      <c r="G45" s="156"/>
      <c r="H45" s="156"/>
      <c r="I45" s="156"/>
      <c r="J45" s="156"/>
      <c r="K45" s="156"/>
      <c r="L45" s="156"/>
      <c r="M45" s="156"/>
      <c r="N45" s="156"/>
      <c r="O45" s="156"/>
      <c r="P45" s="156"/>
      <c r="Q45" s="156"/>
      <c r="R45" s="156"/>
      <c r="S45" s="156"/>
      <c r="T45" s="156"/>
      <c r="U45" s="156"/>
      <c r="V45" s="156"/>
      <c r="W45" s="163"/>
      <c r="X45" s="162" t="s">
        <v>471</v>
      </c>
      <c r="Y45" s="162" t="s">
        <v>472</v>
      </c>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56"/>
    </row>
    <row r="46" spans="1:50" ht="26.1" customHeight="1">
      <c r="A46" s="156"/>
      <c r="B46" s="156"/>
      <c r="C46" s="156"/>
      <c r="D46" s="156"/>
      <c r="E46" s="156"/>
      <c r="F46" s="156"/>
      <c r="G46" s="156"/>
      <c r="H46" s="156"/>
      <c r="I46" s="156"/>
      <c r="J46" s="156"/>
      <c r="K46" s="156"/>
      <c r="L46" s="156"/>
      <c r="M46" s="156"/>
      <c r="N46" s="156"/>
      <c r="O46" s="156"/>
      <c r="P46" s="156"/>
      <c r="Q46" s="156"/>
      <c r="R46" s="156"/>
      <c r="S46" s="156"/>
      <c r="T46" s="156"/>
      <c r="U46" s="156"/>
      <c r="V46" s="156"/>
      <c r="W46" s="163"/>
      <c r="X46" s="162" t="s">
        <v>473</v>
      </c>
      <c r="Y46" s="162" t="s">
        <v>474</v>
      </c>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56"/>
    </row>
    <row r="47" spans="1:50" ht="26.1" customHeight="1">
      <c r="W47"/>
      <c r="X47" s="84"/>
      <c r="Y47" s="84" t="s">
        <v>475</v>
      </c>
    </row>
    <row r="48" spans="1:50" ht="26.1" customHeight="1">
      <c r="O48"/>
      <c r="P48"/>
      <c r="Q48"/>
      <c r="R48"/>
      <c r="S48"/>
      <c r="T48"/>
      <c r="U48"/>
      <c r="V48"/>
      <c r="W48"/>
      <c r="X48" s="84"/>
      <c r="Y48" s="84" t="s">
        <v>476</v>
      </c>
      <c r="Z48"/>
      <c r="AA48"/>
      <c r="AB48"/>
      <c r="AC48"/>
      <c r="AD48"/>
      <c r="AE48"/>
      <c r="AF48"/>
      <c r="AG48"/>
      <c r="AH48"/>
      <c r="AI48"/>
      <c r="AJ48"/>
      <c r="AK48"/>
      <c r="AL48"/>
      <c r="AM48"/>
      <c r="AN48"/>
      <c r="AO48"/>
      <c r="AP48"/>
      <c r="AQ48"/>
      <c r="AR48"/>
      <c r="AS48"/>
      <c r="AT48"/>
      <c r="AU48"/>
    </row>
    <row r="49" spans="15:47" ht="26.1" customHeight="1">
      <c r="O49"/>
      <c r="P49"/>
      <c r="Q49"/>
      <c r="R49"/>
      <c r="S49"/>
      <c r="T49"/>
      <c r="U49"/>
      <c r="V49"/>
      <c r="W49"/>
      <c r="X49" s="84"/>
      <c r="Y49" s="84" t="s">
        <v>477</v>
      </c>
      <c r="Z49"/>
      <c r="AA49"/>
      <c r="AB49"/>
      <c r="AC49"/>
      <c r="AD49"/>
      <c r="AE49"/>
      <c r="AF49"/>
      <c r="AG49"/>
      <c r="AH49"/>
      <c r="AI49"/>
      <c r="AJ49"/>
      <c r="AK49"/>
      <c r="AL49"/>
      <c r="AM49"/>
      <c r="AN49"/>
      <c r="AO49"/>
      <c r="AP49"/>
      <c r="AQ49"/>
      <c r="AR49"/>
      <c r="AS49"/>
      <c r="AT49"/>
      <c r="AU49"/>
    </row>
    <row r="50" spans="15:47" ht="26.1" customHeight="1">
      <c r="O50"/>
      <c r="P50"/>
      <c r="Q50"/>
      <c r="R50"/>
      <c r="S50"/>
      <c r="T50"/>
      <c r="U50"/>
      <c r="V50"/>
      <c r="W50"/>
      <c r="X50" s="84"/>
      <c r="Y50" s="84" t="s">
        <v>478</v>
      </c>
      <c r="Z50"/>
      <c r="AA50"/>
      <c r="AB50"/>
      <c r="AC50"/>
      <c r="AD50"/>
      <c r="AE50"/>
      <c r="AF50"/>
      <c r="AG50"/>
      <c r="AH50"/>
      <c r="AI50"/>
      <c r="AJ50"/>
      <c r="AK50"/>
      <c r="AL50"/>
      <c r="AM50"/>
      <c r="AN50"/>
      <c r="AO50"/>
      <c r="AP50"/>
      <c r="AQ50"/>
      <c r="AR50"/>
      <c r="AS50"/>
      <c r="AT50"/>
      <c r="AU50"/>
    </row>
    <row r="51" spans="15:47" ht="26.1" customHeight="1">
      <c r="O51"/>
      <c r="P51"/>
      <c r="Q51"/>
      <c r="R51"/>
      <c r="S51"/>
      <c r="T51"/>
      <c r="U51"/>
      <c r="V51"/>
      <c r="W51"/>
      <c r="X51" s="84"/>
      <c r="Y51" s="84" t="s">
        <v>479</v>
      </c>
      <c r="Z51"/>
      <c r="AA51"/>
      <c r="AB51"/>
      <c r="AC51"/>
      <c r="AD51"/>
      <c r="AE51"/>
      <c r="AF51"/>
      <c r="AG51"/>
      <c r="AH51"/>
      <c r="AI51"/>
      <c r="AJ51"/>
      <c r="AK51"/>
      <c r="AL51"/>
      <c r="AM51"/>
      <c r="AN51"/>
      <c r="AO51"/>
      <c r="AP51"/>
      <c r="AQ51"/>
      <c r="AR51"/>
      <c r="AS51"/>
      <c r="AT51"/>
      <c r="AU51"/>
    </row>
    <row r="52" spans="15:47" ht="26.1" customHeight="1">
      <c r="W52"/>
      <c r="X52" s="84"/>
      <c r="Y52" s="84" t="s">
        <v>480</v>
      </c>
    </row>
    <row r="53" spans="15:47" ht="26.1" customHeight="1">
      <c r="W53"/>
      <c r="X53" s="84"/>
      <c r="Y53" s="84" t="s">
        <v>481</v>
      </c>
    </row>
    <row r="54" spans="15:47" ht="26.1" customHeight="1">
      <c r="W54"/>
      <c r="X54" s="84"/>
      <c r="Y54" s="84" t="s">
        <v>482</v>
      </c>
    </row>
    <row r="55" spans="15:47" ht="26.1" customHeight="1">
      <c r="W55"/>
      <c r="X55" s="84"/>
      <c r="Y55" s="84" t="s">
        <v>483</v>
      </c>
    </row>
    <row r="56" spans="15:47" ht="26.1" customHeight="1">
      <c r="W56"/>
      <c r="X56" s="84"/>
      <c r="Y56" s="84" t="s">
        <v>484</v>
      </c>
    </row>
    <row r="57" spans="15:47" ht="26.1" customHeight="1">
      <c r="W57"/>
      <c r="X57" s="84"/>
      <c r="Y57" s="84" t="s">
        <v>485</v>
      </c>
    </row>
    <row r="58" spans="15:47" ht="26.1" customHeight="1">
      <c r="W58" s="85"/>
      <c r="X58" s="84"/>
      <c r="Y58" s="84" t="s">
        <v>486</v>
      </c>
    </row>
    <row r="59" spans="15:47" ht="26.1" customHeight="1">
      <c r="W59" s="85"/>
      <c r="X59" s="86"/>
      <c r="Y59" s="84" t="s">
        <v>487</v>
      </c>
    </row>
    <row r="60" spans="15:47" ht="26.1" customHeight="1">
      <c r="W60"/>
      <c r="X60" s="86"/>
      <c r="Y60" s="84" t="s">
        <v>488</v>
      </c>
    </row>
    <row r="61" spans="15:47" ht="26.1" customHeight="1">
      <c r="W61"/>
      <c r="X61" s="84"/>
      <c r="Y61" s="84" t="s">
        <v>489</v>
      </c>
    </row>
    <row r="62" spans="15:47" ht="26.1" customHeight="1">
      <c r="W62"/>
      <c r="X62" s="84"/>
      <c r="Y62" s="84" t="s">
        <v>490</v>
      </c>
    </row>
    <row r="63" spans="15:47" ht="26.1" customHeight="1">
      <c r="W63"/>
      <c r="X63" s="84"/>
      <c r="Y63" s="84" t="s">
        <v>491</v>
      </c>
    </row>
    <row r="64" spans="15:47" ht="26.1" customHeight="1">
      <c r="W64"/>
      <c r="X64" s="84"/>
      <c r="Y64" s="84" t="s">
        <v>492</v>
      </c>
    </row>
    <row r="65" spans="23:25" ht="26.1" customHeight="1">
      <c r="W65"/>
      <c r="X65" s="84"/>
      <c r="Y65" s="84" t="s">
        <v>493</v>
      </c>
    </row>
    <row r="66" spans="23:25" ht="26.1" customHeight="1"/>
    <row r="67" spans="23:25" ht="26.1" customHeight="1"/>
    <row r="68" spans="23:25" ht="26.1" customHeight="1"/>
    <row r="69" spans="23:25" ht="26.1" customHeight="1"/>
    <row r="70" spans="23:25" ht="26.1" customHeight="1"/>
    <row r="71" spans="23:25" ht="26.1" customHeight="1"/>
  </sheetData>
  <sheetProtection algorithmName="SHA-512" hashValue="GJ9zt2xd+xwgvOWX5SlWQC2eqknIjTAD3Qnc4DlLbT52ujB8xuGFKDw9fIKk7I/AJbIIshH5/xBT/mRPdqXY2w==" saltValue="jhuMaUwDEqybahoXJMY8xw==" spinCount="100000" sheet="1" objects="1" scenarios="1"/>
  <mergeCells count="55">
    <mergeCell ref="K5:L5"/>
    <mergeCell ref="K1:L1"/>
    <mergeCell ref="M1:N1"/>
    <mergeCell ref="K2:L2"/>
    <mergeCell ref="M2:N2"/>
    <mergeCell ref="A3:N3"/>
    <mergeCell ref="A7:C7"/>
    <mergeCell ref="I7:N7"/>
    <mergeCell ref="I9:N9"/>
    <mergeCell ref="D14:N14"/>
    <mergeCell ref="A12:N12"/>
    <mergeCell ref="A14:C15"/>
    <mergeCell ref="D15:N15"/>
    <mergeCell ref="H8:H9"/>
    <mergeCell ref="I8:N8"/>
    <mergeCell ref="I23:K23"/>
    <mergeCell ref="L23:M23"/>
    <mergeCell ref="A16:C16"/>
    <mergeCell ref="D16:N16"/>
    <mergeCell ref="A17:C18"/>
    <mergeCell ref="D17:E17"/>
    <mergeCell ref="F17:N17"/>
    <mergeCell ref="D18:E18"/>
    <mergeCell ref="F18:N18"/>
    <mergeCell ref="M22:N22"/>
    <mergeCell ref="I24:K24"/>
    <mergeCell ref="L24:M24"/>
    <mergeCell ref="D25:F25"/>
    <mergeCell ref="I25:N25"/>
    <mergeCell ref="A28:C28"/>
    <mergeCell ref="D28:E28"/>
    <mergeCell ref="I28:K28"/>
    <mergeCell ref="L28:M28"/>
    <mergeCell ref="A19:C25"/>
    <mergeCell ref="E19:N19"/>
    <mergeCell ref="E20:N20"/>
    <mergeCell ref="E21:N21"/>
    <mergeCell ref="D23:F24"/>
    <mergeCell ref="G23:G24"/>
    <mergeCell ref="H23:H24"/>
    <mergeCell ref="E22:I22"/>
    <mergeCell ref="A32:A34"/>
    <mergeCell ref="B32:C34"/>
    <mergeCell ref="D32:E32"/>
    <mergeCell ref="F32:N32"/>
    <mergeCell ref="D33:E33"/>
    <mergeCell ref="F33:N33"/>
    <mergeCell ref="D34:E34"/>
    <mergeCell ref="F34:N34"/>
    <mergeCell ref="W33:Y33"/>
    <mergeCell ref="B35:C35"/>
    <mergeCell ref="D35:N35"/>
    <mergeCell ref="B31:C31"/>
    <mergeCell ref="D31:E31"/>
    <mergeCell ref="F31:N31"/>
  </mergeCells>
  <phoneticPr fontId="15"/>
  <conditionalFormatting sqref="G23:G24 L23:M24">
    <cfRule type="expression" dxfId="303" priority="6">
      <formula>AND($P$7=FALSE,$P$8=FALSE,$P$10=FALSE)</formula>
    </cfRule>
  </conditionalFormatting>
  <conditionalFormatting sqref="G25">
    <cfRule type="expression" dxfId="302" priority="5">
      <formula>AND($P$9=FALSE,$P$11=FALSE)</formula>
    </cfRule>
  </conditionalFormatting>
  <conditionalFormatting sqref="L22 J22">
    <cfRule type="expression" dxfId="301" priority="4">
      <formula>$P$12=TRUE</formula>
    </cfRule>
  </conditionalFormatting>
  <conditionalFormatting sqref="K22 M22">
    <cfRule type="expression" dxfId="300" priority="3">
      <formula>$P$12=TRUE</formula>
    </cfRule>
  </conditionalFormatting>
  <conditionalFormatting sqref="E6:E15 G8:G15 I6 I8 I10 I12 I14 E16:K16 F17:K19">
    <cfRule type="expression" priority="1">
      <formula>AND(NOT($P$7),NOT($P$8),NOT($P$10))</formula>
    </cfRule>
  </conditionalFormatting>
  <dataValidations count="8">
    <dataValidation type="whole" operator="greaterThanOrEqual" allowBlank="1" showInputMessage="1" showErrorMessage="1" error="整数値（四捨五入）を入力してください。" sqref="G23:G24" xr:uid="{00000000-0002-0000-3B00-000000000000}">
      <formula1>0</formula1>
    </dataValidation>
    <dataValidation type="whole" operator="greaterThanOrEqual" allowBlank="1" showInputMessage="1" showErrorMessage="1" sqref="G25 L23:M23" xr:uid="{00000000-0002-0000-3B00-000001000000}">
      <formula1>1</formula1>
    </dataValidation>
    <dataValidation type="whole" operator="greaterThanOrEqual" allowBlank="1" showInputMessage="1" showErrorMessage="1" sqref="L24:M24" xr:uid="{00000000-0002-0000-3B00-000002000000}">
      <formula1>0</formula1>
    </dataValidation>
    <dataValidation type="list" allowBlank="1" showInputMessage="1" showErrorMessage="1" sqref="N5" xr:uid="{00000000-0002-0000-3B00-000003000000}">
      <formula1>$Y$34:$Y$65</formula1>
    </dataValidation>
    <dataValidation type="list" allowBlank="1" showErrorMessage="1" sqref="M5" xr:uid="{00000000-0002-0000-3B00-000004000000}">
      <formula1>$X$34:$X$46</formula1>
    </dataValidation>
    <dataValidation type="list" allowBlank="1" showInputMessage="1" showErrorMessage="1" sqref="K5:L5" xr:uid="{00000000-0002-0000-3B00-000005000000}">
      <formula1>$W$34:$W$36</formula1>
    </dataValidation>
    <dataValidation type="list" allowBlank="1" showInputMessage="1" showErrorMessage="1" sqref="F18:N18" xr:uid="{00000000-0002-0000-3B00-000006000000}">
      <formula1>INDIRECT($R$32)</formula1>
    </dataValidation>
    <dataValidation type="list" allowBlank="1" showInputMessage="1" sqref="F17:N17" xr:uid="{00000000-0002-0000-3B00-000007000000}">
      <formula1>$S$11:$S$30</formula1>
    </dataValidation>
  </dataValidations>
  <printOptions horizontalCentered="1"/>
  <pageMargins left="0.59055118110236227" right="0.37" top="0.39370078740157483" bottom="0.59055118110236227" header="0.31496062992125984" footer="0.23622047244094491"/>
  <pageSetup paperSize="9" scale="99" orientation="portrait" r:id="rId1"/>
  <ignoredErrors>
    <ignoredError sqref="I6:J6 E16:N16 I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Check Box 1">
              <controlPr defaultSize="0" autoFill="0" autoLine="0" autoPict="0">
                <anchor moveWithCells="1">
                  <from>
                    <xdr:col>0</xdr:col>
                    <xdr:colOff>104775</xdr:colOff>
                    <xdr:row>32</xdr:row>
                    <xdr:rowOff>85725</xdr:rowOff>
                  </from>
                  <to>
                    <xdr:col>0</xdr:col>
                    <xdr:colOff>371475</xdr:colOff>
                    <xdr:row>32</xdr:row>
                    <xdr:rowOff>295275</xdr:rowOff>
                  </to>
                </anchor>
              </controlPr>
            </control>
          </mc:Choice>
        </mc:AlternateContent>
        <mc:AlternateContent xmlns:mc="http://schemas.openxmlformats.org/markup-compatibility/2006">
          <mc:Choice Requires="x14">
            <control shapeId="54274" r:id="rId5" name="Check Box 2">
              <controlPr defaultSize="0" autoFill="0" autoLine="0" autoPict="0">
                <anchor moveWithCells="1">
                  <from>
                    <xdr:col>0</xdr:col>
                    <xdr:colOff>76200</xdr:colOff>
                    <xdr:row>30</xdr:row>
                    <xdr:rowOff>114300</xdr:rowOff>
                  </from>
                  <to>
                    <xdr:col>0</xdr:col>
                    <xdr:colOff>342900</xdr:colOff>
                    <xdr:row>30</xdr:row>
                    <xdr:rowOff>295275</xdr:rowOff>
                  </to>
                </anchor>
              </controlPr>
            </control>
          </mc:Choice>
        </mc:AlternateContent>
        <mc:AlternateContent xmlns:mc="http://schemas.openxmlformats.org/markup-compatibility/2006">
          <mc:Choice Requires="x14">
            <control shapeId="54275" r:id="rId6" name="Check Box 3">
              <controlPr defaultSize="0" autoFill="0" autoLine="0" autoPict="0">
                <anchor moveWithCells="1">
                  <from>
                    <xdr:col>0</xdr:col>
                    <xdr:colOff>104775</xdr:colOff>
                    <xdr:row>34</xdr:row>
                    <xdr:rowOff>76200</xdr:rowOff>
                  </from>
                  <to>
                    <xdr:col>0</xdr:col>
                    <xdr:colOff>371475</xdr:colOff>
                    <xdr:row>34</xdr:row>
                    <xdr:rowOff>276225</xdr:rowOff>
                  </to>
                </anchor>
              </controlPr>
            </control>
          </mc:Choice>
        </mc:AlternateContent>
        <mc:AlternateContent xmlns:mc="http://schemas.openxmlformats.org/markup-compatibility/2006">
          <mc:Choice Requires="x14">
            <control shapeId="54276" r:id="rId7" name="Check Box 4">
              <controlPr defaultSize="0" autoFill="0" autoLine="0" autoPict="0">
                <anchor moveWithCells="1">
                  <from>
                    <xdr:col>3</xdr:col>
                    <xdr:colOff>85725</xdr:colOff>
                    <xdr:row>18</xdr:row>
                    <xdr:rowOff>66675</xdr:rowOff>
                  </from>
                  <to>
                    <xdr:col>4</xdr:col>
                    <xdr:colOff>19050</xdr:colOff>
                    <xdr:row>18</xdr:row>
                    <xdr:rowOff>295275</xdr:rowOff>
                  </to>
                </anchor>
              </controlPr>
            </control>
          </mc:Choice>
        </mc:AlternateContent>
        <mc:AlternateContent xmlns:mc="http://schemas.openxmlformats.org/markup-compatibility/2006">
          <mc:Choice Requires="x14">
            <control shapeId="54277" r:id="rId8" name="Check Box 5">
              <controlPr defaultSize="0" autoFill="0" autoLine="0" autoPict="0">
                <anchor moveWithCells="1">
                  <from>
                    <xdr:col>3</xdr:col>
                    <xdr:colOff>85725</xdr:colOff>
                    <xdr:row>19</xdr:row>
                    <xdr:rowOff>47625</xdr:rowOff>
                  </from>
                  <to>
                    <xdr:col>4</xdr:col>
                    <xdr:colOff>38100</xdr:colOff>
                    <xdr:row>19</xdr:row>
                    <xdr:rowOff>314325</xdr:rowOff>
                  </to>
                </anchor>
              </controlPr>
            </control>
          </mc:Choice>
        </mc:AlternateContent>
        <mc:AlternateContent xmlns:mc="http://schemas.openxmlformats.org/markup-compatibility/2006">
          <mc:Choice Requires="x14">
            <control shapeId="54278" r:id="rId9" name="Check Box 6">
              <controlPr defaultSize="0" autoFill="0" autoLine="0" autoPict="0">
                <anchor moveWithCells="1">
                  <from>
                    <xdr:col>3</xdr:col>
                    <xdr:colOff>85725</xdr:colOff>
                    <xdr:row>20</xdr:row>
                    <xdr:rowOff>38100</xdr:rowOff>
                  </from>
                  <to>
                    <xdr:col>4</xdr:col>
                    <xdr:colOff>38100</xdr:colOff>
                    <xdr:row>20</xdr:row>
                    <xdr:rowOff>314325</xdr:rowOff>
                  </to>
                </anchor>
              </controlPr>
            </control>
          </mc:Choice>
        </mc:AlternateContent>
        <mc:AlternateContent xmlns:mc="http://schemas.openxmlformats.org/markup-compatibility/2006">
          <mc:Choice Requires="x14">
            <control shapeId="54282" r:id="rId10" name="Check Box 10">
              <controlPr defaultSize="0" autoFill="0" autoLine="0" autoPict="0">
                <anchor moveWithCells="1">
                  <from>
                    <xdr:col>3</xdr:col>
                    <xdr:colOff>66675</xdr:colOff>
                    <xdr:row>21</xdr:row>
                    <xdr:rowOff>47625</xdr:rowOff>
                  </from>
                  <to>
                    <xdr:col>4</xdr:col>
                    <xdr:colOff>0</xdr:colOff>
                    <xdr:row>21</xdr:row>
                    <xdr:rowOff>295275</xdr:rowOff>
                  </to>
                </anchor>
              </controlPr>
            </control>
          </mc:Choice>
        </mc:AlternateContent>
        <mc:AlternateContent xmlns:mc="http://schemas.openxmlformats.org/markup-compatibility/2006">
          <mc:Choice Requires="x14">
            <control shapeId="54281" r:id="rId11" name="Check Box 9">
              <controlPr defaultSize="0" autoFill="0" autoLine="0" autoPict="0">
                <anchor moveWithCells="1">
                  <from>
                    <xdr:col>11</xdr:col>
                    <xdr:colOff>57150</xdr:colOff>
                    <xdr:row>21</xdr:row>
                    <xdr:rowOff>57150</xdr:rowOff>
                  </from>
                  <to>
                    <xdr:col>12</xdr:col>
                    <xdr:colOff>9525</xdr:colOff>
                    <xdr:row>21</xdr:row>
                    <xdr:rowOff>342900</xdr:rowOff>
                  </to>
                </anchor>
              </controlPr>
            </control>
          </mc:Choice>
        </mc:AlternateContent>
        <mc:AlternateContent xmlns:mc="http://schemas.openxmlformats.org/markup-compatibility/2006">
          <mc:Choice Requires="x14">
            <control shapeId="54279" r:id="rId12" name="Check Box 7">
              <controlPr defaultSize="0" autoFill="0" autoLine="0" autoPict="0">
                <anchor moveWithCells="1">
                  <from>
                    <xdr:col>9</xdr:col>
                    <xdr:colOff>66675</xdr:colOff>
                    <xdr:row>21</xdr:row>
                    <xdr:rowOff>47625</xdr:rowOff>
                  </from>
                  <to>
                    <xdr:col>10</xdr:col>
                    <xdr:colOff>28575</xdr:colOff>
                    <xdr:row>21</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0" id="{44332947-4946-4275-AA32-EF7DB108C6E5}">
            <xm:f>はじめに!$B$35&lt;&gt;"報告書"</xm:f>
            <x14:dxf>
              <font>
                <color theme="0" tint="-0.14996795556505021"/>
              </font>
              <fill>
                <patternFill>
                  <bgColor theme="0" tint="-0.14996795556505021"/>
                </patternFill>
              </fill>
            </x14:dxf>
          </x14:cfRule>
          <xm:sqref>K5:N5 I7:N9 D14:N16 F17:N18 D19:D22 A31:A35 F31:N34 D35:N35 J22 L22</xm:sqref>
        </x14:conditionalFormatting>
      </x14:conditionalFormatting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9">
    <pageSetUpPr fitToPage="1"/>
  </sheetPr>
  <dimension ref="A1:AA56"/>
  <sheetViews>
    <sheetView showGridLines="0" zoomScale="98" zoomScaleNormal="98" workbookViewId="0">
      <selection activeCell="A6" sqref="A6:B6"/>
    </sheetView>
  </sheetViews>
  <sheetFormatPr defaultColWidth="9" defaultRowHeight="12"/>
  <cols>
    <col min="1" max="1" width="5.625" style="6" customWidth="1"/>
    <col min="2" max="2" width="12.625" style="6" customWidth="1"/>
    <col min="3" max="3" width="3.125" style="6" customWidth="1"/>
    <col min="4" max="4" width="6.875" style="6" customWidth="1"/>
    <col min="5" max="5" width="12.625" style="6" customWidth="1"/>
    <col min="6" max="6" width="7.125" style="6" customWidth="1"/>
    <col min="7" max="7" width="8.125" style="6" customWidth="1"/>
    <col min="8" max="8" width="7.125" style="6" customWidth="1"/>
    <col min="9" max="9" width="12.625" style="6" customWidth="1"/>
    <col min="10" max="11" width="8.125" style="6" customWidth="1"/>
    <col min="12" max="13" width="1.25" style="6" customWidth="1"/>
    <col min="14" max="14" width="16.125" style="6" hidden="1" customWidth="1"/>
    <col min="15" max="15" width="1.25" style="6" hidden="1" customWidth="1"/>
    <col min="16" max="16" width="16.125" style="6" hidden="1" customWidth="1"/>
    <col min="17" max="17" width="4" style="6" hidden="1" customWidth="1"/>
    <col min="18" max="18" width="13.875" style="6" hidden="1" customWidth="1"/>
    <col min="19" max="19" width="10.125" style="6" hidden="1" customWidth="1"/>
    <col min="20" max="20" width="9" style="6" hidden="1" customWidth="1"/>
    <col min="21" max="21" width="17.5" style="6" hidden="1" customWidth="1"/>
    <col min="22" max="24" width="9" style="6" hidden="1" customWidth="1"/>
    <col min="25" max="27" width="9" style="6" customWidth="1"/>
    <col min="28" max="16384" width="9" style="6"/>
  </cols>
  <sheetData>
    <row r="1" spans="1:27" s="3" customFormat="1" ht="13.5">
      <c r="A1" s="1" t="s">
        <v>175</v>
      </c>
      <c r="B1" s="2"/>
      <c r="C1" s="2"/>
      <c r="D1" s="2"/>
      <c r="E1" s="2"/>
      <c r="F1" s="2"/>
      <c r="G1" s="2"/>
      <c r="H1" s="2"/>
      <c r="I1" s="2"/>
      <c r="J1" s="2"/>
      <c r="K1" s="2"/>
      <c r="M1" s="156"/>
      <c r="N1" s="1242" t="s">
        <v>4349</v>
      </c>
      <c r="O1" s="1242"/>
      <c r="P1" s="1242"/>
      <c r="Q1" s="1242"/>
      <c r="R1" s="1242"/>
      <c r="S1" s="1242"/>
      <c r="T1" s="1242"/>
      <c r="U1" s="1242"/>
      <c r="V1" s="1242"/>
      <c r="W1" s="1242"/>
      <c r="X1" s="1242"/>
      <c r="Y1" s="156"/>
      <c r="Z1" s="156"/>
      <c r="AA1" s="156"/>
    </row>
    <row r="2" spans="1:27" s="3" customFormat="1" ht="13.5">
      <c r="A2" s="2" t="s">
        <v>119</v>
      </c>
      <c r="B2" s="4"/>
      <c r="C2" s="4"/>
      <c r="D2" s="4"/>
      <c r="E2" s="4"/>
      <c r="F2" s="4"/>
      <c r="G2" s="4"/>
      <c r="H2" s="4"/>
      <c r="I2" s="4"/>
      <c r="J2" s="2"/>
      <c r="K2" s="2"/>
      <c r="M2" s="156"/>
      <c r="N2" s="156"/>
      <c r="O2" s="156"/>
      <c r="P2" s="156"/>
      <c r="Q2" s="156"/>
      <c r="R2" s="156"/>
      <c r="S2" s="156"/>
      <c r="T2" s="156"/>
      <c r="U2" s="156"/>
      <c r="V2" s="156"/>
      <c r="W2" s="156"/>
      <c r="X2" s="156"/>
      <c r="Y2" s="156"/>
      <c r="Z2" s="156"/>
      <c r="AA2" s="156"/>
    </row>
    <row r="3" spans="1:27" s="3" customFormat="1" ht="4.5" customHeight="1">
      <c r="M3" s="156"/>
      <c r="N3" s="156"/>
      <c r="O3" s="156"/>
      <c r="P3" s="156"/>
      <c r="Q3" s="156"/>
      <c r="R3" s="156"/>
      <c r="S3" s="156"/>
      <c r="T3" s="156"/>
      <c r="U3" s="156"/>
      <c r="V3" s="156"/>
      <c r="W3" s="156"/>
      <c r="X3" s="156"/>
      <c r="Y3" s="156"/>
      <c r="Z3" s="156"/>
      <c r="AA3" s="156"/>
    </row>
    <row r="4" spans="1:27" ht="15" customHeight="1">
      <c r="A4" s="49" t="s">
        <v>274</v>
      </c>
      <c r="B4" s="30"/>
      <c r="C4" s="30"/>
      <c r="D4" s="30"/>
      <c r="E4" s="30"/>
      <c r="F4" s="30"/>
      <c r="G4" s="30"/>
      <c r="H4" s="30"/>
      <c r="M4" s="165"/>
      <c r="N4" s="165"/>
      <c r="O4" s="165"/>
      <c r="P4" s="165"/>
      <c r="Q4" s="165"/>
      <c r="R4" s="165"/>
      <c r="S4" s="165"/>
      <c r="T4" s="165"/>
      <c r="U4" s="165"/>
      <c r="V4" s="165"/>
      <c r="W4" s="165"/>
      <c r="X4" s="165"/>
      <c r="Y4" s="165"/>
      <c r="Z4" s="165"/>
      <c r="AA4" s="165"/>
    </row>
    <row r="5" spans="1:27" ht="17.25" customHeight="1">
      <c r="A5" s="2654"/>
      <c r="B5" s="2655"/>
      <c r="C5" s="2635" t="s">
        <v>569</v>
      </c>
      <c r="D5" s="2635"/>
      <c r="E5" s="2635"/>
      <c r="F5" s="2636"/>
      <c r="G5" s="2672" t="s">
        <v>275</v>
      </c>
      <c r="H5" s="2636"/>
      <c r="I5" s="2673" t="s">
        <v>276</v>
      </c>
      <c r="J5" s="2674"/>
      <c r="K5" s="2675"/>
      <c r="L5" s="1420"/>
      <c r="M5" s="166"/>
      <c r="N5" s="166"/>
      <c r="O5" s="166"/>
      <c r="P5" s="166"/>
      <c r="Q5" s="166"/>
      <c r="R5" s="166"/>
      <c r="S5" s="166"/>
      <c r="T5" s="165"/>
      <c r="U5" s="165"/>
      <c r="V5" s="165"/>
      <c r="W5" s="165"/>
      <c r="X5" s="165"/>
      <c r="Y5" s="165"/>
      <c r="Z5" s="165"/>
      <c r="AA5" s="165"/>
    </row>
    <row r="6" spans="1:27" ht="24" customHeight="1">
      <c r="A6" s="2633" t="s">
        <v>122</v>
      </c>
      <c r="B6" s="2634"/>
      <c r="C6" s="2635" t="s">
        <v>570</v>
      </c>
      <c r="D6" s="2636"/>
      <c r="E6" s="46" t="str">
        <f>参照元!AO14</f>
        <v/>
      </c>
      <c r="F6" s="133" t="s">
        <v>414</v>
      </c>
      <c r="G6" s="2676"/>
      <c r="H6" s="2665"/>
      <c r="I6" s="1355" t="str">
        <f>参照元!AQ14</f>
        <v/>
      </c>
      <c r="J6" s="135" t="s">
        <v>415</v>
      </c>
      <c r="K6" s="1356" t="str">
        <f>参照元!AR14</f>
        <v/>
      </c>
      <c r="L6" s="1420"/>
      <c r="M6" s="166"/>
      <c r="N6" s="166"/>
      <c r="O6" s="166"/>
      <c r="P6" s="166"/>
      <c r="Q6" s="166"/>
      <c r="R6" s="166"/>
      <c r="S6" s="166"/>
      <c r="T6" s="165"/>
      <c r="U6" s="165"/>
      <c r="V6" s="165"/>
      <c r="W6" s="165"/>
      <c r="X6" s="165"/>
      <c r="Y6" s="165"/>
      <c r="Z6" s="165"/>
      <c r="AA6" s="165"/>
    </row>
    <row r="7" spans="1:27" ht="24" customHeight="1">
      <c r="A7" s="2637">
        <f>IF(報1!D28="","",報1!$D$28-1)</f>
        <v>2023</v>
      </c>
      <c r="B7" s="2638"/>
      <c r="C7" s="2639" t="s">
        <v>571</v>
      </c>
      <c r="D7" s="2640"/>
      <c r="E7" s="136" t="str">
        <f>参照元!AP14</f>
        <v/>
      </c>
      <c r="F7" s="31" t="s">
        <v>414</v>
      </c>
      <c r="G7" s="2677"/>
      <c r="H7" s="2678"/>
      <c r="I7" s="2679"/>
      <c r="J7" s="2680"/>
      <c r="K7" s="2681"/>
      <c r="L7" s="1420"/>
      <c r="M7" s="166"/>
      <c r="N7" s="166"/>
      <c r="O7" s="166"/>
      <c r="P7" s="166"/>
      <c r="Q7" s="166"/>
      <c r="R7" s="166"/>
      <c r="S7" s="166"/>
      <c r="T7" s="165"/>
      <c r="U7" s="165"/>
      <c r="V7" s="165"/>
      <c r="W7" s="165"/>
      <c r="X7" s="165"/>
      <c r="Y7" s="165"/>
      <c r="Z7" s="165"/>
      <c r="AA7" s="165"/>
    </row>
    <row r="8" spans="1:27" ht="24" customHeight="1">
      <c r="A8" s="2646" t="s">
        <v>235</v>
      </c>
      <c r="B8" s="2647"/>
      <c r="C8" s="2648" t="s">
        <v>572</v>
      </c>
      <c r="D8" s="2649"/>
      <c r="E8" s="46" t="str">
        <f>参照元!AT14</f>
        <v/>
      </c>
      <c r="F8" s="32" t="s">
        <v>414</v>
      </c>
      <c r="G8" s="33" t="str">
        <f>IF(OR($E$6="",$E$6=0,E8=""),"",INT(($E$6-E8)/$E$6*10000)/100)</f>
        <v/>
      </c>
      <c r="H8" s="137" t="s">
        <v>134</v>
      </c>
      <c r="I8" s="1357" t="str">
        <f>参照元!AX14</f>
        <v/>
      </c>
      <c r="J8" s="34" t="s">
        <v>415</v>
      </c>
      <c r="K8" s="1358" t="str">
        <f>IF(OR(I8="",$K$6=""),"",$K$6)</f>
        <v/>
      </c>
      <c r="L8" s="1420"/>
      <c r="M8" s="166"/>
      <c r="N8" s="166"/>
      <c r="O8" s="166"/>
      <c r="P8" s="166"/>
      <c r="Q8" s="166"/>
      <c r="R8" s="166"/>
      <c r="S8" s="166"/>
      <c r="T8" s="165"/>
      <c r="U8" s="165"/>
      <c r="V8" s="165"/>
      <c r="W8" s="165"/>
      <c r="X8" s="165"/>
      <c r="Y8" s="165"/>
      <c r="Z8" s="165"/>
      <c r="AA8" s="165"/>
    </row>
    <row r="9" spans="1:27" ht="24" customHeight="1">
      <c r="A9" s="2637">
        <f>IF(報1!D28="","",報1!$D$28+2)</f>
        <v>2026</v>
      </c>
      <c r="B9" s="2638"/>
      <c r="C9" s="2639" t="s">
        <v>573</v>
      </c>
      <c r="D9" s="2640"/>
      <c r="E9" s="66" t="str">
        <f>参照元!AV14</f>
        <v/>
      </c>
      <c r="F9" s="31" t="s">
        <v>414</v>
      </c>
      <c r="G9" s="67" t="str">
        <f>IF(OR($E$7="",$E$7=0,E9=""),"",INT(($E$7-E9)/$E$7*10000)/100)</f>
        <v/>
      </c>
      <c r="H9" s="37" t="s">
        <v>134</v>
      </c>
      <c r="I9" s="138" t="s">
        <v>275</v>
      </c>
      <c r="J9" s="1359" t="str">
        <f>参照元!AZ14</f>
        <v/>
      </c>
      <c r="K9" s="31" t="s">
        <v>134</v>
      </c>
      <c r="L9" s="1420"/>
      <c r="M9" s="166"/>
      <c r="N9" s="166"/>
      <c r="O9" s="166"/>
      <c r="P9" s="166"/>
      <c r="Q9" s="166"/>
      <c r="R9" s="166"/>
      <c r="S9" s="166"/>
      <c r="T9" s="165"/>
      <c r="U9" s="165"/>
      <c r="V9" s="165"/>
      <c r="W9" s="165"/>
      <c r="X9" s="165"/>
      <c r="Y9" s="165"/>
      <c r="Z9" s="165"/>
      <c r="AA9" s="165"/>
    </row>
    <row r="10" spans="1:27" ht="24" customHeight="1">
      <c r="A10" s="2650" t="s">
        <v>128</v>
      </c>
      <c r="B10" s="2651"/>
      <c r="C10" s="2648" t="s">
        <v>572</v>
      </c>
      <c r="D10" s="2649"/>
      <c r="E10" s="1326" t="str">
        <f>参照元!BH14</f>
        <v/>
      </c>
      <c r="F10" s="139" t="s">
        <v>414</v>
      </c>
      <c r="G10" s="33" t="str">
        <f>IF(OR($E$6="",$E$6=0,E10=""),"",INT(($E$6-E10)/$E$6*10000)/100)</f>
        <v/>
      </c>
      <c r="H10" s="140" t="s">
        <v>134</v>
      </c>
      <c r="I10" s="1360" t="str">
        <f>参照元!BL14</f>
        <v/>
      </c>
      <c r="J10" s="43" t="s">
        <v>415</v>
      </c>
      <c r="K10" s="1358" t="str">
        <f>IF(OR(I10="",$K$6=""),"",$K$6)</f>
        <v/>
      </c>
      <c r="L10" s="1420"/>
      <c r="M10" s="166"/>
      <c r="N10" s="167"/>
      <c r="O10" s="166"/>
      <c r="P10" s="168"/>
      <c r="Q10" s="169"/>
      <c r="R10" s="166"/>
      <c r="S10" s="166"/>
      <c r="T10" s="165"/>
      <c r="U10" s="165"/>
      <c r="V10" s="165"/>
      <c r="W10" s="165"/>
      <c r="X10" s="165"/>
      <c r="Y10" s="165"/>
      <c r="Z10" s="165"/>
      <c r="AA10" s="165"/>
    </row>
    <row r="11" spans="1:27" ht="24" customHeight="1">
      <c r="A11" s="2637">
        <f>IF(報1!D28="","",報1!$D$28)</f>
        <v>2024</v>
      </c>
      <c r="B11" s="2638"/>
      <c r="C11" s="2641" t="s">
        <v>574</v>
      </c>
      <c r="D11" s="2642"/>
      <c r="E11" s="1353" t="str">
        <f>IF(ISNUMBER(参照元!BJ14),IF(A11=はじめに!A2-1,参照元!BJ14-SUM(報3!G6:J10),参照元!BJ14),"")</f>
        <v/>
      </c>
      <c r="F11" s="35" t="s">
        <v>414</v>
      </c>
      <c r="G11" s="67" t="str">
        <f>IF(OR($E$7="",$E$7=0,E11=""),"",INT(($E$7-E11)/$E$7*10000)/100)</f>
        <v/>
      </c>
      <c r="H11" s="36" t="s">
        <v>134</v>
      </c>
      <c r="I11" s="141" t="s">
        <v>275</v>
      </c>
      <c r="J11" s="1361" t="str">
        <f>IF(AND(I10="",参照元!BN14=""),"",IF(OR($I$6=0,I10=""),参照元!BN14,INT(($I$6-I10)/$I$6*10000)/100))</f>
        <v/>
      </c>
      <c r="K11" s="35" t="s">
        <v>134</v>
      </c>
      <c r="L11" s="1420"/>
      <c r="M11" s="166"/>
      <c r="N11" s="1240"/>
      <c r="O11" s="166"/>
      <c r="P11" s="1241"/>
      <c r="Q11" s="170"/>
      <c r="R11" s="166"/>
      <c r="S11" s="166"/>
      <c r="T11" s="165"/>
      <c r="U11" s="170"/>
      <c r="V11" s="170"/>
      <c r="W11" s="165"/>
      <c r="X11" s="165"/>
      <c r="Y11" s="165"/>
      <c r="Z11" s="165"/>
      <c r="AA11" s="165"/>
    </row>
    <row r="12" spans="1:27" ht="24" customHeight="1">
      <c r="A12" s="2633" t="s">
        <v>181</v>
      </c>
      <c r="B12" s="2634"/>
      <c r="C12" s="2635" t="s">
        <v>570</v>
      </c>
      <c r="D12" s="2636"/>
      <c r="E12" s="1327" t="str">
        <f>参照元!BP14</f>
        <v/>
      </c>
      <c r="F12" s="32" t="s">
        <v>414</v>
      </c>
      <c r="G12" s="33" t="str">
        <f>IF(OR($E$6="",$E$6=0,E12=""),"",INT(($E$6-E12)/$E$6*10000)/100)</f>
        <v/>
      </c>
      <c r="H12" s="137" t="s">
        <v>134</v>
      </c>
      <c r="I12" s="1362" t="str">
        <f>参照元!BT14</f>
        <v/>
      </c>
      <c r="J12" s="68" t="s">
        <v>415</v>
      </c>
      <c r="K12" s="1356" t="str">
        <f>IF(OR(I12="",$K$6=""),"",$K$6)</f>
        <v/>
      </c>
      <c r="L12" s="1420"/>
      <c r="M12" s="166"/>
      <c r="N12" s="165"/>
      <c r="O12" s="166"/>
      <c r="P12" s="2671"/>
      <c r="Q12" s="2671"/>
      <c r="R12" s="166"/>
      <c r="S12" s="166"/>
      <c r="T12" s="165"/>
      <c r="U12" s="170"/>
      <c r="V12" s="170"/>
      <c r="W12" s="165"/>
      <c r="X12" s="165"/>
      <c r="Y12" s="165"/>
      <c r="Z12" s="165"/>
      <c r="AA12" s="165"/>
    </row>
    <row r="13" spans="1:27" ht="24" customHeight="1">
      <c r="A13" s="2637">
        <f>IF(報1!D28="","",報1!$D$28+1)</f>
        <v>2025</v>
      </c>
      <c r="B13" s="2638"/>
      <c r="C13" s="2639" t="s">
        <v>571</v>
      </c>
      <c r="D13" s="2640"/>
      <c r="E13" s="1353" t="str">
        <f>IF(ISNUMBER(参照元!BR14),IF(A13=はじめに!A2-1,参照元!BR14-SUM(報3!G6:J10),参照元!BR14),"")</f>
        <v/>
      </c>
      <c r="F13" s="31" t="s">
        <v>414</v>
      </c>
      <c r="G13" s="67" t="str">
        <f>IF(OR($E$7="",$E$7=0,E13=""),"",INT(($E$7-E13)/$E$7*10000)/100)</f>
        <v/>
      </c>
      <c r="H13" s="37" t="s">
        <v>134</v>
      </c>
      <c r="I13" s="142" t="s">
        <v>275</v>
      </c>
      <c r="J13" s="1361" t="str">
        <f>IF(AND(I12="",参照元!BV14=""),"",IF(OR($I$6=0,I12=""),参照元!BV14,INT(($I$6-I12)/$I$6*10000)/100))</f>
        <v/>
      </c>
      <c r="K13" s="31" t="s">
        <v>134</v>
      </c>
      <c r="L13" s="1420"/>
      <c r="M13" s="166"/>
      <c r="N13" s="1240"/>
      <c r="O13" s="166"/>
      <c r="P13" s="1241"/>
      <c r="Q13" s="170"/>
      <c r="R13" s="166"/>
      <c r="S13" s="166"/>
      <c r="T13" s="165"/>
      <c r="U13" s="171"/>
      <c r="V13" s="170"/>
      <c r="W13" s="165"/>
      <c r="X13" s="165"/>
      <c r="Y13" s="165"/>
      <c r="Z13" s="165"/>
      <c r="AA13" s="165"/>
    </row>
    <row r="14" spans="1:27" ht="24" customHeight="1">
      <c r="A14" s="2650" t="s">
        <v>182</v>
      </c>
      <c r="B14" s="2651"/>
      <c r="C14" s="2648" t="s">
        <v>572</v>
      </c>
      <c r="D14" s="2649"/>
      <c r="E14" s="1354" t="str">
        <f>参照元!BX14</f>
        <v/>
      </c>
      <c r="F14" s="139" t="s">
        <v>414</v>
      </c>
      <c r="G14" s="33" t="str">
        <f>IF(OR($E$6="",$E$6=0,E14=""),"",INT(($E$6-E14)/$E$6*10000)/100)</f>
        <v/>
      </c>
      <c r="H14" s="140" t="s">
        <v>134</v>
      </c>
      <c r="I14" s="1360" t="str">
        <f>参照元!CB14</f>
        <v/>
      </c>
      <c r="J14" s="68" t="s">
        <v>415</v>
      </c>
      <c r="K14" s="1358" t="str">
        <f>IF(OR(I14="",$K$6=""),"",$K$6)</f>
        <v/>
      </c>
      <c r="L14" s="1420"/>
      <c r="M14" s="166"/>
      <c r="N14" s="165"/>
      <c r="O14" s="166"/>
      <c r="P14" s="2671"/>
      <c r="Q14" s="2671"/>
      <c r="R14" s="166"/>
      <c r="S14" s="166"/>
      <c r="T14" s="165"/>
      <c r="U14" s="172"/>
      <c r="V14" s="170"/>
      <c r="W14" s="165"/>
      <c r="X14" s="165"/>
      <c r="Y14" s="165"/>
      <c r="Z14" s="165"/>
      <c r="AA14" s="165"/>
    </row>
    <row r="15" spans="1:27" ht="24" customHeight="1">
      <c r="A15" s="2637">
        <f>IF(報1!D28="","",報1!$D$28+2)</f>
        <v>2026</v>
      </c>
      <c r="B15" s="2638"/>
      <c r="C15" s="2641" t="s">
        <v>574</v>
      </c>
      <c r="D15" s="2642"/>
      <c r="E15" s="1353" t="str">
        <f>IF(ISNUMBER(参照元!BZ14),IF(A15=はじめに!A2-1,参照元!BZ14-SUM(報3!G6:J10),参照元!BZ14),"")</f>
        <v/>
      </c>
      <c r="F15" s="35" t="s">
        <v>414</v>
      </c>
      <c r="G15" s="67" t="str">
        <f>IF(OR($E$7="",$E$7=0,E15=""),"",INT(($E$7-E15)/$E$7*10000)/100)</f>
        <v/>
      </c>
      <c r="H15" s="36" t="s">
        <v>134</v>
      </c>
      <c r="I15" s="143" t="s">
        <v>275</v>
      </c>
      <c r="J15" s="1361" t="str">
        <f>IF(AND(I14="",参照元!CD14=""),"",IF(OR($I$6=0,I14=""),参照元!CD14,INT(($I$6-I14)/$I$6*10000)/100))</f>
        <v/>
      </c>
      <c r="K15" s="35" t="s">
        <v>134</v>
      </c>
      <c r="L15" s="1420"/>
      <c r="M15" s="166"/>
      <c r="N15" s="1240"/>
      <c r="O15" s="166"/>
      <c r="P15" s="1241"/>
      <c r="Q15" s="170"/>
      <c r="R15" s="166"/>
      <c r="S15" s="166"/>
      <c r="T15" s="165"/>
      <c r="U15" s="172"/>
      <c r="V15" s="170"/>
      <c r="W15" s="165"/>
      <c r="X15" s="165"/>
      <c r="Y15" s="165"/>
      <c r="Z15" s="165"/>
      <c r="AA15" s="165"/>
    </row>
    <row r="16" spans="1:27" ht="39.950000000000003" customHeight="1">
      <c r="A16" s="69"/>
      <c r="C16" s="2610" t="s">
        <v>575</v>
      </c>
      <c r="D16" s="2613"/>
      <c r="E16" s="2614" t="s">
        <v>5913</v>
      </c>
      <c r="F16" s="2669"/>
      <c r="G16" s="2616" t="s">
        <v>510</v>
      </c>
      <c r="H16" s="2668"/>
      <c r="I16" s="2668"/>
      <c r="J16" s="2617" t="s">
        <v>5914</v>
      </c>
      <c r="K16" s="2670"/>
      <c r="L16" s="1420"/>
      <c r="M16" s="166"/>
      <c r="N16" s="166"/>
      <c r="O16" s="166"/>
      <c r="P16" s="168"/>
      <c r="Q16" s="166"/>
      <c r="R16" s="166"/>
      <c r="S16" s="173" t="s">
        <v>506</v>
      </c>
      <c r="T16" s="174"/>
      <c r="U16" s="175" t="str">
        <f>IFERROR(CHOOSE(T16,E16,G16,J16),"")</f>
        <v/>
      </c>
      <c r="V16" s="171"/>
      <c r="W16" s="171"/>
      <c r="X16" s="165"/>
      <c r="Y16" s="165"/>
      <c r="Z16" s="165"/>
      <c r="AA16" s="165"/>
    </row>
    <row r="17" spans="1:27" ht="24" customHeight="1">
      <c r="A17" s="2543" t="s">
        <v>277</v>
      </c>
      <c r="B17" s="2544"/>
      <c r="C17" s="2621" t="s">
        <v>576</v>
      </c>
      <c r="D17" s="2622"/>
      <c r="E17" s="132" t="s">
        <v>497</v>
      </c>
      <c r="F17" s="155"/>
      <c r="G17" s="152"/>
      <c r="H17" s="153" t="s">
        <v>511</v>
      </c>
      <c r="I17" s="152"/>
      <c r="J17" s="153" t="s">
        <v>512</v>
      </c>
      <c r="K17" s="154"/>
      <c r="L17" s="1420"/>
      <c r="M17" s="166"/>
      <c r="N17" s="166"/>
      <c r="O17" s="166"/>
      <c r="P17" s="168"/>
      <c r="Q17" s="166"/>
      <c r="R17" s="166"/>
      <c r="S17" s="176" t="s">
        <v>507</v>
      </c>
      <c r="T17" s="175"/>
      <c r="U17" s="175" t="str">
        <f>IFERROR(CHOOSE(T17,H17,J17),"")</f>
        <v/>
      </c>
      <c r="V17" s="172"/>
      <c r="W17" s="172"/>
      <c r="X17" s="165"/>
      <c r="Y17" s="165"/>
      <c r="Z17" s="165"/>
      <c r="AA17" s="165"/>
    </row>
    <row r="18" spans="1:27" ht="24" customHeight="1">
      <c r="A18" s="2627">
        <f>IF(報1!$L$28="","",報1!$L$28)</f>
        <v>2023</v>
      </c>
      <c r="B18" s="2628"/>
      <c r="C18" s="2623"/>
      <c r="D18" s="2624"/>
      <c r="E18" s="132" t="s">
        <v>498</v>
      </c>
      <c r="F18" s="155"/>
      <c r="G18" s="153" t="s">
        <v>513</v>
      </c>
      <c r="H18" s="2616" t="s">
        <v>515</v>
      </c>
      <c r="I18" s="2668"/>
      <c r="J18" s="2616" t="s">
        <v>514</v>
      </c>
      <c r="K18" s="2629"/>
      <c r="L18" s="1420"/>
      <c r="M18" s="166"/>
      <c r="N18" s="166"/>
      <c r="O18" s="166"/>
      <c r="P18" s="168"/>
      <c r="Q18" s="166"/>
      <c r="R18" s="166"/>
      <c r="S18" s="176" t="s">
        <v>508</v>
      </c>
      <c r="T18" s="175"/>
      <c r="U18" s="175" t="str">
        <f>IFERROR(CHOOSE(T18,G18,H18,J18),"")</f>
        <v/>
      </c>
      <c r="V18" s="172"/>
      <c r="W18" s="172"/>
      <c r="X18" s="165"/>
      <c r="Y18" s="165"/>
      <c r="Z18" s="165"/>
      <c r="AA18" s="165"/>
    </row>
    <row r="19" spans="1:27" s="16" customFormat="1" ht="50.1" customHeight="1">
      <c r="A19" s="64"/>
      <c r="B19" s="70"/>
      <c r="C19" s="2625"/>
      <c r="D19" s="2626"/>
      <c r="E19" s="65" t="s">
        <v>499</v>
      </c>
      <c r="F19" s="2630"/>
      <c r="G19" s="2631"/>
      <c r="H19" s="2631"/>
      <c r="I19" s="2631"/>
      <c r="J19" s="2631"/>
      <c r="K19" s="2632"/>
      <c r="L19" s="1421"/>
      <c r="M19" s="177"/>
      <c r="N19" s="170"/>
      <c r="O19" s="170"/>
      <c r="P19" s="178"/>
      <c r="Q19" s="170"/>
      <c r="R19" s="170"/>
      <c r="S19" s="170"/>
      <c r="T19" s="172"/>
      <c r="U19" s="172"/>
      <c r="V19" s="172"/>
      <c r="W19" s="172"/>
      <c r="X19" s="170"/>
      <c r="Y19" s="170"/>
      <c r="Z19" s="170"/>
      <c r="AA19" s="170"/>
    </row>
    <row r="20" spans="1:27" ht="57" customHeight="1">
      <c r="A20" s="2652"/>
      <c r="B20" s="2653"/>
      <c r="C20" s="2653"/>
      <c r="D20" s="2653"/>
      <c r="E20" s="2653"/>
      <c r="F20" s="2653"/>
      <c r="G20" s="2653"/>
      <c r="H20" s="2653"/>
      <c r="I20" s="2653"/>
      <c r="J20" s="2653"/>
      <c r="K20" s="2653"/>
      <c r="L20" s="1422"/>
      <c r="M20" s="179"/>
      <c r="N20" s="165"/>
      <c r="O20" s="165"/>
      <c r="P20" s="165"/>
      <c r="Q20" s="165"/>
      <c r="R20" s="165"/>
      <c r="S20" s="178"/>
      <c r="T20" s="172"/>
      <c r="U20" s="172"/>
      <c r="V20" s="172"/>
      <c r="W20" s="172"/>
      <c r="X20" s="165"/>
      <c r="Y20" s="165"/>
      <c r="Z20" s="165"/>
      <c r="AA20" s="165"/>
    </row>
    <row r="21" spans="1:27" ht="15" customHeight="1">
      <c r="A21" s="50" t="s">
        <v>278</v>
      </c>
      <c r="B21" s="30"/>
      <c r="C21" s="30"/>
      <c r="D21" s="30"/>
      <c r="E21" s="30"/>
      <c r="F21" s="30"/>
      <c r="G21" s="30"/>
      <c r="H21" s="30"/>
      <c r="M21" s="165"/>
      <c r="N21" s="165"/>
      <c r="O21" s="165"/>
      <c r="P21" s="165"/>
      <c r="Q21" s="165"/>
      <c r="R21" s="165"/>
      <c r="S21" s="165"/>
      <c r="T21" s="165"/>
      <c r="U21" s="172"/>
      <c r="V21" s="165"/>
      <c r="W21" s="165"/>
      <c r="X21" s="165"/>
      <c r="Y21" s="165"/>
      <c r="Z21" s="165"/>
      <c r="AA21" s="165"/>
    </row>
    <row r="22" spans="1:27" ht="20.100000000000001" customHeight="1">
      <c r="A22" s="2654"/>
      <c r="B22" s="2655"/>
      <c r="C22" s="2656" t="s">
        <v>569</v>
      </c>
      <c r="D22" s="2657"/>
      <c r="E22" s="2657"/>
      <c r="F22" s="2658"/>
      <c r="G22" s="2659" t="s">
        <v>275</v>
      </c>
      <c r="H22" s="2660"/>
      <c r="I22" s="2661" t="s">
        <v>276</v>
      </c>
      <c r="J22" s="2662"/>
      <c r="K22" s="2663"/>
      <c r="M22" s="165"/>
      <c r="N22" s="165"/>
      <c r="O22" s="165"/>
      <c r="P22" s="165"/>
      <c r="Q22" s="165"/>
      <c r="R22" s="165"/>
      <c r="S22" s="165"/>
      <c r="T22" s="165"/>
      <c r="U22" s="165"/>
      <c r="V22" s="165"/>
      <c r="W22" s="165"/>
      <c r="X22" s="165"/>
      <c r="Y22" s="165"/>
      <c r="Z22" s="165"/>
      <c r="AA22" s="165"/>
    </row>
    <row r="23" spans="1:27" ht="24" customHeight="1">
      <c r="A23" s="2633" t="s">
        <v>122</v>
      </c>
      <c r="B23" s="2634"/>
      <c r="C23" s="2635" t="s">
        <v>572</v>
      </c>
      <c r="D23" s="2636"/>
      <c r="E23" s="46" t="str">
        <f>参照元!CK14</f>
        <v/>
      </c>
      <c r="F23" s="133" t="s">
        <v>414</v>
      </c>
      <c r="G23" s="2664"/>
      <c r="H23" s="2665"/>
      <c r="I23" s="1355" t="str">
        <f>参照元!CM14</f>
        <v/>
      </c>
      <c r="J23" s="1363" t="s">
        <v>415</v>
      </c>
      <c r="K23" s="1364" t="str">
        <f>参照元!CN14</f>
        <v/>
      </c>
      <c r="M23" s="166"/>
      <c r="N23" s="165"/>
      <c r="O23" s="166"/>
      <c r="P23" s="166"/>
      <c r="Q23" s="166"/>
      <c r="R23" s="165"/>
      <c r="S23" s="165"/>
      <c r="T23" s="165"/>
      <c r="U23" s="165"/>
      <c r="V23" s="165"/>
      <c r="W23" s="165"/>
      <c r="X23" s="165"/>
      <c r="Y23" s="165"/>
      <c r="Z23" s="165"/>
      <c r="AA23" s="165"/>
    </row>
    <row r="24" spans="1:27" ht="24" customHeight="1">
      <c r="A24" s="2637">
        <f>IF(報1!$D$28="","",報1!$D$28-1)</f>
        <v>2023</v>
      </c>
      <c r="B24" s="2638"/>
      <c r="C24" s="2639" t="s">
        <v>571</v>
      </c>
      <c r="D24" s="2640"/>
      <c r="E24" s="136" t="str">
        <f>参照元!CL14</f>
        <v/>
      </c>
      <c r="F24" s="31" t="s">
        <v>414</v>
      </c>
      <c r="G24" s="2666"/>
      <c r="H24" s="2667"/>
      <c r="I24" s="2643"/>
      <c r="J24" s="2644"/>
      <c r="K24" s="2645"/>
      <c r="M24" s="165"/>
      <c r="N24" s="165"/>
      <c r="O24" s="165"/>
      <c r="P24" s="166"/>
      <c r="Q24" s="166"/>
      <c r="R24" s="165"/>
      <c r="S24" s="165"/>
      <c r="T24" s="165"/>
      <c r="U24" s="165"/>
      <c r="V24" s="165"/>
      <c r="W24" s="165"/>
      <c r="X24" s="165"/>
      <c r="Y24" s="165"/>
      <c r="Z24" s="165"/>
      <c r="AA24" s="165"/>
    </row>
    <row r="25" spans="1:27" ht="24" customHeight="1">
      <c r="A25" s="2646" t="s">
        <v>235</v>
      </c>
      <c r="B25" s="2647"/>
      <c r="C25" s="2648" t="s">
        <v>570</v>
      </c>
      <c r="D25" s="2649"/>
      <c r="E25" s="46" t="str">
        <f>参照元!CP14</f>
        <v/>
      </c>
      <c r="F25" s="32" t="s">
        <v>414</v>
      </c>
      <c r="G25" s="33" t="str">
        <f>IF(OR($E$23="",$E$23=0,E25=""),"",INT(($E$23-E25)/$E$23*10000)/100)</f>
        <v/>
      </c>
      <c r="H25" s="137" t="s">
        <v>134</v>
      </c>
      <c r="I25" s="1357" t="str">
        <f>参照元!CT14</f>
        <v/>
      </c>
      <c r="J25" s="34" t="s">
        <v>415</v>
      </c>
      <c r="K25" s="1358" t="str">
        <f>IF(OR(I25="",$K$23=""),"",$K$23)</f>
        <v/>
      </c>
      <c r="M25" s="165"/>
      <c r="N25" s="165"/>
      <c r="O25" s="165"/>
      <c r="P25" s="166"/>
      <c r="Q25" s="166"/>
      <c r="R25" s="165"/>
      <c r="S25" s="165"/>
      <c r="T25" s="165"/>
      <c r="U25" s="165"/>
      <c r="V25" s="165"/>
      <c r="W25" s="165"/>
      <c r="X25" s="165"/>
      <c r="Y25" s="165"/>
      <c r="Z25" s="165"/>
      <c r="AA25" s="165"/>
    </row>
    <row r="26" spans="1:27" ht="24" customHeight="1">
      <c r="A26" s="2637">
        <f>IF(報1!$D$28="","",報1!$D$28+2)</f>
        <v>2026</v>
      </c>
      <c r="B26" s="2638"/>
      <c r="C26" s="2639" t="s">
        <v>571</v>
      </c>
      <c r="D26" s="2640"/>
      <c r="E26" s="66" t="str">
        <f>参照元!CR14</f>
        <v/>
      </c>
      <c r="F26" s="134" t="s">
        <v>414</v>
      </c>
      <c r="G26" s="67" t="str">
        <f>IF(OR($E$24="",$E$24=0,E26=""),"",INT(($E$24-E26)/$E$24*10000)/100)</f>
        <v/>
      </c>
      <c r="H26" s="37" t="s">
        <v>134</v>
      </c>
      <c r="I26" s="138" t="s">
        <v>275</v>
      </c>
      <c r="J26" s="1359" t="str">
        <f>参照元!CV14</f>
        <v/>
      </c>
      <c r="K26" s="134" t="s">
        <v>134</v>
      </c>
      <c r="M26" s="165"/>
      <c r="N26" s="165"/>
      <c r="O26" s="165"/>
      <c r="P26" s="166"/>
      <c r="Q26" s="166"/>
      <c r="R26" s="165"/>
      <c r="S26" s="165"/>
      <c r="T26" s="165"/>
      <c r="U26" s="165"/>
      <c r="V26" s="165"/>
      <c r="W26" s="165"/>
      <c r="X26" s="165"/>
      <c r="Y26" s="165"/>
      <c r="Z26" s="165"/>
      <c r="AA26" s="165"/>
    </row>
    <row r="27" spans="1:27" ht="24" customHeight="1">
      <c r="A27" s="2633" t="s">
        <v>128</v>
      </c>
      <c r="B27" s="2634"/>
      <c r="C27" s="2635" t="s">
        <v>570</v>
      </c>
      <c r="D27" s="2636"/>
      <c r="E27" s="1327" t="str">
        <f>参照元!DE14</f>
        <v/>
      </c>
      <c r="F27" s="32" t="s">
        <v>414</v>
      </c>
      <c r="G27" s="33" t="str">
        <f>IF(OR($E$23="",$E$23=0,E27=""),"",INT(($E$23-E27)/$E$23*10000)/100)</f>
        <v/>
      </c>
      <c r="H27" s="137" t="s">
        <v>134</v>
      </c>
      <c r="I27" s="1362" t="str">
        <f>参照元!DI14</f>
        <v/>
      </c>
      <c r="J27" s="68" t="s">
        <v>415</v>
      </c>
      <c r="K27" s="1358" t="str">
        <f>IF(OR(I27="",$K$23=""),"",$K$23)</f>
        <v/>
      </c>
      <c r="M27" s="165"/>
      <c r="N27" s="165"/>
      <c r="O27" s="165"/>
      <c r="P27" s="180"/>
      <c r="Q27" s="169"/>
      <c r="R27" s="165"/>
      <c r="S27" s="165"/>
      <c r="T27" s="165"/>
      <c r="U27" s="165"/>
      <c r="V27" s="165"/>
      <c r="W27" s="165"/>
      <c r="X27" s="165"/>
      <c r="Y27" s="165"/>
      <c r="Z27" s="165"/>
      <c r="AA27" s="165"/>
    </row>
    <row r="28" spans="1:27" ht="24" customHeight="1">
      <c r="A28" s="2637">
        <f>IF(報1!$D$28="","",報1!$D$28)</f>
        <v>2024</v>
      </c>
      <c r="B28" s="2638"/>
      <c r="C28" s="2639" t="s">
        <v>571</v>
      </c>
      <c r="D28" s="2640"/>
      <c r="E28" s="47" t="str">
        <f>IFERROR(IF(参照元!DG14="","",IF(A28=はじめに!A2-1,参照元!DG14-IF(OR(報1!P7,報1!P8,報1!P10,報3!$V$11=""),0,報3!$V$11),参照元!DG14)),"")</f>
        <v/>
      </c>
      <c r="F28" s="31" t="s">
        <v>414</v>
      </c>
      <c r="G28" s="67" t="str">
        <f>IF(OR($E$24="",$E$24=0,E28=""),"",INT(($E$24-E28)/$E$24*10000)/100)</f>
        <v/>
      </c>
      <c r="H28" s="37" t="s">
        <v>134</v>
      </c>
      <c r="I28" s="138" t="s">
        <v>275</v>
      </c>
      <c r="J28" s="1359" t="str">
        <f>IF(AND(I27="",参照元!DK14=""),"",IF(OR($I$23=0,I27=""),参照元!DK14,INT(($I$23-I27)/$I$23*10000)/100))</f>
        <v/>
      </c>
      <c r="K28" s="134" t="s">
        <v>134</v>
      </c>
      <c r="M28" s="165"/>
      <c r="N28" s="165"/>
      <c r="O28" s="165"/>
      <c r="P28" s="180"/>
      <c r="Q28" s="169"/>
      <c r="R28" s="165"/>
      <c r="S28" s="165"/>
      <c r="T28" s="165"/>
      <c r="U28" s="165"/>
      <c r="V28" s="165"/>
      <c r="W28" s="165"/>
      <c r="X28" s="165"/>
      <c r="Y28" s="165"/>
      <c r="Z28" s="165"/>
      <c r="AA28" s="165"/>
    </row>
    <row r="29" spans="1:27" ht="24" customHeight="1">
      <c r="A29" s="2650" t="s">
        <v>181</v>
      </c>
      <c r="B29" s="2651"/>
      <c r="C29" s="2648" t="s">
        <v>570</v>
      </c>
      <c r="D29" s="2649"/>
      <c r="E29" s="1326" t="str">
        <f>参照元!DM14</f>
        <v/>
      </c>
      <c r="F29" s="139" t="s">
        <v>414</v>
      </c>
      <c r="G29" s="33" t="str">
        <f>IF(OR($E$23="",$E$23=0,E29=""),"",INT(($E$23-E29)/$E$23*10000)/100)</f>
        <v/>
      </c>
      <c r="H29" s="140" t="s">
        <v>134</v>
      </c>
      <c r="I29" s="1365" t="str">
        <f>参照元!DQ14</f>
        <v/>
      </c>
      <c r="J29" s="68" t="s">
        <v>415</v>
      </c>
      <c r="K29" s="1358" t="str">
        <f>IF(OR(I29="",$K$23=""),"",$K$23)</f>
        <v/>
      </c>
      <c r="M29" s="165"/>
      <c r="N29" s="165"/>
      <c r="O29" s="165"/>
      <c r="P29" s="169"/>
      <c r="Q29" s="169"/>
      <c r="R29" s="165"/>
      <c r="S29" s="165"/>
      <c r="T29" s="165"/>
      <c r="U29" s="165"/>
      <c r="V29" s="165"/>
      <c r="W29" s="165"/>
      <c r="X29" s="165"/>
      <c r="Y29" s="165"/>
      <c r="Z29" s="165"/>
      <c r="AA29" s="165"/>
    </row>
    <row r="30" spans="1:27" ht="24" customHeight="1">
      <c r="A30" s="2637">
        <f>IF(報1!D28="","",報1!$D$28+1)</f>
        <v>2025</v>
      </c>
      <c r="B30" s="2638"/>
      <c r="C30" s="2641" t="s">
        <v>571</v>
      </c>
      <c r="D30" s="2642"/>
      <c r="E30" s="47" t="str">
        <f>IFERROR(IF(参照元!DO14="","",IF(A30=はじめに!A2-1,参照元!DO14-IF(OR(報1!P7,報1!P8,報1!P10,報3!$V$11=""),0,報3!$V$11),参照元!DO14)),"")</f>
        <v/>
      </c>
      <c r="F30" s="35" t="s">
        <v>414</v>
      </c>
      <c r="G30" s="67" t="str">
        <f>IF(OR($E$24="",$E$24=0,E30=""),"",INT(($E$24-E30)/$E$24*10000)/100)</f>
        <v/>
      </c>
      <c r="H30" s="36" t="s">
        <v>134</v>
      </c>
      <c r="I30" s="125" t="s">
        <v>275</v>
      </c>
      <c r="J30" s="1359" t="str">
        <f>IF(AND(I29="",参照元!DS14=""),"",IF(OR($I$23=0,I29=""),参照元!DS14,INT(($I$23-I29)/$I$23*10000)/100))</f>
        <v/>
      </c>
      <c r="K30" s="134" t="s">
        <v>134</v>
      </c>
      <c r="M30" s="165"/>
      <c r="N30" s="165"/>
      <c r="O30" s="165"/>
      <c r="P30" s="169"/>
      <c r="Q30" s="169"/>
      <c r="R30" s="165"/>
      <c r="S30" s="165"/>
      <c r="T30" s="165"/>
      <c r="U30" s="170"/>
      <c r="V30" s="170"/>
      <c r="W30" s="165"/>
      <c r="X30" s="165"/>
      <c r="Y30" s="165"/>
      <c r="Z30" s="165"/>
      <c r="AA30" s="165"/>
    </row>
    <row r="31" spans="1:27" ht="24" customHeight="1">
      <c r="A31" s="2633" t="s">
        <v>182</v>
      </c>
      <c r="B31" s="2634"/>
      <c r="C31" s="2635" t="s">
        <v>570</v>
      </c>
      <c r="D31" s="2636"/>
      <c r="E31" s="1327" t="str">
        <f>参照元!DU14</f>
        <v/>
      </c>
      <c r="F31" s="32" t="s">
        <v>414</v>
      </c>
      <c r="G31" s="33" t="str">
        <f>IF(OR($E$23="",$E$23=0,E31=""),"",INT(($E$23-E31)/$E$23*10000)/100)</f>
        <v/>
      </c>
      <c r="H31" s="137" t="s">
        <v>134</v>
      </c>
      <c r="I31" s="1362" t="str">
        <f>参照元!DY14</f>
        <v/>
      </c>
      <c r="J31" s="68" t="s">
        <v>415</v>
      </c>
      <c r="K31" s="1358" t="str">
        <f>IF(OR(I31="",$K$23=""),"",$K$23)</f>
        <v/>
      </c>
      <c r="M31" s="165"/>
      <c r="N31" s="165"/>
      <c r="O31" s="165"/>
      <c r="P31" s="169"/>
      <c r="Q31" s="169"/>
      <c r="R31" s="165"/>
      <c r="S31" s="165"/>
      <c r="T31" s="165"/>
      <c r="U31" s="170"/>
      <c r="V31" s="170"/>
      <c r="W31" s="165"/>
      <c r="X31" s="165"/>
      <c r="Y31" s="165"/>
      <c r="Z31" s="165"/>
      <c r="AA31" s="165"/>
    </row>
    <row r="32" spans="1:27" ht="24" customHeight="1">
      <c r="A32" s="2637">
        <f>IF(報1!D28="","",報1!$D$28+2)</f>
        <v>2026</v>
      </c>
      <c r="B32" s="2638"/>
      <c r="C32" s="2639" t="s">
        <v>574</v>
      </c>
      <c r="D32" s="2640"/>
      <c r="E32" s="47" t="str">
        <f>IFERROR(IF(参照元!DW14="","",IF(A32=はじめに!A2-1,参照元!DW14-IF(OR(報1!P7,報1!P8,報1!P10,報3!$V$11=""),0,報3!$V$11),参照元!DW14)),"")</f>
        <v/>
      </c>
      <c r="F32" s="31" t="s">
        <v>414</v>
      </c>
      <c r="G32" s="67" t="str">
        <f>IF(OR($E$24="",$E$24=0,E32=""),"",INT(($E$24-E32)/$E$24*10000)/100)</f>
        <v/>
      </c>
      <c r="H32" s="37" t="s">
        <v>134</v>
      </c>
      <c r="I32" s="138" t="s">
        <v>275</v>
      </c>
      <c r="J32" s="1359" t="str">
        <f>IF(AND(I31="",参照元!EA14=""),"",IF(OR($I$23=0,I31=""),参照元!EA14,INT(($I$23-I31)/$I$23*10000)/100))</f>
        <v/>
      </c>
      <c r="K32" s="134" t="s">
        <v>134</v>
      </c>
      <c r="M32" s="165"/>
      <c r="N32" s="165"/>
      <c r="O32" s="165"/>
      <c r="P32" s="166"/>
      <c r="Q32" s="169"/>
      <c r="R32" s="165"/>
      <c r="S32" s="165"/>
      <c r="T32" s="165"/>
      <c r="U32" s="171"/>
      <c r="V32" s="170"/>
      <c r="W32" s="165"/>
      <c r="X32" s="165"/>
      <c r="Y32" s="165"/>
      <c r="Z32" s="165"/>
      <c r="AA32" s="165"/>
    </row>
    <row r="33" spans="1:27" ht="39.950000000000003" customHeight="1">
      <c r="A33" s="69"/>
      <c r="B33" s="144"/>
      <c r="C33" s="2610" t="s">
        <v>575</v>
      </c>
      <c r="D33" s="2613"/>
      <c r="E33" s="2614" t="s">
        <v>5913</v>
      </c>
      <c r="F33" s="2615"/>
      <c r="G33" s="2616" t="s">
        <v>510</v>
      </c>
      <c r="H33" s="2616"/>
      <c r="I33" s="2616"/>
      <c r="J33" s="2617" t="s">
        <v>5914</v>
      </c>
      <c r="K33" s="2618"/>
      <c r="L33" s="1420"/>
      <c r="M33" s="166"/>
      <c r="N33" s="166"/>
      <c r="O33" s="166"/>
      <c r="P33" s="166"/>
      <c r="Q33" s="166"/>
      <c r="R33" s="166"/>
      <c r="S33" s="173" t="s">
        <v>506</v>
      </c>
      <c r="T33" s="174"/>
      <c r="U33" s="175" t="str">
        <f>IFERROR(CHOOSE(T33,E33,G33,J33),"")</f>
        <v/>
      </c>
      <c r="V33" s="181"/>
      <c r="W33" s="171"/>
      <c r="X33" s="165"/>
      <c r="Y33" s="165"/>
      <c r="Z33" s="165"/>
      <c r="AA33" s="165"/>
    </row>
    <row r="34" spans="1:27" ht="24" customHeight="1">
      <c r="A34" s="2543" t="s">
        <v>277</v>
      </c>
      <c r="B34" s="2545"/>
      <c r="C34" s="2621" t="s">
        <v>576</v>
      </c>
      <c r="D34" s="2622"/>
      <c r="E34" s="132" t="s">
        <v>497</v>
      </c>
      <c r="F34" s="151"/>
      <c r="G34" s="152"/>
      <c r="H34" s="153" t="s">
        <v>511</v>
      </c>
      <c r="I34" s="152"/>
      <c r="J34" s="153" t="s">
        <v>512</v>
      </c>
      <c r="K34" s="154"/>
      <c r="L34" s="1420"/>
      <c r="M34" s="166"/>
      <c r="N34" s="166"/>
      <c r="O34" s="166"/>
      <c r="P34" s="166"/>
      <c r="Q34" s="166"/>
      <c r="R34" s="166"/>
      <c r="S34" s="176" t="s">
        <v>507</v>
      </c>
      <c r="T34" s="175"/>
      <c r="U34" s="175" t="str">
        <f>IFERROR(CHOOSE(T34,H34,J34),"")</f>
        <v/>
      </c>
      <c r="V34" s="181"/>
      <c r="W34" s="172"/>
      <c r="X34" s="165"/>
      <c r="Y34" s="165"/>
      <c r="Z34" s="165"/>
      <c r="AA34" s="165"/>
    </row>
    <row r="35" spans="1:27" ht="24" customHeight="1">
      <c r="A35" s="2627">
        <f>IF(報1!$L$28="","",報1!$L$28)</f>
        <v>2023</v>
      </c>
      <c r="B35" s="2628"/>
      <c r="C35" s="2623"/>
      <c r="D35" s="2624"/>
      <c r="E35" s="132" t="s">
        <v>498</v>
      </c>
      <c r="F35" s="151"/>
      <c r="G35" s="153" t="s">
        <v>513</v>
      </c>
      <c r="H35" s="2616" t="s">
        <v>515</v>
      </c>
      <c r="I35" s="2616"/>
      <c r="J35" s="2616" t="s">
        <v>516</v>
      </c>
      <c r="K35" s="2629"/>
      <c r="L35" s="1420"/>
      <c r="M35" s="166"/>
      <c r="N35" s="166"/>
      <c r="O35" s="166"/>
      <c r="P35" s="166"/>
      <c r="Q35" s="166"/>
      <c r="R35" s="166"/>
      <c r="S35" s="176" t="s">
        <v>508</v>
      </c>
      <c r="T35" s="175"/>
      <c r="U35" s="175" t="str">
        <f>IFERROR(CHOOSE(T35,G35,H35,J35),"")</f>
        <v/>
      </c>
      <c r="V35" s="181"/>
      <c r="W35" s="172"/>
      <c r="X35" s="165"/>
      <c r="Y35" s="165"/>
      <c r="Z35" s="165"/>
      <c r="AA35" s="165"/>
    </row>
    <row r="36" spans="1:27" s="16" customFormat="1" ht="50.1" customHeight="1">
      <c r="A36" s="64"/>
      <c r="B36" s="70"/>
      <c r="C36" s="2625"/>
      <c r="D36" s="2626"/>
      <c r="E36" s="65" t="s">
        <v>499</v>
      </c>
      <c r="F36" s="2630"/>
      <c r="G36" s="2631"/>
      <c r="H36" s="2631"/>
      <c r="I36" s="2631"/>
      <c r="J36" s="2631"/>
      <c r="K36" s="2632"/>
      <c r="L36" s="1421"/>
      <c r="M36" s="177"/>
      <c r="N36" s="170"/>
      <c r="O36" s="170"/>
      <c r="P36" s="170"/>
      <c r="Q36" s="170"/>
      <c r="R36" s="170"/>
      <c r="S36" s="170"/>
      <c r="T36" s="165"/>
      <c r="U36" s="172"/>
      <c r="V36" s="170"/>
      <c r="W36" s="170"/>
      <c r="X36" s="170"/>
      <c r="Y36" s="170"/>
      <c r="Z36" s="170"/>
      <c r="AA36" s="170"/>
    </row>
    <row r="37" spans="1:27" ht="15.75" customHeight="1">
      <c r="A37" s="2619"/>
      <c r="B37" s="2619"/>
      <c r="C37" s="2619"/>
      <c r="D37" s="2619"/>
      <c r="E37" s="2619"/>
      <c r="F37" s="2619"/>
      <c r="G37" s="2619"/>
      <c r="H37" s="2619"/>
      <c r="I37" s="2619"/>
      <c r="J37" s="2619"/>
      <c r="K37" s="2619"/>
      <c r="M37" s="165"/>
      <c r="N37" s="165"/>
      <c r="O37" s="165"/>
      <c r="P37" s="165"/>
      <c r="Q37" s="165"/>
      <c r="R37" s="165"/>
      <c r="S37" s="165"/>
      <c r="T37" s="165"/>
      <c r="U37" s="172"/>
      <c r="V37" s="170"/>
      <c r="W37" s="165"/>
      <c r="X37" s="165"/>
      <c r="Y37" s="165"/>
      <c r="Z37" s="165"/>
      <c r="AA37" s="165"/>
    </row>
    <row r="38" spans="1:27">
      <c r="A38" s="165"/>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65"/>
      <c r="Z38" s="165"/>
      <c r="AA38" s="165"/>
    </row>
    <row r="39" spans="1:27">
      <c r="A39" s="165"/>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row>
    <row r="40" spans="1:27" ht="24.95" customHeight="1">
      <c r="A40" s="170"/>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row>
    <row r="41" spans="1:27">
      <c r="A41" s="165"/>
      <c r="B41" s="165"/>
      <c r="C41" s="165"/>
      <c r="D41" s="165"/>
      <c r="E41" s="165"/>
      <c r="F41" s="165"/>
      <c r="G41" s="165"/>
      <c r="H41" s="165"/>
      <c r="I41" s="165"/>
      <c r="J41" s="2620"/>
      <c r="K41" s="2620"/>
      <c r="L41" s="165"/>
      <c r="M41" s="165"/>
      <c r="N41" s="165"/>
      <c r="O41" s="165"/>
      <c r="P41" s="165"/>
      <c r="Q41" s="165"/>
      <c r="R41" s="165"/>
      <c r="S41" s="165"/>
      <c r="T41" s="165"/>
      <c r="U41" s="165"/>
      <c r="V41" s="165"/>
      <c r="W41" s="165"/>
      <c r="X41" s="165"/>
      <c r="Y41" s="165"/>
      <c r="Z41" s="165"/>
      <c r="AA41" s="165"/>
    </row>
    <row r="42" spans="1:27">
      <c r="A42" s="165"/>
      <c r="B42" s="165"/>
      <c r="C42" s="165"/>
      <c r="D42" s="165"/>
      <c r="E42" s="165"/>
      <c r="F42" s="165"/>
      <c r="G42" s="165"/>
      <c r="H42" s="165"/>
      <c r="I42" s="165"/>
      <c r="J42" s="165"/>
      <c r="K42" s="165"/>
      <c r="L42" s="165"/>
      <c r="M42" s="165"/>
      <c r="N42" s="165"/>
      <c r="O42" s="165"/>
      <c r="P42" s="165"/>
      <c r="Q42" s="165"/>
      <c r="R42" s="165"/>
      <c r="S42" s="165"/>
      <c r="T42" s="165"/>
      <c r="U42" s="165"/>
      <c r="V42" s="165"/>
      <c r="W42" s="165"/>
      <c r="X42" s="165"/>
      <c r="Y42" s="165"/>
      <c r="Z42" s="165"/>
      <c r="AA42" s="165"/>
    </row>
    <row r="43" spans="1:27">
      <c r="A43" s="165"/>
      <c r="B43" s="165"/>
      <c r="C43" s="165"/>
      <c r="D43" s="165"/>
      <c r="E43" s="165"/>
      <c r="F43" s="165"/>
      <c r="G43" s="165"/>
      <c r="H43" s="165"/>
      <c r="I43" s="165"/>
      <c r="J43" s="165"/>
      <c r="K43" s="165"/>
      <c r="L43" s="165"/>
      <c r="M43" s="165"/>
      <c r="N43" s="165"/>
      <c r="O43" s="165"/>
      <c r="P43" s="165"/>
      <c r="Q43" s="165"/>
      <c r="R43" s="165"/>
      <c r="S43" s="165"/>
      <c r="T43" s="165"/>
      <c r="U43" s="165"/>
      <c r="V43" s="165"/>
      <c r="W43" s="165"/>
      <c r="X43" s="165"/>
      <c r="Y43" s="165"/>
      <c r="Z43" s="165"/>
      <c r="AA43" s="165"/>
    </row>
    <row r="44" spans="1:27">
      <c r="A44" s="165"/>
      <c r="B44" s="165"/>
      <c r="C44" s="165"/>
      <c r="D44" s="165"/>
      <c r="E44" s="165"/>
      <c r="F44" s="165"/>
      <c r="G44" s="165"/>
      <c r="H44" s="165"/>
      <c r="I44" s="165"/>
      <c r="J44" s="165"/>
      <c r="K44" s="165"/>
      <c r="L44" s="165"/>
      <c r="M44" s="165"/>
      <c r="N44" s="165"/>
      <c r="O44" s="165"/>
      <c r="P44" s="165"/>
      <c r="Q44" s="165"/>
      <c r="R44" s="165"/>
      <c r="S44" s="165"/>
      <c r="T44" s="165"/>
      <c r="U44" s="165"/>
      <c r="V44" s="165"/>
      <c r="W44" s="165"/>
      <c r="X44" s="165"/>
      <c r="Y44" s="165"/>
      <c r="Z44" s="165"/>
      <c r="AA44" s="165"/>
    </row>
    <row r="45" spans="1:27">
      <c r="A45" s="170"/>
      <c r="B45" s="165"/>
      <c r="C45" s="165"/>
      <c r="D45" s="165"/>
      <c r="E45" s="165"/>
      <c r="F45" s="165"/>
      <c r="G45" s="165"/>
      <c r="H45" s="165"/>
      <c r="I45" s="165"/>
      <c r="J45" s="165"/>
      <c r="K45" s="165"/>
      <c r="L45" s="165"/>
      <c r="M45" s="165"/>
      <c r="N45" s="165"/>
      <c r="O45" s="165"/>
      <c r="P45" s="165"/>
      <c r="Q45" s="165"/>
      <c r="R45" s="165"/>
      <c r="S45" s="165"/>
      <c r="T45" s="165"/>
      <c r="U45" s="165"/>
      <c r="V45" s="165"/>
      <c r="W45" s="165"/>
      <c r="X45" s="165"/>
      <c r="Y45" s="165"/>
      <c r="Z45" s="165"/>
      <c r="AA45" s="165"/>
    </row>
    <row r="46" spans="1:27">
      <c r="A46" s="165"/>
      <c r="B46" s="165"/>
      <c r="C46" s="165"/>
      <c r="D46" s="165"/>
      <c r="E46" s="165"/>
      <c r="F46" s="165"/>
      <c r="G46" s="165"/>
      <c r="H46" s="165"/>
      <c r="I46" s="165"/>
      <c r="J46" s="165"/>
      <c r="K46" s="165"/>
      <c r="L46" s="165"/>
      <c r="M46" s="165"/>
      <c r="N46" s="165"/>
      <c r="O46" s="165"/>
      <c r="P46" s="165"/>
      <c r="Q46" s="165"/>
      <c r="R46" s="165"/>
      <c r="S46" s="165"/>
      <c r="T46" s="165"/>
      <c r="U46" s="165"/>
      <c r="V46" s="165"/>
      <c r="W46" s="165"/>
      <c r="X46" s="165"/>
      <c r="Y46" s="165"/>
      <c r="Z46" s="165"/>
      <c r="AA46" s="165"/>
    </row>
    <row r="47" spans="1:27">
      <c r="A47" s="165"/>
      <c r="B47" s="165"/>
      <c r="C47" s="165"/>
      <c r="D47" s="165"/>
      <c r="E47" s="165"/>
      <c r="F47" s="165"/>
      <c r="G47" s="165"/>
      <c r="H47" s="165"/>
      <c r="I47" s="165"/>
      <c r="J47" s="165"/>
      <c r="K47" s="165"/>
      <c r="L47" s="165"/>
      <c r="M47" s="165"/>
      <c r="N47" s="165"/>
      <c r="O47" s="165"/>
      <c r="P47" s="165"/>
      <c r="Q47" s="165"/>
      <c r="R47" s="165"/>
      <c r="S47" s="165"/>
      <c r="T47" s="165"/>
      <c r="U47" s="165"/>
      <c r="V47" s="165"/>
      <c r="W47" s="165"/>
      <c r="X47" s="165"/>
      <c r="Y47" s="165"/>
      <c r="Z47" s="165"/>
      <c r="AA47" s="165"/>
    </row>
    <row r="48" spans="1:27">
      <c r="A48" s="165"/>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c r="Z48" s="165"/>
      <c r="AA48" s="165"/>
    </row>
    <row r="49" spans="1:27">
      <c r="A49" s="165"/>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row>
    <row r="50" spans="1:27">
      <c r="A50" s="165"/>
      <c r="B50" s="165"/>
      <c r="C50" s="165"/>
      <c r="D50" s="165"/>
      <c r="E50" s="165"/>
      <c r="F50" s="165"/>
      <c r="G50" s="165"/>
      <c r="H50" s="165"/>
      <c r="I50" s="165"/>
      <c r="J50" s="165"/>
      <c r="K50" s="165"/>
      <c r="L50" s="165"/>
      <c r="M50" s="165"/>
      <c r="N50" s="165"/>
      <c r="O50" s="165"/>
      <c r="P50" s="165"/>
      <c r="Q50" s="165"/>
      <c r="R50" s="165"/>
      <c r="S50" s="165"/>
      <c r="T50" s="165"/>
      <c r="U50" s="165"/>
      <c r="V50" s="165"/>
      <c r="W50" s="165"/>
      <c r="X50" s="165"/>
      <c r="Y50" s="165"/>
      <c r="Z50" s="165"/>
      <c r="AA50" s="165"/>
    </row>
    <row r="51" spans="1:27">
      <c r="A51" s="165"/>
      <c r="B51" s="165"/>
      <c r="C51" s="165"/>
      <c r="D51" s="165"/>
      <c r="E51" s="165"/>
      <c r="F51" s="165"/>
      <c r="G51" s="165"/>
      <c r="H51" s="165"/>
      <c r="I51" s="165"/>
      <c r="J51" s="165"/>
      <c r="K51" s="165"/>
      <c r="L51" s="165"/>
      <c r="M51" s="165"/>
      <c r="N51" s="165"/>
      <c r="O51" s="165"/>
      <c r="P51" s="165"/>
      <c r="Q51" s="165"/>
      <c r="R51" s="165"/>
      <c r="S51" s="165"/>
      <c r="T51" s="165"/>
      <c r="U51" s="165"/>
      <c r="V51" s="165"/>
      <c r="W51" s="165"/>
      <c r="X51" s="165"/>
      <c r="Y51" s="165"/>
      <c r="Z51" s="165"/>
      <c r="AA51" s="165"/>
    </row>
    <row r="52" spans="1:27">
      <c r="A52" s="165"/>
      <c r="B52" s="165"/>
      <c r="C52" s="165"/>
      <c r="D52" s="165"/>
      <c r="E52" s="165"/>
      <c r="F52" s="165"/>
      <c r="G52" s="165"/>
      <c r="H52" s="165"/>
      <c r="I52" s="165"/>
      <c r="J52" s="165"/>
      <c r="K52" s="165"/>
      <c r="L52" s="165"/>
      <c r="M52" s="165"/>
      <c r="N52" s="165"/>
      <c r="O52" s="165"/>
      <c r="P52" s="165"/>
      <c r="Q52" s="165"/>
      <c r="R52" s="165"/>
      <c r="S52" s="165"/>
      <c r="T52" s="165"/>
      <c r="U52" s="165"/>
      <c r="V52" s="165"/>
      <c r="W52" s="165"/>
      <c r="X52" s="165"/>
      <c r="Y52" s="165"/>
      <c r="Z52" s="165"/>
      <c r="AA52" s="165"/>
    </row>
    <row r="53" spans="1:27">
      <c r="A53" s="165"/>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c r="AA53" s="165"/>
    </row>
    <row r="54" spans="1:27">
      <c r="A54" s="165"/>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row>
    <row r="55" spans="1:27">
      <c r="A55" s="165"/>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row>
    <row r="56" spans="1:27">
      <c r="A56" s="165"/>
      <c r="B56" s="165"/>
      <c r="C56" s="165"/>
      <c r="D56" s="165"/>
      <c r="E56" s="165"/>
      <c r="F56" s="165"/>
      <c r="G56" s="165"/>
      <c r="H56" s="165"/>
      <c r="I56" s="165"/>
      <c r="J56" s="165"/>
      <c r="K56" s="165"/>
      <c r="L56" s="165"/>
      <c r="M56" s="165"/>
      <c r="N56" s="165"/>
      <c r="O56" s="165"/>
      <c r="P56" s="165"/>
      <c r="Q56" s="165"/>
      <c r="R56" s="165"/>
      <c r="S56" s="165"/>
      <c r="T56" s="165"/>
      <c r="U56" s="165"/>
      <c r="V56" s="165"/>
      <c r="W56" s="165"/>
      <c r="X56" s="165"/>
      <c r="Y56" s="165"/>
      <c r="Z56" s="165"/>
      <c r="AA56" s="165"/>
    </row>
  </sheetData>
  <sheetProtection algorithmName="SHA-512" hashValue="Psa3v2wt6sBwFqV5V8zjHWuGEwpFUjDj1sXgVcmm++2MNUGeOlHpgX9LQO59h7x3ff/eFVRMyiwB5sG2gS5anA==" saltValue="2e14sh6VNmZVre3IfRqMGQ==" spinCount="100000" sheet="1" objects="1" scenarios="1"/>
  <mergeCells count="77">
    <mergeCell ref="G5:H5"/>
    <mergeCell ref="I5:K5"/>
    <mergeCell ref="A6:B6"/>
    <mergeCell ref="C6:D6"/>
    <mergeCell ref="G6:H7"/>
    <mergeCell ref="A7:B7"/>
    <mergeCell ref="C7:D7"/>
    <mergeCell ref="I7:K7"/>
    <mergeCell ref="A11:B11"/>
    <mergeCell ref="C11:D11"/>
    <mergeCell ref="A12:B12"/>
    <mergeCell ref="C12:D12"/>
    <mergeCell ref="A5:B5"/>
    <mergeCell ref="C5:F5"/>
    <mergeCell ref="A8:B8"/>
    <mergeCell ref="C8:D8"/>
    <mergeCell ref="A9:B9"/>
    <mergeCell ref="C9:D9"/>
    <mergeCell ref="A10:B10"/>
    <mergeCell ref="C10:D10"/>
    <mergeCell ref="P14:Q14"/>
    <mergeCell ref="A15:B15"/>
    <mergeCell ref="C15:D15"/>
    <mergeCell ref="P12:Q12"/>
    <mergeCell ref="A13:B13"/>
    <mergeCell ref="C13:D13"/>
    <mergeCell ref="A18:B18"/>
    <mergeCell ref="H18:I18"/>
    <mergeCell ref="J18:K18"/>
    <mergeCell ref="F19:K19"/>
    <mergeCell ref="A14:B14"/>
    <mergeCell ref="C14:D14"/>
    <mergeCell ref="C16:D16"/>
    <mergeCell ref="E16:F16"/>
    <mergeCell ref="G16:I16"/>
    <mergeCell ref="J16:K16"/>
    <mergeCell ref="A17:B17"/>
    <mergeCell ref="C17:D19"/>
    <mergeCell ref="A23:B23"/>
    <mergeCell ref="C23:D23"/>
    <mergeCell ref="G23:H24"/>
    <mergeCell ref="A24:B24"/>
    <mergeCell ref="C24:D24"/>
    <mergeCell ref="A20:K20"/>
    <mergeCell ref="A22:B22"/>
    <mergeCell ref="C22:F22"/>
    <mergeCell ref="G22:H22"/>
    <mergeCell ref="I22:K22"/>
    <mergeCell ref="A27:B27"/>
    <mergeCell ref="C27:D27"/>
    <mergeCell ref="A28:B28"/>
    <mergeCell ref="C28:D28"/>
    <mergeCell ref="A29:B29"/>
    <mergeCell ref="C29:D29"/>
    <mergeCell ref="I24:K24"/>
    <mergeCell ref="A25:B25"/>
    <mergeCell ref="C25:D25"/>
    <mergeCell ref="A26:B26"/>
    <mergeCell ref="C26:D26"/>
    <mergeCell ref="A31:B31"/>
    <mergeCell ref="C31:D31"/>
    <mergeCell ref="A32:B32"/>
    <mergeCell ref="C32:D32"/>
    <mergeCell ref="A30:B30"/>
    <mergeCell ref="C30:D30"/>
    <mergeCell ref="J41:K41"/>
    <mergeCell ref="A34:B34"/>
    <mergeCell ref="C34:D36"/>
    <mergeCell ref="A35:B35"/>
    <mergeCell ref="H35:I35"/>
    <mergeCell ref="J35:K35"/>
    <mergeCell ref="F36:K36"/>
    <mergeCell ref="C33:D33"/>
    <mergeCell ref="E33:F33"/>
    <mergeCell ref="G33:I33"/>
    <mergeCell ref="J33:K33"/>
    <mergeCell ref="A37:K37"/>
  </mergeCells>
  <phoneticPr fontId="15"/>
  <dataValidations count="3">
    <dataValidation type="custom" allowBlank="1" showInputMessage="1" showErrorMessage="1" error="寄与度が設定されています。" sqref="I14 I31 I27 I29" xr:uid="{00000000-0002-0000-3C00-000000000000}">
      <formula1>P15=""</formula1>
    </dataValidation>
    <dataValidation type="decimal" operator="greaterThan" allowBlank="1" showInputMessage="1" showErrorMessage="1" sqref="P11 P13 P15" xr:uid="{00000000-0002-0000-3C00-000001000000}">
      <formula1>0</formula1>
    </dataValidation>
    <dataValidation allowBlank="1" showInputMessage="1" showErrorMessage="1" error="寄与度が設定されています。" sqref="I6 I8 I25 I12 I23 I10" xr:uid="{00000000-0002-0000-3C00-000002000000}"/>
  </dataValidations>
  <printOptions horizontalCentered="1"/>
  <pageMargins left="0.59055118110236227" right="0.59055118110236227" top="0.39370078740157483" bottom="0.59055118110236227" header="0.31496062992125984" footer="0.23622047244094491"/>
  <pageSetup paperSize="9"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3969" r:id="rId4" name="Option Button 1">
              <controlPr locked="0" defaultSize="0" autoFill="0" autoLine="0" autoPict="0">
                <anchor moveWithCells="1">
                  <from>
                    <xdr:col>4</xdr:col>
                    <xdr:colOff>209550</xdr:colOff>
                    <xdr:row>15</xdr:row>
                    <xdr:rowOff>104775</xdr:rowOff>
                  </from>
                  <to>
                    <xdr:col>4</xdr:col>
                    <xdr:colOff>542925</xdr:colOff>
                    <xdr:row>15</xdr:row>
                    <xdr:rowOff>438150</xdr:rowOff>
                  </to>
                </anchor>
              </controlPr>
            </control>
          </mc:Choice>
        </mc:AlternateContent>
        <mc:AlternateContent xmlns:mc="http://schemas.openxmlformats.org/markup-compatibility/2006">
          <mc:Choice Requires="x14">
            <control shapeId="83970" r:id="rId5" name="Option Button 2">
              <controlPr locked="0" defaultSize="0" autoFill="0" autoLine="0" autoPict="0">
                <anchor moveWithCells="1">
                  <from>
                    <xdr:col>6</xdr:col>
                    <xdr:colOff>247650</xdr:colOff>
                    <xdr:row>15</xdr:row>
                    <xdr:rowOff>104775</xdr:rowOff>
                  </from>
                  <to>
                    <xdr:col>6</xdr:col>
                    <xdr:colOff>523875</xdr:colOff>
                    <xdr:row>15</xdr:row>
                    <xdr:rowOff>438150</xdr:rowOff>
                  </to>
                </anchor>
              </controlPr>
            </control>
          </mc:Choice>
        </mc:AlternateContent>
        <mc:AlternateContent xmlns:mc="http://schemas.openxmlformats.org/markup-compatibility/2006">
          <mc:Choice Requires="x14">
            <control shapeId="83971" r:id="rId6" name="Option Button 3">
              <controlPr locked="0" defaultSize="0" autoFill="0" autoLine="0" autoPict="0">
                <anchor moveWithCells="1">
                  <from>
                    <xdr:col>8</xdr:col>
                    <xdr:colOff>695325</xdr:colOff>
                    <xdr:row>15</xdr:row>
                    <xdr:rowOff>104775</xdr:rowOff>
                  </from>
                  <to>
                    <xdr:col>9</xdr:col>
                    <xdr:colOff>57150</xdr:colOff>
                    <xdr:row>15</xdr:row>
                    <xdr:rowOff>409575</xdr:rowOff>
                  </to>
                </anchor>
              </controlPr>
            </control>
          </mc:Choice>
        </mc:AlternateContent>
        <mc:AlternateContent xmlns:mc="http://schemas.openxmlformats.org/markup-compatibility/2006">
          <mc:Choice Requires="x14">
            <control shapeId="83972" r:id="rId7" name="Option Button 4">
              <controlPr locked="0" defaultSize="0" autoFill="0" autoLine="0" autoPict="0">
                <anchor moveWithCells="1">
                  <from>
                    <xdr:col>6</xdr:col>
                    <xdr:colOff>352425</xdr:colOff>
                    <xdr:row>16</xdr:row>
                    <xdr:rowOff>28575</xdr:rowOff>
                  </from>
                  <to>
                    <xdr:col>7</xdr:col>
                    <xdr:colOff>19050</xdr:colOff>
                    <xdr:row>16</xdr:row>
                    <xdr:rowOff>285750</xdr:rowOff>
                  </to>
                </anchor>
              </controlPr>
            </control>
          </mc:Choice>
        </mc:AlternateContent>
        <mc:AlternateContent xmlns:mc="http://schemas.openxmlformats.org/markup-compatibility/2006">
          <mc:Choice Requires="x14">
            <control shapeId="83973" r:id="rId8" name="Option Button 5">
              <controlPr locked="0" defaultSize="0" autoFill="0" autoLine="0" autoPict="0">
                <anchor moveWithCells="1">
                  <from>
                    <xdr:col>8</xdr:col>
                    <xdr:colOff>666750</xdr:colOff>
                    <xdr:row>16</xdr:row>
                    <xdr:rowOff>28575</xdr:rowOff>
                  </from>
                  <to>
                    <xdr:col>9</xdr:col>
                    <xdr:colOff>171450</xdr:colOff>
                    <xdr:row>16</xdr:row>
                    <xdr:rowOff>276225</xdr:rowOff>
                  </to>
                </anchor>
              </controlPr>
            </control>
          </mc:Choice>
        </mc:AlternateContent>
        <mc:AlternateContent xmlns:mc="http://schemas.openxmlformats.org/markup-compatibility/2006">
          <mc:Choice Requires="x14">
            <control shapeId="83974" r:id="rId9" name="Group Box 6">
              <controlPr defaultSize="0" autoFill="0" autoPict="0">
                <anchor moveWithCells="1">
                  <from>
                    <xdr:col>5</xdr:col>
                    <xdr:colOff>381000</xdr:colOff>
                    <xdr:row>15</xdr:row>
                    <xdr:rowOff>457200</xdr:rowOff>
                  </from>
                  <to>
                    <xdr:col>10</xdr:col>
                    <xdr:colOff>19050</xdr:colOff>
                    <xdr:row>17</xdr:row>
                    <xdr:rowOff>0</xdr:rowOff>
                  </to>
                </anchor>
              </controlPr>
            </control>
          </mc:Choice>
        </mc:AlternateContent>
        <mc:AlternateContent xmlns:mc="http://schemas.openxmlformats.org/markup-compatibility/2006">
          <mc:Choice Requires="x14">
            <control shapeId="83975" r:id="rId10" name="Group Box 7">
              <controlPr defaultSize="0" autoFill="0" autoPict="0">
                <anchor moveWithCells="1">
                  <from>
                    <xdr:col>4</xdr:col>
                    <xdr:colOff>104775</xdr:colOff>
                    <xdr:row>32</xdr:row>
                    <xdr:rowOff>47625</xdr:rowOff>
                  </from>
                  <to>
                    <xdr:col>11</xdr:col>
                    <xdr:colOff>0</xdr:colOff>
                    <xdr:row>32</xdr:row>
                    <xdr:rowOff>466725</xdr:rowOff>
                  </to>
                </anchor>
              </controlPr>
            </control>
          </mc:Choice>
        </mc:AlternateContent>
        <mc:AlternateContent xmlns:mc="http://schemas.openxmlformats.org/markup-compatibility/2006">
          <mc:Choice Requires="x14">
            <control shapeId="83976" r:id="rId11" name="Option Button 8">
              <controlPr locked="0" defaultSize="0" autoFill="0" autoLine="0" autoPict="0">
                <anchor moveWithCells="1">
                  <from>
                    <xdr:col>4</xdr:col>
                    <xdr:colOff>219075</xdr:colOff>
                    <xdr:row>32</xdr:row>
                    <xdr:rowOff>104775</xdr:rowOff>
                  </from>
                  <to>
                    <xdr:col>4</xdr:col>
                    <xdr:colOff>533400</xdr:colOff>
                    <xdr:row>32</xdr:row>
                    <xdr:rowOff>438150</xdr:rowOff>
                  </to>
                </anchor>
              </controlPr>
            </control>
          </mc:Choice>
        </mc:AlternateContent>
        <mc:AlternateContent xmlns:mc="http://schemas.openxmlformats.org/markup-compatibility/2006">
          <mc:Choice Requires="x14">
            <control shapeId="83977" r:id="rId12" name="Option Button 9">
              <controlPr locked="0" defaultSize="0" autoFill="0" autoLine="0" autoPict="0">
                <anchor moveWithCells="1">
                  <from>
                    <xdr:col>6</xdr:col>
                    <xdr:colOff>219075</xdr:colOff>
                    <xdr:row>32</xdr:row>
                    <xdr:rowOff>104775</xdr:rowOff>
                  </from>
                  <to>
                    <xdr:col>6</xdr:col>
                    <xdr:colOff>514350</xdr:colOff>
                    <xdr:row>32</xdr:row>
                    <xdr:rowOff>419100</xdr:rowOff>
                  </to>
                </anchor>
              </controlPr>
            </control>
          </mc:Choice>
        </mc:AlternateContent>
        <mc:AlternateContent xmlns:mc="http://schemas.openxmlformats.org/markup-compatibility/2006">
          <mc:Choice Requires="x14">
            <control shapeId="83978" r:id="rId13" name="Option Button 10">
              <controlPr locked="0" defaultSize="0" autoFill="0" autoLine="0" autoPict="0">
                <anchor moveWithCells="1">
                  <from>
                    <xdr:col>8</xdr:col>
                    <xdr:colOff>752475</xdr:colOff>
                    <xdr:row>32</xdr:row>
                    <xdr:rowOff>104775</xdr:rowOff>
                  </from>
                  <to>
                    <xdr:col>9</xdr:col>
                    <xdr:colOff>114300</xdr:colOff>
                    <xdr:row>32</xdr:row>
                    <xdr:rowOff>409575</xdr:rowOff>
                  </to>
                </anchor>
              </controlPr>
            </control>
          </mc:Choice>
        </mc:AlternateContent>
        <mc:AlternateContent xmlns:mc="http://schemas.openxmlformats.org/markup-compatibility/2006">
          <mc:Choice Requires="x14">
            <control shapeId="83979" r:id="rId14" name="Option Button 11">
              <controlPr locked="0" defaultSize="0" autoFill="0" autoLine="0" autoPict="0">
                <anchor moveWithCells="1">
                  <from>
                    <xdr:col>6</xdr:col>
                    <xdr:colOff>323850</xdr:colOff>
                    <xdr:row>33</xdr:row>
                    <xdr:rowOff>28575</xdr:rowOff>
                  </from>
                  <to>
                    <xdr:col>7</xdr:col>
                    <xdr:colOff>38100</xdr:colOff>
                    <xdr:row>33</xdr:row>
                    <xdr:rowOff>276225</xdr:rowOff>
                  </to>
                </anchor>
              </controlPr>
            </control>
          </mc:Choice>
        </mc:AlternateContent>
        <mc:AlternateContent xmlns:mc="http://schemas.openxmlformats.org/markup-compatibility/2006">
          <mc:Choice Requires="x14">
            <control shapeId="83980" r:id="rId15" name="Option Button 12">
              <controlPr locked="0" defaultSize="0" autoFill="0" autoLine="0" autoPict="0">
                <anchor moveWithCells="1">
                  <from>
                    <xdr:col>8</xdr:col>
                    <xdr:colOff>647700</xdr:colOff>
                    <xdr:row>33</xdr:row>
                    <xdr:rowOff>28575</xdr:rowOff>
                  </from>
                  <to>
                    <xdr:col>9</xdr:col>
                    <xdr:colOff>123825</xdr:colOff>
                    <xdr:row>33</xdr:row>
                    <xdr:rowOff>276225</xdr:rowOff>
                  </to>
                </anchor>
              </controlPr>
            </control>
          </mc:Choice>
        </mc:AlternateContent>
        <mc:AlternateContent xmlns:mc="http://schemas.openxmlformats.org/markup-compatibility/2006">
          <mc:Choice Requires="x14">
            <control shapeId="83981" r:id="rId16" name="Option Button 13">
              <controlPr locked="0" defaultSize="0" autoFill="0" autoLine="0" autoPict="0">
                <anchor moveWithCells="1">
                  <from>
                    <xdr:col>5</xdr:col>
                    <xdr:colOff>247650</xdr:colOff>
                    <xdr:row>34</xdr:row>
                    <xdr:rowOff>38100</xdr:rowOff>
                  </from>
                  <to>
                    <xdr:col>6</xdr:col>
                    <xdr:colOff>57150</xdr:colOff>
                    <xdr:row>34</xdr:row>
                    <xdr:rowOff>285750</xdr:rowOff>
                  </to>
                </anchor>
              </controlPr>
            </control>
          </mc:Choice>
        </mc:AlternateContent>
        <mc:AlternateContent xmlns:mc="http://schemas.openxmlformats.org/markup-compatibility/2006">
          <mc:Choice Requires="x14">
            <control shapeId="83982" r:id="rId17" name="Option Button 14">
              <controlPr locked="0" defaultSize="0" autoFill="0" autoLine="0" autoPict="0">
                <anchor moveWithCells="1">
                  <from>
                    <xdr:col>7</xdr:col>
                    <xdr:colOff>28575</xdr:colOff>
                    <xdr:row>34</xdr:row>
                    <xdr:rowOff>19050</xdr:rowOff>
                  </from>
                  <to>
                    <xdr:col>7</xdr:col>
                    <xdr:colOff>304800</xdr:colOff>
                    <xdr:row>34</xdr:row>
                    <xdr:rowOff>257175</xdr:rowOff>
                  </to>
                </anchor>
              </controlPr>
            </control>
          </mc:Choice>
        </mc:AlternateContent>
        <mc:AlternateContent xmlns:mc="http://schemas.openxmlformats.org/markup-compatibility/2006">
          <mc:Choice Requires="x14">
            <control shapeId="83983" r:id="rId18" name="Option Button 15">
              <controlPr locked="0" defaultSize="0" autoFill="0" autoLine="0" autoPict="0">
                <anchor moveWithCells="1">
                  <from>
                    <xdr:col>9</xdr:col>
                    <xdr:colOff>219075</xdr:colOff>
                    <xdr:row>34</xdr:row>
                    <xdr:rowOff>19050</xdr:rowOff>
                  </from>
                  <to>
                    <xdr:col>10</xdr:col>
                    <xdr:colOff>0</xdr:colOff>
                    <xdr:row>34</xdr:row>
                    <xdr:rowOff>257175</xdr:rowOff>
                  </to>
                </anchor>
              </controlPr>
            </control>
          </mc:Choice>
        </mc:AlternateContent>
        <mc:AlternateContent xmlns:mc="http://schemas.openxmlformats.org/markup-compatibility/2006">
          <mc:Choice Requires="x14">
            <control shapeId="83984" r:id="rId19" name="Group Box 16">
              <controlPr defaultSize="0" autoFill="0" autoPict="0">
                <anchor moveWithCells="1">
                  <from>
                    <xdr:col>5</xdr:col>
                    <xdr:colOff>142875</xdr:colOff>
                    <xdr:row>33</xdr:row>
                    <xdr:rowOff>295275</xdr:rowOff>
                  </from>
                  <to>
                    <xdr:col>10</xdr:col>
                    <xdr:colOff>342900</xdr:colOff>
                    <xdr:row>35</xdr:row>
                    <xdr:rowOff>38100</xdr:rowOff>
                  </to>
                </anchor>
              </controlPr>
            </control>
          </mc:Choice>
        </mc:AlternateContent>
        <mc:AlternateContent xmlns:mc="http://schemas.openxmlformats.org/markup-compatibility/2006">
          <mc:Choice Requires="x14">
            <control shapeId="83985" r:id="rId20" name="Group Box 17">
              <controlPr defaultSize="0" autoFill="0" autoPict="0">
                <anchor moveWithCells="1">
                  <from>
                    <xdr:col>5</xdr:col>
                    <xdr:colOff>152400</xdr:colOff>
                    <xdr:row>32</xdr:row>
                    <xdr:rowOff>447675</xdr:rowOff>
                  </from>
                  <to>
                    <xdr:col>10</xdr:col>
                    <xdr:colOff>28575</xdr:colOff>
                    <xdr:row>34</xdr:row>
                    <xdr:rowOff>66675</xdr:rowOff>
                  </to>
                </anchor>
              </controlPr>
            </control>
          </mc:Choice>
        </mc:AlternateContent>
        <mc:AlternateContent xmlns:mc="http://schemas.openxmlformats.org/markup-compatibility/2006">
          <mc:Choice Requires="x14">
            <control shapeId="83986" r:id="rId21" name="Group Box 18">
              <controlPr defaultSize="0" autoFill="0" autoPict="0">
                <anchor moveWithCells="1">
                  <from>
                    <xdr:col>5</xdr:col>
                    <xdr:colOff>57150</xdr:colOff>
                    <xdr:row>16</xdr:row>
                    <xdr:rowOff>238125</xdr:rowOff>
                  </from>
                  <to>
                    <xdr:col>10</xdr:col>
                    <xdr:colOff>428625</xdr:colOff>
                    <xdr:row>18</xdr:row>
                    <xdr:rowOff>9525</xdr:rowOff>
                  </to>
                </anchor>
              </controlPr>
            </control>
          </mc:Choice>
        </mc:AlternateContent>
        <mc:AlternateContent xmlns:mc="http://schemas.openxmlformats.org/markup-compatibility/2006">
          <mc:Choice Requires="x14">
            <control shapeId="83987" r:id="rId22" name="Group Box 19">
              <controlPr defaultSize="0" autoFill="0" autoPict="0">
                <anchor moveWithCells="1">
                  <from>
                    <xdr:col>4</xdr:col>
                    <xdr:colOff>76200</xdr:colOff>
                    <xdr:row>15</xdr:row>
                    <xdr:rowOff>57150</xdr:rowOff>
                  </from>
                  <to>
                    <xdr:col>10</xdr:col>
                    <xdr:colOff>523875</xdr:colOff>
                    <xdr:row>16</xdr:row>
                    <xdr:rowOff>9525</xdr:rowOff>
                  </to>
                </anchor>
              </controlPr>
            </control>
          </mc:Choice>
        </mc:AlternateContent>
        <mc:AlternateContent xmlns:mc="http://schemas.openxmlformats.org/markup-compatibility/2006">
          <mc:Choice Requires="x14">
            <control shapeId="83988" r:id="rId23" name="Option Button 20">
              <controlPr locked="0" defaultSize="0" autoFill="0" autoLine="0" autoPict="0">
                <anchor moveWithCells="1">
                  <from>
                    <xdr:col>5</xdr:col>
                    <xdr:colOff>228600</xdr:colOff>
                    <xdr:row>17</xdr:row>
                    <xdr:rowOff>38100</xdr:rowOff>
                  </from>
                  <to>
                    <xdr:col>6</xdr:col>
                    <xdr:colOff>19050</xdr:colOff>
                    <xdr:row>17</xdr:row>
                    <xdr:rowOff>285750</xdr:rowOff>
                  </to>
                </anchor>
              </controlPr>
            </control>
          </mc:Choice>
        </mc:AlternateContent>
        <mc:AlternateContent xmlns:mc="http://schemas.openxmlformats.org/markup-compatibility/2006">
          <mc:Choice Requires="x14">
            <control shapeId="83989" r:id="rId24" name="Option Button 21">
              <controlPr locked="0" defaultSize="0" autoFill="0" autoLine="0" autoPict="0">
                <anchor moveWithCells="1">
                  <from>
                    <xdr:col>7</xdr:col>
                    <xdr:colOff>38100</xdr:colOff>
                    <xdr:row>17</xdr:row>
                    <xdr:rowOff>19050</xdr:rowOff>
                  </from>
                  <to>
                    <xdr:col>7</xdr:col>
                    <xdr:colOff>381000</xdr:colOff>
                    <xdr:row>17</xdr:row>
                    <xdr:rowOff>266700</xdr:rowOff>
                  </to>
                </anchor>
              </controlPr>
            </control>
          </mc:Choice>
        </mc:AlternateContent>
        <mc:AlternateContent xmlns:mc="http://schemas.openxmlformats.org/markup-compatibility/2006">
          <mc:Choice Requires="x14">
            <control shapeId="83990" r:id="rId25" name="Option Button 22">
              <controlPr locked="0" defaultSize="0" autoFill="0" autoLine="0" autoPict="0">
                <anchor moveWithCells="1">
                  <from>
                    <xdr:col>9</xdr:col>
                    <xdr:colOff>323850</xdr:colOff>
                    <xdr:row>17</xdr:row>
                    <xdr:rowOff>19050</xdr:rowOff>
                  </from>
                  <to>
                    <xdr:col>10</xdr:col>
                    <xdr:colOff>28575</xdr:colOff>
                    <xdr:row>17</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14F7EEFF-CA84-4336-A6DB-F88AC554A7A3}">
            <xm:f>AND(報1!$P$9=FALSE,報1!$P$11=FALSE)</xm:f>
            <x14:dxf>
              <fill>
                <patternFill>
                  <bgColor theme="0" tint="-0.14996795556505021"/>
                </patternFill>
              </fill>
            </x14:dxf>
          </x14:cfRule>
          <xm:sqref>E33:K33 F34:K35</xm:sqref>
        </x14:conditionalFormatting>
        <x14:conditionalFormatting xmlns:xm="http://schemas.microsoft.com/office/excel/2006/main">
          <x14:cfRule type="expression" priority="5" id="{80763A89-E583-4FB7-B001-0F045F6237B0}">
            <xm:f>AND(報1!$P$9=FALSE,報1!$P$11=FALSE)</xm:f>
            <x14:dxf>
              <font>
                <color theme="0" tint="-0.14996795556505021"/>
              </font>
              <fill>
                <patternFill>
                  <bgColor theme="0" tint="-0.14996795556505021"/>
                </patternFill>
              </fill>
            </x14:dxf>
          </x14:cfRule>
          <xm:sqref>E23:E32 I31 I29 I27 I25 I23 F36 G25:G32</xm:sqref>
        </x14:conditionalFormatting>
        <x14:conditionalFormatting xmlns:xm="http://schemas.microsoft.com/office/excel/2006/main">
          <x14:cfRule type="expression" priority="4" id="{4536E1A0-02D4-4A68-A7C9-F7451DBCACD4}">
            <xm:f>AND(NOT(報1!$P$7),NOT(報1!$P$8),NOT(報1!$P$10))</xm:f>
            <x14:dxf>
              <font>
                <color theme="0" tint="-0.14996795556505021"/>
              </font>
              <fill>
                <patternFill>
                  <bgColor theme="0" tint="-0.14996795556505021"/>
                </patternFill>
              </fill>
            </x14:dxf>
          </x14:cfRule>
          <xm:sqref>E6:E15 I6 I8 I10 I12 I14 F19:K19 G8:G15</xm:sqref>
        </x14:conditionalFormatting>
        <x14:conditionalFormatting xmlns:xm="http://schemas.microsoft.com/office/excel/2006/main">
          <x14:cfRule type="expression" priority="2" id="{13A9B83A-9E44-43D8-BCA9-F299B7332AD9}">
            <xm:f>AND(NOT(報1!$P$7),NOT(報1!$P$8),NOT(報1!$P$10))</xm:f>
            <x14:dxf>
              <fill>
                <patternFill>
                  <bgColor theme="0" tint="-0.14996795556505021"/>
                </patternFill>
              </fill>
            </x14:dxf>
          </x14:cfRule>
          <xm:sqref>E16:K16 F17:K18</xm:sqref>
        </x14:conditionalFormatting>
        <x14:conditionalFormatting xmlns:xm="http://schemas.microsoft.com/office/excel/2006/main">
          <x14:cfRule type="expression" priority="1" id="{75AB2842-7B98-4E42-9E14-5062896F47B0}">
            <xm:f>はじめに!$B$35&lt;&gt;"報告書"</xm:f>
            <x14:dxf>
              <fill>
                <patternFill>
                  <bgColor theme="0" tint="-0.14996795556505021"/>
                </patternFill>
              </fill>
            </x14:dxf>
          </x14:cfRule>
          <xm:sqref>E6:E15 I6 I8 I10 I12 I14 E16:K16 F17:K19 E23:E32 I23 I25 I27 I29 I31 E33:K33 F34:K36 G8:G15 G25:G32</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3">
    <pageSetUpPr fitToPage="1"/>
  </sheetPr>
  <dimension ref="A1:Z50"/>
  <sheetViews>
    <sheetView showGridLines="0" topLeftCell="A16" zoomScaleNormal="100" zoomScaleSheetLayoutView="100" workbookViewId="0">
      <selection activeCell="B6" sqref="B6:F6"/>
    </sheetView>
  </sheetViews>
  <sheetFormatPr defaultColWidth="9" defaultRowHeight="12"/>
  <cols>
    <col min="1" max="1" width="5.625" style="2" customWidth="1"/>
    <col min="2" max="2" width="4.125" style="2" customWidth="1"/>
    <col min="3" max="3" width="9.625" style="2" customWidth="1"/>
    <col min="4" max="4" width="5.625" style="2" customWidth="1"/>
    <col min="5" max="6" width="6.625" style="2" customWidth="1"/>
    <col min="7" max="9" width="6.75" style="2" customWidth="1"/>
    <col min="10" max="10" width="7.375" style="2" customWidth="1"/>
    <col min="11" max="13" width="5.625" style="2" customWidth="1"/>
    <col min="14" max="14" width="6.625" style="2" customWidth="1"/>
    <col min="15" max="15" width="5.375" style="2" customWidth="1"/>
    <col min="16" max="16" width="1.625" style="2" customWidth="1"/>
    <col min="17" max="17" width="5" style="2" hidden="1" customWidth="1"/>
    <col min="18" max="18" width="10.125" style="2" hidden="1" customWidth="1"/>
    <col min="19" max="19" width="10.25" style="2" hidden="1" customWidth="1"/>
    <col min="20" max="20" width="10.125" style="2" hidden="1" customWidth="1"/>
    <col min="21" max="22" width="5.125" style="2" hidden="1" customWidth="1"/>
    <col min="23" max="23" width="15.875" style="2" hidden="1" customWidth="1"/>
    <col min="24" max="25" width="19" style="2" hidden="1" customWidth="1"/>
    <col min="26" max="26" width="19" style="2" customWidth="1"/>
    <col min="27" max="30" width="5.875" style="2" customWidth="1"/>
    <col min="31" max="16384" width="9" style="2"/>
  </cols>
  <sheetData>
    <row r="1" spans="1:26">
      <c r="A1" s="1" t="s">
        <v>175</v>
      </c>
      <c r="B1" s="1"/>
      <c r="Q1" s="1262" t="s">
        <v>4351</v>
      </c>
      <c r="R1" s="1262"/>
      <c r="S1" s="1262"/>
      <c r="T1" s="1262"/>
      <c r="U1" s="1262"/>
      <c r="V1" s="1262"/>
      <c r="W1" s="1262"/>
      <c r="X1" s="1262"/>
      <c r="Y1" s="1262"/>
      <c r="Z1" s="182"/>
    </row>
    <row r="2" spans="1:26">
      <c r="A2" s="2" t="s">
        <v>119</v>
      </c>
      <c r="C2" s="4"/>
      <c r="D2" s="4"/>
      <c r="E2" s="4"/>
      <c r="F2" s="4"/>
      <c r="G2" s="4"/>
      <c r="H2" s="4"/>
      <c r="I2" s="4"/>
      <c r="J2" s="4"/>
      <c r="K2" s="4"/>
      <c r="Q2" s="182"/>
      <c r="R2" s="182"/>
      <c r="S2" s="182"/>
      <c r="T2" s="182"/>
      <c r="U2" s="182"/>
      <c r="V2" s="182"/>
      <c r="W2" s="182"/>
      <c r="X2" s="182"/>
      <c r="Y2" s="182"/>
      <c r="Z2" s="182"/>
    </row>
    <row r="3" spans="1:26" ht="9" customHeight="1">
      <c r="C3" s="4"/>
      <c r="D3" s="4"/>
      <c r="E3" s="4"/>
      <c r="F3" s="4"/>
      <c r="G3" s="4"/>
      <c r="H3" s="4"/>
      <c r="I3" s="4"/>
      <c r="J3" s="4"/>
      <c r="K3" s="4"/>
      <c r="Q3" s="182"/>
      <c r="R3" s="182"/>
      <c r="S3" s="182"/>
      <c r="T3" s="182"/>
      <c r="U3" s="182"/>
      <c r="V3" s="182"/>
      <c r="W3" s="182"/>
      <c r="X3" s="182"/>
      <c r="Y3" s="182"/>
      <c r="Z3" s="182"/>
    </row>
    <row r="4" spans="1:26" ht="15.95" customHeight="1">
      <c r="A4" s="2740" t="s">
        <v>279</v>
      </c>
      <c r="B4" s="2740"/>
      <c r="C4" s="2740"/>
      <c r="D4" s="2740"/>
      <c r="E4" s="2740"/>
      <c r="F4" s="2740"/>
      <c r="G4" s="2740"/>
      <c r="H4" s="2740"/>
      <c r="I4" s="2740"/>
      <c r="J4" s="2740"/>
      <c r="K4" s="2740"/>
      <c r="L4" s="2740"/>
      <c r="M4" s="2740"/>
      <c r="N4" s="2740"/>
      <c r="O4" s="2740"/>
      <c r="Q4" s="182"/>
      <c r="R4" s="182"/>
      <c r="S4" s="182"/>
      <c r="T4" s="182"/>
      <c r="U4" s="182"/>
      <c r="V4" s="182"/>
      <c r="W4" s="182"/>
      <c r="X4" s="182"/>
      <c r="Y4" s="182"/>
      <c r="Z4" s="182"/>
    </row>
    <row r="5" spans="1:26" ht="30" customHeight="1">
      <c r="A5" s="71" t="s">
        <v>127</v>
      </c>
      <c r="B5" s="2741" t="s">
        <v>280</v>
      </c>
      <c r="C5" s="2742"/>
      <c r="D5" s="2742"/>
      <c r="E5" s="2742"/>
      <c r="F5" s="2743"/>
      <c r="G5" s="2741" t="s">
        <v>281</v>
      </c>
      <c r="H5" s="2742"/>
      <c r="I5" s="2742"/>
      <c r="J5" s="2743"/>
      <c r="K5" s="2701" t="s">
        <v>582</v>
      </c>
      <c r="L5" s="2701"/>
      <c r="M5" s="2701"/>
      <c r="N5" s="2701"/>
      <c r="O5" s="2611"/>
      <c r="Q5" s="182"/>
      <c r="R5" s="182"/>
      <c r="S5" s="182" t="s">
        <v>419</v>
      </c>
      <c r="T5" s="182"/>
      <c r="U5" s="182"/>
      <c r="V5" s="182"/>
      <c r="W5" s="182"/>
      <c r="X5" s="182"/>
      <c r="Y5" s="182"/>
      <c r="Z5" s="182"/>
    </row>
    <row r="6" spans="1:26" ht="23.1" customHeight="1">
      <c r="A6" s="72">
        <v>1</v>
      </c>
      <c r="B6" s="2744"/>
      <c r="C6" s="2745"/>
      <c r="D6" s="2745"/>
      <c r="E6" s="2745"/>
      <c r="F6" s="2746"/>
      <c r="G6" s="2747"/>
      <c r="H6" s="2748"/>
      <c r="I6" s="2748"/>
      <c r="J6" s="2749"/>
      <c r="K6" s="2720"/>
      <c r="L6" s="2750"/>
      <c r="M6" s="2750"/>
      <c r="N6" s="2750"/>
      <c r="O6" s="2751"/>
      <c r="Q6" s="182"/>
      <c r="R6" s="182"/>
      <c r="S6" s="182" t="s">
        <v>282</v>
      </c>
      <c r="T6" s="182"/>
      <c r="U6" s="182"/>
      <c r="V6" s="182"/>
      <c r="W6" s="182"/>
      <c r="X6" s="182"/>
      <c r="Y6" s="182"/>
      <c r="Z6" s="182"/>
    </row>
    <row r="7" spans="1:26" ht="23.1" customHeight="1">
      <c r="A7" s="73">
        <v>2</v>
      </c>
      <c r="B7" s="2728"/>
      <c r="C7" s="2729"/>
      <c r="D7" s="2729"/>
      <c r="E7" s="2729"/>
      <c r="F7" s="2730"/>
      <c r="G7" s="2752"/>
      <c r="H7" s="2753"/>
      <c r="I7" s="2753"/>
      <c r="J7" s="2754"/>
      <c r="K7" s="2704"/>
      <c r="L7" s="2726"/>
      <c r="M7" s="2726"/>
      <c r="N7" s="2726"/>
      <c r="O7" s="2727"/>
      <c r="Q7" s="182"/>
      <c r="R7" s="182"/>
      <c r="S7" s="182" t="s">
        <v>283</v>
      </c>
      <c r="T7" s="182"/>
      <c r="U7" s="182"/>
      <c r="V7" s="182"/>
      <c r="W7" s="182"/>
      <c r="X7" s="182"/>
      <c r="Y7" s="182"/>
      <c r="Z7" s="182"/>
    </row>
    <row r="8" spans="1:26" ht="23.1" customHeight="1">
      <c r="A8" s="74">
        <v>3</v>
      </c>
      <c r="B8" s="2728"/>
      <c r="C8" s="2729"/>
      <c r="D8" s="2729"/>
      <c r="E8" s="2729"/>
      <c r="F8" s="2730"/>
      <c r="G8" s="2752"/>
      <c r="H8" s="2753"/>
      <c r="I8" s="2753"/>
      <c r="J8" s="2754"/>
      <c r="K8" s="2704"/>
      <c r="L8" s="2726"/>
      <c r="M8" s="2726"/>
      <c r="N8" s="2726"/>
      <c r="O8" s="2727"/>
      <c r="Q8" s="182"/>
      <c r="R8" s="182"/>
      <c r="S8" s="182" t="s">
        <v>4781</v>
      </c>
      <c r="T8" s="182"/>
      <c r="U8" s="182"/>
      <c r="V8" s="182"/>
      <c r="W8" s="182"/>
      <c r="X8" s="182"/>
      <c r="Y8" s="182"/>
      <c r="Z8" s="182"/>
    </row>
    <row r="9" spans="1:26" ht="23.1" customHeight="1">
      <c r="A9" s="74">
        <v>4</v>
      </c>
      <c r="B9" s="2728"/>
      <c r="C9" s="2729"/>
      <c r="D9" s="2729"/>
      <c r="E9" s="2729"/>
      <c r="F9" s="2730"/>
      <c r="G9" s="2752"/>
      <c r="H9" s="2753"/>
      <c r="I9" s="2753"/>
      <c r="J9" s="2754"/>
      <c r="K9" s="2704"/>
      <c r="L9" s="2726"/>
      <c r="M9" s="2726"/>
      <c r="N9" s="2726"/>
      <c r="O9" s="2727"/>
      <c r="Q9" s="182"/>
      <c r="R9" s="182"/>
      <c r="S9" s="182"/>
      <c r="T9" s="182"/>
      <c r="U9" s="182"/>
      <c r="V9" s="182"/>
      <c r="W9" s="182"/>
      <c r="X9" s="182"/>
      <c r="Y9" s="182"/>
      <c r="Z9" s="182"/>
    </row>
    <row r="10" spans="1:26" ht="23.1" customHeight="1" thickBot="1">
      <c r="A10" s="75">
        <v>5</v>
      </c>
      <c r="B10" s="2728"/>
      <c r="C10" s="2729"/>
      <c r="D10" s="2729"/>
      <c r="E10" s="2729"/>
      <c r="F10" s="2730"/>
      <c r="G10" s="2731"/>
      <c r="H10" s="2732"/>
      <c r="I10" s="2732"/>
      <c r="J10" s="2733"/>
      <c r="K10" s="2710"/>
      <c r="L10" s="2734"/>
      <c r="M10" s="2734"/>
      <c r="N10" s="2734"/>
      <c r="O10" s="2735"/>
      <c r="Q10" s="182"/>
      <c r="R10" s="182"/>
      <c r="S10" s="182"/>
      <c r="T10" s="182"/>
      <c r="U10" s="182"/>
      <c r="V10" s="182"/>
      <c r="W10" s="182"/>
      <c r="X10" s="182"/>
      <c r="Y10" s="182"/>
      <c r="Z10" s="182"/>
    </row>
    <row r="11" spans="1:26" ht="23.1" customHeight="1" thickBot="1">
      <c r="A11" s="353"/>
      <c r="B11" s="2674"/>
      <c r="C11" s="2674"/>
      <c r="D11" s="2674"/>
      <c r="E11" s="2674"/>
      <c r="F11" s="2674"/>
      <c r="G11" s="2736"/>
      <c r="H11" s="2736"/>
      <c r="I11" s="2736"/>
      <c r="J11" s="2736"/>
      <c r="K11" s="2737"/>
      <c r="L11" s="2737"/>
      <c r="M11" s="2737"/>
      <c r="N11" s="2737"/>
      <c r="O11" s="2737"/>
      <c r="Q11" s="182"/>
      <c r="R11" s="182"/>
      <c r="S11" s="182"/>
      <c r="T11" s="182"/>
      <c r="U11" s="182"/>
      <c r="V11" s="2738" t="str">
        <f>IF(SUM(G6:J10)=0,"",SUM(G6:J10))</f>
        <v/>
      </c>
      <c r="W11" s="2739"/>
      <c r="X11" s="352" t="s">
        <v>584</v>
      </c>
      <c r="Y11" s="182"/>
      <c r="Z11" s="182"/>
    </row>
    <row r="12" spans="1:26" ht="49.9" customHeight="1">
      <c r="A12" s="7"/>
      <c r="B12" s="10"/>
      <c r="C12" s="11"/>
      <c r="D12" s="11"/>
      <c r="E12" s="12"/>
      <c r="F12" s="12"/>
      <c r="G12" s="12"/>
      <c r="H12" s="12"/>
      <c r="I12" s="13"/>
      <c r="J12" s="13"/>
      <c r="K12" s="13"/>
      <c r="L12" s="13"/>
      <c r="M12" s="13"/>
      <c r="N12" s="13"/>
      <c r="O12" s="9"/>
      <c r="Q12" s="182"/>
      <c r="R12" s="182"/>
      <c r="S12" s="182"/>
      <c r="T12" s="182"/>
      <c r="U12" s="182"/>
      <c r="V12" s="182"/>
      <c r="W12" s="182"/>
      <c r="X12" s="182"/>
      <c r="Y12" s="182"/>
      <c r="Z12" s="182"/>
    </row>
    <row r="13" spans="1:26" ht="15.95" customHeight="1">
      <c r="A13" s="50" t="s">
        <v>284</v>
      </c>
      <c r="B13" s="5"/>
      <c r="D13" s="3"/>
      <c r="E13" s="3"/>
      <c r="F13" s="3"/>
      <c r="G13" s="7"/>
      <c r="H13" s="3"/>
      <c r="I13" s="3"/>
      <c r="J13" s="7"/>
      <c r="K13" s="3"/>
      <c r="L13" s="3"/>
      <c r="M13" s="7"/>
      <c r="N13" s="3"/>
      <c r="Q13" s="182"/>
      <c r="R13" s="182"/>
      <c r="S13" s="183"/>
      <c r="T13" s="182"/>
      <c r="U13" s="182"/>
      <c r="V13" s="182"/>
      <c r="W13" s="182"/>
      <c r="X13" s="182"/>
      <c r="Y13" s="182"/>
      <c r="Z13" s="182"/>
    </row>
    <row r="14" spans="1:26" ht="30" customHeight="1">
      <c r="A14" s="82" t="s">
        <v>127</v>
      </c>
      <c r="B14" s="2656" t="s">
        <v>136</v>
      </c>
      <c r="C14" s="2716"/>
      <c r="D14" s="2716"/>
      <c r="E14" s="2525"/>
      <c r="F14" s="2539" t="s">
        <v>285</v>
      </c>
      <c r="G14" s="2539"/>
      <c r="H14" s="2717" t="s">
        <v>286</v>
      </c>
      <c r="I14" s="2717"/>
      <c r="J14" s="2717"/>
      <c r="K14" s="2717"/>
      <c r="L14" s="2718" t="s">
        <v>287</v>
      </c>
      <c r="M14" s="2718"/>
      <c r="N14" s="2719"/>
      <c r="O14" s="81" t="s">
        <v>244</v>
      </c>
      <c r="P14" s="25"/>
      <c r="Q14" s="183"/>
      <c r="R14" s="183"/>
      <c r="S14" s="183"/>
      <c r="T14" s="182" t="s">
        <v>420</v>
      </c>
      <c r="U14" s="182"/>
      <c r="V14" s="182"/>
      <c r="W14" s="182"/>
      <c r="X14" s="182"/>
      <c r="Y14" s="182"/>
      <c r="Z14" s="182"/>
    </row>
    <row r="15" spans="1:26" ht="23.1" customHeight="1">
      <c r="A15" s="129">
        <v>1</v>
      </c>
      <c r="B15" s="2720"/>
      <c r="C15" s="2721"/>
      <c r="D15" s="2721"/>
      <c r="E15" s="2722"/>
      <c r="F15" s="967"/>
      <c r="G15" s="1328" t="s">
        <v>268</v>
      </c>
      <c r="H15" s="2723"/>
      <c r="I15" s="2723"/>
      <c r="J15" s="2723"/>
      <c r="K15" s="2723"/>
      <c r="L15" s="2724"/>
      <c r="M15" s="2724"/>
      <c r="N15" s="2725"/>
      <c r="O15" s="970"/>
      <c r="P15" s="25"/>
      <c r="Q15" s="183"/>
      <c r="R15" s="183" t="s">
        <v>288</v>
      </c>
      <c r="S15" s="183"/>
      <c r="T15" s="183" t="s">
        <v>421</v>
      </c>
      <c r="U15" s="182"/>
      <c r="V15" s="182"/>
      <c r="W15" s="182"/>
      <c r="X15" s="182"/>
      <c r="Y15" s="182"/>
      <c r="Z15" s="182"/>
    </row>
    <row r="16" spans="1:26" ht="23.1" customHeight="1">
      <c r="A16" s="130">
        <v>2</v>
      </c>
      <c r="B16" s="2704"/>
      <c r="C16" s="2705"/>
      <c r="D16" s="2705"/>
      <c r="E16" s="2706"/>
      <c r="F16" s="968"/>
      <c r="G16" s="1329" t="s">
        <v>289</v>
      </c>
      <c r="H16" s="2707"/>
      <c r="I16" s="2707"/>
      <c r="J16" s="2707"/>
      <c r="K16" s="2707"/>
      <c r="L16" s="2708"/>
      <c r="M16" s="2708"/>
      <c r="N16" s="2709"/>
      <c r="O16" s="971"/>
      <c r="P16" s="25"/>
      <c r="Q16" s="183"/>
      <c r="R16" s="183" t="s">
        <v>290</v>
      </c>
      <c r="S16" s="183"/>
      <c r="T16" s="183" t="s">
        <v>422</v>
      </c>
      <c r="U16" s="182"/>
      <c r="V16" s="182"/>
      <c r="W16" s="182"/>
      <c r="X16" s="182"/>
      <c r="Y16" s="182"/>
      <c r="Z16" s="182"/>
    </row>
    <row r="17" spans="1:26" ht="23.1" customHeight="1">
      <c r="A17" s="130">
        <v>3</v>
      </c>
      <c r="B17" s="2704"/>
      <c r="C17" s="2705"/>
      <c r="D17" s="2705"/>
      <c r="E17" s="2706"/>
      <c r="F17" s="968"/>
      <c r="G17" s="1329" t="s">
        <v>289</v>
      </c>
      <c r="H17" s="2707"/>
      <c r="I17" s="2707"/>
      <c r="J17" s="2707"/>
      <c r="K17" s="2707"/>
      <c r="L17" s="2708"/>
      <c r="M17" s="2708"/>
      <c r="N17" s="2709"/>
      <c r="O17" s="971"/>
      <c r="P17" s="25"/>
      <c r="Q17" s="183"/>
      <c r="R17" s="183" t="s">
        <v>291</v>
      </c>
      <c r="S17" s="183"/>
      <c r="T17" s="183" t="s">
        <v>423</v>
      </c>
      <c r="U17" s="182"/>
      <c r="V17" s="182"/>
      <c r="W17" s="182"/>
      <c r="X17" s="182"/>
      <c r="Y17" s="182"/>
      <c r="Z17" s="182"/>
    </row>
    <row r="18" spans="1:26" ht="23.1" customHeight="1">
      <c r="A18" s="130">
        <v>4</v>
      </c>
      <c r="B18" s="2704"/>
      <c r="C18" s="2705"/>
      <c r="D18" s="2705"/>
      <c r="E18" s="2706"/>
      <c r="F18" s="968"/>
      <c r="G18" s="1329" t="s">
        <v>289</v>
      </c>
      <c r="H18" s="2707"/>
      <c r="I18" s="2707"/>
      <c r="J18" s="2707"/>
      <c r="K18" s="2707"/>
      <c r="L18" s="2708"/>
      <c r="M18" s="2708"/>
      <c r="N18" s="2709"/>
      <c r="O18" s="971"/>
      <c r="P18" s="25"/>
      <c r="Q18" s="183"/>
      <c r="R18" s="183" t="s">
        <v>292</v>
      </c>
      <c r="S18" s="182"/>
      <c r="T18" s="183" t="s">
        <v>424</v>
      </c>
      <c r="U18" s="182"/>
      <c r="V18" s="182"/>
      <c r="W18" s="182"/>
      <c r="X18" s="182"/>
      <c r="Y18" s="182"/>
      <c r="Z18" s="182"/>
    </row>
    <row r="19" spans="1:26" ht="23.1" customHeight="1">
      <c r="A19" s="131">
        <v>5</v>
      </c>
      <c r="B19" s="2710"/>
      <c r="C19" s="2711"/>
      <c r="D19" s="2711"/>
      <c r="E19" s="2712"/>
      <c r="F19" s="969"/>
      <c r="G19" s="1330" t="s">
        <v>289</v>
      </c>
      <c r="H19" s="2713"/>
      <c r="I19" s="2713"/>
      <c r="J19" s="2713"/>
      <c r="K19" s="2713"/>
      <c r="L19" s="2714"/>
      <c r="M19" s="2714"/>
      <c r="N19" s="2715"/>
      <c r="O19" s="972"/>
      <c r="P19" s="25"/>
      <c r="Q19" s="183"/>
      <c r="R19" s="183"/>
      <c r="S19" s="182"/>
      <c r="T19" s="183" t="s">
        <v>425</v>
      </c>
      <c r="U19" s="182"/>
      <c r="V19" s="182"/>
      <c r="W19" s="182"/>
      <c r="X19" s="182"/>
      <c r="Y19" s="182"/>
      <c r="Z19" s="182"/>
    </row>
    <row r="20" spans="1:26" ht="70.150000000000006" customHeight="1">
      <c r="Q20" s="182"/>
      <c r="R20" s="182"/>
      <c r="S20" s="182"/>
      <c r="T20" s="182" t="s">
        <v>426</v>
      </c>
      <c r="U20" s="182"/>
      <c r="V20" s="182"/>
      <c r="W20" s="182"/>
      <c r="X20" s="182"/>
      <c r="Y20" s="182"/>
      <c r="Z20" s="182"/>
    </row>
    <row r="21" spans="1:26" ht="15.95" customHeight="1">
      <c r="A21" s="50" t="s">
        <v>293</v>
      </c>
      <c r="B21" s="16"/>
      <c r="C21" s="57"/>
      <c r="D21" s="57"/>
      <c r="E21" s="57"/>
      <c r="F21" s="57"/>
      <c r="G21" s="57"/>
      <c r="Q21" s="182"/>
      <c r="R21" s="182"/>
      <c r="S21" s="182"/>
      <c r="T21" s="182" t="s">
        <v>427</v>
      </c>
      <c r="U21" s="182"/>
      <c r="V21" s="182"/>
      <c r="W21" s="182"/>
      <c r="X21" s="182"/>
      <c r="Y21" s="182"/>
      <c r="Z21" s="182"/>
    </row>
    <row r="22" spans="1:26" ht="33.950000000000003" customHeight="1">
      <c r="A22" s="2610" t="s">
        <v>294</v>
      </c>
      <c r="B22" s="2701"/>
      <c r="C22" s="2611"/>
      <c r="D22" s="2701" t="s">
        <v>295</v>
      </c>
      <c r="E22" s="2701"/>
      <c r="F22" s="2701"/>
      <c r="G22" s="2702" t="s">
        <v>296</v>
      </c>
      <c r="H22" s="2701"/>
      <c r="I22" s="2703"/>
      <c r="J22" s="2701" t="s">
        <v>297</v>
      </c>
      <c r="K22" s="2701"/>
      <c r="L22" s="2611"/>
      <c r="M22" s="2701" t="s">
        <v>125</v>
      </c>
      <c r="N22" s="2701"/>
      <c r="O22" s="2611"/>
      <c r="Q22" s="182"/>
      <c r="R22" s="182"/>
      <c r="S22" s="182"/>
      <c r="T22" s="182" t="s">
        <v>428</v>
      </c>
      <c r="U22" s="182"/>
      <c r="V22" s="182"/>
      <c r="W22" s="182"/>
      <c r="X22" s="182"/>
      <c r="Y22" s="182"/>
      <c r="Z22" s="182"/>
    </row>
    <row r="23" spans="1:26" ht="27.95" customHeight="1">
      <c r="A23" s="2682" t="s">
        <v>298</v>
      </c>
      <c r="B23" s="2683"/>
      <c r="C23" s="2684"/>
      <c r="D23" s="2685">
        <v>0</v>
      </c>
      <c r="E23" s="2686"/>
      <c r="F23" s="2686"/>
      <c r="G23" s="2686">
        <v>0</v>
      </c>
      <c r="H23" s="2686"/>
      <c r="I23" s="2686"/>
      <c r="J23" s="2687">
        <v>0</v>
      </c>
      <c r="K23" s="2687"/>
      <c r="L23" s="2688"/>
      <c r="M23" s="2689">
        <f>IF(OR(D23="", G23="", J23=""),"",SUM(D23:L23))</f>
        <v>0</v>
      </c>
      <c r="N23" s="2690"/>
      <c r="O23" s="2691"/>
      <c r="Q23" s="182"/>
      <c r="R23" s="182"/>
      <c r="S23" s="182"/>
      <c r="T23" s="182"/>
      <c r="U23" s="182"/>
      <c r="V23" s="182"/>
      <c r="W23" s="182"/>
      <c r="X23" s="182"/>
      <c r="Y23" s="182"/>
      <c r="Z23" s="182"/>
    </row>
    <row r="24" spans="1:26" ht="27.95" customHeight="1">
      <c r="A24" s="2692" t="s">
        <v>299</v>
      </c>
      <c r="B24" s="2693"/>
      <c r="C24" s="2694"/>
      <c r="D24" s="2695">
        <f>参照元!EO14+D23</f>
        <v>0</v>
      </c>
      <c r="E24" s="2696"/>
      <c r="F24" s="2696"/>
      <c r="G24" s="2697">
        <f>参照元!EP14+G23</f>
        <v>0</v>
      </c>
      <c r="H24" s="2696"/>
      <c r="I24" s="2696"/>
      <c r="J24" s="2697">
        <f>参照元!EQ14+J23</f>
        <v>0</v>
      </c>
      <c r="K24" s="2696"/>
      <c r="L24" s="2698"/>
      <c r="M24" s="2699">
        <f>IF(OR(D24="", G24="", J24=""),"",SUM(D24:L24))</f>
        <v>0</v>
      </c>
      <c r="N24" s="2530"/>
      <c r="O24" s="2700"/>
      <c r="Q24" s="182"/>
      <c r="R24" s="182"/>
      <c r="S24" s="182"/>
      <c r="T24" s="182"/>
      <c r="U24" s="182"/>
      <c r="V24" s="182"/>
      <c r="W24" s="182"/>
      <c r="X24" s="182"/>
      <c r="Y24" s="182"/>
      <c r="Z24" s="182"/>
    </row>
    <row r="25" spans="1:26" ht="9.9499999999999993" customHeight="1">
      <c r="A25" s="114"/>
      <c r="B25" s="114"/>
      <c r="C25" s="114"/>
      <c r="D25" s="5"/>
      <c r="E25" s="5"/>
      <c r="F25" s="1424"/>
      <c r="G25" s="1424"/>
      <c r="H25" s="1424"/>
      <c r="I25" s="1424"/>
      <c r="J25" s="1424"/>
      <c r="K25" s="1424"/>
      <c r="L25" s="1424"/>
      <c r="M25" s="1424"/>
      <c r="N25" s="5"/>
      <c r="O25" s="5"/>
      <c r="Q25" s="182"/>
      <c r="R25" s="182"/>
      <c r="S25" s="182"/>
      <c r="T25" s="182"/>
      <c r="U25" s="182"/>
      <c r="V25" s="182"/>
      <c r="W25" s="182"/>
      <c r="X25" s="182"/>
      <c r="Y25" s="182"/>
      <c r="Z25" s="182"/>
    </row>
    <row r="26" spans="1:26" ht="21" customHeight="1">
      <c r="A26" s="182"/>
      <c r="B26" s="182"/>
      <c r="C26" s="182"/>
      <c r="D26" s="182"/>
      <c r="E26" s="182"/>
      <c r="F26" s="182"/>
      <c r="G26" s="182"/>
      <c r="H26" s="182"/>
      <c r="I26" s="182"/>
      <c r="J26" s="182"/>
      <c r="K26" s="182"/>
      <c r="L26" s="182"/>
      <c r="M26" s="182"/>
      <c r="N26" s="182"/>
      <c r="O26" s="185"/>
      <c r="P26" s="182"/>
      <c r="Q26" s="182"/>
      <c r="R26" s="182"/>
      <c r="S26" s="182"/>
      <c r="T26" s="182"/>
      <c r="U26" s="182"/>
      <c r="V26" s="182"/>
      <c r="W26" s="182"/>
      <c r="X26" s="182"/>
      <c r="Y26" s="182"/>
      <c r="Z26" s="182"/>
    </row>
    <row r="27" spans="1:26" ht="20.100000000000001" customHeight="1">
      <c r="A27" s="182"/>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row>
    <row r="28" spans="1:26" ht="20.100000000000001" customHeight="1">
      <c r="A28" s="182"/>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row>
    <row r="29" spans="1:26" ht="20.100000000000001" customHeight="1">
      <c r="A29" s="182"/>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row>
    <row r="30" spans="1:26" ht="12.75" customHeight="1">
      <c r="A30" s="182"/>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row>
    <row r="31" spans="1:26">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row>
    <row r="32" spans="1:26">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row>
    <row r="33" spans="1:26">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row>
    <row r="34" spans="1:26">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row>
    <row r="35" spans="1:26">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row>
    <row r="36" spans="1:26">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row>
    <row r="37" spans="1:26">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row>
    <row r="38" spans="1:26" ht="12.75" customHeight="1">
      <c r="A38" s="182"/>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row>
    <row r="39" spans="1:26">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row>
    <row r="40" spans="1:26">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row>
    <row r="41" spans="1:26">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row>
    <row r="42" spans="1:26">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row>
    <row r="43" spans="1:26">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row>
    <row r="44" spans="1:26">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row>
    <row r="45" spans="1:26">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row>
    <row r="46" spans="1:26">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row>
    <row r="47" spans="1:26">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row>
    <row r="48" spans="1:26">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row>
    <row r="49" spans="1:26">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row>
    <row r="50" spans="1:26">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row>
  </sheetData>
  <sheetProtection algorithmName="SHA-512" hashValue="NSTKifd7Ja2aOVlxFH840rQ13VanXmwevdih3Ns3YOghgmkbwLzSlqr4VrfNlzjv87L208pxgMTqQSO7X5nVFw==" saltValue="Jz1tRO403W20UpscEyFJCg==" spinCount="100000" sheet="1" objects="1" scenarios="1"/>
  <mergeCells count="57">
    <mergeCell ref="V11:W11"/>
    <mergeCell ref="A4:O4"/>
    <mergeCell ref="B5:F5"/>
    <mergeCell ref="G5:J5"/>
    <mergeCell ref="K5:O5"/>
    <mergeCell ref="B6:F6"/>
    <mergeCell ref="G6:J6"/>
    <mergeCell ref="K6:O6"/>
    <mergeCell ref="B7:F7"/>
    <mergeCell ref="G7:J7"/>
    <mergeCell ref="K7:O7"/>
    <mergeCell ref="B8:F8"/>
    <mergeCell ref="G8:J8"/>
    <mergeCell ref="K8:O8"/>
    <mergeCell ref="B9:F9"/>
    <mergeCell ref="G9:J9"/>
    <mergeCell ref="K9:O9"/>
    <mergeCell ref="B10:F10"/>
    <mergeCell ref="G10:J10"/>
    <mergeCell ref="K10:O10"/>
    <mergeCell ref="B11:F11"/>
    <mergeCell ref="G11:J11"/>
    <mergeCell ref="K11:O11"/>
    <mergeCell ref="B14:E14"/>
    <mergeCell ref="F14:G14"/>
    <mergeCell ref="H14:K14"/>
    <mergeCell ref="L14:N14"/>
    <mergeCell ref="B15:E15"/>
    <mergeCell ref="H15:K15"/>
    <mergeCell ref="L15:N15"/>
    <mergeCell ref="B16:E16"/>
    <mergeCell ref="H16:K16"/>
    <mergeCell ref="L16:N16"/>
    <mergeCell ref="B17:E17"/>
    <mergeCell ref="H17:K17"/>
    <mergeCell ref="L17:N17"/>
    <mergeCell ref="B18:E18"/>
    <mergeCell ref="H18:K18"/>
    <mergeCell ref="L18:N18"/>
    <mergeCell ref="B19:E19"/>
    <mergeCell ref="H19:K19"/>
    <mergeCell ref="L19:N19"/>
    <mergeCell ref="A22:C22"/>
    <mergeCell ref="D22:F22"/>
    <mergeCell ref="G22:I22"/>
    <mergeCell ref="J22:L22"/>
    <mergeCell ref="M22:O22"/>
    <mergeCell ref="A24:C24"/>
    <mergeCell ref="D24:F24"/>
    <mergeCell ref="G24:I24"/>
    <mergeCell ref="J24:L24"/>
    <mergeCell ref="M24:O24"/>
    <mergeCell ref="A23:C23"/>
    <mergeCell ref="D23:F23"/>
    <mergeCell ref="G23:I23"/>
    <mergeCell ref="J23:L23"/>
    <mergeCell ref="M23:O23"/>
  </mergeCells>
  <phoneticPr fontId="15"/>
  <dataValidations count="4">
    <dataValidation type="list" allowBlank="1" showInputMessage="1" sqref="O15:O19" xr:uid="{00000000-0002-0000-3D00-000000000000}">
      <formula1>$R$15:$R$18</formula1>
    </dataValidation>
    <dataValidation type="whole" operator="greaterThanOrEqual" allowBlank="1" showErrorMessage="1" error="西暦で入力して下さい。" sqref="F15:F19" xr:uid="{00000000-0002-0000-3D00-000001000000}">
      <formula1>0</formula1>
    </dataValidation>
    <dataValidation type="list" allowBlank="1" showInputMessage="1" sqref="B6:F10" xr:uid="{00000000-0002-0000-3D00-000002000000}">
      <formula1>$S$6:$S$9</formula1>
    </dataValidation>
    <dataValidation type="list" errorStyle="information" allowBlank="1" showInputMessage="1" prompt="選択して下さい。_x000a_ただし、その他選択時には（）内に具体的項目記載" sqref="B15:E19" xr:uid="{00000000-0002-0000-3D00-000003000000}">
      <formula1>$T$15:$T$22</formula1>
    </dataValidation>
  </dataValidations>
  <printOptions horizontalCentered="1"/>
  <pageMargins left="0.59055118110236227" right="0.28999999999999998" top="0.39370078740157483" bottom="0.59055118110236227" header="0.31496062992125984" footer="0.23622047244094491"/>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AB9B4B77-99F1-4433-8E8F-822E79E282CF}">
            <xm:f>はじめに!$B$35&lt;&gt;"報告書"</xm:f>
            <x14:dxf>
              <fill>
                <patternFill>
                  <bgColor theme="0" tint="-0.14996795556505021"/>
                </patternFill>
              </fill>
            </x14:dxf>
          </x14:cfRule>
          <xm:sqref>B6:O10 B15:F19 H15:O19 D23:L23</xm:sqref>
        </x14:conditionalFormatting>
        <x14:conditionalFormatting xmlns:xm="http://schemas.microsoft.com/office/excel/2006/main">
          <x14:cfRule type="expression" priority="2" id="{04BE0426-8D3F-4293-9649-F88904FD3814}">
            <xm:f>はじめに!$B$35&lt;&gt;"報告書"</xm:f>
            <x14:dxf>
              <font>
                <color theme="0" tint="-0.14996795556505021"/>
              </font>
              <fill>
                <patternFill>
                  <bgColor theme="0" tint="-0.14996795556505021"/>
                </patternFill>
              </fill>
            </x14:dxf>
          </x14:cfRule>
          <xm:sqref>D24:F24</xm:sqref>
        </x14:conditionalFormatting>
        <x14:conditionalFormatting xmlns:xm="http://schemas.microsoft.com/office/excel/2006/main">
          <x14:cfRule type="expression" priority="1" id="{BEC4A28C-C923-46CF-B57A-F7DB7BEDDBA6}">
            <xm:f>はじめに!$B$35&lt;&gt;"報告書"</xm:f>
            <x14:dxf>
              <font>
                <color theme="0" tint="-0.14996795556505021"/>
              </font>
              <fill>
                <patternFill>
                  <bgColor theme="0" tint="-0.14996795556505021"/>
                </patternFill>
              </fill>
            </x14:dxf>
          </x14:cfRule>
          <xm:sqref>G24:L24</xm:sqref>
        </x14:conditionalFormatting>
      </x14:conditionalFormatting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9"/>
  <dimension ref="A1:Z152"/>
  <sheetViews>
    <sheetView showGridLines="0" zoomScaleNormal="100" workbookViewId="0">
      <selection activeCell="B6" sqref="B6:E9"/>
    </sheetView>
  </sheetViews>
  <sheetFormatPr defaultColWidth="9" defaultRowHeight="12"/>
  <cols>
    <col min="1" max="1" width="2.875" style="2" customWidth="1"/>
    <col min="2" max="3" width="3.875" style="15" customWidth="1"/>
    <col min="4" max="4" width="3.625" style="15" customWidth="1"/>
    <col min="5" max="5" width="6.125" style="2" customWidth="1"/>
    <col min="6" max="6" width="32.625" style="2" customWidth="1"/>
    <col min="7" max="7" width="9.625" style="2" customWidth="1"/>
    <col min="8" max="8" width="3.625" style="88" customWidth="1"/>
    <col min="9" max="9" width="9.625" style="88" customWidth="1"/>
    <col min="10" max="10" width="3.625" style="88" customWidth="1"/>
    <col min="11" max="11" width="9.625" style="88" customWidth="1"/>
    <col min="12" max="12" width="13.625" style="5" customWidth="1"/>
    <col min="13" max="13" width="1.625" style="25" customWidth="1"/>
    <col min="14" max="16" width="9" style="2" hidden="1" customWidth="1"/>
    <col min="17" max="20" width="9" style="5" hidden="1" customWidth="1"/>
    <col min="21" max="25" width="9" style="2" hidden="1" customWidth="1"/>
    <col min="26" max="16384" width="9" style="2"/>
  </cols>
  <sheetData>
    <row r="1" spans="1:26" ht="12" customHeight="1">
      <c r="A1" s="1" t="s">
        <v>300</v>
      </c>
      <c r="M1" s="2847"/>
      <c r="N1" s="1262" t="s">
        <v>4351</v>
      </c>
      <c r="O1" s="1262"/>
      <c r="P1" s="1262"/>
      <c r="Q1" s="1322"/>
      <c r="R1" s="1322"/>
      <c r="S1" s="1322"/>
      <c r="T1" s="1322"/>
      <c r="U1" s="1262"/>
      <c r="V1" s="1262"/>
      <c r="W1" s="1262"/>
      <c r="X1" s="1262"/>
      <c r="Y1" s="1262"/>
      <c r="Z1" s="182"/>
    </row>
    <row r="2" spans="1:26" ht="12" customHeight="1">
      <c r="A2" s="2" t="s">
        <v>119</v>
      </c>
      <c r="B2" s="4"/>
      <c r="C2" s="4"/>
      <c r="D2" s="4"/>
      <c r="E2" s="4"/>
      <c r="F2" s="4"/>
      <c r="G2" s="4"/>
      <c r="M2" s="2847"/>
      <c r="N2" s="182"/>
      <c r="O2" s="182"/>
      <c r="P2" s="182"/>
      <c r="Q2" s="184"/>
      <c r="R2" s="184"/>
      <c r="S2" s="184"/>
      <c r="T2" s="184"/>
      <c r="U2" s="182"/>
      <c r="V2" s="182"/>
      <c r="W2" s="182"/>
      <c r="X2" s="182"/>
      <c r="Y2" s="182"/>
      <c r="Z2" s="182"/>
    </row>
    <row r="3" spans="1:26" s="6" customFormat="1" ht="12.75" customHeight="1" thickBot="1">
      <c r="A3" s="50" t="s">
        <v>301</v>
      </c>
      <c r="B3" s="89"/>
      <c r="C3" s="89"/>
      <c r="D3" s="89"/>
      <c r="E3" s="16"/>
      <c r="F3" s="16"/>
      <c r="G3" s="16"/>
      <c r="H3" s="367"/>
      <c r="I3" s="367"/>
      <c r="J3" s="368"/>
      <c r="K3" s="90"/>
      <c r="L3" s="107"/>
      <c r="M3" s="2847"/>
      <c r="N3" s="165"/>
      <c r="O3" s="165"/>
      <c r="P3" s="165"/>
      <c r="Q3" s="172"/>
      <c r="R3" s="172"/>
      <c r="S3" s="172"/>
      <c r="T3" s="172"/>
      <c r="U3" s="165"/>
      <c r="V3" s="165"/>
      <c r="W3" s="165"/>
      <c r="X3" s="165"/>
      <c r="Y3" s="165"/>
      <c r="Z3" s="165"/>
    </row>
    <row r="4" spans="1:26" s="6" customFormat="1" ht="15.2" customHeight="1">
      <c r="A4" s="2801" t="s">
        <v>184</v>
      </c>
      <c r="B4" s="2802"/>
      <c r="C4" s="2802"/>
      <c r="D4" s="2802"/>
      <c r="E4" s="2803"/>
      <c r="F4" s="2838" t="s">
        <v>302</v>
      </c>
      <c r="G4" s="2838" t="s">
        <v>303</v>
      </c>
      <c r="H4" s="2807" t="s">
        <v>186</v>
      </c>
      <c r="I4" s="2808"/>
      <c r="J4" s="2808"/>
      <c r="K4" s="2809"/>
      <c r="L4" s="2848" t="s">
        <v>141</v>
      </c>
      <c r="M4" s="2847"/>
      <c r="N4" s="186"/>
      <c r="O4" s="187"/>
      <c r="P4" s="165"/>
      <c r="Q4" s="172"/>
      <c r="R4" s="172"/>
      <c r="S4" s="172"/>
      <c r="T4" s="172"/>
      <c r="U4" s="165"/>
      <c r="V4" s="165"/>
      <c r="W4" s="165"/>
      <c r="X4" s="165"/>
      <c r="Y4" s="165"/>
      <c r="Z4" s="165"/>
    </row>
    <row r="5" spans="1:26" s="6" customFormat="1" ht="23.25" customHeight="1" thickBot="1">
      <c r="A5" s="2804"/>
      <c r="B5" s="2805"/>
      <c r="C5" s="2805"/>
      <c r="D5" s="2805"/>
      <c r="E5" s="2806"/>
      <c r="F5" s="2839"/>
      <c r="G5" s="2839"/>
      <c r="H5" s="2812" t="s">
        <v>305</v>
      </c>
      <c r="I5" s="2813"/>
      <c r="J5" s="2850" t="s">
        <v>306</v>
      </c>
      <c r="K5" s="2851"/>
      <c r="L5" s="2849"/>
      <c r="M5" s="2847"/>
      <c r="N5" s="188"/>
      <c r="O5" s="188"/>
      <c r="P5" s="171"/>
      <c r="Q5" s="172"/>
      <c r="R5" s="172"/>
      <c r="S5" s="172"/>
      <c r="T5" s="172"/>
      <c r="U5" s="165"/>
      <c r="V5" s="165"/>
      <c r="W5" s="165"/>
      <c r="X5" s="165"/>
      <c r="Y5" s="165"/>
      <c r="Z5" s="165"/>
    </row>
    <row r="6" spans="1:26" s="6" customFormat="1" ht="21.95" customHeight="1">
      <c r="A6" s="2755">
        <v>1</v>
      </c>
      <c r="B6" s="2758" t="s">
        <v>135</v>
      </c>
      <c r="C6" s="2758"/>
      <c r="D6" s="2758"/>
      <c r="E6" s="2759"/>
      <c r="F6" s="2855" t="s">
        <v>307</v>
      </c>
      <c r="G6" s="2858"/>
      <c r="H6" s="369"/>
      <c r="I6" s="387" t="s">
        <v>308</v>
      </c>
      <c r="J6" s="370"/>
      <c r="K6" s="371" t="s">
        <v>130</v>
      </c>
      <c r="L6" s="2765"/>
      <c r="M6" s="25"/>
      <c r="N6" s="188"/>
      <c r="O6" s="188"/>
      <c r="P6" s="171"/>
      <c r="Q6" s="172"/>
      <c r="R6" s="172"/>
      <c r="S6" s="172"/>
      <c r="T6" s="172"/>
      <c r="U6" s="165"/>
      <c r="V6" s="165"/>
      <c r="W6" s="165"/>
      <c r="X6" s="165"/>
      <c r="Y6" s="165"/>
      <c r="Z6" s="165"/>
    </row>
    <row r="7" spans="1:26" s="6" customFormat="1" ht="21.95" customHeight="1">
      <c r="A7" s="2756"/>
      <c r="B7" s="2760"/>
      <c r="C7" s="2760"/>
      <c r="D7" s="2760"/>
      <c r="E7" s="2761"/>
      <c r="F7" s="2856"/>
      <c r="G7" s="2859"/>
      <c r="H7" s="369"/>
      <c r="I7" s="366" t="s">
        <v>309</v>
      </c>
      <c r="J7" s="370"/>
      <c r="K7" s="371" t="s">
        <v>310</v>
      </c>
      <c r="L7" s="2765"/>
      <c r="M7" s="25"/>
      <c r="N7" s="188"/>
      <c r="O7" s="188"/>
      <c r="P7" s="171"/>
      <c r="Q7" s="172"/>
      <c r="R7" s="172"/>
      <c r="S7" s="172"/>
      <c r="T7" s="172"/>
      <c r="U7" s="165"/>
      <c r="V7" s="165"/>
      <c r="W7" s="165"/>
      <c r="X7" s="165"/>
      <c r="Y7" s="165"/>
      <c r="Z7" s="165"/>
    </row>
    <row r="8" spans="1:26" s="6" customFormat="1" ht="21.95" customHeight="1">
      <c r="A8" s="2756"/>
      <c r="B8" s="2760"/>
      <c r="C8" s="2760"/>
      <c r="D8" s="2760"/>
      <c r="E8" s="2761"/>
      <c r="F8" s="2856"/>
      <c r="G8" s="2859"/>
      <c r="H8" s="369"/>
      <c r="I8" s="366" t="s">
        <v>311</v>
      </c>
      <c r="J8" s="370"/>
      <c r="K8" s="371" t="s">
        <v>178</v>
      </c>
      <c r="L8" s="2765"/>
      <c r="M8" s="25"/>
      <c r="N8" s="188"/>
      <c r="O8" s="188"/>
      <c r="P8" s="171"/>
      <c r="Q8" s="172"/>
      <c r="R8" s="172"/>
      <c r="S8" s="172"/>
      <c r="T8" s="172"/>
      <c r="U8" s="165"/>
      <c r="V8" s="165"/>
      <c r="W8" s="165"/>
      <c r="X8" s="165"/>
      <c r="Y8" s="165"/>
      <c r="Z8" s="165"/>
    </row>
    <row r="9" spans="1:26" s="6" customFormat="1" ht="21.95" customHeight="1">
      <c r="A9" s="2757"/>
      <c r="B9" s="2762"/>
      <c r="C9" s="2762"/>
      <c r="D9" s="2762"/>
      <c r="E9" s="2763"/>
      <c r="F9" s="2857"/>
      <c r="G9" s="2860"/>
      <c r="H9" s="372"/>
      <c r="I9" s="354" t="s">
        <v>179</v>
      </c>
      <c r="J9" s="373"/>
      <c r="K9" s="355" t="s">
        <v>179</v>
      </c>
      <c r="L9" s="2766"/>
      <c r="M9" s="385"/>
      <c r="N9" s="188"/>
      <c r="O9" s="188"/>
      <c r="P9" s="171"/>
      <c r="Q9" s="190"/>
      <c r="R9" s="190"/>
      <c r="S9" s="172" t="str">
        <f>IFERROR(CHOOSE(Q9,I6,I7,I8,I9),"")</f>
        <v/>
      </c>
      <c r="T9" s="172" t="str">
        <f>IFERROR(CHOOSE(R9,K6,K7,K8,K9),"")</f>
        <v/>
      </c>
      <c r="U9" s="165"/>
      <c r="V9" s="165"/>
      <c r="W9" s="165"/>
      <c r="X9" s="165"/>
      <c r="Y9" s="165"/>
      <c r="Z9" s="165"/>
    </row>
    <row r="10" spans="1:26" s="6" customFormat="1" ht="21.95" customHeight="1">
      <c r="A10" s="2791">
        <v>2</v>
      </c>
      <c r="B10" s="2818" t="s">
        <v>313</v>
      </c>
      <c r="C10" s="2818"/>
      <c r="D10" s="2818"/>
      <c r="E10" s="2819"/>
      <c r="F10" s="2836" t="s">
        <v>314</v>
      </c>
      <c r="G10" s="2861"/>
      <c r="H10" s="369"/>
      <c r="I10" s="366" t="s">
        <v>304</v>
      </c>
      <c r="J10" s="370"/>
      <c r="K10" s="371" t="s">
        <v>130</v>
      </c>
      <c r="L10" s="2828"/>
      <c r="M10" s="385"/>
      <c r="N10" s="188"/>
      <c r="O10" s="188"/>
      <c r="P10" s="171"/>
      <c r="Q10" s="190"/>
      <c r="R10" s="190"/>
      <c r="S10" s="172"/>
      <c r="T10" s="172"/>
      <c r="U10" s="165"/>
      <c r="V10" s="165"/>
      <c r="W10" s="165"/>
      <c r="X10" s="165"/>
      <c r="Y10" s="165"/>
      <c r="Z10" s="165"/>
    </row>
    <row r="11" spans="1:26" s="6" customFormat="1" ht="21.95" customHeight="1">
      <c r="A11" s="2792"/>
      <c r="B11" s="2821"/>
      <c r="C11" s="2821"/>
      <c r="D11" s="2821"/>
      <c r="E11" s="2822"/>
      <c r="F11" s="2826"/>
      <c r="G11" s="2859"/>
      <c r="H11" s="369"/>
      <c r="I11" s="366" t="s">
        <v>315</v>
      </c>
      <c r="J11" s="370"/>
      <c r="K11" s="371" t="s">
        <v>310</v>
      </c>
      <c r="L11" s="2828"/>
      <c r="M11" s="385"/>
      <c r="N11" s="188"/>
      <c r="O11" s="188"/>
      <c r="P11" s="171"/>
      <c r="Q11" s="190"/>
      <c r="R11" s="190"/>
      <c r="S11" s="172"/>
      <c r="T11" s="172"/>
      <c r="U11" s="165"/>
      <c r="V11" s="165"/>
      <c r="W11" s="165"/>
      <c r="X11" s="165"/>
      <c r="Y11" s="165"/>
      <c r="Z11" s="165"/>
    </row>
    <row r="12" spans="1:26" s="6" customFormat="1" ht="21.95" customHeight="1">
      <c r="A12" s="2792"/>
      <c r="B12" s="2821"/>
      <c r="C12" s="2821"/>
      <c r="D12" s="2821"/>
      <c r="E12" s="2822"/>
      <c r="F12" s="2826"/>
      <c r="G12" s="2859"/>
      <c r="H12" s="369"/>
      <c r="I12" s="366" t="s">
        <v>312</v>
      </c>
      <c r="J12" s="370"/>
      <c r="K12" s="371" t="s">
        <v>178</v>
      </c>
      <c r="L12" s="2828"/>
      <c r="M12" s="385"/>
      <c r="N12" s="188"/>
      <c r="O12" s="188"/>
      <c r="P12" s="171"/>
      <c r="Q12" s="190"/>
      <c r="R12" s="190"/>
      <c r="S12" s="172"/>
      <c r="T12" s="172"/>
      <c r="U12" s="165"/>
      <c r="V12" s="165"/>
      <c r="W12" s="165"/>
      <c r="X12" s="165"/>
      <c r="Y12" s="165"/>
      <c r="Z12" s="165"/>
    </row>
    <row r="13" spans="1:26" s="16" customFormat="1" ht="21.95" customHeight="1">
      <c r="A13" s="2798"/>
      <c r="B13" s="2841"/>
      <c r="C13" s="2841"/>
      <c r="D13" s="2841"/>
      <c r="E13" s="2842"/>
      <c r="F13" s="2835"/>
      <c r="G13" s="2860"/>
      <c r="H13" s="372"/>
      <c r="I13" s="354" t="s">
        <v>179</v>
      </c>
      <c r="J13" s="373"/>
      <c r="K13" s="355" t="s">
        <v>179</v>
      </c>
      <c r="L13" s="2837"/>
      <c r="M13" s="1425"/>
      <c r="N13" s="188"/>
      <c r="O13" s="188"/>
      <c r="P13" s="170"/>
      <c r="Q13" s="190"/>
      <c r="R13" s="190"/>
      <c r="S13" s="172" t="str">
        <f>IFERROR(CHOOSE(Q13,I10,I11,I12,I13),"")</f>
        <v/>
      </c>
      <c r="T13" s="172" t="str">
        <f>IFERROR(CHOOSE(R13,K10,K11,K12,K13),"")</f>
        <v/>
      </c>
      <c r="U13" s="170"/>
      <c r="V13" s="170"/>
      <c r="W13" s="170"/>
      <c r="X13" s="170"/>
      <c r="Y13" s="170"/>
      <c r="Z13" s="170"/>
    </row>
    <row r="14" spans="1:26" s="16" customFormat="1" ht="21.95" customHeight="1">
      <c r="A14" s="2791">
        <v>3</v>
      </c>
      <c r="B14" s="2818" t="s">
        <v>316</v>
      </c>
      <c r="C14" s="2818"/>
      <c r="D14" s="2818"/>
      <c r="E14" s="2819"/>
      <c r="F14" s="2836" t="s">
        <v>317</v>
      </c>
      <c r="G14" s="2836" t="s">
        <v>318</v>
      </c>
      <c r="H14" s="369"/>
      <c r="I14" s="366" t="s">
        <v>304</v>
      </c>
      <c r="J14" s="370"/>
      <c r="K14" s="371" t="s">
        <v>130</v>
      </c>
      <c r="L14" s="2828"/>
      <c r="M14" s="1425"/>
      <c r="N14" s="188"/>
      <c r="O14" s="188"/>
      <c r="P14" s="170"/>
      <c r="Q14" s="190"/>
      <c r="R14" s="190"/>
      <c r="S14" s="172"/>
      <c r="T14" s="172"/>
      <c r="U14" s="170"/>
      <c r="V14" s="170"/>
      <c r="W14" s="170"/>
      <c r="X14" s="170"/>
      <c r="Y14" s="170"/>
      <c r="Z14" s="170"/>
    </row>
    <row r="15" spans="1:26" s="16" customFormat="1" ht="21.95" customHeight="1">
      <c r="A15" s="2792"/>
      <c r="B15" s="2821"/>
      <c r="C15" s="2821"/>
      <c r="D15" s="2821"/>
      <c r="E15" s="2822"/>
      <c r="F15" s="2826"/>
      <c r="G15" s="2826"/>
      <c r="H15" s="369"/>
      <c r="I15" s="366" t="s">
        <v>315</v>
      </c>
      <c r="J15" s="370"/>
      <c r="K15" s="371" t="s">
        <v>310</v>
      </c>
      <c r="L15" s="2828"/>
      <c r="M15" s="1425"/>
      <c r="N15" s="188"/>
      <c r="O15" s="188"/>
      <c r="P15" s="170"/>
      <c r="Q15" s="190"/>
      <c r="R15" s="190"/>
      <c r="S15" s="172"/>
      <c r="T15" s="172"/>
      <c r="U15" s="170"/>
      <c r="V15" s="170"/>
      <c r="W15" s="170"/>
      <c r="X15" s="170"/>
      <c r="Y15" s="170"/>
      <c r="Z15" s="170"/>
    </row>
    <row r="16" spans="1:26" s="16" customFormat="1" ht="21.95" customHeight="1">
      <c r="A16" s="2792"/>
      <c r="B16" s="2821"/>
      <c r="C16" s="2821"/>
      <c r="D16" s="2821"/>
      <c r="E16" s="2822"/>
      <c r="F16" s="2826"/>
      <c r="G16" s="2826"/>
      <c r="H16" s="369"/>
      <c r="I16" s="366" t="s">
        <v>312</v>
      </c>
      <c r="J16" s="370"/>
      <c r="K16" s="371" t="s">
        <v>178</v>
      </c>
      <c r="L16" s="2828"/>
      <c r="M16" s="1425"/>
      <c r="N16" s="188"/>
      <c r="O16" s="188"/>
      <c r="P16" s="170"/>
      <c r="Q16" s="190"/>
      <c r="R16" s="190"/>
      <c r="S16" s="172"/>
      <c r="T16" s="172"/>
      <c r="U16" s="170"/>
      <c r="V16" s="170"/>
      <c r="W16" s="170"/>
      <c r="X16" s="170"/>
      <c r="Y16" s="170"/>
      <c r="Z16" s="170"/>
    </row>
    <row r="17" spans="1:26" s="16" customFormat="1" ht="21.95" customHeight="1">
      <c r="A17" s="2798"/>
      <c r="B17" s="2841"/>
      <c r="C17" s="2841"/>
      <c r="D17" s="2841"/>
      <c r="E17" s="2842"/>
      <c r="F17" s="2835"/>
      <c r="G17" s="2835"/>
      <c r="H17" s="372"/>
      <c r="I17" s="354" t="s">
        <v>179</v>
      </c>
      <c r="J17" s="373"/>
      <c r="K17" s="355" t="s">
        <v>179</v>
      </c>
      <c r="L17" s="2837"/>
      <c r="M17" s="385"/>
      <c r="N17" s="170"/>
      <c r="O17" s="170"/>
      <c r="P17" s="170"/>
      <c r="Q17" s="190"/>
      <c r="R17" s="190"/>
      <c r="S17" s="172" t="str">
        <f>IFERROR(CHOOSE(Q17,I14,I15,I16,I17),"")</f>
        <v/>
      </c>
      <c r="T17" s="172" t="str">
        <f>IFERROR(CHOOSE(R17,K14,K15,K16,K17),"")</f>
        <v/>
      </c>
      <c r="U17" s="170"/>
      <c r="V17" s="170"/>
      <c r="W17" s="170"/>
      <c r="X17" s="170"/>
      <c r="Y17" s="170"/>
      <c r="Z17" s="170"/>
    </row>
    <row r="18" spans="1:26" s="16" customFormat="1" ht="21.95" customHeight="1">
      <c r="A18" s="2815">
        <v>4</v>
      </c>
      <c r="B18" s="2818" t="s">
        <v>319</v>
      </c>
      <c r="C18" s="2818"/>
      <c r="D18" s="2818"/>
      <c r="E18" s="2819"/>
      <c r="F18" s="2836" t="s">
        <v>320</v>
      </c>
      <c r="G18" s="2836" t="s">
        <v>321</v>
      </c>
      <c r="H18" s="369"/>
      <c r="I18" s="366" t="s">
        <v>304</v>
      </c>
      <c r="J18" s="370"/>
      <c r="K18" s="371" t="s">
        <v>130</v>
      </c>
      <c r="L18" s="2828"/>
      <c r="M18" s="385"/>
      <c r="N18" s="170"/>
      <c r="O18" s="170"/>
      <c r="P18" s="170"/>
      <c r="Q18" s="190"/>
      <c r="R18" s="190"/>
      <c r="S18" s="172"/>
      <c r="T18" s="172"/>
      <c r="U18" s="170"/>
      <c r="V18" s="170"/>
      <c r="W18" s="170"/>
      <c r="X18" s="170"/>
      <c r="Y18" s="170"/>
      <c r="Z18" s="170"/>
    </row>
    <row r="19" spans="1:26" s="16" customFormat="1" ht="21.95" customHeight="1">
      <c r="A19" s="2756"/>
      <c r="B19" s="2821"/>
      <c r="C19" s="2821"/>
      <c r="D19" s="2821"/>
      <c r="E19" s="2822"/>
      <c r="F19" s="2826"/>
      <c r="G19" s="2826"/>
      <c r="H19" s="369"/>
      <c r="I19" s="366" t="s">
        <v>315</v>
      </c>
      <c r="J19" s="370"/>
      <c r="K19" s="371" t="s">
        <v>310</v>
      </c>
      <c r="L19" s="2828"/>
      <c r="M19" s="385"/>
      <c r="N19" s="170"/>
      <c r="O19" s="170"/>
      <c r="P19" s="170"/>
      <c r="Q19" s="190"/>
      <c r="R19" s="190"/>
      <c r="S19" s="172"/>
      <c r="T19" s="172"/>
      <c r="U19" s="170"/>
      <c r="V19" s="170"/>
      <c r="W19" s="170"/>
      <c r="X19" s="170"/>
      <c r="Y19" s="170"/>
      <c r="Z19" s="170"/>
    </row>
    <row r="20" spans="1:26" s="16" customFormat="1" ht="21.95" customHeight="1">
      <c r="A20" s="2756"/>
      <c r="B20" s="2821"/>
      <c r="C20" s="2821"/>
      <c r="D20" s="2821"/>
      <c r="E20" s="2822"/>
      <c r="F20" s="2826"/>
      <c r="G20" s="2826"/>
      <c r="H20" s="369"/>
      <c r="I20" s="366" t="s">
        <v>312</v>
      </c>
      <c r="J20" s="370"/>
      <c r="K20" s="371" t="s">
        <v>178</v>
      </c>
      <c r="L20" s="2828"/>
      <c r="M20" s="385"/>
      <c r="N20" s="170"/>
      <c r="O20" s="170"/>
      <c r="P20" s="170"/>
      <c r="Q20" s="190"/>
      <c r="R20" s="190"/>
      <c r="S20" s="172"/>
      <c r="T20" s="172"/>
      <c r="U20" s="170"/>
      <c r="V20" s="170"/>
      <c r="W20" s="170"/>
      <c r="X20" s="170"/>
      <c r="Y20" s="170"/>
      <c r="Z20" s="170"/>
    </row>
    <row r="21" spans="1:26" s="16" customFormat="1" ht="21.95" customHeight="1">
      <c r="A21" s="2757"/>
      <c r="B21" s="2841"/>
      <c r="C21" s="2841"/>
      <c r="D21" s="2841"/>
      <c r="E21" s="2842"/>
      <c r="F21" s="2835"/>
      <c r="G21" s="2835"/>
      <c r="H21" s="372"/>
      <c r="I21" s="354" t="s">
        <v>179</v>
      </c>
      <c r="J21" s="373"/>
      <c r="K21" s="355" t="s">
        <v>179</v>
      </c>
      <c r="L21" s="2837"/>
      <c r="M21" s="385"/>
      <c r="N21" s="170"/>
      <c r="O21" s="170"/>
      <c r="P21" s="170"/>
      <c r="Q21" s="190"/>
      <c r="R21" s="190"/>
      <c r="S21" s="172" t="str">
        <f>IFERROR(CHOOSE(Q21,I18,I19,I20,I21),"")</f>
        <v/>
      </c>
      <c r="T21" s="172" t="str">
        <f>IFERROR(CHOOSE(R21,K18,K19,K20,K21),"")</f>
        <v/>
      </c>
      <c r="U21" s="170"/>
      <c r="V21" s="170"/>
      <c r="W21" s="170"/>
      <c r="X21" s="170"/>
      <c r="Y21" s="170"/>
      <c r="Z21" s="170"/>
    </row>
    <row r="22" spans="1:26" s="16" customFormat="1" ht="21.95" customHeight="1">
      <c r="A22" s="2791">
        <v>5</v>
      </c>
      <c r="B22" s="2818" t="s">
        <v>322</v>
      </c>
      <c r="C22" s="2818"/>
      <c r="D22" s="2818"/>
      <c r="E22" s="2819"/>
      <c r="F22" s="2836" t="s">
        <v>323</v>
      </c>
      <c r="G22" s="2836" t="s">
        <v>324</v>
      </c>
      <c r="H22" s="369"/>
      <c r="I22" s="366" t="s">
        <v>304</v>
      </c>
      <c r="J22" s="370"/>
      <c r="K22" s="371" t="s">
        <v>130</v>
      </c>
      <c r="L22" s="2828"/>
      <c r="M22" s="385"/>
      <c r="N22" s="170"/>
      <c r="O22" s="170"/>
      <c r="P22" s="170"/>
      <c r="Q22" s="190"/>
      <c r="R22" s="190"/>
      <c r="S22" s="172"/>
      <c r="T22" s="172"/>
      <c r="U22" s="170"/>
      <c r="V22" s="170"/>
      <c r="W22" s="170"/>
      <c r="X22" s="170"/>
      <c r="Y22" s="170"/>
      <c r="Z22" s="170"/>
    </row>
    <row r="23" spans="1:26" s="16" customFormat="1" ht="21.95" customHeight="1">
      <c r="A23" s="2792"/>
      <c r="B23" s="2821"/>
      <c r="C23" s="2821"/>
      <c r="D23" s="2821"/>
      <c r="E23" s="2822"/>
      <c r="F23" s="2826"/>
      <c r="G23" s="2826"/>
      <c r="H23" s="369"/>
      <c r="I23" s="366" t="s">
        <v>315</v>
      </c>
      <c r="J23" s="370"/>
      <c r="K23" s="371" t="s">
        <v>310</v>
      </c>
      <c r="L23" s="2828"/>
      <c r="M23" s="385"/>
      <c r="N23" s="170"/>
      <c r="O23" s="170"/>
      <c r="P23" s="170"/>
      <c r="Q23" s="190"/>
      <c r="R23" s="190"/>
      <c r="S23" s="172"/>
      <c r="T23" s="172"/>
      <c r="U23" s="170"/>
      <c r="V23" s="170"/>
      <c r="W23" s="170"/>
      <c r="X23" s="170"/>
      <c r="Y23" s="170"/>
      <c r="Z23" s="170"/>
    </row>
    <row r="24" spans="1:26" s="16" customFormat="1" ht="21.95" customHeight="1">
      <c r="A24" s="2792"/>
      <c r="B24" s="2821"/>
      <c r="C24" s="2821"/>
      <c r="D24" s="2821"/>
      <c r="E24" s="2822"/>
      <c r="F24" s="2826"/>
      <c r="G24" s="2826"/>
      <c r="H24" s="369"/>
      <c r="I24" s="366" t="s">
        <v>312</v>
      </c>
      <c r="J24" s="370"/>
      <c r="K24" s="371" t="s">
        <v>178</v>
      </c>
      <c r="L24" s="2828"/>
      <c r="M24" s="385"/>
      <c r="N24" s="170"/>
      <c r="O24" s="170"/>
      <c r="P24" s="170"/>
      <c r="Q24" s="190"/>
      <c r="R24" s="190"/>
      <c r="S24" s="172"/>
      <c r="T24" s="172"/>
      <c r="U24" s="170"/>
      <c r="V24" s="170"/>
      <c r="W24" s="170"/>
      <c r="X24" s="170"/>
      <c r="Y24" s="170"/>
      <c r="Z24" s="170"/>
    </row>
    <row r="25" spans="1:26" s="16" customFormat="1" ht="21.95" customHeight="1">
      <c r="A25" s="2798"/>
      <c r="B25" s="2841"/>
      <c r="C25" s="2841"/>
      <c r="D25" s="2841"/>
      <c r="E25" s="2842"/>
      <c r="F25" s="2835"/>
      <c r="G25" s="2835"/>
      <c r="H25" s="372"/>
      <c r="I25" s="354" t="s">
        <v>179</v>
      </c>
      <c r="J25" s="373"/>
      <c r="K25" s="355" t="s">
        <v>179</v>
      </c>
      <c r="L25" s="2837"/>
      <c r="M25" s="385"/>
      <c r="N25" s="170"/>
      <c r="O25" s="170"/>
      <c r="P25" s="170"/>
      <c r="Q25" s="190"/>
      <c r="R25" s="190"/>
      <c r="S25" s="172" t="str">
        <f>IFERROR(CHOOSE(Q25,I22,I23,I24,I25),"")</f>
        <v/>
      </c>
      <c r="T25" s="172" t="str">
        <f>IFERROR(CHOOSE(R25,K22,K23,K24,K25),"")</f>
        <v/>
      </c>
      <c r="U25" s="170"/>
      <c r="V25" s="170"/>
      <c r="W25" s="170"/>
      <c r="X25" s="170"/>
      <c r="Y25" s="170"/>
      <c r="Z25" s="170"/>
    </row>
    <row r="26" spans="1:26" s="16" customFormat="1" ht="21.95" customHeight="1">
      <c r="A26" s="2791">
        <v>6</v>
      </c>
      <c r="B26" s="2818" t="s">
        <v>325</v>
      </c>
      <c r="C26" s="2818"/>
      <c r="D26" s="2818"/>
      <c r="E26" s="2819"/>
      <c r="F26" s="2836" t="s">
        <v>326</v>
      </c>
      <c r="G26" s="2826" t="s">
        <v>327</v>
      </c>
      <c r="H26" s="369"/>
      <c r="I26" s="366" t="s">
        <v>304</v>
      </c>
      <c r="J26" s="370"/>
      <c r="K26" s="371" t="s">
        <v>130</v>
      </c>
      <c r="L26" s="2828"/>
      <c r="M26" s="385"/>
      <c r="N26" s="170"/>
      <c r="O26" s="170"/>
      <c r="P26" s="170"/>
      <c r="Q26" s="190"/>
      <c r="R26" s="190"/>
      <c r="S26" s="172"/>
      <c r="T26" s="172"/>
      <c r="U26" s="170"/>
      <c r="V26" s="170"/>
      <c r="W26" s="170"/>
      <c r="X26" s="170"/>
      <c r="Y26" s="170"/>
      <c r="Z26" s="170"/>
    </row>
    <row r="27" spans="1:26" s="16" customFormat="1" ht="21.95" customHeight="1">
      <c r="A27" s="2792"/>
      <c r="B27" s="2821"/>
      <c r="C27" s="2821"/>
      <c r="D27" s="2821"/>
      <c r="E27" s="2822"/>
      <c r="F27" s="2826"/>
      <c r="G27" s="2826"/>
      <c r="H27" s="369"/>
      <c r="I27" s="366" t="s">
        <v>315</v>
      </c>
      <c r="J27" s="370"/>
      <c r="K27" s="371" t="s">
        <v>310</v>
      </c>
      <c r="L27" s="2828"/>
      <c r="M27" s="385"/>
      <c r="N27" s="170"/>
      <c r="O27" s="170"/>
      <c r="P27" s="170"/>
      <c r="Q27" s="190"/>
      <c r="R27" s="190"/>
      <c r="S27" s="172"/>
      <c r="T27" s="172"/>
      <c r="U27" s="170"/>
      <c r="V27" s="170"/>
      <c r="W27" s="170"/>
      <c r="X27" s="170"/>
      <c r="Y27" s="170"/>
      <c r="Z27" s="170"/>
    </row>
    <row r="28" spans="1:26" s="16" customFormat="1" ht="21.95" customHeight="1">
      <c r="A28" s="2792"/>
      <c r="B28" s="2821"/>
      <c r="C28" s="2821"/>
      <c r="D28" s="2821"/>
      <c r="E28" s="2822"/>
      <c r="F28" s="2826"/>
      <c r="G28" s="2826"/>
      <c r="H28" s="369"/>
      <c r="I28" s="366" t="s">
        <v>312</v>
      </c>
      <c r="J28" s="370"/>
      <c r="K28" s="371" t="s">
        <v>178</v>
      </c>
      <c r="L28" s="2828"/>
      <c r="M28" s="385"/>
      <c r="N28" s="170"/>
      <c r="O28" s="170"/>
      <c r="P28" s="170"/>
      <c r="Q28" s="190"/>
      <c r="R28" s="190"/>
      <c r="S28" s="172"/>
      <c r="T28" s="172"/>
      <c r="U28" s="170"/>
      <c r="V28" s="170"/>
      <c r="W28" s="170"/>
      <c r="X28" s="170"/>
      <c r="Y28" s="170"/>
      <c r="Z28" s="170"/>
    </row>
    <row r="29" spans="1:26" s="16" customFormat="1" ht="21.95" customHeight="1">
      <c r="A29" s="2798"/>
      <c r="B29" s="2841"/>
      <c r="C29" s="2841"/>
      <c r="D29" s="2841"/>
      <c r="E29" s="2842"/>
      <c r="F29" s="2835"/>
      <c r="G29" s="2835"/>
      <c r="H29" s="372"/>
      <c r="I29" s="354" t="s">
        <v>179</v>
      </c>
      <c r="J29" s="373"/>
      <c r="K29" s="355" t="s">
        <v>179</v>
      </c>
      <c r="L29" s="2837"/>
      <c r="M29" s="385"/>
      <c r="N29" s="170"/>
      <c r="O29" s="170"/>
      <c r="P29" s="170"/>
      <c r="Q29" s="190"/>
      <c r="R29" s="190"/>
      <c r="S29" s="172" t="str">
        <f>IFERROR(CHOOSE(Q29,I26,I27,I28,I29),"")</f>
        <v/>
      </c>
      <c r="T29" s="172" t="str">
        <f>IFERROR(CHOOSE(R29,K26,K27,K28,K29),"")</f>
        <v/>
      </c>
      <c r="U29" s="170"/>
      <c r="V29" s="170"/>
      <c r="W29" s="170"/>
      <c r="X29" s="170"/>
      <c r="Y29" s="170"/>
      <c r="Z29" s="170"/>
    </row>
    <row r="30" spans="1:26" s="16" customFormat="1" ht="21.95" customHeight="1">
      <c r="A30" s="2815">
        <v>7</v>
      </c>
      <c r="B30" s="2818" t="s">
        <v>328</v>
      </c>
      <c r="C30" s="2818"/>
      <c r="D30" s="2818"/>
      <c r="E30" s="2819"/>
      <c r="F30" s="2836" t="s">
        <v>329</v>
      </c>
      <c r="G30" s="2826" t="s">
        <v>330</v>
      </c>
      <c r="H30" s="369"/>
      <c r="I30" s="366" t="s">
        <v>304</v>
      </c>
      <c r="J30" s="370"/>
      <c r="K30" s="371" t="s">
        <v>130</v>
      </c>
      <c r="L30" s="2828"/>
      <c r="M30" s="385"/>
      <c r="N30" s="170"/>
      <c r="O30" s="170"/>
      <c r="P30" s="170"/>
      <c r="Q30" s="190"/>
      <c r="R30" s="190"/>
      <c r="S30" s="172"/>
      <c r="T30" s="172"/>
      <c r="U30" s="170"/>
      <c r="V30" s="170"/>
      <c r="W30" s="170"/>
      <c r="X30" s="170"/>
      <c r="Y30" s="170"/>
      <c r="Z30" s="170"/>
    </row>
    <row r="31" spans="1:26" s="16" customFormat="1" ht="21.95" customHeight="1">
      <c r="A31" s="2756"/>
      <c r="B31" s="2821"/>
      <c r="C31" s="2821"/>
      <c r="D31" s="2821"/>
      <c r="E31" s="2822"/>
      <c r="F31" s="2826"/>
      <c r="G31" s="2826"/>
      <c r="H31" s="369"/>
      <c r="I31" s="366" t="s">
        <v>315</v>
      </c>
      <c r="J31" s="370"/>
      <c r="K31" s="371" t="s">
        <v>310</v>
      </c>
      <c r="L31" s="2828"/>
      <c r="M31" s="385"/>
      <c r="N31" s="170"/>
      <c r="O31" s="170"/>
      <c r="P31" s="170"/>
      <c r="Q31" s="190"/>
      <c r="R31" s="190"/>
      <c r="S31" s="172"/>
      <c r="T31" s="172"/>
      <c r="U31" s="170"/>
      <c r="V31" s="170"/>
      <c r="W31" s="170"/>
      <c r="X31" s="170"/>
      <c r="Y31" s="170"/>
      <c r="Z31" s="170"/>
    </row>
    <row r="32" spans="1:26" s="16" customFormat="1" ht="21.95" customHeight="1">
      <c r="A32" s="2756"/>
      <c r="B32" s="2821"/>
      <c r="C32" s="2821"/>
      <c r="D32" s="2821"/>
      <c r="E32" s="2822"/>
      <c r="F32" s="2826"/>
      <c r="G32" s="2826"/>
      <c r="H32" s="369"/>
      <c r="I32" s="366" t="s">
        <v>312</v>
      </c>
      <c r="J32" s="370"/>
      <c r="K32" s="371" t="s">
        <v>178</v>
      </c>
      <c r="L32" s="2828"/>
      <c r="M32" s="385"/>
      <c r="N32" s="170"/>
      <c r="O32" s="170"/>
      <c r="P32" s="170"/>
      <c r="Q32" s="190"/>
      <c r="R32" s="190"/>
      <c r="S32" s="172"/>
      <c r="T32" s="172"/>
      <c r="U32" s="170"/>
      <c r="V32" s="170"/>
      <c r="W32" s="170"/>
      <c r="X32" s="170"/>
      <c r="Y32" s="170"/>
      <c r="Z32" s="170"/>
    </row>
    <row r="33" spans="1:26" s="16" customFormat="1" ht="21.95" customHeight="1">
      <c r="A33" s="2757"/>
      <c r="B33" s="2841"/>
      <c r="C33" s="2841"/>
      <c r="D33" s="2841"/>
      <c r="E33" s="2842"/>
      <c r="F33" s="2835"/>
      <c r="G33" s="2835"/>
      <c r="H33" s="372"/>
      <c r="I33" s="354" t="s">
        <v>179</v>
      </c>
      <c r="J33" s="373"/>
      <c r="K33" s="355" t="s">
        <v>179</v>
      </c>
      <c r="L33" s="2837"/>
      <c r="M33" s="385"/>
      <c r="N33" s="170"/>
      <c r="O33" s="170"/>
      <c r="P33" s="170"/>
      <c r="Q33" s="190"/>
      <c r="R33" s="190"/>
      <c r="S33" s="172" t="str">
        <f>IFERROR(CHOOSE(Q33,I30,I31,I32,I33),"")</f>
        <v/>
      </c>
      <c r="T33" s="172" t="str">
        <f>IFERROR(CHOOSE(R33,K30,K31,K32,K33),"")</f>
        <v/>
      </c>
      <c r="U33" s="170"/>
      <c r="V33" s="170"/>
      <c r="W33" s="170"/>
      <c r="X33" s="170"/>
      <c r="Y33" s="170"/>
      <c r="Z33" s="170"/>
    </row>
    <row r="34" spans="1:26" s="16" customFormat="1" ht="21.95" customHeight="1">
      <c r="A34" s="2767">
        <v>8</v>
      </c>
      <c r="B34" s="2770" t="s">
        <v>331</v>
      </c>
      <c r="C34" s="2771"/>
      <c r="D34" s="2771"/>
      <c r="E34" s="2772"/>
      <c r="F34" s="2786" t="s">
        <v>332</v>
      </c>
      <c r="G34" s="2826" t="s">
        <v>333</v>
      </c>
      <c r="H34" s="369"/>
      <c r="I34" s="366" t="s">
        <v>304</v>
      </c>
      <c r="J34" s="370"/>
      <c r="K34" s="371" t="s">
        <v>130</v>
      </c>
      <c r="L34" s="2828"/>
      <c r="M34" s="385"/>
      <c r="N34" s="170"/>
      <c r="O34" s="170"/>
      <c r="P34" s="170"/>
      <c r="Q34" s="190"/>
      <c r="R34" s="190"/>
      <c r="S34" s="172"/>
      <c r="T34" s="172"/>
      <c r="U34" s="170"/>
      <c r="V34" s="170"/>
      <c r="W34" s="170"/>
      <c r="X34" s="170"/>
      <c r="Y34" s="170"/>
      <c r="Z34" s="170"/>
    </row>
    <row r="35" spans="1:26" s="16" customFormat="1" ht="21.95" customHeight="1">
      <c r="A35" s="2768"/>
      <c r="B35" s="2773"/>
      <c r="C35" s="2774"/>
      <c r="D35" s="2774"/>
      <c r="E35" s="2775"/>
      <c r="F35" s="2788"/>
      <c r="G35" s="2826"/>
      <c r="H35" s="369"/>
      <c r="I35" s="366" t="s">
        <v>315</v>
      </c>
      <c r="J35" s="370"/>
      <c r="K35" s="371" t="s">
        <v>310</v>
      </c>
      <c r="L35" s="2828"/>
      <c r="M35" s="385"/>
      <c r="N35" s="170"/>
      <c r="O35" s="170"/>
      <c r="P35" s="170"/>
      <c r="Q35" s="190"/>
      <c r="R35" s="190"/>
      <c r="S35" s="172"/>
      <c r="T35" s="172"/>
      <c r="U35" s="170"/>
      <c r="V35" s="170"/>
      <c r="W35" s="170"/>
      <c r="X35" s="170"/>
      <c r="Y35" s="170"/>
      <c r="Z35" s="170"/>
    </row>
    <row r="36" spans="1:26" s="16" customFormat="1" ht="21.95" customHeight="1">
      <c r="A36" s="2768"/>
      <c r="B36" s="2773"/>
      <c r="C36" s="2774"/>
      <c r="D36" s="2774"/>
      <c r="E36" s="2775"/>
      <c r="F36" s="2788"/>
      <c r="G36" s="2826"/>
      <c r="H36" s="369"/>
      <c r="I36" s="366" t="s">
        <v>312</v>
      </c>
      <c r="J36" s="370"/>
      <c r="K36" s="371" t="s">
        <v>178</v>
      </c>
      <c r="L36" s="2828"/>
      <c r="M36" s="385"/>
      <c r="N36" s="170"/>
      <c r="O36" s="170"/>
      <c r="P36" s="170"/>
      <c r="Q36" s="190"/>
      <c r="R36" s="190"/>
      <c r="S36" s="172"/>
      <c r="T36" s="172"/>
      <c r="U36" s="170"/>
      <c r="V36" s="170"/>
      <c r="W36" s="170"/>
      <c r="X36" s="170"/>
      <c r="Y36" s="170"/>
      <c r="Z36" s="170"/>
    </row>
    <row r="37" spans="1:26" s="16" customFormat="1" ht="21.95" customHeight="1">
      <c r="A37" s="2769"/>
      <c r="B37" s="2776"/>
      <c r="C37" s="2777"/>
      <c r="D37" s="2777"/>
      <c r="E37" s="2778"/>
      <c r="F37" s="2790"/>
      <c r="G37" s="2835"/>
      <c r="H37" s="372"/>
      <c r="I37" s="354" t="s">
        <v>179</v>
      </c>
      <c r="J37" s="373"/>
      <c r="K37" s="355" t="s">
        <v>179</v>
      </c>
      <c r="L37" s="2837"/>
      <c r="M37" s="385"/>
      <c r="N37" s="170"/>
      <c r="O37" s="170"/>
      <c r="P37" s="170"/>
      <c r="Q37" s="190"/>
      <c r="R37" s="190"/>
      <c r="S37" s="172" t="str">
        <f>IFERROR(CHOOSE(Q37,I34,I35,I36,I37),"")</f>
        <v/>
      </c>
      <c r="T37" s="172" t="str">
        <f>IFERROR(CHOOSE(R37,K34,K35,K36,K37),"")</f>
        <v/>
      </c>
      <c r="U37" s="170"/>
      <c r="V37" s="170"/>
      <c r="W37" s="170"/>
      <c r="X37" s="170"/>
      <c r="Y37" s="170"/>
      <c r="Z37" s="170"/>
    </row>
    <row r="38" spans="1:26" s="16" customFormat="1" ht="21.95" customHeight="1">
      <c r="A38" s="2791">
        <v>9</v>
      </c>
      <c r="B38" s="2817" t="s">
        <v>334</v>
      </c>
      <c r="C38" s="2818"/>
      <c r="D38" s="2818"/>
      <c r="E38" s="2819"/>
      <c r="F38" s="2786" t="s">
        <v>335</v>
      </c>
      <c r="G38" s="2836" t="s">
        <v>336</v>
      </c>
      <c r="H38" s="369"/>
      <c r="I38" s="366" t="s">
        <v>304</v>
      </c>
      <c r="J38" s="370"/>
      <c r="K38" s="371" t="s">
        <v>130</v>
      </c>
      <c r="L38" s="2828"/>
      <c r="M38" s="385"/>
      <c r="N38" s="170"/>
      <c r="O38" s="170"/>
      <c r="P38" s="170"/>
      <c r="Q38" s="190"/>
      <c r="R38" s="190"/>
      <c r="S38" s="172"/>
      <c r="T38" s="172"/>
      <c r="U38" s="170"/>
      <c r="V38" s="170"/>
      <c r="W38" s="170"/>
      <c r="X38" s="170"/>
      <c r="Y38" s="170"/>
      <c r="Z38" s="170"/>
    </row>
    <row r="39" spans="1:26" s="16" customFormat="1" ht="21.95" customHeight="1">
      <c r="A39" s="2792"/>
      <c r="B39" s="2820"/>
      <c r="C39" s="2821"/>
      <c r="D39" s="2821"/>
      <c r="E39" s="2822"/>
      <c r="F39" s="2788"/>
      <c r="G39" s="2826"/>
      <c r="H39" s="369"/>
      <c r="I39" s="366" t="s">
        <v>315</v>
      </c>
      <c r="J39" s="370"/>
      <c r="K39" s="371" t="s">
        <v>310</v>
      </c>
      <c r="L39" s="2828"/>
      <c r="M39" s="385"/>
      <c r="N39" s="170"/>
      <c r="O39" s="170"/>
      <c r="P39" s="170"/>
      <c r="Q39" s="190"/>
      <c r="R39" s="190"/>
      <c r="S39" s="172"/>
      <c r="T39" s="172"/>
      <c r="U39" s="170"/>
      <c r="V39" s="170"/>
      <c r="W39" s="170"/>
      <c r="X39" s="170"/>
      <c r="Y39" s="170"/>
      <c r="Z39" s="170"/>
    </row>
    <row r="40" spans="1:26" s="16" customFormat="1" ht="21.95" customHeight="1">
      <c r="A40" s="2792"/>
      <c r="B40" s="2820"/>
      <c r="C40" s="2821"/>
      <c r="D40" s="2821"/>
      <c r="E40" s="2822"/>
      <c r="F40" s="2788"/>
      <c r="G40" s="2826"/>
      <c r="H40" s="369"/>
      <c r="I40" s="366" t="s">
        <v>312</v>
      </c>
      <c r="J40" s="370"/>
      <c r="K40" s="371" t="s">
        <v>178</v>
      </c>
      <c r="L40" s="2828"/>
      <c r="M40" s="385"/>
      <c r="N40" s="170"/>
      <c r="O40" s="170"/>
      <c r="P40" s="170"/>
      <c r="Q40" s="190"/>
      <c r="R40" s="190"/>
      <c r="S40" s="172"/>
      <c r="T40" s="172"/>
      <c r="U40" s="170"/>
      <c r="V40" s="170"/>
      <c r="W40" s="170"/>
      <c r="X40" s="170"/>
      <c r="Y40" s="170"/>
      <c r="Z40" s="170"/>
    </row>
    <row r="41" spans="1:26" s="16" customFormat="1" ht="21.95" customHeight="1">
      <c r="A41" s="2798"/>
      <c r="B41" s="2840"/>
      <c r="C41" s="2841"/>
      <c r="D41" s="2841"/>
      <c r="E41" s="2842"/>
      <c r="F41" s="2790"/>
      <c r="G41" s="2835"/>
      <c r="H41" s="372"/>
      <c r="I41" s="354" t="s">
        <v>179</v>
      </c>
      <c r="J41" s="373"/>
      <c r="K41" s="355" t="s">
        <v>179</v>
      </c>
      <c r="L41" s="2837"/>
      <c r="M41" s="385"/>
      <c r="N41" s="170"/>
      <c r="O41" s="170"/>
      <c r="P41" s="170"/>
      <c r="Q41" s="190"/>
      <c r="R41" s="190"/>
      <c r="S41" s="172" t="str">
        <f>IFERROR(CHOOSE(Q41,I38,I39,I40,I41),"")</f>
        <v/>
      </c>
      <c r="T41" s="172" t="str">
        <f>IFERROR(CHOOSE(R41,K38,K39,K40,K41),"")</f>
        <v/>
      </c>
      <c r="U41" s="170"/>
      <c r="V41" s="170"/>
      <c r="W41" s="170"/>
      <c r="X41" s="170"/>
      <c r="Y41" s="170"/>
      <c r="Z41" s="170"/>
    </row>
    <row r="42" spans="1:26" s="16" customFormat="1" ht="21.95" customHeight="1">
      <c r="A42" s="2843">
        <v>10</v>
      </c>
      <c r="B42" s="2817" t="s">
        <v>413</v>
      </c>
      <c r="C42" s="2818"/>
      <c r="D42" s="2818"/>
      <c r="E42" s="2819"/>
      <c r="F42" s="2836" t="s">
        <v>337</v>
      </c>
      <c r="G42" s="2826" t="s">
        <v>338</v>
      </c>
      <c r="H42" s="369"/>
      <c r="I42" s="366" t="s">
        <v>304</v>
      </c>
      <c r="J42" s="370"/>
      <c r="K42" s="371" t="s">
        <v>130</v>
      </c>
      <c r="L42" s="2845"/>
      <c r="M42" s="385"/>
      <c r="N42" s="170"/>
      <c r="O42" s="170"/>
      <c r="P42" s="170"/>
      <c r="Q42" s="190"/>
      <c r="R42" s="190"/>
      <c r="S42" s="172"/>
      <c r="T42" s="172"/>
      <c r="U42" s="170"/>
      <c r="V42" s="170"/>
      <c r="W42" s="170"/>
      <c r="X42" s="170"/>
      <c r="Y42" s="170"/>
      <c r="Z42" s="170"/>
    </row>
    <row r="43" spans="1:26" s="16" customFormat="1" ht="21.95" customHeight="1">
      <c r="A43" s="2844"/>
      <c r="B43" s="2820"/>
      <c r="C43" s="2821"/>
      <c r="D43" s="2821"/>
      <c r="E43" s="2822"/>
      <c r="F43" s="2826"/>
      <c r="G43" s="2826"/>
      <c r="H43" s="369"/>
      <c r="I43" s="366" t="s">
        <v>315</v>
      </c>
      <c r="J43" s="370"/>
      <c r="K43" s="371" t="s">
        <v>310</v>
      </c>
      <c r="L43" s="2845"/>
      <c r="M43" s="385"/>
      <c r="N43" s="170"/>
      <c r="O43" s="170"/>
      <c r="P43" s="170"/>
      <c r="Q43" s="190"/>
      <c r="R43" s="190"/>
      <c r="S43" s="172"/>
      <c r="T43" s="172"/>
      <c r="U43" s="170"/>
      <c r="V43" s="170"/>
      <c r="W43" s="170"/>
      <c r="X43" s="170"/>
      <c r="Y43" s="170"/>
      <c r="Z43" s="170"/>
    </row>
    <row r="44" spans="1:26" s="16" customFormat="1" ht="21.95" customHeight="1">
      <c r="A44" s="2844"/>
      <c r="B44" s="2820"/>
      <c r="C44" s="2821"/>
      <c r="D44" s="2821"/>
      <c r="E44" s="2822"/>
      <c r="F44" s="2826"/>
      <c r="G44" s="2826"/>
      <c r="H44" s="369"/>
      <c r="I44" s="366" t="s">
        <v>312</v>
      </c>
      <c r="J44" s="370"/>
      <c r="K44" s="371" t="s">
        <v>178</v>
      </c>
      <c r="L44" s="2845"/>
      <c r="M44" s="385"/>
      <c r="N44" s="170"/>
      <c r="O44" s="170"/>
      <c r="P44" s="170"/>
      <c r="Q44" s="190"/>
      <c r="R44" s="190"/>
      <c r="S44" s="172"/>
      <c r="T44" s="172"/>
      <c r="U44" s="170"/>
      <c r="V44" s="170"/>
      <c r="W44" s="170"/>
      <c r="X44" s="170"/>
      <c r="Y44" s="170"/>
      <c r="Z44" s="170"/>
    </row>
    <row r="45" spans="1:26" s="16" customFormat="1" ht="21.95" customHeight="1" thickBot="1">
      <c r="A45" s="2804"/>
      <c r="B45" s="2823"/>
      <c r="C45" s="2824"/>
      <c r="D45" s="2824"/>
      <c r="E45" s="2825"/>
      <c r="F45" s="2827"/>
      <c r="G45" s="2827"/>
      <c r="H45" s="374"/>
      <c r="I45" s="388" t="s">
        <v>179</v>
      </c>
      <c r="J45" s="375"/>
      <c r="K45" s="389" t="s">
        <v>179</v>
      </c>
      <c r="L45" s="2846"/>
      <c r="M45" s="385"/>
      <c r="N45" s="170"/>
      <c r="O45" s="170"/>
      <c r="P45" s="170"/>
      <c r="Q45" s="190"/>
      <c r="R45" s="190"/>
      <c r="S45" s="172" t="str">
        <f>IFERROR(CHOOSE(Q45,I42,I43,I44,I45),"")</f>
        <v/>
      </c>
      <c r="T45" s="172" t="str">
        <f>IFERROR(CHOOSE(R45,K42,K43,K44,K45),"")</f>
        <v/>
      </c>
      <c r="U45" s="170"/>
      <c r="V45" s="170"/>
      <c r="W45" s="170"/>
      <c r="X45" s="170"/>
      <c r="Y45" s="170"/>
      <c r="Z45" s="170"/>
    </row>
    <row r="46" spans="1:26" s="16" customFormat="1">
      <c r="A46" s="1" t="s">
        <v>300</v>
      </c>
      <c r="B46" s="15"/>
      <c r="C46" s="15"/>
      <c r="D46" s="15"/>
      <c r="E46" s="15"/>
      <c r="F46" s="112"/>
      <c r="G46" s="113"/>
      <c r="H46" s="19"/>
      <c r="I46" s="19"/>
      <c r="J46" s="20"/>
      <c r="K46" s="20"/>
      <c r="L46" s="21"/>
      <c r="M46" s="385"/>
      <c r="N46" s="170"/>
      <c r="O46" s="170"/>
      <c r="P46" s="170"/>
      <c r="Q46" s="190"/>
      <c r="R46" s="190"/>
      <c r="S46" s="172"/>
      <c r="T46" s="172"/>
      <c r="U46" s="170"/>
      <c r="V46" s="170"/>
      <c r="W46" s="170"/>
      <c r="X46" s="170"/>
      <c r="Y46" s="170"/>
      <c r="Z46" s="170"/>
    </row>
    <row r="47" spans="1:26" s="16" customFormat="1">
      <c r="A47" s="2" t="s">
        <v>119</v>
      </c>
      <c r="B47" s="15"/>
      <c r="C47" s="15"/>
      <c r="D47" s="15"/>
      <c r="E47" s="15"/>
      <c r="F47" s="112"/>
      <c r="G47" s="113"/>
      <c r="H47" s="19"/>
      <c r="I47" s="19"/>
      <c r="J47" s="20"/>
      <c r="K47" s="20"/>
      <c r="L47" s="21"/>
      <c r="M47" s="385"/>
      <c r="N47" s="170"/>
      <c r="O47" s="170"/>
      <c r="P47" s="170"/>
      <c r="Q47" s="190"/>
      <c r="R47" s="190"/>
      <c r="S47" s="172"/>
      <c r="T47" s="172"/>
      <c r="U47" s="170"/>
      <c r="V47" s="170"/>
      <c r="W47" s="170"/>
      <c r="X47" s="170"/>
      <c r="Y47" s="170"/>
      <c r="Z47" s="170"/>
    </row>
    <row r="48" spans="1:26" s="6" customFormat="1" ht="16.5" customHeight="1" thickBot="1">
      <c r="A48" s="50" t="s">
        <v>588</v>
      </c>
      <c r="B48" s="89"/>
      <c r="C48" s="89"/>
      <c r="D48" s="89"/>
      <c r="E48" s="16"/>
      <c r="F48" s="16"/>
      <c r="G48" s="7"/>
      <c r="H48" s="22"/>
      <c r="I48" s="22"/>
      <c r="J48" s="90"/>
      <c r="K48" s="90"/>
      <c r="L48" s="107"/>
      <c r="M48" s="385"/>
      <c r="N48" s="165"/>
      <c r="O48" s="165"/>
      <c r="P48" s="165"/>
      <c r="Q48" s="190"/>
      <c r="R48" s="190"/>
      <c r="S48" s="172"/>
      <c r="T48" s="172"/>
      <c r="U48" s="165"/>
      <c r="V48" s="165"/>
      <c r="W48" s="165"/>
      <c r="X48" s="165"/>
      <c r="Y48" s="165"/>
      <c r="Z48" s="165"/>
    </row>
    <row r="49" spans="1:26" s="6" customFormat="1" ht="15.2" customHeight="1">
      <c r="A49" s="2801" t="s">
        <v>184</v>
      </c>
      <c r="B49" s="2802"/>
      <c r="C49" s="2802"/>
      <c r="D49" s="2802"/>
      <c r="E49" s="2803"/>
      <c r="F49" s="2838" t="s">
        <v>302</v>
      </c>
      <c r="G49" s="2838" t="s">
        <v>303</v>
      </c>
      <c r="H49" s="2807" t="s">
        <v>186</v>
      </c>
      <c r="I49" s="2808"/>
      <c r="J49" s="2808"/>
      <c r="K49" s="2809"/>
      <c r="L49" s="2810" t="s">
        <v>141</v>
      </c>
      <c r="M49" s="385"/>
      <c r="N49" s="186"/>
      <c r="O49" s="187"/>
      <c r="P49" s="165"/>
      <c r="Q49" s="190"/>
      <c r="R49" s="190"/>
      <c r="S49" s="172"/>
      <c r="T49" s="172"/>
      <c r="U49" s="165"/>
      <c r="V49" s="165"/>
      <c r="W49" s="165"/>
      <c r="X49" s="165"/>
      <c r="Y49" s="165"/>
      <c r="Z49" s="165"/>
    </row>
    <row r="50" spans="1:26" s="6" customFormat="1" ht="23.25" customHeight="1" thickBot="1">
      <c r="A50" s="2804"/>
      <c r="B50" s="2805"/>
      <c r="C50" s="2805"/>
      <c r="D50" s="2805"/>
      <c r="E50" s="2806"/>
      <c r="F50" s="2839"/>
      <c r="G50" s="2839"/>
      <c r="H50" s="2812" t="s">
        <v>305</v>
      </c>
      <c r="I50" s="2813"/>
      <c r="J50" s="2814" t="s">
        <v>306</v>
      </c>
      <c r="K50" s="2806"/>
      <c r="L50" s="2811"/>
      <c r="M50" s="385"/>
      <c r="N50" s="188"/>
      <c r="O50" s="188"/>
      <c r="P50" s="171"/>
      <c r="Q50" s="190"/>
      <c r="R50" s="190"/>
      <c r="S50" s="172"/>
      <c r="T50" s="172"/>
      <c r="U50" s="165"/>
      <c r="V50" s="165"/>
      <c r="W50" s="165"/>
      <c r="X50" s="165"/>
      <c r="Y50" s="165"/>
      <c r="Z50" s="165"/>
    </row>
    <row r="51" spans="1:26" s="6" customFormat="1" ht="21.95" customHeight="1">
      <c r="A51" s="2792">
        <v>11</v>
      </c>
      <c r="B51" s="2832" t="s">
        <v>339</v>
      </c>
      <c r="C51" s="2833"/>
      <c r="D51" s="2833"/>
      <c r="E51" s="2834"/>
      <c r="F51" s="2826" t="s">
        <v>408</v>
      </c>
      <c r="G51" s="2826" t="s">
        <v>338</v>
      </c>
      <c r="H51" s="376"/>
      <c r="I51" s="387" t="s">
        <v>304</v>
      </c>
      <c r="J51" s="376"/>
      <c r="K51" s="371" t="s">
        <v>130</v>
      </c>
      <c r="L51" s="2765"/>
      <c r="M51" s="385"/>
      <c r="N51" s="165"/>
      <c r="O51" s="165"/>
      <c r="P51" s="165"/>
      <c r="Q51" s="190"/>
      <c r="R51" s="190"/>
      <c r="S51" s="172"/>
      <c r="T51" s="172"/>
      <c r="U51" s="165"/>
      <c r="V51" s="165"/>
      <c r="W51" s="165"/>
      <c r="X51" s="165"/>
      <c r="Y51" s="165"/>
      <c r="Z51" s="165"/>
    </row>
    <row r="52" spans="1:26" s="6" customFormat="1" ht="21.95" customHeight="1">
      <c r="A52" s="2792"/>
      <c r="B52" s="2773"/>
      <c r="C52" s="2774"/>
      <c r="D52" s="2774"/>
      <c r="E52" s="2775"/>
      <c r="F52" s="2826"/>
      <c r="G52" s="2826"/>
      <c r="H52" s="376"/>
      <c r="I52" s="366" t="s">
        <v>315</v>
      </c>
      <c r="J52" s="376"/>
      <c r="K52" s="371" t="s">
        <v>310</v>
      </c>
      <c r="L52" s="2765"/>
      <c r="M52" s="385"/>
      <c r="N52" s="165"/>
      <c r="O52" s="165"/>
      <c r="P52" s="165"/>
      <c r="Q52" s="190"/>
      <c r="R52" s="190"/>
      <c r="S52" s="172"/>
      <c r="T52" s="172"/>
      <c r="U52" s="165"/>
      <c r="V52" s="165"/>
      <c r="W52" s="165"/>
      <c r="X52" s="165"/>
      <c r="Y52" s="165"/>
      <c r="Z52" s="165"/>
    </row>
    <row r="53" spans="1:26" s="6" customFormat="1" ht="21.95" customHeight="1">
      <c r="A53" s="2792"/>
      <c r="B53" s="2773"/>
      <c r="C53" s="2774"/>
      <c r="D53" s="2774"/>
      <c r="E53" s="2775"/>
      <c r="F53" s="2826"/>
      <c r="G53" s="2826"/>
      <c r="H53" s="376"/>
      <c r="I53" s="366" t="s">
        <v>312</v>
      </c>
      <c r="J53" s="376"/>
      <c r="K53" s="371" t="s">
        <v>178</v>
      </c>
      <c r="L53" s="2765"/>
      <c r="M53" s="385"/>
      <c r="N53" s="165"/>
      <c r="O53" s="165"/>
      <c r="P53" s="165"/>
      <c r="Q53" s="190"/>
      <c r="R53" s="190"/>
      <c r="S53" s="172"/>
      <c r="T53" s="172"/>
      <c r="U53" s="165"/>
      <c r="V53" s="165"/>
      <c r="W53" s="165"/>
      <c r="X53" s="165"/>
      <c r="Y53" s="165"/>
      <c r="Z53" s="165"/>
    </row>
    <row r="54" spans="1:26" s="16" customFormat="1" ht="21.95" customHeight="1">
      <c r="A54" s="2798"/>
      <c r="B54" s="2776"/>
      <c r="C54" s="2777"/>
      <c r="D54" s="2777"/>
      <c r="E54" s="2778"/>
      <c r="F54" s="2835"/>
      <c r="G54" s="2835"/>
      <c r="H54" s="377"/>
      <c r="I54" s="354" t="s">
        <v>179</v>
      </c>
      <c r="J54" s="378"/>
      <c r="K54" s="355" t="s">
        <v>179</v>
      </c>
      <c r="L54" s="2766"/>
      <c r="M54" s="385"/>
      <c r="N54" s="170"/>
      <c r="O54" s="170"/>
      <c r="P54" s="170"/>
      <c r="Q54" s="190"/>
      <c r="R54" s="190"/>
      <c r="S54" s="172" t="str">
        <f>IFERROR(CHOOSE(Q54,I51,I52,I53,I54),"")</f>
        <v/>
      </c>
      <c r="T54" s="172" t="str">
        <f>IFERROR(CHOOSE(R54,K51,K52,K53,K54),"")</f>
        <v/>
      </c>
      <c r="U54" s="170"/>
      <c r="V54" s="170"/>
      <c r="W54" s="170"/>
      <c r="X54" s="170"/>
      <c r="Y54" s="170"/>
      <c r="Z54" s="170"/>
    </row>
    <row r="55" spans="1:26" s="16" customFormat="1" ht="21.95" customHeight="1">
      <c r="A55" s="2767">
        <v>12</v>
      </c>
      <c r="B55" s="2770" t="s">
        <v>340</v>
      </c>
      <c r="C55" s="2771"/>
      <c r="D55" s="2771"/>
      <c r="E55" s="2772"/>
      <c r="F55" s="2836" t="s">
        <v>589</v>
      </c>
      <c r="G55" s="2826" t="s">
        <v>341</v>
      </c>
      <c r="H55" s="376"/>
      <c r="I55" s="366" t="s">
        <v>304</v>
      </c>
      <c r="J55" s="376"/>
      <c r="K55" s="371" t="s">
        <v>130</v>
      </c>
      <c r="L55" s="2828"/>
      <c r="M55" s="385"/>
      <c r="N55" s="170"/>
      <c r="O55" s="170"/>
      <c r="P55" s="170"/>
      <c r="Q55" s="190"/>
      <c r="R55" s="190"/>
      <c r="S55" s="172"/>
      <c r="T55" s="172"/>
      <c r="U55" s="170"/>
      <c r="V55" s="170"/>
      <c r="W55" s="170"/>
      <c r="X55" s="170"/>
      <c r="Y55" s="170"/>
      <c r="Z55" s="170"/>
    </row>
    <row r="56" spans="1:26" s="16" customFormat="1" ht="21.95" customHeight="1">
      <c r="A56" s="2768"/>
      <c r="B56" s="2773"/>
      <c r="C56" s="2774"/>
      <c r="D56" s="2774"/>
      <c r="E56" s="2775"/>
      <c r="F56" s="2826"/>
      <c r="G56" s="2826"/>
      <c r="H56" s="376"/>
      <c r="I56" s="366" t="s">
        <v>315</v>
      </c>
      <c r="J56" s="376"/>
      <c r="K56" s="371" t="s">
        <v>310</v>
      </c>
      <c r="L56" s="2828"/>
      <c r="M56" s="385"/>
      <c r="N56" s="170"/>
      <c r="O56" s="170"/>
      <c r="P56" s="170"/>
      <c r="Q56" s="190"/>
      <c r="R56" s="190"/>
      <c r="S56" s="172"/>
      <c r="T56" s="172"/>
      <c r="U56" s="170"/>
      <c r="V56" s="170"/>
      <c r="W56" s="170"/>
      <c r="X56" s="170"/>
      <c r="Y56" s="170"/>
      <c r="Z56" s="170"/>
    </row>
    <row r="57" spans="1:26" s="16" customFormat="1" ht="21.95" customHeight="1">
      <c r="A57" s="2768"/>
      <c r="B57" s="2773"/>
      <c r="C57" s="2774"/>
      <c r="D57" s="2774"/>
      <c r="E57" s="2775"/>
      <c r="F57" s="2826"/>
      <c r="G57" s="2826"/>
      <c r="H57" s="376"/>
      <c r="I57" s="366" t="s">
        <v>312</v>
      </c>
      <c r="J57" s="376"/>
      <c r="K57" s="371" t="s">
        <v>178</v>
      </c>
      <c r="L57" s="2828"/>
      <c r="M57" s="385"/>
      <c r="N57" s="170"/>
      <c r="O57" s="170"/>
      <c r="P57" s="170"/>
      <c r="Q57" s="190"/>
      <c r="R57" s="190"/>
      <c r="S57" s="172"/>
      <c r="T57" s="172"/>
      <c r="U57" s="170"/>
      <c r="V57" s="170"/>
      <c r="W57" s="170"/>
      <c r="X57" s="170"/>
      <c r="Y57" s="170"/>
      <c r="Z57" s="170"/>
    </row>
    <row r="58" spans="1:26" s="16" customFormat="1" ht="21.95" customHeight="1">
      <c r="A58" s="2769"/>
      <c r="B58" s="2776"/>
      <c r="C58" s="2777"/>
      <c r="D58" s="2777"/>
      <c r="E58" s="2778"/>
      <c r="F58" s="2835"/>
      <c r="G58" s="2835"/>
      <c r="H58" s="377"/>
      <c r="I58" s="354" t="s">
        <v>179</v>
      </c>
      <c r="J58" s="378"/>
      <c r="K58" s="355" t="s">
        <v>179</v>
      </c>
      <c r="L58" s="2837"/>
      <c r="M58" s="385"/>
      <c r="N58" s="170"/>
      <c r="O58" s="170"/>
      <c r="P58" s="170"/>
      <c r="Q58" s="190"/>
      <c r="R58" s="190"/>
      <c r="S58" s="172" t="str">
        <f>IFERROR(CHOOSE(Q58,I55,I56,I57,I58),"")</f>
        <v/>
      </c>
      <c r="T58" s="172" t="str">
        <f>IFERROR(CHOOSE(R58,K55,K56,K57,K58),"")</f>
        <v/>
      </c>
      <c r="U58" s="170"/>
      <c r="V58" s="170"/>
      <c r="W58" s="170"/>
      <c r="X58" s="170"/>
      <c r="Y58" s="170"/>
      <c r="Z58" s="170"/>
    </row>
    <row r="59" spans="1:26" s="16" customFormat="1" ht="21.95" customHeight="1">
      <c r="A59" s="2815">
        <v>13</v>
      </c>
      <c r="B59" s="2817" t="s">
        <v>342</v>
      </c>
      <c r="C59" s="2818"/>
      <c r="D59" s="2818"/>
      <c r="E59" s="2819"/>
      <c r="F59" s="2826" t="s">
        <v>409</v>
      </c>
      <c r="G59" s="2826" t="s">
        <v>343</v>
      </c>
      <c r="H59" s="376"/>
      <c r="I59" s="366" t="s">
        <v>304</v>
      </c>
      <c r="J59" s="376"/>
      <c r="K59" s="371" t="s">
        <v>130</v>
      </c>
      <c r="L59" s="2828"/>
      <c r="M59" s="385"/>
      <c r="N59" s="170"/>
      <c r="O59" s="170"/>
      <c r="P59" s="170"/>
      <c r="Q59" s="190"/>
      <c r="R59" s="190"/>
      <c r="S59" s="172"/>
      <c r="T59" s="172"/>
      <c r="U59" s="170"/>
      <c r="V59" s="170"/>
      <c r="W59" s="170"/>
      <c r="X59" s="170"/>
      <c r="Y59" s="170"/>
      <c r="Z59" s="170"/>
    </row>
    <row r="60" spans="1:26" s="16" customFormat="1" ht="21.95" customHeight="1">
      <c r="A60" s="2756"/>
      <c r="B60" s="2820"/>
      <c r="C60" s="2821"/>
      <c r="D60" s="2821"/>
      <c r="E60" s="2822"/>
      <c r="F60" s="2826"/>
      <c r="G60" s="2826"/>
      <c r="H60" s="376"/>
      <c r="I60" s="366" t="s">
        <v>315</v>
      </c>
      <c r="J60" s="376"/>
      <c r="K60" s="371" t="s">
        <v>310</v>
      </c>
      <c r="L60" s="2828"/>
      <c r="M60" s="385"/>
      <c r="N60" s="170"/>
      <c r="O60" s="170"/>
      <c r="P60" s="170"/>
      <c r="Q60" s="190"/>
      <c r="R60" s="190"/>
      <c r="S60" s="172"/>
      <c r="T60" s="172"/>
      <c r="U60" s="170"/>
      <c r="V60" s="170"/>
      <c r="W60" s="170"/>
      <c r="X60" s="170"/>
      <c r="Y60" s="170"/>
      <c r="Z60" s="170"/>
    </row>
    <row r="61" spans="1:26" s="16" customFormat="1" ht="21.95" customHeight="1">
      <c r="A61" s="2756"/>
      <c r="B61" s="2820"/>
      <c r="C61" s="2821"/>
      <c r="D61" s="2821"/>
      <c r="E61" s="2822"/>
      <c r="F61" s="2826"/>
      <c r="G61" s="2826"/>
      <c r="H61" s="376"/>
      <c r="I61" s="366" t="s">
        <v>312</v>
      </c>
      <c r="J61" s="376"/>
      <c r="K61" s="371" t="s">
        <v>178</v>
      </c>
      <c r="L61" s="2828"/>
      <c r="M61" s="385"/>
      <c r="N61" s="170"/>
      <c r="O61" s="170"/>
      <c r="P61" s="170"/>
      <c r="Q61" s="190"/>
      <c r="R61" s="190"/>
      <c r="S61" s="172"/>
      <c r="T61" s="172"/>
      <c r="U61" s="170"/>
      <c r="V61" s="170"/>
      <c r="W61" s="170"/>
      <c r="X61" s="170"/>
      <c r="Y61" s="170"/>
      <c r="Z61" s="170"/>
    </row>
    <row r="62" spans="1:26" s="16" customFormat="1" ht="21.95" customHeight="1" thickBot="1">
      <c r="A62" s="2816"/>
      <c r="B62" s="2823"/>
      <c r="C62" s="2824"/>
      <c r="D62" s="2824"/>
      <c r="E62" s="2825"/>
      <c r="F62" s="2827"/>
      <c r="G62" s="2827"/>
      <c r="H62" s="379"/>
      <c r="I62" s="388" t="s">
        <v>179</v>
      </c>
      <c r="J62" s="380"/>
      <c r="K62" s="389" t="s">
        <v>179</v>
      </c>
      <c r="L62" s="2829"/>
      <c r="M62" s="385"/>
      <c r="N62" s="170"/>
      <c r="O62" s="170"/>
      <c r="P62" s="170"/>
      <c r="Q62" s="190"/>
      <c r="R62" s="190"/>
      <c r="S62" s="172" t="str">
        <f>IFERROR(CHOOSE(Q62,I59,I60,I61,I62),"")</f>
        <v/>
      </c>
      <c r="T62" s="172" t="str">
        <f>IFERROR(CHOOSE(R62,K59,K60,K61,K62),"")</f>
        <v/>
      </c>
      <c r="U62" s="170"/>
      <c r="V62" s="170"/>
      <c r="W62" s="170"/>
      <c r="X62" s="170"/>
      <c r="Y62" s="170"/>
      <c r="Z62" s="170"/>
    </row>
    <row r="63" spans="1:26" s="16" customFormat="1" ht="26.25" customHeight="1">
      <c r="A63" s="2830" t="s">
        <v>344</v>
      </c>
      <c r="B63" s="2830"/>
      <c r="C63" s="2830"/>
      <c r="D63" s="2830"/>
      <c r="E63" s="2830"/>
      <c r="F63" s="2830"/>
      <c r="G63" s="2830"/>
      <c r="H63" s="2831"/>
      <c r="I63" s="2831"/>
      <c r="J63" s="2831"/>
      <c r="K63" s="2831"/>
      <c r="L63" s="2831"/>
      <c r="M63" s="385"/>
      <c r="N63" s="170"/>
      <c r="O63" s="170"/>
      <c r="P63" s="170"/>
      <c r="Q63" s="172"/>
      <c r="R63" s="172"/>
      <c r="S63" s="172"/>
      <c r="T63" s="172"/>
      <c r="U63" s="170"/>
      <c r="V63" s="170"/>
      <c r="W63" s="170"/>
      <c r="X63" s="170"/>
      <c r="Y63" s="170"/>
      <c r="Z63" s="170"/>
    </row>
    <row r="64" spans="1:26" s="16" customFormat="1" ht="12" customHeight="1">
      <c r="A64" s="114"/>
      <c r="B64" s="98"/>
      <c r="C64" s="98"/>
      <c r="D64" s="98"/>
      <c r="E64" s="98"/>
      <c r="F64" s="15"/>
      <c r="G64" s="15"/>
      <c r="H64" s="19"/>
      <c r="I64" s="19"/>
      <c r="J64" s="20"/>
      <c r="K64" s="20"/>
      <c r="L64" s="23"/>
      <c r="M64" s="385"/>
      <c r="N64" s="170"/>
      <c r="O64" s="170"/>
      <c r="P64" s="170"/>
      <c r="Q64" s="172"/>
      <c r="R64" s="172"/>
      <c r="S64" s="172"/>
      <c r="T64" s="172"/>
      <c r="U64" s="170"/>
      <c r="V64" s="170"/>
      <c r="W64" s="170"/>
      <c r="X64" s="170"/>
      <c r="Y64" s="170"/>
      <c r="Z64" s="170"/>
    </row>
    <row r="65" spans="1:26" s="16" customFormat="1" ht="20.25" customHeight="1" thickBot="1">
      <c r="A65" s="386" t="s">
        <v>345</v>
      </c>
      <c r="B65" s="15"/>
      <c r="C65" s="15"/>
      <c r="D65" s="15"/>
      <c r="E65" s="381"/>
      <c r="F65" s="381"/>
      <c r="G65" s="2"/>
      <c r="H65" s="88"/>
      <c r="I65" s="88"/>
      <c r="J65" s="88"/>
      <c r="K65" s="88"/>
      <c r="L65" s="5"/>
      <c r="M65" s="385"/>
      <c r="N65" s="170"/>
      <c r="O65" s="170"/>
      <c r="P65" s="170"/>
      <c r="Q65" s="172"/>
      <c r="R65" s="172"/>
      <c r="S65" s="172"/>
      <c r="T65" s="172"/>
      <c r="U65" s="170"/>
      <c r="V65" s="170"/>
      <c r="W65" s="170"/>
      <c r="X65" s="170"/>
      <c r="Y65" s="170"/>
      <c r="Z65" s="170"/>
    </row>
    <row r="66" spans="1:26" s="16" customFormat="1" ht="15.2" customHeight="1">
      <c r="A66" s="2801" t="s">
        <v>184</v>
      </c>
      <c r="B66" s="2802"/>
      <c r="C66" s="2802"/>
      <c r="D66" s="2802"/>
      <c r="E66" s="2803"/>
      <c r="F66" s="2852" t="s">
        <v>302</v>
      </c>
      <c r="G66" s="2853"/>
      <c r="H66" s="2807" t="s">
        <v>186</v>
      </c>
      <c r="I66" s="2808"/>
      <c r="J66" s="2808"/>
      <c r="K66" s="2809"/>
      <c r="L66" s="2810" t="s">
        <v>141</v>
      </c>
      <c r="M66" s="385"/>
      <c r="N66" s="170"/>
      <c r="O66" s="170"/>
      <c r="P66" s="170"/>
      <c r="Q66" s="172"/>
      <c r="R66" s="172"/>
      <c r="S66" s="172"/>
      <c r="T66" s="172"/>
      <c r="U66" s="170"/>
      <c r="V66" s="170"/>
      <c r="W66" s="170"/>
      <c r="X66" s="170"/>
      <c r="Y66" s="170"/>
      <c r="Z66" s="170"/>
    </row>
    <row r="67" spans="1:26" s="16" customFormat="1" ht="23.25" customHeight="1" thickBot="1">
      <c r="A67" s="2804"/>
      <c r="B67" s="2805"/>
      <c r="C67" s="2805"/>
      <c r="D67" s="2805"/>
      <c r="E67" s="2806"/>
      <c r="F67" s="2812"/>
      <c r="G67" s="2854"/>
      <c r="H67" s="2812" t="s">
        <v>305</v>
      </c>
      <c r="I67" s="2813"/>
      <c r="J67" s="2814" t="s">
        <v>306</v>
      </c>
      <c r="K67" s="2806"/>
      <c r="L67" s="2811"/>
      <c r="M67" s="385"/>
      <c r="N67" s="170"/>
      <c r="O67" s="170"/>
      <c r="P67" s="170"/>
      <c r="Q67" s="172"/>
      <c r="R67" s="172"/>
      <c r="S67" s="172"/>
      <c r="T67" s="172"/>
      <c r="U67" s="170"/>
      <c r="V67" s="170"/>
      <c r="W67" s="170"/>
      <c r="X67" s="170"/>
      <c r="Y67" s="170"/>
      <c r="Z67" s="170"/>
    </row>
    <row r="68" spans="1:26" s="16" customFormat="1" ht="21.95" customHeight="1">
      <c r="A68" s="2755">
        <v>14</v>
      </c>
      <c r="B68" s="2758" t="s">
        <v>135</v>
      </c>
      <c r="C68" s="2758"/>
      <c r="D68" s="2758"/>
      <c r="E68" s="2759"/>
      <c r="F68" s="2779" t="s">
        <v>307</v>
      </c>
      <c r="G68" s="2780"/>
      <c r="H68" s="376"/>
      <c r="I68" s="387" t="s">
        <v>308</v>
      </c>
      <c r="J68" s="382"/>
      <c r="K68" s="371" t="s">
        <v>130</v>
      </c>
      <c r="L68" s="2764"/>
      <c r="M68" s="385"/>
      <c r="N68" s="170"/>
      <c r="O68" s="170"/>
      <c r="P68" s="170"/>
      <c r="Q68" s="172"/>
      <c r="R68" s="172"/>
      <c r="S68" s="172"/>
      <c r="T68" s="172"/>
      <c r="U68" s="170"/>
      <c r="V68" s="170"/>
      <c r="W68" s="170"/>
      <c r="X68" s="170"/>
      <c r="Y68" s="170"/>
      <c r="Z68" s="170"/>
    </row>
    <row r="69" spans="1:26" s="16" customFormat="1" ht="21.95" customHeight="1">
      <c r="A69" s="2756"/>
      <c r="B69" s="2760"/>
      <c r="C69" s="2760"/>
      <c r="D69" s="2760"/>
      <c r="E69" s="2761"/>
      <c r="F69" s="2781"/>
      <c r="G69" s="2782"/>
      <c r="H69" s="376"/>
      <c r="I69" s="366" t="s">
        <v>309</v>
      </c>
      <c r="J69" s="382"/>
      <c r="K69" s="371" t="s">
        <v>310</v>
      </c>
      <c r="L69" s="2765"/>
      <c r="M69" s="385"/>
      <c r="N69" s="170"/>
      <c r="O69" s="170"/>
      <c r="P69" s="170"/>
      <c r="Q69" s="172"/>
      <c r="R69" s="172"/>
      <c r="S69" s="172"/>
      <c r="T69" s="172"/>
      <c r="U69" s="170"/>
      <c r="V69" s="170"/>
      <c r="W69" s="170"/>
      <c r="X69" s="170"/>
      <c r="Y69" s="170"/>
      <c r="Z69" s="170"/>
    </row>
    <row r="70" spans="1:26" s="16" customFormat="1" ht="21.95" customHeight="1">
      <c r="A70" s="2756"/>
      <c r="B70" s="2760"/>
      <c r="C70" s="2760"/>
      <c r="D70" s="2760"/>
      <c r="E70" s="2761"/>
      <c r="F70" s="2781"/>
      <c r="G70" s="2782"/>
      <c r="H70" s="376"/>
      <c r="I70" s="366" t="s">
        <v>311</v>
      </c>
      <c r="J70" s="382"/>
      <c r="K70" s="371" t="s">
        <v>178</v>
      </c>
      <c r="L70" s="2765"/>
      <c r="M70" s="385"/>
      <c r="N70" s="170"/>
      <c r="O70" s="170"/>
      <c r="P70" s="170"/>
      <c r="Q70" s="172"/>
      <c r="R70" s="172"/>
      <c r="S70" s="172"/>
      <c r="T70" s="172"/>
      <c r="U70" s="170"/>
      <c r="V70" s="170"/>
      <c r="W70" s="170"/>
      <c r="X70" s="170"/>
      <c r="Y70" s="170"/>
      <c r="Z70" s="170"/>
    </row>
    <row r="71" spans="1:26" s="16" customFormat="1" ht="21.95" customHeight="1">
      <c r="A71" s="2757"/>
      <c r="B71" s="2762"/>
      <c r="C71" s="2762"/>
      <c r="D71" s="2762"/>
      <c r="E71" s="2763"/>
      <c r="F71" s="2783"/>
      <c r="G71" s="2784"/>
      <c r="H71" s="377"/>
      <c r="I71" s="356" t="s">
        <v>179</v>
      </c>
      <c r="J71" s="383"/>
      <c r="K71" s="355" t="s">
        <v>179</v>
      </c>
      <c r="L71" s="2766"/>
      <c r="M71" s="385"/>
      <c r="N71" s="170"/>
      <c r="O71" s="170"/>
      <c r="P71" s="170"/>
      <c r="Q71" s="190"/>
      <c r="R71" s="190"/>
      <c r="S71" s="172" t="str">
        <f>IFERROR(CHOOSE(Q71,I68,I69,I70,I71),"")</f>
        <v/>
      </c>
      <c r="T71" s="172" t="str">
        <f>IFERROR(CHOOSE(R71,K68,K69,K70,K71),"")</f>
        <v/>
      </c>
      <c r="U71" s="170"/>
      <c r="V71" s="170"/>
      <c r="W71" s="170"/>
      <c r="X71" s="170"/>
      <c r="Y71" s="170"/>
      <c r="Z71" s="170"/>
    </row>
    <row r="72" spans="1:26" s="16" customFormat="1" ht="21.95" customHeight="1">
      <c r="A72" s="2767">
        <v>15</v>
      </c>
      <c r="B72" s="2770" t="s">
        <v>142</v>
      </c>
      <c r="C72" s="2771"/>
      <c r="D72" s="2771"/>
      <c r="E72" s="2772"/>
      <c r="F72" s="2785" t="s">
        <v>346</v>
      </c>
      <c r="G72" s="2786"/>
      <c r="H72" s="376"/>
      <c r="I72" s="390" t="s">
        <v>308</v>
      </c>
      <c r="J72" s="382"/>
      <c r="K72" s="371" t="s">
        <v>130</v>
      </c>
      <c r="L72" s="2765"/>
      <c r="M72" s="385"/>
      <c r="N72" s="170"/>
      <c r="O72" s="170"/>
      <c r="P72" s="170"/>
      <c r="Q72" s="190"/>
      <c r="R72" s="190"/>
      <c r="S72" s="172"/>
      <c r="T72" s="172"/>
      <c r="U72" s="170"/>
      <c r="V72" s="170"/>
      <c r="W72" s="170"/>
      <c r="X72" s="170"/>
      <c r="Y72" s="170"/>
      <c r="Z72" s="170"/>
    </row>
    <row r="73" spans="1:26" s="16" customFormat="1" ht="21.95" customHeight="1">
      <c r="A73" s="2768"/>
      <c r="B73" s="2773"/>
      <c r="C73" s="2774"/>
      <c r="D73" s="2774"/>
      <c r="E73" s="2775"/>
      <c r="F73" s="2787"/>
      <c r="G73" s="2788"/>
      <c r="H73" s="376"/>
      <c r="I73" s="366" t="s">
        <v>309</v>
      </c>
      <c r="J73" s="382"/>
      <c r="K73" s="371" t="s">
        <v>310</v>
      </c>
      <c r="L73" s="2765"/>
      <c r="M73" s="385"/>
      <c r="N73" s="170"/>
      <c r="O73" s="170"/>
      <c r="P73" s="170"/>
      <c r="Q73" s="190"/>
      <c r="R73" s="190"/>
      <c r="S73" s="172"/>
      <c r="T73" s="172"/>
      <c r="U73" s="170"/>
      <c r="V73" s="170"/>
      <c r="W73" s="170"/>
      <c r="X73" s="170"/>
      <c r="Y73" s="170"/>
      <c r="Z73" s="170"/>
    </row>
    <row r="74" spans="1:26" s="16" customFormat="1" ht="21.95" customHeight="1">
      <c r="A74" s="2768"/>
      <c r="B74" s="2773"/>
      <c r="C74" s="2774"/>
      <c r="D74" s="2774"/>
      <c r="E74" s="2775"/>
      <c r="F74" s="2787"/>
      <c r="G74" s="2788"/>
      <c r="H74" s="376"/>
      <c r="I74" s="366" t="s">
        <v>311</v>
      </c>
      <c r="J74" s="382"/>
      <c r="K74" s="371" t="s">
        <v>178</v>
      </c>
      <c r="L74" s="2765"/>
      <c r="M74" s="385"/>
      <c r="N74" s="170"/>
      <c r="O74" s="170"/>
      <c r="P74" s="170"/>
      <c r="Q74" s="190"/>
      <c r="R74" s="190"/>
      <c r="S74" s="172"/>
      <c r="T74" s="172"/>
      <c r="U74" s="170"/>
      <c r="V74" s="170"/>
      <c r="W74" s="170"/>
      <c r="X74" s="170"/>
      <c r="Y74" s="170"/>
      <c r="Z74" s="170"/>
    </row>
    <row r="75" spans="1:26" s="16" customFormat="1" ht="21.95" customHeight="1">
      <c r="A75" s="2769"/>
      <c r="B75" s="2776"/>
      <c r="C75" s="2777"/>
      <c r="D75" s="2777"/>
      <c r="E75" s="2778"/>
      <c r="F75" s="2789"/>
      <c r="G75" s="2790"/>
      <c r="H75" s="377"/>
      <c r="I75" s="354" t="s">
        <v>179</v>
      </c>
      <c r="J75" s="383"/>
      <c r="K75" s="355" t="s">
        <v>179</v>
      </c>
      <c r="L75" s="2766"/>
      <c r="M75" s="385"/>
      <c r="N75" s="170"/>
      <c r="O75" s="170"/>
      <c r="P75" s="170"/>
      <c r="Q75" s="190"/>
      <c r="R75" s="190"/>
      <c r="S75" s="172" t="str">
        <f>IFERROR(CHOOSE(Q75,I72,I73,I74,I75),"")</f>
        <v/>
      </c>
      <c r="T75" s="172" t="str">
        <f>IFERROR(CHOOSE(R75,K72,K73,K74,K75),"")</f>
        <v/>
      </c>
      <c r="U75" s="170"/>
      <c r="V75" s="170"/>
      <c r="W75" s="170"/>
      <c r="X75" s="170"/>
      <c r="Y75" s="170"/>
      <c r="Z75" s="170"/>
    </row>
    <row r="76" spans="1:26" s="16" customFormat="1" ht="21.95" customHeight="1">
      <c r="A76" s="2791">
        <v>16</v>
      </c>
      <c r="B76" s="2770" t="s">
        <v>143</v>
      </c>
      <c r="C76" s="2771"/>
      <c r="D76" s="2771"/>
      <c r="E76" s="2772"/>
      <c r="F76" s="2785" t="s">
        <v>347</v>
      </c>
      <c r="G76" s="2786"/>
      <c r="H76" s="376"/>
      <c r="I76" s="366" t="s">
        <v>304</v>
      </c>
      <c r="J76" s="382"/>
      <c r="K76" s="371" t="s">
        <v>130</v>
      </c>
      <c r="L76" s="2765"/>
      <c r="M76" s="385"/>
      <c r="N76" s="170"/>
      <c r="O76" s="170"/>
      <c r="P76" s="170"/>
      <c r="Q76" s="190"/>
      <c r="R76" s="190"/>
      <c r="S76" s="172"/>
      <c r="T76" s="172"/>
      <c r="U76" s="170"/>
      <c r="V76" s="170"/>
      <c r="W76" s="170"/>
      <c r="X76" s="170"/>
      <c r="Y76" s="170"/>
      <c r="Z76" s="170"/>
    </row>
    <row r="77" spans="1:26" s="16" customFormat="1" ht="21.95" customHeight="1">
      <c r="A77" s="2792"/>
      <c r="B77" s="2773"/>
      <c r="C77" s="2774"/>
      <c r="D77" s="2774"/>
      <c r="E77" s="2775"/>
      <c r="F77" s="2787"/>
      <c r="G77" s="2788"/>
      <c r="H77" s="376"/>
      <c r="I77" s="366" t="s">
        <v>315</v>
      </c>
      <c r="J77" s="382"/>
      <c r="K77" s="371" t="s">
        <v>310</v>
      </c>
      <c r="L77" s="2765"/>
      <c r="M77" s="385"/>
      <c r="N77" s="170"/>
      <c r="O77" s="170"/>
      <c r="P77" s="170"/>
      <c r="Q77" s="190"/>
      <c r="R77" s="190"/>
      <c r="S77" s="172"/>
      <c r="T77" s="172"/>
      <c r="U77" s="170"/>
      <c r="V77" s="170"/>
      <c r="W77" s="170"/>
      <c r="X77" s="170"/>
      <c r="Y77" s="170"/>
      <c r="Z77" s="170"/>
    </row>
    <row r="78" spans="1:26" s="16" customFormat="1" ht="21.95" customHeight="1">
      <c r="A78" s="2792"/>
      <c r="B78" s="2773"/>
      <c r="C78" s="2774"/>
      <c r="D78" s="2774"/>
      <c r="E78" s="2775"/>
      <c r="F78" s="2787"/>
      <c r="G78" s="2788"/>
      <c r="H78" s="376"/>
      <c r="I78" s="366" t="s">
        <v>312</v>
      </c>
      <c r="J78" s="382"/>
      <c r="K78" s="371" t="s">
        <v>178</v>
      </c>
      <c r="L78" s="2765"/>
      <c r="M78" s="385"/>
      <c r="N78" s="170"/>
      <c r="O78" s="170"/>
      <c r="P78" s="170"/>
      <c r="Q78" s="190"/>
      <c r="R78" s="190"/>
      <c r="S78" s="172"/>
      <c r="T78" s="172"/>
      <c r="U78" s="170"/>
      <c r="V78" s="170"/>
      <c r="W78" s="170"/>
      <c r="X78" s="170"/>
      <c r="Y78" s="170"/>
      <c r="Z78" s="170"/>
    </row>
    <row r="79" spans="1:26" s="16" customFormat="1" ht="21.95" customHeight="1">
      <c r="A79" s="2798"/>
      <c r="B79" s="2776"/>
      <c r="C79" s="2777"/>
      <c r="D79" s="2777"/>
      <c r="E79" s="2778"/>
      <c r="F79" s="2789"/>
      <c r="G79" s="2790"/>
      <c r="H79" s="377"/>
      <c r="I79" s="354" t="s">
        <v>179</v>
      </c>
      <c r="J79" s="383"/>
      <c r="K79" s="355" t="s">
        <v>179</v>
      </c>
      <c r="L79" s="2766"/>
      <c r="M79" s="385"/>
      <c r="N79" s="170"/>
      <c r="O79" s="170"/>
      <c r="P79" s="170"/>
      <c r="Q79" s="190"/>
      <c r="R79" s="190"/>
      <c r="S79" s="172" t="str">
        <f>IFERROR(CHOOSE(Q79,I76,I77,I78,I79),"")</f>
        <v/>
      </c>
      <c r="T79" s="172" t="str">
        <f>IFERROR(CHOOSE(R79,K76,K77,K78,K79),"")</f>
        <v/>
      </c>
      <c r="U79" s="170"/>
      <c r="V79" s="170"/>
      <c r="W79" s="170"/>
      <c r="X79" s="170"/>
      <c r="Y79" s="170"/>
      <c r="Z79" s="170"/>
    </row>
    <row r="80" spans="1:26" s="16" customFormat="1" ht="21.95" customHeight="1">
      <c r="A80" s="2791">
        <v>17</v>
      </c>
      <c r="B80" s="2770" t="s">
        <v>144</v>
      </c>
      <c r="C80" s="2771"/>
      <c r="D80" s="2771"/>
      <c r="E80" s="2772"/>
      <c r="F80" s="2785" t="s">
        <v>410</v>
      </c>
      <c r="G80" s="2786"/>
      <c r="H80" s="376"/>
      <c r="I80" s="366" t="s">
        <v>304</v>
      </c>
      <c r="J80" s="382"/>
      <c r="K80" s="371" t="s">
        <v>130</v>
      </c>
      <c r="L80" s="2765"/>
      <c r="M80" s="385"/>
      <c r="N80" s="170"/>
      <c r="O80" s="170"/>
      <c r="P80" s="170"/>
      <c r="Q80" s="190"/>
      <c r="R80" s="190"/>
      <c r="S80" s="172"/>
      <c r="T80" s="172"/>
      <c r="U80" s="170"/>
      <c r="V80" s="170"/>
      <c r="W80" s="170"/>
      <c r="X80" s="170"/>
      <c r="Y80" s="170"/>
      <c r="Z80" s="170"/>
    </row>
    <row r="81" spans="1:26" s="16" customFormat="1" ht="21.95" customHeight="1">
      <c r="A81" s="2792"/>
      <c r="B81" s="2773"/>
      <c r="C81" s="2774"/>
      <c r="D81" s="2774"/>
      <c r="E81" s="2775"/>
      <c r="F81" s="2787"/>
      <c r="G81" s="2788"/>
      <c r="H81" s="376"/>
      <c r="I81" s="366" t="s">
        <v>315</v>
      </c>
      <c r="J81" s="382"/>
      <c r="K81" s="371" t="s">
        <v>310</v>
      </c>
      <c r="L81" s="2765"/>
      <c r="M81" s="385"/>
      <c r="N81" s="170"/>
      <c r="O81" s="170"/>
      <c r="P81" s="170"/>
      <c r="Q81" s="190"/>
      <c r="R81" s="190"/>
      <c r="S81" s="172"/>
      <c r="T81" s="172"/>
      <c r="U81" s="170"/>
      <c r="V81" s="170"/>
      <c r="W81" s="170"/>
      <c r="X81" s="170"/>
      <c r="Y81" s="170"/>
      <c r="Z81" s="170"/>
    </row>
    <row r="82" spans="1:26" s="16" customFormat="1" ht="21.95" customHeight="1">
      <c r="A82" s="2792"/>
      <c r="B82" s="2773"/>
      <c r="C82" s="2774"/>
      <c r="D82" s="2774"/>
      <c r="E82" s="2775"/>
      <c r="F82" s="2787"/>
      <c r="G82" s="2788"/>
      <c r="H82" s="376"/>
      <c r="I82" s="366" t="s">
        <v>312</v>
      </c>
      <c r="J82" s="382"/>
      <c r="K82" s="371" t="s">
        <v>178</v>
      </c>
      <c r="L82" s="2765"/>
      <c r="M82" s="385"/>
      <c r="N82" s="170"/>
      <c r="O82" s="170"/>
      <c r="P82" s="170"/>
      <c r="Q82" s="190"/>
      <c r="R82" s="190"/>
      <c r="S82" s="172"/>
      <c r="T82" s="172"/>
      <c r="U82" s="170"/>
      <c r="V82" s="170"/>
      <c r="W82" s="170"/>
      <c r="X82" s="170"/>
      <c r="Y82" s="170"/>
      <c r="Z82" s="170"/>
    </row>
    <row r="83" spans="1:26" s="16" customFormat="1" ht="21.95" customHeight="1">
      <c r="A83" s="2798"/>
      <c r="B83" s="2776"/>
      <c r="C83" s="2777"/>
      <c r="D83" s="2777"/>
      <c r="E83" s="2778"/>
      <c r="F83" s="2789"/>
      <c r="G83" s="2790"/>
      <c r="H83" s="377"/>
      <c r="I83" s="354" t="s">
        <v>179</v>
      </c>
      <c r="J83" s="383"/>
      <c r="K83" s="355" t="s">
        <v>179</v>
      </c>
      <c r="L83" s="2766"/>
      <c r="M83" s="385"/>
      <c r="N83" s="170"/>
      <c r="O83" s="170"/>
      <c r="P83" s="170"/>
      <c r="Q83" s="190"/>
      <c r="R83" s="190"/>
      <c r="S83" s="172" t="str">
        <f>IFERROR(CHOOSE(Q83,I80,I81,I82,I83),"")</f>
        <v/>
      </c>
      <c r="T83" s="172" t="str">
        <f>IFERROR(CHOOSE(R83,K80,K81,K82,K83),"")</f>
        <v/>
      </c>
      <c r="U83" s="170"/>
      <c r="V83" s="170"/>
      <c r="W83" s="170"/>
      <c r="X83" s="170"/>
      <c r="Y83" s="170"/>
      <c r="Z83" s="170"/>
    </row>
    <row r="84" spans="1:26" s="16" customFormat="1" ht="21.95" customHeight="1">
      <c r="A84" s="2791">
        <v>18</v>
      </c>
      <c r="B84" s="2771" t="s">
        <v>145</v>
      </c>
      <c r="C84" s="2771"/>
      <c r="D84" s="2771"/>
      <c r="E84" s="2772"/>
      <c r="F84" s="2785" t="s">
        <v>348</v>
      </c>
      <c r="G84" s="2786"/>
      <c r="H84" s="376"/>
      <c r="I84" s="366" t="s">
        <v>304</v>
      </c>
      <c r="J84" s="382"/>
      <c r="K84" s="371" t="s">
        <v>130</v>
      </c>
      <c r="L84" s="2796"/>
      <c r="M84" s="385"/>
      <c r="N84" s="170"/>
      <c r="O84" s="170"/>
      <c r="P84" s="170"/>
      <c r="Q84" s="190"/>
      <c r="R84" s="190"/>
      <c r="S84" s="172"/>
      <c r="T84" s="172"/>
      <c r="U84" s="170"/>
      <c r="V84" s="170"/>
      <c r="W84" s="170"/>
      <c r="X84" s="170"/>
      <c r="Y84" s="170"/>
      <c r="Z84" s="170"/>
    </row>
    <row r="85" spans="1:26" s="16" customFormat="1" ht="21.95" customHeight="1">
      <c r="A85" s="2792"/>
      <c r="B85" s="2774"/>
      <c r="C85" s="2774"/>
      <c r="D85" s="2774"/>
      <c r="E85" s="2775"/>
      <c r="F85" s="2787"/>
      <c r="G85" s="2788"/>
      <c r="H85" s="376"/>
      <c r="I85" s="366" t="s">
        <v>315</v>
      </c>
      <c r="J85" s="382"/>
      <c r="K85" s="371" t="s">
        <v>310</v>
      </c>
      <c r="L85" s="2765"/>
      <c r="M85" s="385"/>
      <c r="N85" s="170"/>
      <c r="O85" s="170"/>
      <c r="P85" s="170"/>
      <c r="Q85" s="190"/>
      <c r="R85" s="190"/>
      <c r="S85" s="172"/>
      <c r="T85" s="172"/>
      <c r="U85" s="170"/>
      <c r="V85" s="170"/>
      <c r="W85" s="170"/>
      <c r="X85" s="170"/>
      <c r="Y85" s="170"/>
      <c r="Z85" s="170"/>
    </row>
    <row r="86" spans="1:26" s="16" customFormat="1" ht="21.95" customHeight="1">
      <c r="A86" s="2792"/>
      <c r="B86" s="2774"/>
      <c r="C86" s="2774"/>
      <c r="D86" s="2774"/>
      <c r="E86" s="2775"/>
      <c r="F86" s="2787"/>
      <c r="G86" s="2788"/>
      <c r="H86" s="376"/>
      <c r="I86" s="366" t="s">
        <v>312</v>
      </c>
      <c r="J86" s="382"/>
      <c r="K86" s="371" t="s">
        <v>178</v>
      </c>
      <c r="L86" s="2765"/>
      <c r="M86" s="385"/>
      <c r="N86" s="170"/>
      <c r="O86" s="170"/>
      <c r="P86" s="170"/>
      <c r="Q86" s="190"/>
      <c r="R86" s="190"/>
      <c r="S86" s="172"/>
      <c r="T86" s="172"/>
      <c r="U86" s="170"/>
      <c r="V86" s="170"/>
      <c r="W86" s="170"/>
      <c r="X86" s="170"/>
      <c r="Y86" s="170"/>
      <c r="Z86" s="170"/>
    </row>
    <row r="87" spans="1:26" s="16" customFormat="1" ht="21.95" customHeight="1" thickBot="1">
      <c r="A87" s="2793"/>
      <c r="B87" s="2794"/>
      <c r="C87" s="2794"/>
      <c r="D87" s="2794"/>
      <c r="E87" s="2795"/>
      <c r="F87" s="2799"/>
      <c r="G87" s="2800"/>
      <c r="H87" s="379"/>
      <c r="I87" s="388" t="s">
        <v>179</v>
      </c>
      <c r="J87" s="384"/>
      <c r="K87" s="389" t="s">
        <v>179</v>
      </c>
      <c r="L87" s="2797"/>
      <c r="M87" s="385"/>
      <c r="N87" s="170"/>
      <c r="O87" s="170"/>
      <c r="P87" s="170"/>
      <c r="Q87" s="190"/>
      <c r="R87" s="190"/>
      <c r="S87" s="172" t="str">
        <f>IFERROR(CHOOSE(Q87,I84,I85,I86,I87),"")</f>
        <v/>
      </c>
      <c r="T87" s="172" t="str">
        <f>IFERROR(CHOOSE(R87,K84,K85,K86,K87),"")</f>
        <v/>
      </c>
      <c r="U87" s="170"/>
      <c r="V87" s="170"/>
      <c r="W87" s="170"/>
      <c r="X87" s="170"/>
      <c r="Y87" s="170"/>
      <c r="Z87" s="170"/>
    </row>
    <row r="88" spans="1:26" s="6" customFormat="1" ht="9.9499999999999993" customHeight="1">
      <c r="A88" s="1426"/>
      <c r="B88" s="1"/>
      <c r="C88" s="1427"/>
      <c r="D88" s="1427"/>
      <c r="E88" s="1427"/>
      <c r="F88" s="1428"/>
      <c r="G88" s="1428"/>
      <c r="H88" s="1429"/>
      <c r="I88" s="1429"/>
      <c r="J88" s="1430"/>
      <c r="K88" s="1430"/>
      <c r="L88" s="23"/>
      <c r="M88" s="385"/>
      <c r="N88" s="165"/>
      <c r="O88" s="165"/>
      <c r="P88" s="165"/>
      <c r="Q88" s="172"/>
      <c r="R88" s="172"/>
      <c r="S88" s="172" t="str">
        <f>IFERROR(CHOOSE(Q88,$N$13,$N$4,$N$5,$N$9),"")</f>
        <v/>
      </c>
      <c r="T88" s="172" t="str">
        <f>IFERROR(CHOOSE(R88,$O$13,$O$4,$O$5,$O$9),"")</f>
        <v/>
      </c>
      <c r="U88" s="165"/>
      <c r="V88" s="165"/>
      <c r="W88" s="165"/>
      <c r="X88" s="165"/>
      <c r="Y88" s="165"/>
      <c r="Z88" s="165"/>
    </row>
    <row r="89" spans="1:26" s="16" customFormat="1" ht="39.950000000000003" customHeight="1">
      <c r="A89" s="182"/>
      <c r="B89" s="182"/>
      <c r="C89" s="200"/>
      <c r="D89" s="200"/>
      <c r="E89" s="182"/>
      <c r="F89" s="182"/>
      <c r="G89" s="182"/>
      <c r="H89" s="196"/>
      <c r="I89" s="196"/>
      <c r="J89" s="196"/>
      <c r="K89" s="196"/>
      <c r="L89" s="184"/>
      <c r="M89" s="189"/>
      <c r="N89" s="170"/>
      <c r="O89" s="170"/>
      <c r="P89" s="170"/>
      <c r="Q89" s="172"/>
      <c r="R89" s="172"/>
      <c r="S89" s="172"/>
      <c r="T89" s="172"/>
      <c r="U89" s="170"/>
      <c r="V89" s="170"/>
      <c r="W89" s="170"/>
      <c r="X89" s="170"/>
      <c r="Y89" s="170"/>
      <c r="Z89" s="170"/>
    </row>
    <row r="90" spans="1:26" s="16" customFormat="1" ht="39.950000000000003" customHeight="1">
      <c r="A90" s="182"/>
      <c r="B90" s="182"/>
      <c r="C90" s="200"/>
      <c r="D90" s="200"/>
      <c r="E90" s="182"/>
      <c r="F90" s="182"/>
      <c r="G90" s="182"/>
      <c r="H90" s="196"/>
      <c r="I90" s="196"/>
      <c r="J90" s="196"/>
      <c r="K90" s="196"/>
      <c r="L90" s="184"/>
      <c r="M90" s="189"/>
      <c r="N90" s="170"/>
      <c r="O90" s="170"/>
      <c r="P90" s="170"/>
      <c r="Q90" s="172"/>
      <c r="R90" s="172"/>
      <c r="S90" s="172"/>
      <c r="T90" s="172"/>
      <c r="U90" s="170"/>
      <c r="V90" s="170"/>
      <c r="W90" s="170"/>
      <c r="X90" s="170"/>
      <c r="Y90" s="170"/>
      <c r="Z90" s="170"/>
    </row>
    <row r="91" spans="1:26" s="6" customFormat="1" ht="39.950000000000003" customHeight="1">
      <c r="A91" s="182"/>
      <c r="B91" s="182"/>
      <c r="C91" s="200"/>
      <c r="D91" s="200"/>
      <c r="E91" s="182"/>
      <c r="F91" s="182"/>
      <c r="G91" s="182"/>
      <c r="H91" s="196"/>
      <c r="I91" s="196"/>
      <c r="J91" s="196"/>
      <c r="K91" s="196"/>
      <c r="L91" s="184"/>
      <c r="M91" s="189"/>
      <c r="N91" s="170"/>
      <c r="O91" s="170"/>
      <c r="P91" s="170"/>
      <c r="Q91" s="172"/>
      <c r="R91" s="172"/>
      <c r="S91" s="172"/>
      <c r="T91" s="172"/>
      <c r="U91" s="165"/>
      <c r="V91" s="165"/>
      <c r="W91" s="165"/>
      <c r="X91" s="165"/>
      <c r="Y91" s="165"/>
      <c r="Z91" s="165"/>
    </row>
    <row r="92" spans="1:26" s="6" customFormat="1" ht="39.950000000000003" customHeight="1">
      <c r="A92" s="182"/>
      <c r="B92" s="182"/>
      <c r="C92" s="200"/>
      <c r="D92" s="200"/>
      <c r="E92" s="182"/>
      <c r="F92" s="182"/>
      <c r="G92" s="182"/>
      <c r="H92" s="196"/>
      <c r="I92" s="196"/>
      <c r="J92" s="196"/>
      <c r="K92" s="196"/>
      <c r="L92" s="184"/>
      <c r="M92" s="189"/>
      <c r="N92" s="170"/>
      <c r="O92" s="170"/>
      <c r="P92" s="170"/>
      <c r="Q92" s="172"/>
      <c r="R92" s="172"/>
      <c r="S92" s="172"/>
      <c r="T92" s="172"/>
      <c r="U92" s="165"/>
      <c r="V92" s="165"/>
      <c r="W92" s="165"/>
      <c r="X92" s="165"/>
      <c r="Y92" s="165"/>
      <c r="Z92" s="165"/>
    </row>
    <row r="93" spans="1:26" s="6" customFormat="1" ht="39.950000000000003" customHeight="1">
      <c r="A93" s="182"/>
      <c r="B93" s="182"/>
      <c r="C93" s="200"/>
      <c r="D93" s="200"/>
      <c r="E93" s="182"/>
      <c r="F93" s="182"/>
      <c r="G93" s="182"/>
      <c r="H93" s="196"/>
      <c r="I93" s="196"/>
      <c r="J93" s="196"/>
      <c r="K93" s="196"/>
      <c r="L93" s="184"/>
      <c r="M93" s="183"/>
      <c r="N93" s="170"/>
      <c r="O93" s="170"/>
      <c r="P93" s="170"/>
      <c r="Q93" s="172"/>
      <c r="R93" s="172"/>
      <c r="S93" s="172"/>
      <c r="T93" s="172"/>
      <c r="U93" s="165"/>
      <c r="V93" s="165"/>
      <c r="W93" s="165"/>
      <c r="X93" s="165"/>
      <c r="Y93" s="165"/>
      <c r="Z93" s="165"/>
    </row>
    <row r="94" spans="1:26" s="6" customFormat="1" ht="39.950000000000003" customHeight="1">
      <c r="A94" s="182"/>
      <c r="B94" s="182"/>
      <c r="C94" s="200"/>
      <c r="D94" s="200"/>
      <c r="E94" s="182"/>
      <c r="F94" s="182"/>
      <c r="G94" s="182"/>
      <c r="H94" s="196"/>
      <c r="I94" s="196"/>
      <c r="J94" s="196"/>
      <c r="K94" s="196"/>
      <c r="L94" s="184"/>
      <c r="M94" s="189"/>
      <c r="N94" s="170"/>
      <c r="O94" s="170"/>
      <c r="P94" s="170"/>
      <c r="Q94" s="172"/>
      <c r="R94" s="172"/>
      <c r="S94" s="172"/>
      <c r="T94" s="172"/>
      <c r="U94" s="165"/>
      <c r="V94" s="165"/>
      <c r="W94" s="165"/>
      <c r="X94" s="165"/>
      <c r="Y94" s="165"/>
      <c r="Z94" s="165"/>
    </row>
    <row r="95" spans="1:26" s="6" customFormat="1" ht="39.950000000000003" customHeight="1">
      <c r="A95" s="182"/>
      <c r="B95" s="182"/>
      <c r="C95" s="200"/>
      <c r="D95" s="200"/>
      <c r="E95" s="182"/>
      <c r="F95" s="182"/>
      <c r="G95" s="182"/>
      <c r="H95" s="196"/>
      <c r="I95" s="196"/>
      <c r="J95" s="196"/>
      <c r="K95" s="196"/>
      <c r="L95" s="184"/>
      <c r="M95" s="189"/>
      <c r="N95" s="170"/>
      <c r="O95" s="170"/>
      <c r="P95" s="170"/>
      <c r="Q95" s="172"/>
      <c r="R95" s="172"/>
      <c r="S95" s="172"/>
      <c r="T95" s="172"/>
      <c r="U95" s="165"/>
      <c r="V95" s="165"/>
      <c r="W95" s="165"/>
      <c r="X95" s="165"/>
      <c r="Y95" s="165"/>
      <c r="Z95" s="165"/>
    </row>
    <row r="96" spans="1:26" s="6" customFormat="1" ht="39.950000000000003" customHeight="1">
      <c r="A96" s="182"/>
      <c r="B96" s="182"/>
      <c r="C96" s="200"/>
      <c r="D96" s="200"/>
      <c r="E96" s="182"/>
      <c r="F96" s="182"/>
      <c r="G96" s="182"/>
      <c r="H96" s="196"/>
      <c r="I96" s="196"/>
      <c r="J96" s="196"/>
      <c r="K96" s="196"/>
      <c r="L96" s="184"/>
      <c r="M96" s="189"/>
      <c r="N96" s="170"/>
      <c r="O96" s="170"/>
      <c r="P96" s="170"/>
      <c r="Q96" s="172"/>
      <c r="R96" s="172"/>
      <c r="S96" s="172"/>
      <c r="T96" s="172"/>
      <c r="U96" s="165"/>
      <c r="V96" s="165"/>
      <c r="W96" s="165"/>
      <c r="X96" s="165"/>
      <c r="Y96" s="165"/>
      <c r="Z96" s="165"/>
    </row>
    <row r="97" spans="1:26" s="6" customFormat="1" ht="39.950000000000003" customHeight="1">
      <c r="A97" s="182"/>
      <c r="B97" s="182"/>
      <c r="C97" s="200"/>
      <c r="D97" s="200"/>
      <c r="E97" s="182"/>
      <c r="F97" s="182"/>
      <c r="G97" s="182"/>
      <c r="H97" s="196"/>
      <c r="I97" s="196"/>
      <c r="J97" s="196"/>
      <c r="K97" s="196"/>
      <c r="L97" s="184"/>
      <c r="M97" s="189"/>
      <c r="N97" s="170"/>
      <c r="O97" s="170"/>
      <c r="P97" s="170"/>
      <c r="Q97" s="172"/>
      <c r="R97" s="172"/>
      <c r="S97" s="172"/>
      <c r="T97" s="172"/>
      <c r="U97" s="165"/>
      <c r="V97" s="165"/>
      <c r="W97" s="165"/>
      <c r="X97" s="165"/>
      <c r="Y97" s="165"/>
      <c r="Z97" s="165"/>
    </row>
    <row r="98" spans="1:26" s="6" customFormat="1" ht="39.950000000000003" customHeight="1">
      <c r="A98" s="2"/>
      <c r="B98" s="2"/>
      <c r="C98" s="15"/>
      <c r="D98" s="15"/>
      <c r="E98" s="2"/>
      <c r="F98" s="2"/>
      <c r="G98" s="2"/>
      <c r="H98" s="88"/>
      <c r="I98" s="88"/>
      <c r="J98" s="88"/>
      <c r="K98" s="88"/>
      <c r="L98" s="5"/>
      <c r="M98" s="385"/>
      <c r="N98" s="16"/>
      <c r="O98" s="16"/>
      <c r="P98" s="16"/>
      <c r="Q98" s="7"/>
      <c r="R98" s="7"/>
      <c r="S98" s="7"/>
      <c r="T98" s="7"/>
    </row>
    <row r="99" spans="1:26" s="6" customFormat="1" ht="39.950000000000003" customHeight="1">
      <c r="A99" s="2"/>
      <c r="B99" s="2"/>
      <c r="C99" s="15"/>
      <c r="D99" s="15"/>
      <c r="E99" s="2"/>
      <c r="F99" s="2"/>
      <c r="G99" s="2"/>
      <c r="H99" s="88"/>
      <c r="I99" s="88"/>
      <c r="J99" s="88"/>
      <c r="K99" s="88"/>
      <c r="L99" s="5"/>
      <c r="M99" s="385"/>
      <c r="N99" s="16"/>
      <c r="O99" s="16"/>
      <c r="P99" s="16"/>
      <c r="Q99" s="7"/>
      <c r="R99" s="7"/>
      <c r="S99" s="7"/>
      <c r="T99" s="7"/>
    </row>
    <row r="100" spans="1:26" ht="39.950000000000003" customHeight="1"/>
    <row r="101" spans="1:26" s="6" customFormat="1" ht="39.950000000000003" customHeight="1">
      <c r="A101" s="2"/>
      <c r="B101" s="15"/>
      <c r="C101" s="15"/>
      <c r="D101" s="15"/>
      <c r="E101" s="2"/>
      <c r="F101" s="2"/>
      <c r="G101" s="2"/>
      <c r="H101" s="88"/>
      <c r="I101" s="88"/>
      <c r="J101" s="88"/>
      <c r="K101" s="88"/>
      <c r="L101" s="5"/>
      <c r="M101" s="25"/>
      <c r="Q101" s="7"/>
      <c r="R101" s="7"/>
      <c r="S101" s="7"/>
      <c r="T101" s="7"/>
    </row>
    <row r="102" spans="1:26" s="6" customFormat="1" ht="39.950000000000003" customHeight="1">
      <c r="A102" s="2"/>
      <c r="B102" s="15"/>
      <c r="C102" s="15"/>
      <c r="D102" s="15"/>
      <c r="E102" s="2"/>
      <c r="F102" s="2"/>
      <c r="G102" s="2"/>
      <c r="H102" s="88"/>
      <c r="I102" s="88"/>
      <c r="J102" s="88"/>
      <c r="K102" s="88"/>
      <c r="L102" s="5"/>
      <c r="M102" s="25"/>
      <c r="N102" s="7"/>
      <c r="O102" s="7"/>
      <c r="P102" s="91"/>
      <c r="Q102" s="7"/>
      <c r="R102" s="7"/>
      <c r="S102" s="7"/>
      <c r="T102" s="7"/>
    </row>
    <row r="103" spans="1:26" s="16" customFormat="1" ht="110.25" customHeight="1">
      <c r="A103" s="2"/>
      <c r="B103" s="15"/>
      <c r="C103" s="15"/>
      <c r="D103" s="15"/>
      <c r="E103" s="2"/>
      <c r="F103" s="2"/>
      <c r="G103" s="2"/>
      <c r="H103" s="88"/>
      <c r="I103" s="88"/>
      <c r="J103" s="88"/>
      <c r="K103" s="88"/>
      <c r="L103" s="5"/>
      <c r="M103" s="25"/>
      <c r="Q103" s="7"/>
      <c r="R103" s="7"/>
      <c r="S103" s="7"/>
      <c r="T103" s="7"/>
    </row>
    <row r="104" spans="1:26" s="6" customFormat="1" ht="39.950000000000003" customHeight="1">
      <c r="A104" s="2"/>
      <c r="B104" s="15"/>
      <c r="C104" s="15"/>
      <c r="D104" s="15"/>
      <c r="E104" s="2"/>
      <c r="F104" s="2"/>
      <c r="G104" s="2"/>
      <c r="H104" s="88"/>
      <c r="I104" s="88"/>
      <c r="J104" s="88"/>
      <c r="K104" s="88"/>
      <c r="L104" s="5"/>
      <c r="M104" s="25"/>
      <c r="N104" s="16"/>
      <c r="O104" s="16"/>
      <c r="P104" s="16"/>
      <c r="Q104" s="7"/>
      <c r="R104" s="7"/>
      <c r="S104" s="7"/>
      <c r="T104" s="7"/>
    </row>
    <row r="105" spans="1:26" s="6" customFormat="1" ht="39.950000000000003" customHeight="1">
      <c r="A105" s="2"/>
      <c r="B105" s="15"/>
      <c r="C105" s="15"/>
      <c r="D105" s="15"/>
      <c r="E105" s="2"/>
      <c r="F105" s="2"/>
      <c r="G105" s="2"/>
      <c r="H105" s="88"/>
      <c r="I105" s="88"/>
      <c r="J105" s="88"/>
      <c r="K105" s="88"/>
      <c r="L105" s="5"/>
      <c r="M105" s="25"/>
      <c r="N105" s="16"/>
      <c r="O105" s="16"/>
      <c r="P105" s="16"/>
      <c r="Q105" s="7"/>
      <c r="R105" s="7"/>
      <c r="S105" s="7"/>
      <c r="T105" s="7"/>
    </row>
    <row r="106" spans="1:26" s="6" customFormat="1" ht="39.950000000000003" customHeight="1">
      <c r="A106" s="2"/>
      <c r="B106" s="15"/>
      <c r="C106" s="15"/>
      <c r="D106" s="15"/>
      <c r="E106" s="2"/>
      <c r="F106" s="2"/>
      <c r="G106" s="2"/>
      <c r="H106" s="88"/>
      <c r="I106" s="88"/>
      <c r="J106" s="88"/>
      <c r="K106" s="88"/>
      <c r="L106" s="5"/>
      <c r="M106" s="25"/>
      <c r="N106" s="16"/>
      <c r="O106" s="16"/>
      <c r="P106" s="16"/>
      <c r="Q106" s="7"/>
      <c r="R106" s="7"/>
      <c r="S106" s="7"/>
      <c r="T106" s="7"/>
    </row>
    <row r="107" spans="1:26" ht="39.950000000000003" customHeight="1"/>
    <row r="108" spans="1:26" ht="39.950000000000003" customHeight="1"/>
    <row r="109" spans="1:26" ht="39.950000000000003" customHeight="1"/>
    <row r="110" spans="1:26" ht="39.950000000000003" customHeight="1"/>
    <row r="111" spans="1:26" ht="39.950000000000003" customHeight="1"/>
    <row r="112" spans="1:26" ht="39.950000000000003" customHeight="1"/>
    <row r="113" spans="2:12" ht="39.950000000000003" customHeight="1">
      <c r="B113" s="2"/>
      <c r="C113" s="2"/>
      <c r="D113" s="2"/>
    </row>
    <row r="114" spans="2:12" ht="39.950000000000003" customHeight="1">
      <c r="B114" s="2"/>
      <c r="C114" s="2"/>
      <c r="D114" s="2"/>
    </row>
    <row r="115" spans="2:12" ht="39.950000000000003" customHeight="1">
      <c r="B115" s="2"/>
      <c r="C115" s="2"/>
      <c r="D115" s="2"/>
    </row>
    <row r="116" spans="2:12" ht="39.950000000000003" customHeight="1">
      <c r="B116" s="2"/>
      <c r="C116" s="2"/>
      <c r="D116" s="2"/>
    </row>
    <row r="117" spans="2:12" ht="39.950000000000003" customHeight="1">
      <c r="B117" s="2"/>
      <c r="C117" s="2"/>
      <c r="D117" s="2"/>
      <c r="L117" s="23"/>
    </row>
    <row r="118" spans="2:12" ht="39.950000000000003" customHeight="1">
      <c r="B118" s="2"/>
      <c r="C118" s="2"/>
      <c r="D118" s="2"/>
    </row>
    <row r="119" spans="2:12" ht="39.950000000000003" customHeight="1">
      <c r="B119" s="2"/>
      <c r="C119" s="2"/>
      <c r="D119" s="2"/>
    </row>
    <row r="120" spans="2:12" ht="39.950000000000003" customHeight="1">
      <c r="B120" s="2"/>
      <c r="C120" s="2"/>
      <c r="D120" s="2"/>
      <c r="L120" s="23"/>
    </row>
    <row r="121" spans="2:12" ht="39.950000000000003" customHeight="1">
      <c r="B121" s="2"/>
      <c r="C121" s="2"/>
      <c r="D121" s="2"/>
    </row>
    <row r="122" spans="2:12" ht="39.950000000000003" customHeight="1">
      <c r="B122" s="2"/>
      <c r="C122" s="2"/>
      <c r="D122" s="2"/>
    </row>
    <row r="123" spans="2:12" ht="39.950000000000003" customHeight="1">
      <c r="B123" s="2"/>
      <c r="C123" s="2"/>
      <c r="D123" s="2"/>
    </row>
    <row r="124" spans="2:12" ht="39.950000000000003" customHeight="1">
      <c r="B124" s="2"/>
      <c r="C124" s="2"/>
      <c r="D124" s="2"/>
    </row>
    <row r="125" spans="2:12" ht="39.950000000000003" customHeight="1">
      <c r="B125" s="2"/>
      <c r="C125" s="2"/>
      <c r="D125" s="2"/>
    </row>
    <row r="126" spans="2:12" ht="39.950000000000003" customHeight="1">
      <c r="B126" s="2"/>
      <c r="C126" s="2"/>
      <c r="D126" s="2"/>
    </row>
    <row r="127" spans="2:12" ht="39.950000000000003" customHeight="1">
      <c r="B127" s="2"/>
      <c r="C127" s="2"/>
      <c r="D127" s="2"/>
    </row>
    <row r="128" spans="2:12" ht="39.950000000000003" customHeight="1">
      <c r="B128" s="2"/>
      <c r="C128" s="2"/>
      <c r="D128" s="2"/>
    </row>
    <row r="129" spans="8:20" s="2" customFormat="1" ht="39.950000000000003" customHeight="1">
      <c r="H129" s="97"/>
      <c r="I129" s="97"/>
      <c r="J129" s="97"/>
      <c r="K129" s="97"/>
      <c r="M129" s="25"/>
      <c r="Q129" s="5"/>
      <c r="R129" s="5"/>
      <c r="S129" s="5"/>
      <c r="T129" s="5"/>
    </row>
    <row r="130" spans="8:20" s="2" customFormat="1" ht="39.950000000000003" customHeight="1">
      <c r="H130" s="97"/>
      <c r="I130" s="97"/>
      <c r="J130" s="97"/>
      <c r="K130" s="97"/>
      <c r="M130" s="25"/>
      <c r="Q130" s="5"/>
      <c r="R130" s="5"/>
      <c r="S130" s="5"/>
      <c r="T130" s="5"/>
    </row>
    <row r="131" spans="8:20" s="2" customFormat="1" ht="39.950000000000003" customHeight="1">
      <c r="H131" s="97"/>
      <c r="I131" s="97"/>
      <c r="J131" s="97"/>
      <c r="K131" s="97"/>
      <c r="M131" s="25"/>
      <c r="Q131" s="5"/>
      <c r="R131" s="5"/>
      <c r="S131" s="5"/>
      <c r="T131" s="5"/>
    </row>
    <row r="132" spans="8:20" s="2" customFormat="1" ht="39.950000000000003" customHeight="1">
      <c r="H132" s="97"/>
      <c r="I132" s="97"/>
      <c r="J132" s="97"/>
      <c r="K132" s="97"/>
      <c r="M132" s="25"/>
      <c r="Q132" s="5"/>
      <c r="R132" s="5"/>
      <c r="S132" s="5"/>
      <c r="T132" s="5"/>
    </row>
    <row r="133" spans="8:20" s="2" customFormat="1" ht="39.950000000000003" customHeight="1">
      <c r="H133" s="97"/>
      <c r="I133" s="97"/>
      <c r="J133" s="97"/>
      <c r="K133" s="97"/>
      <c r="M133" s="25"/>
      <c r="Q133" s="5"/>
      <c r="R133" s="5"/>
      <c r="S133" s="5"/>
      <c r="T133" s="5"/>
    </row>
    <row r="134" spans="8:20" s="2" customFormat="1" ht="39.950000000000003" customHeight="1">
      <c r="H134" s="97"/>
      <c r="I134" s="97"/>
      <c r="J134" s="97"/>
      <c r="K134" s="97"/>
      <c r="M134" s="25"/>
      <c r="Q134" s="5"/>
      <c r="R134" s="5"/>
      <c r="S134" s="5"/>
      <c r="T134" s="5"/>
    </row>
    <row r="135" spans="8:20" s="2" customFormat="1" ht="39.950000000000003" customHeight="1">
      <c r="H135" s="97"/>
      <c r="I135" s="97"/>
      <c r="J135" s="97"/>
      <c r="K135" s="97"/>
      <c r="M135" s="25"/>
      <c r="Q135" s="5"/>
      <c r="R135" s="5"/>
      <c r="S135" s="5"/>
      <c r="T135" s="5"/>
    </row>
    <row r="136" spans="8:20" s="2" customFormat="1" ht="39.950000000000003" customHeight="1">
      <c r="H136" s="97"/>
      <c r="I136" s="97"/>
      <c r="J136" s="97"/>
      <c r="K136" s="97"/>
      <c r="M136" s="25"/>
      <c r="Q136" s="5"/>
      <c r="R136" s="5"/>
      <c r="S136" s="5"/>
      <c r="T136" s="5"/>
    </row>
    <row r="137" spans="8:20" s="2" customFormat="1" ht="39.950000000000003" customHeight="1">
      <c r="H137" s="97"/>
      <c r="I137" s="97"/>
      <c r="J137" s="97"/>
      <c r="K137" s="97"/>
      <c r="M137" s="25"/>
      <c r="Q137" s="5"/>
      <c r="R137" s="5"/>
      <c r="S137" s="5"/>
      <c r="T137" s="5"/>
    </row>
    <row r="138" spans="8:20" s="2" customFormat="1" ht="39.950000000000003" customHeight="1">
      <c r="H138" s="97"/>
      <c r="I138" s="97"/>
      <c r="J138" s="97"/>
      <c r="K138" s="97"/>
      <c r="M138" s="25"/>
      <c r="Q138" s="5"/>
      <c r="R138" s="5"/>
      <c r="S138" s="5"/>
      <c r="T138" s="5"/>
    </row>
    <row r="139" spans="8:20" s="2" customFormat="1" ht="39.950000000000003" customHeight="1">
      <c r="H139" s="97"/>
      <c r="I139" s="97"/>
      <c r="J139" s="97"/>
      <c r="K139" s="97"/>
      <c r="M139" s="25"/>
      <c r="Q139" s="5"/>
      <c r="R139" s="5"/>
      <c r="S139" s="5"/>
      <c r="T139" s="5"/>
    </row>
    <row r="140" spans="8:20" s="2" customFormat="1" ht="39.950000000000003" customHeight="1">
      <c r="H140" s="97"/>
      <c r="I140" s="97"/>
      <c r="J140" s="97"/>
      <c r="K140" s="97"/>
      <c r="M140" s="25"/>
      <c r="Q140" s="5"/>
      <c r="R140" s="5"/>
      <c r="S140" s="5"/>
      <c r="T140" s="5"/>
    </row>
    <row r="141" spans="8:20" s="2" customFormat="1" ht="39.950000000000003" customHeight="1">
      <c r="H141" s="97"/>
      <c r="I141" s="97"/>
      <c r="J141" s="97"/>
      <c r="K141" s="97"/>
      <c r="M141" s="25"/>
      <c r="Q141" s="5"/>
      <c r="R141" s="5"/>
      <c r="S141" s="5"/>
      <c r="T141" s="5"/>
    </row>
    <row r="142" spans="8:20" s="2" customFormat="1" ht="39.950000000000003" customHeight="1">
      <c r="H142" s="97"/>
      <c r="I142" s="97"/>
      <c r="J142" s="97"/>
      <c r="K142" s="97"/>
      <c r="M142" s="25"/>
      <c r="Q142" s="5"/>
      <c r="R142" s="5"/>
      <c r="S142" s="5"/>
      <c r="T142" s="5"/>
    </row>
    <row r="143" spans="8:20" s="2" customFormat="1" ht="39.950000000000003" customHeight="1">
      <c r="H143" s="97"/>
      <c r="I143" s="97"/>
      <c r="J143" s="97"/>
      <c r="K143" s="97"/>
      <c r="M143" s="25"/>
      <c r="Q143" s="5"/>
      <c r="R143" s="5"/>
      <c r="S143" s="5"/>
      <c r="T143" s="5"/>
    </row>
    <row r="144" spans="8:20" s="2" customFormat="1" ht="39.950000000000003" customHeight="1">
      <c r="H144" s="97"/>
      <c r="I144" s="97"/>
      <c r="J144" s="97"/>
      <c r="K144" s="97"/>
      <c r="M144" s="25"/>
      <c r="Q144" s="5"/>
      <c r="R144" s="5"/>
      <c r="S144" s="5"/>
      <c r="T144" s="5"/>
    </row>
    <row r="145" spans="2:12" ht="39.950000000000003" customHeight="1">
      <c r="B145" s="2"/>
      <c r="C145" s="2"/>
      <c r="D145" s="2"/>
      <c r="H145" s="97"/>
      <c r="I145" s="97"/>
      <c r="J145" s="97"/>
      <c r="K145" s="97"/>
      <c r="L145" s="2"/>
    </row>
    <row r="146" spans="2:12">
      <c r="B146" s="2"/>
      <c r="C146" s="2"/>
      <c r="D146" s="2"/>
      <c r="H146" s="97"/>
      <c r="I146" s="97"/>
      <c r="J146" s="97"/>
      <c r="K146" s="97"/>
      <c r="L146" s="2"/>
    </row>
    <row r="147" spans="2:12">
      <c r="B147" s="2"/>
      <c r="C147" s="2"/>
      <c r="D147" s="2"/>
      <c r="H147" s="97"/>
      <c r="I147" s="97"/>
      <c r="J147" s="97"/>
      <c r="K147" s="97"/>
      <c r="L147" s="2"/>
    </row>
    <row r="148" spans="2:12">
      <c r="B148" s="2"/>
      <c r="C148" s="2"/>
      <c r="D148" s="2"/>
      <c r="H148" s="97"/>
      <c r="I148" s="97"/>
      <c r="J148" s="97"/>
      <c r="K148" s="97"/>
      <c r="L148" s="2"/>
    </row>
    <row r="149" spans="2:12">
      <c r="B149" s="2"/>
      <c r="C149" s="2"/>
      <c r="D149" s="2"/>
      <c r="H149" s="97"/>
      <c r="I149" s="97"/>
      <c r="J149" s="97"/>
      <c r="K149" s="97"/>
      <c r="L149" s="2"/>
    </row>
    <row r="150" spans="2:12">
      <c r="B150" s="2"/>
      <c r="C150" s="2"/>
      <c r="D150" s="2"/>
      <c r="H150" s="97"/>
      <c r="I150" s="97"/>
      <c r="J150" s="97"/>
      <c r="K150" s="97"/>
      <c r="L150" s="2"/>
    </row>
    <row r="151" spans="2:12">
      <c r="B151" s="2"/>
      <c r="C151" s="2"/>
      <c r="D151" s="2"/>
      <c r="H151" s="97"/>
      <c r="I151" s="97"/>
      <c r="J151" s="97"/>
      <c r="K151" s="97"/>
      <c r="L151" s="2"/>
    </row>
    <row r="152" spans="2:12">
      <c r="B152" s="2"/>
      <c r="C152" s="2"/>
      <c r="D152" s="2"/>
      <c r="H152" s="97"/>
      <c r="I152" s="97"/>
      <c r="J152" s="97"/>
      <c r="K152" s="97"/>
      <c r="L152" s="2"/>
    </row>
  </sheetData>
  <sheetProtection algorithmName="SHA-512" hashValue="PAxuFSMjvaklaKzWJUpqW1LQoXD0VS6XMSOJbEWnD52nz3cvhmonO7/3nopOggQ/2OXrOFZXtd7GgiNXgJZCPg==" saltValue="C1CWDcQ6g9NeehPLDLawrg==" spinCount="100000" sheet="1" objects="1" scenarios="1"/>
  <mergeCells count="107">
    <mergeCell ref="M1:M5"/>
    <mergeCell ref="A4:E5"/>
    <mergeCell ref="F4:F5"/>
    <mergeCell ref="G4:G5"/>
    <mergeCell ref="H4:K4"/>
    <mergeCell ref="L4:L5"/>
    <mergeCell ref="H5:I5"/>
    <mergeCell ref="J5:K5"/>
    <mergeCell ref="F66:G67"/>
    <mergeCell ref="A6:A9"/>
    <mergeCell ref="B6:E9"/>
    <mergeCell ref="F6:F9"/>
    <mergeCell ref="G6:G9"/>
    <mergeCell ref="L6:L9"/>
    <mergeCell ref="A10:A13"/>
    <mergeCell ref="B10:E13"/>
    <mergeCell ref="F10:F13"/>
    <mergeCell ref="G10:G13"/>
    <mergeCell ref="L10:L13"/>
    <mergeCell ref="A14:A17"/>
    <mergeCell ref="B14:E17"/>
    <mergeCell ref="F14:F17"/>
    <mergeCell ref="G14:G17"/>
    <mergeCell ref="L14:L17"/>
    <mergeCell ref="A18:A21"/>
    <mergeCell ref="B18:E21"/>
    <mergeCell ref="F18:F21"/>
    <mergeCell ref="G18:G21"/>
    <mergeCell ref="L18:L21"/>
    <mergeCell ref="A22:A25"/>
    <mergeCell ref="B22:E25"/>
    <mergeCell ref="F22:F25"/>
    <mergeCell ref="G22:G25"/>
    <mergeCell ref="L22:L25"/>
    <mergeCell ref="A26:A29"/>
    <mergeCell ref="B26:E29"/>
    <mergeCell ref="F26:F29"/>
    <mergeCell ref="G26:G29"/>
    <mergeCell ref="L26:L29"/>
    <mergeCell ref="A30:A33"/>
    <mergeCell ref="B30:E33"/>
    <mergeCell ref="F30:F33"/>
    <mergeCell ref="G30:G33"/>
    <mergeCell ref="L30:L33"/>
    <mergeCell ref="A34:A37"/>
    <mergeCell ref="B34:E37"/>
    <mergeCell ref="F34:F37"/>
    <mergeCell ref="G34:G37"/>
    <mergeCell ref="L34:L37"/>
    <mergeCell ref="A49:E50"/>
    <mergeCell ref="F49:F50"/>
    <mergeCell ref="G49:G50"/>
    <mergeCell ref="H49:K49"/>
    <mergeCell ref="L49:L50"/>
    <mergeCell ref="H50:I50"/>
    <mergeCell ref="J50:K50"/>
    <mergeCell ref="A38:A41"/>
    <mergeCell ref="B38:E41"/>
    <mergeCell ref="F38:F41"/>
    <mergeCell ref="G38:G41"/>
    <mergeCell ref="L38:L41"/>
    <mergeCell ref="A42:A45"/>
    <mergeCell ref="B42:E45"/>
    <mergeCell ref="F42:F45"/>
    <mergeCell ref="G42:G45"/>
    <mergeCell ref="L42:L45"/>
    <mergeCell ref="A51:A54"/>
    <mergeCell ref="B51:E54"/>
    <mergeCell ref="F51:F54"/>
    <mergeCell ref="G51:G54"/>
    <mergeCell ref="L51:L54"/>
    <mergeCell ref="A55:A58"/>
    <mergeCell ref="B55:E58"/>
    <mergeCell ref="F55:F58"/>
    <mergeCell ref="G55:G58"/>
    <mergeCell ref="L55:L58"/>
    <mergeCell ref="A66:E67"/>
    <mergeCell ref="H66:K66"/>
    <mergeCell ref="L66:L67"/>
    <mergeCell ref="H67:I67"/>
    <mergeCell ref="J67:K67"/>
    <mergeCell ref="A59:A62"/>
    <mergeCell ref="B59:E62"/>
    <mergeCell ref="F59:F62"/>
    <mergeCell ref="G59:G62"/>
    <mergeCell ref="L59:L62"/>
    <mergeCell ref="A63:L63"/>
    <mergeCell ref="A68:A71"/>
    <mergeCell ref="B68:E71"/>
    <mergeCell ref="L68:L71"/>
    <mergeCell ref="A72:A75"/>
    <mergeCell ref="B72:E75"/>
    <mergeCell ref="L72:L75"/>
    <mergeCell ref="F68:G71"/>
    <mergeCell ref="F72:G75"/>
    <mergeCell ref="A84:A87"/>
    <mergeCell ref="B84:E87"/>
    <mergeCell ref="L84:L87"/>
    <mergeCell ref="A76:A79"/>
    <mergeCell ref="B76:E79"/>
    <mergeCell ref="L76:L79"/>
    <mergeCell ref="A80:A83"/>
    <mergeCell ref="B80:E83"/>
    <mergeCell ref="L80:L83"/>
    <mergeCell ref="F76:G79"/>
    <mergeCell ref="F80:G83"/>
    <mergeCell ref="F84:G87"/>
  </mergeCells>
  <phoneticPr fontId="15"/>
  <printOptions horizontalCentered="1"/>
  <pageMargins left="0.59055118110236227" right="0.59055118110236227" top="0.39370078740157483" bottom="0.59055118110236227" header="0.31496062992125984" footer="0.23622047244094491"/>
  <pageSetup paperSize="9" scale="84" fitToHeight="2" orientation="portrait" cellComments="asDisplayed" verticalDpi="1200" r:id="rId1"/>
  <headerFooter>
    <oddFooter>&amp;R&amp;"ＭＳ 明朝,標準"
（Ａ４）</oddFooter>
  </headerFooter>
  <rowBreaks count="1" manualBreakCount="1">
    <brk id="45"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96257" r:id="rId4" name="Option Button 1">
              <controlPr defaultSize="0" autoFill="0" autoLine="0" autoPict="0">
                <anchor>
                  <from>
                    <xdr:col>7</xdr:col>
                    <xdr:colOff>57150</xdr:colOff>
                    <xdr:row>5</xdr:row>
                    <xdr:rowOff>38100</xdr:rowOff>
                  </from>
                  <to>
                    <xdr:col>7</xdr:col>
                    <xdr:colOff>247650</xdr:colOff>
                    <xdr:row>5</xdr:row>
                    <xdr:rowOff>266700</xdr:rowOff>
                  </to>
                </anchor>
              </controlPr>
            </control>
          </mc:Choice>
        </mc:AlternateContent>
        <mc:AlternateContent xmlns:mc="http://schemas.openxmlformats.org/markup-compatibility/2006">
          <mc:Choice Requires="x14">
            <control shapeId="96258" r:id="rId5" name="Option Button 2">
              <controlPr defaultSize="0" autoFill="0" autoLine="0" autoPict="0">
                <anchor>
                  <from>
                    <xdr:col>7</xdr:col>
                    <xdr:colOff>57150</xdr:colOff>
                    <xdr:row>6</xdr:row>
                    <xdr:rowOff>28575</xdr:rowOff>
                  </from>
                  <to>
                    <xdr:col>7</xdr:col>
                    <xdr:colOff>247650</xdr:colOff>
                    <xdr:row>6</xdr:row>
                    <xdr:rowOff>266700</xdr:rowOff>
                  </to>
                </anchor>
              </controlPr>
            </control>
          </mc:Choice>
        </mc:AlternateContent>
        <mc:AlternateContent xmlns:mc="http://schemas.openxmlformats.org/markup-compatibility/2006">
          <mc:Choice Requires="x14">
            <control shapeId="96259" r:id="rId6" name="Option Button 3">
              <controlPr defaultSize="0" autoFill="0" autoLine="0" autoPict="0">
                <anchor>
                  <from>
                    <xdr:col>7</xdr:col>
                    <xdr:colOff>57150</xdr:colOff>
                    <xdr:row>7</xdr:row>
                    <xdr:rowOff>28575</xdr:rowOff>
                  </from>
                  <to>
                    <xdr:col>7</xdr:col>
                    <xdr:colOff>247650</xdr:colOff>
                    <xdr:row>7</xdr:row>
                    <xdr:rowOff>266700</xdr:rowOff>
                  </to>
                </anchor>
              </controlPr>
            </control>
          </mc:Choice>
        </mc:AlternateContent>
        <mc:AlternateContent xmlns:mc="http://schemas.openxmlformats.org/markup-compatibility/2006">
          <mc:Choice Requires="x14">
            <control shapeId="96260" r:id="rId7" name="Option Button 4">
              <controlPr defaultSize="0" autoFill="0" autoLine="0" autoPict="0">
                <anchor>
                  <from>
                    <xdr:col>9</xdr:col>
                    <xdr:colOff>57150</xdr:colOff>
                    <xdr:row>5</xdr:row>
                    <xdr:rowOff>38100</xdr:rowOff>
                  </from>
                  <to>
                    <xdr:col>9</xdr:col>
                    <xdr:colOff>247650</xdr:colOff>
                    <xdr:row>5</xdr:row>
                    <xdr:rowOff>266700</xdr:rowOff>
                  </to>
                </anchor>
              </controlPr>
            </control>
          </mc:Choice>
        </mc:AlternateContent>
        <mc:AlternateContent xmlns:mc="http://schemas.openxmlformats.org/markup-compatibility/2006">
          <mc:Choice Requires="x14">
            <control shapeId="96261" r:id="rId8" name="Option Button 5">
              <controlPr defaultSize="0" autoFill="0" autoLine="0" autoPict="0">
                <anchor>
                  <from>
                    <xdr:col>9</xdr:col>
                    <xdr:colOff>57150</xdr:colOff>
                    <xdr:row>6</xdr:row>
                    <xdr:rowOff>28575</xdr:rowOff>
                  </from>
                  <to>
                    <xdr:col>9</xdr:col>
                    <xdr:colOff>247650</xdr:colOff>
                    <xdr:row>6</xdr:row>
                    <xdr:rowOff>266700</xdr:rowOff>
                  </to>
                </anchor>
              </controlPr>
            </control>
          </mc:Choice>
        </mc:AlternateContent>
        <mc:AlternateContent xmlns:mc="http://schemas.openxmlformats.org/markup-compatibility/2006">
          <mc:Choice Requires="x14">
            <control shapeId="96262" r:id="rId9" name="Option Button 6">
              <controlPr defaultSize="0" autoFill="0" autoLine="0" autoPict="0">
                <anchor>
                  <from>
                    <xdr:col>9</xdr:col>
                    <xdr:colOff>57150</xdr:colOff>
                    <xdr:row>7</xdr:row>
                    <xdr:rowOff>38100</xdr:rowOff>
                  </from>
                  <to>
                    <xdr:col>9</xdr:col>
                    <xdr:colOff>247650</xdr:colOff>
                    <xdr:row>7</xdr:row>
                    <xdr:rowOff>266700</xdr:rowOff>
                  </to>
                </anchor>
              </controlPr>
            </control>
          </mc:Choice>
        </mc:AlternateContent>
        <mc:AlternateContent xmlns:mc="http://schemas.openxmlformats.org/markup-compatibility/2006">
          <mc:Choice Requires="x14">
            <control shapeId="96263" r:id="rId10" name="Option Button 7">
              <controlPr defaultSize="0" autoFill="0" autoLine="0" autoPict="0">
                <anchor>
                  <from>
                    <xdr:col>9</xdr:col>
                    <xdr:colOff>57150</xdr:colOff>
                    <xdr:row>8</xdr:row>
                    <xdr:rowOff>28575</xdr:rowOff>
                  </from>
                  <to>
                    <xdr:col>9</xdr:col>
                    <xdr:colOff>247650</xdr:colOff>
                    <xdr:row>8</xdr:row>
                    <xdr:rowOff>247650</xdr:rowOff>
                  </to>
                </anchor>
              </controlPr>
            </control>
          </mc:Choice>
        </mc:AlternateContent>
        <mc:AlternateContent xmlns:mc="http://schemas.openxmlformats.org/markup-compatibility/2006">
          <mc:Choice Requires="x14">
            <control shapeId="96264" r:id="rId11" name="Group Box 8">
              <controlPr defaultSize="0" autoFill="0" autoPict="0">
                <anchor moveWithCells="1">
                  <from>
                    <xdr:col>7</xdr:col>
                    <xdr:colOff>0</xdr:colOff>
                    <xdr:row>5</xdr:row>
                    <xdr:rowOff>28575</xdr:rowOff>
                  </from>
                  <to>
                    <xdr:col>8</xdr:col>
                    <xdr:colOff>0</xdr:colOff>
                    <xdr:row>8</xdr:row>
                    <xdr:rowOff>266700</xdr:rowOff>
                  </to>
                </anchor>
              </controlPr>
            </control>
          </mc:Choice>
        </mc:AlternateContent>
        <mc:AlternateContent xmlns:mc="http://schemas.openxmlformats.org/markup-compatibility/2006">
          <mc:Choice Requires="x14">
            <control shapeId="96265" r:id="rId12" name="Group Box 9">
              <controlPr defaultSize="0" autoFill="0" autoPict="0">
                <anchor moveWithCells="1">
                  <from>
                    <xdr:col>9</xdr:col>
                    <xdr:colOff>0</xdr:colOff>
                    <xdr:row>5</xdr:row>
                    <xdr:rowOff>9525</xdr:rowOff>
                  </from>
                  <to>
                    <xdr:col>10</xdr:col>
                    <xdr:colOff>0</xdr:colOff>
                    <xdr:row>8</xdr:row>
                    <xdr:rowOff>266700</xdr:rowOff>
                  </to>
                </anchor>
              </controlPr>
            </control>
          </mc:Choice>
        </mc:AlternateContent>
        <mc:AlternateContent xmlns:mc="http://schemas.openxmlformats.org/markup-compatibility/2006">
          <mc:Choice Requires="x14">
            <control shapeId="96266" r:id="rId13" name="Option Button 10">
              <controlPr defaultSize="0" autoFill="0" autoLine="0" autoPict="0">
                <anchor>
                  <from>
                    <xdr:col>7</xdr:col>
                    <xdr:colOff>57150</xdr:colOff>
                    <xdr:row>8</xdr:row>
                    <xdr:rowOff>9525</xdr:rowOff>
                  </from>
                  <to>
                    <xdr:col>7</xdr:col>
                    <xdr:colOff>247650</xdr:colOff>
                    <xdr:row>8</xdr:row>
                    <xdr:rowOff>228600</xdr:rowOff>
                  </to>
                </anchor>
              </controlPr>
            </control>
          </mc:Choice>
        </mc:AlternateContent>
        <mc:AlternateContent xmlns:mc="http://schemas.openxmlformats.org/markup-compatibility/2006">
          <mc:Choice Requires="x14">
            <control shapeId="96267" r:id="rId14" name="Option Button 11">
              <controlPr defaultSize="0" autoFill="0" autoLine="0" autoPict="0">
                <anchor>
                  <from>
                    <xdr:col>7</xdr:col>
                    <xdr:colOff>57150</xdr:colOff>
                    <xdr:row>9</xdr:row>
                    <xdr:rowOff>76200</xdr:rowOff>
                  </from>
                  <to>
                    <xdr:col>7</xdr:col>
                    <xdr:colOff>247650</xdr:colOff>
                    <xdr:row>10</xdr:row>
                    <xdr:rowOff>0</xdr:rowOff>
                  </to>
                </anchor>
              </controlPr>
            </control>
          </mc:Choice>
        </mc:AlternateContent>
        <mc:AlternateContent xmlns:mc="http://schemas.openxmlformats.org/markup-compatibility/2006">
          <mc:Choice Requires="x14">
            <control shapeId="96268" r:id="rId15" name="Option Button 12">
              <controlPr defaultSize="0" autoFill="0" autoLine="0" autoPict="0">
                <anchor>
                  <from>
                    <xdr:col>7</xdr:col>
                    <xdr:colOff>57150</xdr:colOff>
                    <xdr:row>10</xdr:row>
                    <xdr:rowOff>57150</xdr:rowOff>
                  </from>
                  <to>
                    <xdr:col>7</xdr:col>
                    <xdr:colOff>247650</xdr:colOff>
                    <xdr:row>10</xdr:row>
                    <xdr:rowOff>266700</xdr:rowOff>
                  </to>
                </anchor>
              </controlPr>
            </control>
          </mc:Choice>
        </mc:AlternateContent>
        <mc:AlternateContent xmlns:mc="http://schemas.openxmlformats.org/markup-compatibility/2006">
          <mc:Choice Requires="x14">
            <control shapeId="96269" r:id="rId16" name="Option Button 13">
              <controlPr defaultSize="0" autoFill="0" autoLine="0" autoPict="0">
                <anchor>
                  <from>
                    <xdr:col>7</xdr:col>
                    <xdr:colOff>57150</xdr:colOff>
                    <xdr:row>11</xdr:row>
                    <xdr:rowOff>28575</xdr:rowOff>
                  </from>
                  <to>
                    <xdr:col>7</xdr:col>
                    <xdr:colOff>247650</xdr:colOff>
                    <xdr:row>11</xdr:row>
                    <xdr:rowOff>266700</xdr:rowOff>
                  </to>
                </anchor>
              </controlPr>
            </control>
          </mc:Choice>
        </mc:AlternateContent>
        <mc:AlternateContent xmlns:mc="http://schemas.openxmlformats.org/markup-compatibility/2006">
          <mc:Choice Requires="x14">
            <control shapeId="96270" r:id="rId17" name="Group Box 14">
              <controlPr defaultSize="0" autoFill="0" autoPict="0">
                <anchor moveWithCells="1">
                  <from>
                    <xdr:col>7</xdr:col>
                    <xdr:colOff>9525</xdr:colOff>
                    <xdr:row>9</xdr:row>
                    <xdr:rowOff>28575</xdr:rowOff>
                  </from>
                  <to>
                    <xdr:col>8</xdr:col>
                    <xdr:colOff>9525</xdr:colOff>
                    <xdr:row>12</xdr:row>
                    <xdr:rowOff>247650</xdr:rowOff>
                  </to>
                </anchor>
              </controlPr>
            </control>
          </mc:Choice>
        </mc:AlternateContent>
        <mc:AlternateContent xmlns:mc="http://schemas.openxmlformats.org/markup-compatibility/2006">
          <mc:Choice Requires="x14">
            <control shapeId="96271" r:id="rId18" name="Option Button 15">
              <controlPr defaultSize="0" autoFill="0" autoLine="0" autoPict="0">
                <anchor>
                  <from>
                    <xdr:col>7</xdr:col>
                    <xdr:colOff>57150</xdr:colOff>
                    <xdr:row>12</xdr:row>
                    <xdr:rowOff>28575</xdr:rowOff>
                  </from>
                  <to>
                    <xdr:col>7</xdr:col>
                    <xdr:colOff>247650</xdr:colOff>
                    <xdr:row>12</xdr:row>
                    <xdr:rowOff>247650</xdr:rowOff>
                  </to>
                </anchor>
              </controlPr>
            </control>
          </mc:Choice>
        </mc:AlternateContent>
        <mc:AlternateContent xmlns:mc="http://schemas.openxmlformats.org/markup-compatibility/2006">
          <mc:Choice Requires="x14">
            <control shapeId="96272" r:id="rId19" name="Option Button 16">
              <controlPr defaultSize="0" autoFill="0" autoLine="0" autoPict="0">
                <anchor>
                  <from>
                    <xdr:col>9</xdr:col>
                    <xdr:colOff>57150</xdr:colOff>
                    <xdr:row>9</xdr:row>
                    <xdr:rowOff>38100</xdr:rowOff>
                  </from>
                  <to>
                    <xdr:col>9</xdr:col>
                    <xdr:colOff>247650</xdr:colOff>
                    <xdr:row>9</xdr:row>
                    <xdr:rowOff>266700</xdr:rowOff>
                  </to>
                </anchor>
              </controlPr>
            </control>
          </mc:Choice>
        </mc:AlternateContent>
        <mc:AlternateContent xmlns:mc="http://schemas.openxmlformats.org/markup-compatibility/2006">
          <mc:Choice Requires="x14">
            <control shapeId="96273" r:id="rId20" name="Option Button 17">
              <controlPr defaultSize="0" autoFill="0" autoLine="0" autoPict="0">
                <anchor>
                  <from>
                    <xdr:col>9</xdr:col>
                    <xdr:colOff>57150</xdr:colOff>
                    <xdr:row>10</xdr:row>
                    <xdr:rowOff>28575</xdr:rowOff>
                  </from>
                  <to>
                    <xdr:col>9</xdr:col>
                    <xdr:colOff>247650</xdr:colOff>
                    <xdr:row>10</xdr:row>
                    <xdr:rowOff>266700</xdr:rowOff>
                  </to>
                </anchor>
              </controlPr>
            </control>
          </mc:Choice>
        </mc:AlternateContent>
        <mc:AlternateContent xmlns:mc="http://schemas.openxmlformats.org/markup-compatibility/2006">
          <mc:Choice Requires="x14">
            <control shapeId="96274" r:id="rId21" name="Option Button 18">
              <controlPr defaultSize="0" autoFill="0" autoLine="0" autoPict="0">
                <anchor>
                  <from>
                    <xdr:col>9</xdr:col>
                    <xdr:colOff>57150</xdr:colOff>
                    <xdr:row>11</xdr:row>
                    <xdr:rowOff>38100</xdr:rowOff>
                  </from>
                  <to>
                    <xdr:col>9</xdr:col>
                    <xdr:colOff>247650</xdr:colOff>
                    <xdr:row>11</xdr:row>
                    <xdr:rowOff>266700</xdr:rowOff>
                  </to>
                </anchor>
              </controlPr>
            </control>
          </mc:Choice>
        </mc:AlternateContent>
        <mc:AlternateContent xmlns:mc="http://schemas.openxmlformats.org/markup-compatibility/2006">
          <mc:Choice Requires="x14">
            <control shapeId="96275" r:id="rId22" name="Option Button 19">
              <controlPr defaultSize="0" autoFill="0" autoLine="0" autoPict="0">
                <anchor>
                  <from>
                    <xdr:col>9</xdr:col>
                    <xdr:colOff>57150</xdr:colOff>
                    <xdr:row>12</xdr:row>
                    <xdr:rowOff>28575</xdr:rowOff>
                  </from>
                  <to>
                    <xdr:col>9</xdr:col>
                    <xdr:colOff>247650</xdr:colOff>
                    <xdr:row>12</xdr:row>
                    <xdr:rowOff>247650</xdr:rowOff>
                  </to>
                </anchor>
              </controlPr>
            </control>
          </mc:Choice>
        </mc:AlternateContent>
        <mc:AlternateContent xmlns:mc="http://schemas.openxmlformats.org/markup-compatibility/2006">
          <mc:Choice Requires="x14">
            <control shapeId="96276" r:id="rId23" name="Group Box 20">
              <controlPr defaultSize="0" autoFill="0" autoPict="0">
                <anchor moveWithCells="1">
                  <from>
                    <xdr:col>8</xdr:col>
                    <xdr:colOff>723900</xdr:colOff>
                    <xdr:row>9</xdr:row>
                    <xdr:rowOff>9525</xdr:rowOff>
                  </from>
                  <to>
                    <xdr:col>9</xdr:col>
                    <xdr:colOff>266700</xdr:colOff>
                    <xdr:row>12</xdr:row>
                    <xdr:rowOff>266700</xdr:rowOff>
                  </to>
                </anchor>
              </controlPr>
            </control>
          </mc:Choice>
        </mc:AlternateContent>
        <mc:AlternateContent xmlns:mc="http://schemas.openxmlformats.org/markup-compatibility/2006">
          <mc:Choice Requires="x14">
            <control shapeId="96277" r:id="rId24" name="Option Button 21">
              <controlPr defaultSize="0" autoFill="0" autoLine="0" autoPict="0">
                <anchor>
                  <from>
                    <xdr:col>7</xdr:col>
                    <xdr:colOff>57150</xdr:colOff>
                    <xdr:row>13</xdr:row>
                    <xdr:rowOff>76200</xdr:rowOff>
                  </from>
                  <to>
                    <xdr:col>7</xdr:col>
                    <xdr:colOff>247650</xdr:colOff>
                    <xdr:row>14</xdr:row>
                    <xdr:rowOff>0</xdr:rowOff>
                  </to>
                </anchor>
              </controlPr>
            </control>
          </mc:Choice>
        </mc:AlternateContent>
        <mc:AlternateContent xmlns:mc="http://schemas.openxmlformats.org/markup-compatibility/2006">
          <mc:Choice Requires="x14">
            <control shapeId="96278" r:id="rId25" name="Option Button 22">
              <controlPr defaultSize="0" autoFill="0" autoLine="0" autoPict="0">
                <anchor>
                  <from>
                    <xdr:col>7</xdr:col>
                    <xdr:colOff>57150</xdr:colOff>
                    <xdr:row>14</xdr:row>
                    <xdr:rowOff>57150</xdr:rowOff>
                  </from>
                  <to>
                    <xdr:col>7</xdr:col>
                    <xdr:colOff>247650</xdr:colOff>
                    <xdr:row>14</xdr:row>
                    <xdr:rowOff>266700</xdr:rowOff>
                  </to>
                </anchor>
              </controlPr>
            </control>
          </mc:Choice>
        </mc:AlternateContent>
        <mc:AlternateContent xmlns:mc="http://schemas.openxmlformats.org/markup-compatibility/2006">
          <mc:Choice Requires="x14">
            <control shapeId="96279" r:id="rId26" name="Option Button 23">
              <controlPr defaultSize="0" autoFill="0" autoLine="0" autoPict="0">
                <anchor>
                  <from>
                    <xdr:col>7</xdr:col>
                    <xdr:colOff>57150</xdr:colOff>
                    <xdr:row>15</xdr:row>
                    <xdr:rowOff>57150</xdr:rowOff>
                  </from>
                  <to>
                    <xdr:col>7</xdr:col>
                    <xdr:colOff>247650</xdr:colOff>
                    <xdr:row>15</xdr:row>
                    <xdr:rowOff>266700</xdr:rowOff>
                  </to>
                </anchor>
              </controlPr>
            </control>
          </mc:Choice>
        </mc:AlternateContent>
        <mc:AlternateContent xmlns:mc="http://schemas.openxmlformats.org/markup-compatibility/2006">
          <mc:Choice Requires="x14">
            <control shapeId="96280" r:id="rId27" name="Option Button 24">
              <controlPr defaultSize="0" autoFill="0" autoLine="0" autoPict="0">
                <anchor>
                  <from>
                    <xdr:col>9</xdr:col>
                    <xdr:colOff>57150</xdr:colOff>
                    <xdr:row>13</xdr:row>
                    <xdr:rowOff>28575</xdr:rowOff>
                  </from>
                  <to>
                    <xdr:col>9</xdr:col>
                    <xdr:colOff>247650</xdr:colOff>
                    <xdr:row>13</xdr:row>
                    <xdr:rowOff>266700</xdr:rowOff>
                  </to>
                </anchor>
              </controlPr>
            </control>
          </mc:Choice>
        </mc:AlternateContent>
        <mc:AlternateContent xmlns:mc="http://schemas.openxmlformats.org/markup-compatibility/2006">
          <mc:Choice Requires="x14">
            <control shapeId="96281" r:id="rId28" name="Option Button 25">
              <controlPr defaultSize="0" autoFill="0" autoLine="0" autoPict="0">
                <anchor>
                  <from>
                    <xdr:col>9</xdr:col>
                    <xdr:colOff>38100</xdr:colOff>
                    <xdr:row>14</xdr:row>
                    <xdr:rowOff>28575</xdr:rowOff>
                  </from>
                  <to>
                    <xdr:col>9</xdr:col>
                    <xdr:colOff>247650</xdr:colOff>
                    <xdr:row>14</xdr:row>
                    <xdr:rowOff>266700</xdr:rowOff>
                  </to>
                </anchor>
              </controlPr>
            </control>
          </mc:Choice>
        </mc:AlternateContent>
        <mc:AlternateContent xmlns:mc="http://schemas.openxmlformats.org/markup-compatibility/2006">
          <mc:Choice Requires="x14">
            <control shapeId="96282" r:id="rId29" name="Option Button 26">
              <controlPr defaultSize="0" autoFill="0" autoLine="0" autoPict="0">
                <anchor>
                  <from>
                    <xdr:col>9</xdr:col>
                    <xdr:colOff>38100</xdr:colOff>
                    <xdr:row>15</xdr:row>
                    <xdr:rowOff>38100</xdr:rowOff>
                  </from>
                  <to>
                    <xdr:col>9</xdr:col>
                    <xdr:colOff>247650</xdr:colOff>
                    <xdr:row>15</xdr:row>
                    <xdr:rowOff>266700</xdr:rowOff>
                  </to>
                </anchor>
              </controlPr>
            </control>
          </mc:Choice>
        </mc:AlternateContent>
        <mc:AlternateContent xmlns:mc="http://schemas.openxmlformats.org/markup-compatibility/2006">
          <mc:Choice Requires="x14">
            <control shapeId="96283" r:id="rId30" name="Option Button 27">
              <controlPr defaultSize="0" autoFill="0" autoLine="0" autoPict="0">
                <anchor>
                  <from>
                    <xdr:col>9</xdr:col>
                    <xdr:colOff>38100</xdr:colOff>
                    <xdr:row>16</xdr:row>
                    <xdr:rowOff>28575</xdr:rowOff>
                  </from>
                  <to>
                    <xdr:col>9</xdr:col>
                    <xdr:colOff>247650</xdr:colOff>
                    <xdr:row>16</xdr:row>
                    <xdr:rowOff>247650</xdr:rowOff>
                  </to>
                </anchor>
              </controlPr>
            </control>
          </mc:Choice>
        </mc:AlternateContent>
        <mc:AlternateContent xmlns:mc="http://schemas.openxmlformats.org/markup-compatibility/2006">
          <mc:Choice Requires="x14">
            <control shapeId="96284" r:id="rId31" name="Group Box 28">
              <controlPr defaultSize="0" autoFill="0" autoPict="0">
                <anchor moveWithCells="1">
                  <from>
                    <xdr:col>7</xdr:col>
                    <xdr:colOff>9525</xdr:colOff>
                    <xdr:row>13</xdr:row>
                    <xdr:rowOff>28575</xdr:rowOff>
                  </from>
                  <to>
                    <xdr:col>8</xdr:col>
                    <xdr:colOff>9525</xdr:colOff>
                    <xdr:row>16</xdr:row>
                    <xdr:rowOff>266700</xdr:rowOff>
                  </to>
                </anchor>
              </controlPr>
            </control>
          </mc:Choice>
        </mc:AlternateContent>
        <mc:AlternateContent xmlns:mc="http://schemas.openxmlformats.org/markup-compatibility/2006">
          <mc:Choice Requires="x14">
            <control shapeId="96285" r:id="rId32" name="Group Box 29">
              <controlPr defaultSize="0" autoFill="0" autoPict="0">
                <anchor moveWithCells="1">
                  <from>
                    <xdr:col>9</xdr:col>
                    <xdr:colOff>9525</xdr:colOff>
                    <xdr:row>13</xdr:row>
                    <xdr:rowOff>9525</xdr:rowOff>
                  </from>
                  <to>
                    <xdr:col>10</xdr:col>
                    <xdr:colOff>9525</xdr:colOff>
                    <xdr:row>16</xdr:row>
                    <xdr:rowOff>266700</xdr:rowOff>
                  </to>
                </anchor>
              </controlPr>
            </control>
          </mc:Choice>
        </mc:AlternateContent>
        <mc:AlternateContent xmlns:mc="http://schemas.openxmlformats.org/markup-compatibility/2006">
          <mc:Choice Requires="x14">
            <control shapeId="96286" r:id="rId33" name="Option Button 30">
              <controlPr defaultSize="0" autoFill="0" autoLine="0" autoPict="0">
                <anchor>
                  <from>
                    <xdr:col>7</xdr:col>
                    <xdr:colOff>57150</xdr:colOff>
                    <xdr:row>16</xdr:row>
                    <xdr:rowOff>28575</xdr:rowOff>
                  </from>
                  <to>
                    <xdr:col>7</xdr:col>
                    <xdr:colOff>247650</xdr:colOff>
                    <xdr:row>16</xdr:row>
                    <xdr:rowOff>247650</xdr:rowOff>
                  </to>
                </anchor>
              </controlPr>
            </control>
          </mc:Choice>
        </mc:AlternateContent>
        <mc:AlternateContent xmlns:mc="http://schemas.openxmlformats.org/markup-compatibility/2006">
          <mc:Choice Requires="x14">
            <control shapeId="96287" r:id="rId34" name="Option Button 31">
              <controlPr defaultSize="0" autoFill="0" autoLine="0" autoPict="0">
                <anchor>
                  <from>
                    <xdr:col>7</xdr:col>
                    <xdr:colOff>38100</xdr:colOff>
                    <xdr:row>17</xdr:row>
                    <xdr:rowOff>76200</xdr:rowOff>
                  </from>
                  <to>
                    <xdr:col>7</xdr:col>
                    <xdr:colOff>247650</xdr:colOff>
                    <xdr:row>18</xdr:row>
                    <xdr:rowOff>28575</xdr:rowOff>
                  </to>
                </anchor>
              </controlPr>
            </control>
          </mc:Choice>
        </mc:AlternateContent>
        <mc:AlternateContent xmlns:mc="http://schemas.openxmlformats.org/markup-compatibility/2006">
          <mc:Choice Requires="x14">
            <control shapeId="96288" r:id="rId35" name="Option Button 32">
              <controlPr defaultSize="0" autoFill="0" autoLine="0" autoPict="0">
                <anchor>
                  <from>
                    <xdr:col>7</xdr:col>
                    <xdr:colOff>38100</xdr:colOff>
                    <xdr:row>18</xdr:row>
                    <xdr:rowOff>57150</xdr:rowOff>
                  </from>
                  <to>
                    <xdr:col>7</xdr:col>
                    <xdr:colOff>247650</xdr:colOff>
                    <xdr:row>18</xdr:row>
                    <xdr:rowOff>266700</xdr:rowOff>
                  </to>
                </anchor>
              </controlPr>
            </control>
          </mc:Choice>
        </mc:AlternateContent>
        <mc:AlternateContent xmlns:mc="http://schemas.openxmlformats.org/markup-compatibility/2006">
          <mc:Choice Requires="x14">
            <control shapeId="96289" r:id="rId36" name="Option Button 33">
              <controlPr defaultSize="0" autoFill="0" autoLine="0" autoPict="0">
                <anchor>
                  <from>
                    <xdr:col>7</xdr:col>
                    <xdr:colOff>38100</xdr:colOff>
                    <xdr:row>19</xdr:row>
                    <xdr:rowOff>57150</xdr:rowOff>
                  </from>
                  <to>
                    <xdr:col>7</xdr:col>
                    <xdr:colOff>247650</xdr:colOff>
                    <xdr:row>19</xdr:row>
                    <xdr:rowOff>266700</xdr:rowOff>
                  </to>
                </anchor>
              </controlPr>
            </control>
          </mc:Choice>
        </mc:AlternateContent>
        <mc:AlternateContent xmlns:mc="http://schemas.openxmlformats.org/markup-compatibility/2006">
          <mc:Choice Requires="x14">
            <control shapeId="96290" r:id="rId37" name="Group Box 34">
              <controlPr defaultSize="0" autoFill="0" autoPict="0">
                <anchor moveWithCells="1">
                  <from>
                    <xdr:col>7</xdr:col>
                    <xdr:colOff>28575</xdr:colOff>
                    <xdr:row>17</xdr:row>
                    <xdr:rowOff>28575</xdr:rowOff>
                  </from>
                  <to>
                    <xdr:col>8</xdr:col>
                    <xdr:colOff>28575</xdr:colOff>
                    <xdr:row>20</xdr:row>
                    <xdr:rowOff>247650</xdr:rowOff>
                  </to>
                </anchor>
              </controlPr>
            </control>
          </mc:Choice>
        </mc:AlternateContent>
        <mc:AlternateContent xmlns:mc="http://schemas.openxmlformats.org/markup-compatibility/2006">
          <mc:Choice Requires="x14">
            <control shapeId="96291" r:id="rId38" name="Option Button 35">
              <controlPr defaultSize="0" autoFill="0" autoLine="0" autoPict="0">
                <anchor>
                  <from>
                    <xdr:col>7</xdr:col>
                    <xdr:colOff>38100</xdr:colOff>
                    <xdr:row>20</xdr:row>
                    <xdr:rowOff>9525</xdr:rowOff>
                  </from>
                  <to>
                    <xdr:col>7</xdr:col>
                    <xdr:colOff>247650</xdr:colOff>
                    <xdr:row>20</xdr:row>
                    <xdr:rowOff>228600</xdr:rowOff>
                  </to>
                </anchor>
              </controlPr>
            </control>
          </mc:Choice>
        </mc:AlternateContent>
        <mc:AlternateContent xmlns:mc="http://schemas.openxmlformats.org/markup-compatibility/2006">
          <mc:Choice Requires="x14">
            <control shapeId="96292" r:id="rId39" name="Option Button 36">
              <controlPr defaultSize="0" autoFill="0" autoLine="0" autoPict="0">
                <anchor>
                  <from>
                    <xdr:col>9</xdr:col>
                    <xdr:colOff>57150</xdr:colOff>
                    <xdr:row>17</xdr:row>
                    <xdr:rowOff>38100</xdr:rowOff>
                  </from>
                  <to>
                    <xdr:col>9</xdr:col>
                    <xdr:colOff>247650</xdr:colOff>
                    <xdr:row>17</xdr:row>
                    <xdr:rowOff>266700</xdr:rowOff>
                  </to>
                </anchor>
              </controlPr>
            </control>
          </mc:Choice>
        </mc:AlternateContent>
        <mc:AlternateContent xmlns:mc="http://schemas.openxmlformats.org/markup-compatibility/2006">
          <mc:Choice Requires="x14">
            <control shapeId="96293" r:id="rId40" name="Option Button 37">
              <controlPr defaultSize="0" autoFill="0" autoLine="0" autoPict="0">
                <anchor>
                  <from>
                    <xdr:col>9</xdr:col>
                    <xdr:colOff>57150</xdr:colOff>
                    <xdr:row>18</xdr:row>
                    <xdr:rowOff>28575</xdr:rowOff>
                  </from>
                  <to>
                    <xdr:col>9</xdr:col>
                    <xdr:colOff>247650</xdr:colOff>
                    <xdr:row>18</xdr:row>
                    <xdr:rowOff>266700</xdr:rowOff>
                  </to>
                </anchor>
              </controlPr>
            </control>
          </mc:Choice>
        </mc:AlternateContent>
        <mc:AlternateContent xmlns:mc="http://schemas.openxmlformats.org/markup-compatibility/2006">
          <mc:Choice Requires="x14">
            <control shapeId="96294" r:id="rId41" name="Option Button 38">
              <controlPr defaultSize="0" autoFill="0" autoLine="0" autoPict="0">
                <anchor>
                  <from>
                    <xdr:col>9</xdr:col>
                    <xdr:colOff>57150</xdr:colOff>
                    <xdr:row>19</xdr:row>
                    <xdr:rowOff>38100</xdr:rowOff>
                  </from>
                  <to>
                    <xdr:col>9</xdr:col>
                    <xdr:colOff>247650</xdr:colOff>
                    <xdr:row>19</xdr:row>
                    <xdr:rowOff>266700</xdr:rowOff>
                  </to>
                </anchor>
              </controlPr>
            </control>
          </mc:Choice>
        </mc:AlternateContent>
        <mc:AlternateContent xmlns:mc="http://schemas.openxmlformats.org/markup-compatibility/2006">
          <mc:Choice Requires="x14">
            <control shapeId="96295" r:id="rId42" name="Option Button 39">
              <controlPr defaultSize="0" autoFill="0" autoLine="0" autoPict="0">
                <anchor>
                  <from>
                    <xdr:col>9</xdr:col>
                    <xdr:colOff>57150</xdr:colOff>
                    <xdr:row>20</xdr:row>
                    <xdr:rowOff>28575</xdr:rowOff>
                  </from>
                  <to>
                    <xdr:col>9</xdr:col>
                    <xdr:colOff>247650</xdr:colOff>
                    <xdr:row>20</xdr:row>
                    <xdr:rowOff>247650</xdr:rowOff>
                  </to>
                </anchor>
              </controlPr>
            </control>
          </mc:Choice>
        </mc:AlternateContent>
        <mc:AlternateContent xmlns:mc="http://schemas.openxmlformats.org/markup-compatibility/2006">
          <mc:Choice Requires="x14">
            <control shapeId="96296" r:id="rId43" name="Group Box 40">
              <controlPr defaultSize="0" autoFill="0" autoPict="0">
                <anchor moveWithCells="1">
                  <from>
                    <xdr:col>9</xdr:col>
                    <xdr:colOff>0</xdr:colOff>
                    <xdr:row>17</xdr:row>
                    <xdr:rowOff>9525</xdr:rowOff>
                  </from>
                  <to>
                    <xdr:col>10</xdr:col>
                    <xdr:colOff>0</xdr:colOff>
                    <xdr:row>20</xdr:row>
                    <xdr:rowOff>266700</xdr:rowOff>
                  </to>
                </anchor>
              </controlPr>
            </control>
          </mc:Choice>
        </mc:AlternateContent>
        <mc:AlternateContent xmlns:mc="http://schemas.openxmlformats.org/markup-compatibility/2006">
          <mc:Choice Requires="x14">
            <control shapeId="96297" r:id="rId44" name="Option Button 41">
              <controlPr defaultSize="0" autoFill="0" autoLine="0" autoPict="0">
                <anchor>
                  <from>
                    <xdr:col>7</xdr:col>
                    <xdr:colOff>38100</xdr:colOff>
                    <xdr:row>21</xdr:row>
                    <xdr:rowOff>76200</xdr:rowOff>
                  </from>
                  <to>
                    <xdr:col>7</xdr:col>
                    <xdr:colOff>247650</xdr:colOff>
                    <xdr:row>22</xdr:row>
                    <xdr:rowOff>0</xdr:rowOff>
                  </to>
                </anchor>
              </controlPr>
            </control>
          </mc:Choice>
        </mc:AlternateContent>
        <mc:AlternateContent xmlns:mc="http://schemas.openxmlformats.org/markup-compatibility/2006">
          <mc:Choice Requires="x14">
            <control shapeId="96298" r:id="rId45" name="Option Button 42">
              <controlPr defaultSize="0" autoFill="0" autoLine="0" autoPict="0">
                <anchor>
                  <from>
                    <xdr:col>7</xdr:col>
                    <xdr:colOff>38100</xdr:colOff>
                    <xdr:row>22</xdr:row>
                    <xdr:rowOff>38100</xdr:rowOff>
                  </from>
                  <to>
                    <xdr:col>7</xdr:col>
                    <xdr:colOff>247650</xdr:colOff>
                    <xdr:row>22</xdr:row>
                    <xdr:rowOff>266700</xdr:rowOff>
                  </to>
                </anchor>
              </controlPr>
            </control>
          </mc:Choice>
        </mc:AlternateContent>
        <mc:AlternateContent xmlns:mc="http://schemas.openxmlformats.org/markup-compatibility/2006">
          <mc:Choice Requires="x14">
            <control shapeId="96299" r:id="rId46" name="Option Button 43">
              <controlPr defaultSize="0" autoFill="0" autoLine="0" autoPict="0">
                <anchor>
                  <from>
                    <xdr:col>7</xdr:col>
                    <xdr:colOff>38100</xdr:colOff>
                    <xdr:row>23</xdr:row>
                    <xdr:rowOff>57150</xdr:rowOff>
                  </from>
                  <to>
                    <xdr:col>7</xdr:col>
                    <xdr:colOff>247650</xdr:colOff>
                    <xdr:row>23</xdr:row>
                    <xdr:rowOff>266700</xdr:rowOff>
                  </to>
                </anchor>
              </controlPr>
            </control>
          </mc:Choice>
        </mc:AlternateContent>
        <mc:AlternateContent xmlns:mc="http://schemas.openxmlformats.org/markup-compatibility/2006">
          <mc:Choice Requires="x14">
            <control shapeId="96300" r:id="rId47" name="Option Button 44">
              <controlPr defaultSize="0" autoFill="0" autoLine="0" autoPict="0">
                <anchor>
                  <from>
                    <xdr:col>9</xdr:col>
                    <xdr:colOff>38100</xdr:colOff>
                    <xdr:row>21</xdr:row>
                    <xdr:rowOff>38100</xdr:rowOff>
                  </from>
                  <to>
                    <xdr:col>9</xdr:col>
                    <xdr:colOff>247650</xdr:colOff>
                    <xdr:row>21</xdr:row>
                    <xdr:rowOff>266700</xdr:rowOff>
                  </to>
                </anchor>
              </controlPr>
            </control>
          </mc:Choice>
        </mc:AlternateContent>
        <mc:AlternateContent xmlns:mc="http://schemas.openxmlformats.org/markup-compatibility/2006">
          <mc:Choice Requires="x14">
            <control shapeId="96301" r:id="rId48" name="Option Button 45">
              <controlPr defaultSize="0" autoFill="0" autoLine="0" autoPict="0">
                <anchor>
                  <from>
                    <xdr:col>9</xdr:col>
                    <xdr:colOff>38100</xdr:colOff>
                    <xdr:row>22</xdr:row>
                    <xdr:rowOff>28575</xdr:rowOff>
                  </from>
                  <to>
                    <xdr:col>9</xdr:col>
                    <xdr:colOff>247650</xdr:colOff>
                    <xdr:row>22</xdr:row>
                    <xdr:rowOff>266700</xdr:rowOff>
                  </to>
                </anchor>
              </controlPr>
            </control>
          </mc:Choice>
        </mc:AlternateContent>
        <mc:AlternateContent xmlns:mc="http://schemas.openxmlformats.org/markup-compatibility/2006">
          <mc:Choice Requires="x14">
            <control shapeId="96302" r:id="rId49" name="Option Button 46">
              <controlPr defaultSize="0" autoFill="0" autoLine="0" autoPict="0">
                <anchor>
                  <from>
                    <xdr:col>9</xdr:col>
                    <xdr:colOff>38100</xdr:colOff>
                    <xdr:row>23</xdr:row>
                    <xdr:rowOff>38100</xdr:rowOff>
                  </from>
                  <to>
                    <xdr:col>9</xdr:col>
                    <xdr:colOff>247650</xdr:colOff>
                    <xdr:row>23</xdr:row>
                    <xdr:rowOff>266700</xdr:rowOff>
                  </to>
                </anchor>
              </controlPr>
            </control>
          </mc:Choice>
        </mc:AlternateContent>
        <mc:AlternateContent xmlns:mc="http://schemas.openxmlformats.org/markup-compatibility/2006">
          <mc:Choice Requires="x14">
            <control shapeId="96303" r:id="rId50" name="Option Button 47">
              <controlPr defaultSize="0" autoFill="0" autoLine="0" autoPict="0">
                <anchor>
                  <from>
                    <xdr:col>9</xdr:col>
                    <xdr:colOff>38100</xdr:colOff>
                    <xdr:row>24</xdr:row>
                    <xdr:rowOff>28575</xdr:rowOff>
                  </from>
                  <to>
                    <xdr:col>9</xdr:col>
                    <xdr:colOff>247650</xdr:colOff>
                    <xdr:row>24</xdr:row>
                    <xdr:rowOff>247650</xdr:rowOff>
                  </to>
                </anchor>
              </controlPr>
            </control>
          </mc:Choice>
        </mc:AlternateContent>
        <mc:AlternateContent xmlns:mc="http://schemas.openxmlformats.org/markup-compatibility/2006">
          <mc:Choice Requires="x14">
            <control shapeId="96304" r:id="rId51" name="Group Box 48">
              <controlPr defaultSize="0" autoFill="0" autoPict="0">
                <anchor moveWithCells="1">
                  <from>
                    <xdr:col>7</xdr:col>
                    <xdr:colOff>9525</xdr:colOff>
                    <xdr:row>21</xdr:row>
                    <xdr:rowOff>28575</xdr:rowOff>
                  </from>
                  <to>
                    <xdr:col>8</xdr:col>
                    <xdr:colOff>9525</xdr:colOff>
                    <xdr:row>24</xdr:row>
                    <xdr:rowOff>266700</xdr:rowOff>
                  </to>
                </anchor>
              </controlPr>
            </control>
          </mc:Choice>
        </mc:AlternateContent>
        <mc:AlternateContent xmlns:mc="http://schemas.openxmlformats.org/markup-compatibility/2006">
          <mc:Choice Requires="x14">
            <control shapeId="96305" r:id="rId52" name="Group Box 49">
              <controlPr defaultSize="0" autoFill="0" autoPict="0">
                <anchor moveWithCells="1">
                  <from>
                    <xdr:col>9</xdr:col>
                    <xdr:colOff>9525</xdr:colOff>
                    <xdr:row>21</xdr:row>
                    <xdr:rowOff>9525</xdr:rowOff>
                  </from>
                  <to>
                    <xdr:col>10</xdr:col>
                    <xdr:colOff>9525</xdr:colOff>
                    <xdr:row>24</xdr:row>
                    <xdr:rowOff>266700</xdr:rowOff>
                  </to>
                </anchor>
              </controlPr>
            </control>
          </mc:Choice>
        </mc:AlternateContent>
        <mc:AlternateContent xmlns:mc="http://schemas.openxmlformats.org/markup-compatibility/2006">
          <mc:Choice Requires="x14">
            <control shapeId="96306" r:id="rId53" name="Option Button 50">
              <controlPr defaultSize="0" autoFill="0" autoLine="0" autoPict="0">
                <anchor>
                  <from>
                    <xdr:col>7</xdr:col>
                    <xdr:colOff>38100</xdr:colOff>
                    <xdr:row>24</xdr:row>
                    <xdr:rowOff>0</xdr:rowOff>
                  </from>
                  <to>
                    <xdr:col>7</xdr:col>
                    <xdr:colOff>247650</xdr:colOff>
                    <xdr:row>24</xdr:row>
                    <xdr:rowOff>219075</xdr:rowOff>
                  </to>
                </anchor>
              </controlPr>
            </control>
          </mc:Choice>
        </mc:AlternateContent>
        <mc:AlternateContent xmlns:mc="http://schemas.openxmlformats.org/markup-compatibility/2006">
          <mc:Choice Requires="x14">
            <control shapeId="96307" r:id="rId54" name="Option Button 51">
              <controlPr defaultSize="0" autoFill="0" autoLine="0" autoPict="0">
                <anchor>
                  <from>
                    <xdr:col>7</xdr:col>
                    <xdr:colOff>38100</xdr:colOff>
                    <xdr:row>25</xdr:row>
                    <xdr:rowOff>76200</xdr:rowOff>
                  </from>
                  <to>
                    <xdr:col>7</xdr:col>
                    <xdr:colOff>247650</xdr:colOff>
                    <xdr:row>26</xdr:row>
                    <xdr:rowOff>28575</xdr:rowOff>
                  </to>
                </anchor>
              </controlPr>
            </control>
          </mc:Choice>
        </mc:AlternateContent>
        <mc:AlternateContent xmlns:mc="http://schemas.openxmlformats.org/markup-compatibility/2006">
          <mc:Choice Requires="x14">
            <control shapeId="96308" r:id="rId55" name="Option Button 52">
              <controlPr defaultSize="0" autoFill="0" autoLine="0" autoPict="0">
                <anchor>
                  <from>
                    <xdr:col>7</xdr:col>
                    <xdr:colOff>38100</xdr:colOff>
                    <xdr:row>26</xdr:row>
                    <xdr:rowOff>57150</xdr:rowOff>
                  </from>
                  <to>
                    <xdr:col>7</xdr:col>
                    <xdr:colOff>247650</xdr:colOff>
                    <xdr:row>26</xdr:row>
                    <xdr:rowOff>266700</xdr:rowOff>
                  </to>
                </anchor>
              </controlPr>
            </control>
          </mc:Choice>
        </mc:AlternateContent>
        <mc:AlternateContent xmlns:mc="http://schemas.openxmlformats.org/markup-compatibility/2006">
          <mc:Choice Requires="x14">
            <control shapeId="96309" r:id="rId56" name="Option Button 53">
              <controlPr defaultSize="0" autoFill="0" autoLine="0" autoPict="0">
                <anchor>
                  <from>
                    <xdr:col>7</xdr:col>
                    <xdr:colOff>38100</xdr:colOff>
                    <xdr:row>27</xdr:row>
                    <xdr:rowOff>28575</xdr:rowOff>
                  </from>
                  <to>
                    <xdr:col>7</xdr:col>
                    <xdr:colOff>247650</xdr:colOff>
                    <xdr:row>27</xdr:row>
                    <xdr:rowOff>266700</xdr:rowOff>
                  </to>
                </anchor>
              </controlPr>
            </control>
          </mc:Choice>
        </mc:AlternateContent>
        <mc:AlternateContent xmlns:mc="http://schemas.openxmlformats.org/markup-compatibility/2006">
          <mc:Choice Requires="x14">
            <control shapeId="96310" r:id="rId57" name="Group Box 54">
              <controlPr defaultSize="0" autoFill="0" autoPict="0">
                <anchor moveWithCells="1">
                  <from>
                    <xdr:col>7</xdr:col>
                    <xdr:colOff>28575</xdr:colOff>
                    <xdr:row>25</xdr:row>
                    <xdr:rowOff>28575</xdr:rowOff>
                  </from>
                  <to>
                    <xdr:col>8</xdr:col>
                    <xdr:colOff>28575</xdr:colOff>
                    <xdr:row>28</xdr:row>
                    <xdr:rowOff>247650</xdr:rowOff>
                  </to>
                </anchor>
              </controlPr>
            </control>
          </mc:Choice>
        </mc:AlternateContent>
        <mc:AlternateContent xmlns:mc="http://schemas.openxmlformats.org/markup-compatibility/2006">
          <mc:Choice Requires="x14">
            <control shapeId="96311" r:id="rId58" name="Option Button 55">
              <controlPr defaultSize="0" autoFill="0" autoLine="0" autoPict="0">
                <anchor>
                  <from>
                    <xdr:col>7</xdr:col>
                    <xdr:colOff>38100</xdr:colOff>
                    <xdr:row>27</xdr:row>
                    <xdr:rowOff>266700</xdr:rowOff>
                  </from>
                  <to>
                    <xdr:col>7</xdr:col>
                    <xdr:colOff>247650</xdr:colOff>
                    <xdr:row>28</xdr:row>
                    <xdr:rowOff>219075</xdr:rowOff>
                  </to>
                </anchor>
              </controlPr>
            </control>
          </mc:Choice>
        </mc:AlternateContent>
        <mc:AlternateContent xmlns:mc="http://schemas.openxmlformats.org/markup-compatibility/2006">
          <mc:Choice Requires="x14">
            <control shapeId="96312" r:id="rId59" name="Option Button 56">
              <controlPr defaultSize="0" autoFill="0" autoLine="0" autoPict="0">
                <anchor>
                  <from>
                    <xdr:col>9</xdr:col>
                    <xdr:colOff>57150</xdr:colOff>
                    <xdr:row>25</xdr:row>
                    <xdr:rowOff>38100</xdr:rowOff>
                  </from>
                  <to>
                    <xdr:col>9</xdr:col>
                    <xdr:colOff>247650</xdr:colOff>
                    <xdr:row>25</xdr:row>
                    <xdr:rowOff>266700</xdr:rowOff>
                  </to>
                </anchor>
              </controlPr>
            </control>
          </mc:Choice>
        </mc:AlternateContent>
        <mc:AlternateContent xmlns:mc="http://schemas.openxmlformats.org/markup-compatibility/2006">
          <mc:Choice Requires="x14">
            <control shapeId="96313" r:id="rId60" name="Option Button 57">
              <controlPr defaultSize="0" autoFill="0" autoLine="0" autoPict="0">
                <anchor>
                  <from>
                    <xdr:col>9</xdr:col>
                    <xdr:colOff>57150</xdr:colOff>
                    <xdr:row>26</xdr:row>
                    <xdr:rowOff>28575</xdr:rowOff>
                  </from>
                  <to>
                    <xdr:col>9</xdr:col>
                    <xdr:colOff>247650</xdr:colOff>
                    <xdr:row>26</xdr:row>
                    <xdr:rowOff>266700</xdr:rowOff>
                  </to>
                </anchor>
              </controlPr>
            </control>
          </mc:Choice>
        </mc:AlternateContent>
        <mc:AlternateContent xmlns:mc="http://schemas.openxmlformats.org/markup-compatibility/2006">
          <mc:Choice Requires="x14">
            <control shapeId="96314" r:id="rId61" name="Option Button 58">
              <controlPr defaultSize="0" autoFill="0" autoLine="0" autoPict="0">
                <anchor>
                  <from>
                    <xdr:col>9</xdr:col>
                    <xdr:colOff>57150</xdr:colOff>
                    <xdr:row>27</xdr:row>
                    <xdr:rowOff>38100</xdr:rowOff>
                  </from>
                  <to>
                    <xdr:col>9</xdr:col>
                    <xdr:colOff>247650</xdr:colOff>
                    <xdr:row>27</xdr:row>
                    <xdr:rowOff>266700</xdr:rowOff>
                  </to>
                </anchor>
              </controlPr>
            </control>
          </mc:Choice>
        </mc:AlternateContent>
        <mc:AlternateContent xmlns:mc="http://schemas.openxmlformats.org/markup-compatibility/2006">
          <mc:Choice Requires="x14">
            <control shapeId="96315" r:id="rId62" name="Option Button 59">
              <controlPr defaultSize="0" autoFill="0" autoLine="0" autoPict="0">
                <anchor>
                  <from>
                    <xdr:col>9</xdr:col>
                    <xdr:colOff>57150</xdr:colOff>
                    <xdr:row>28</xdr:row>
                    <xdr:rowOff>28575</xdr:rowOff>
                  </from>
                  <to>
                    <xdr:col>9</xdr:col>
                    <xdr:colOff>247650</xdr:colOff>
                    <xdr:row>28</xdr:row>
                    <xdr:rowOff>247650</xdr:rowOff>
                  </to>
                </anchor>
              </controlPr>
            </control>
          </mc:Choice>
        </mc:AlternateContent>
        <mc:AlternateContent xmlns:mc="http://schemas.openxmlformats.org/markup-compatibility/2006">
          <mc:Choice Requires="x14">
            <control shapeId="96316" r:id="rId63" name="Group Box 60">
              <controlPr defaultSize="0" autoFill="0" autoPict="0">
                <anchor moveWithCells="1">
                  <from>
                    <xdr:col>9</xdr:col>
                    <xdr:colOff>0</xdr:colOff>
                    <xdr:row>25</xdr:row>
                    <xdr:rowOff>9525</xdr:rowOff>
                  </from>
                  <to>
                    <xdr:col>10</xdr:col>
                    <xdr:colOff>0</xdr:colOff>
                    <xdr:row>28</xdr:row>
                    <xdr:rowOff>266700</xdr:rowOff>
                  </to>
                </anchor>
              </controlPr>
            </control>
          </mc:Choice>
        </mc:AlternateContent>
        <mc:AlternateContent xmlns:mc="http://schemas.openxmlformats.org/markup-compatibility/2006">
          <mc:Choice Requires="x14">
            <control shapeId="96317" r:id="rId64" name="Option Button 61">
              <controlPr defaultSize="0" autoFill="0" autoLine="0" autoPict="0">
                <anchor>
                  <from>
                    <xdr:col>7</xdr:col>
                    <xdr:colOff>57150</xdr:colOff>
                    <xdr:row>29</xdr:row>
                    <xdr:rowOff>76200</xdr:rowOff>
                  </from>
                  <to>
                    <xdr:col>7</xdr:col>
                    <xdr:colOff>247650</xdr:colOff>
                    <xdr:row>30</xdr:row>
                    <xdr:rowOff>9525</xdr:rowOff>
                  </to>
                </anchor>
              </controlPr>
            </control>
          </mc:Choice>
        </mc:AlternateContent>
        <mc:AlternateContent xmlns:mc="http://schemas.openxmlformats.org/markup-compatibility/2006">
          <mc:Choice Requires="x14">
            <control shapeId="96318" r:id="rId65" name="Option Button 62">
              <controlPr defaultSize="0" autoFill="0" autoLine="0" autoPict="0">
                <anchor>
                  <from>
                    <xdr:col>7</xdr:col>
                    <xdr:colOff>57150</xdr:colOff>
                    <xdr:row>30</xdr:row>
                    <xdr:rowOff>76200</xdr:rowOff>
                  </from>
                  <to>
                    <xdr:col>7</xdr:col>
                    <xdr:colOff>247650</xdr:colOff>
                    <xdr:row>31</xdr:row>
                    <xdr:rowOff>9525</xdr:rowOff>
                  </to>
                </anchor>
              </controlPr>
            </control>
          </mc:Choice>
        </mc:AlternateContent>
        <mc:AlternateContent xmlns:mc="http://schemas.openxmlformats.org/markup-compatibility/2006">
          <mc:Choice Requires="x14">
            <control shapeId="96319" r:id="rId66" name="Option Button 63">
              <controlPr defaultSize="0" autoFill="0" autoLine="0" autoPict="0">
                <anchor>
                  <from>
                    <xdr:col>7</xdr:col>
                    <xdr:colOff>57150</xdr:colOff>
                    <xdr:row>31</xdr:row>
                    <xdr:rowOff>76200</xdr:rowOff>
                  </from>
                  <to>
                    <xdr:col>7</xdr:col>
                    <xdr:colOff>247650</xdr:colOff>
                    <xdr:row>32</xdr:row>
                    <xdr:rowOff>0</xdr:rowOff>
                  </to>
                </anchor>
              </controlPr>
            </control>
          </mc:Choice>
        </mc:AlternateContent>
        <mc:AlternateContent xmlns:mc="http://schemas.openxmlformats.org/markup-compatibility/2006">
          <mc:Choice Requires="x14">
            <control shapeId="96320" r:id="rId67" name="Option Button 64">
              <controlPr defaultSize="0" autoFill="0" autoLine="0" autoPict="0">
                <anchor>
                  <from>
                    <xdr:col>9</xdr:col>
                    <xdr:colOff>38100</xdr:colOff>
                    <xdr:row>29</xdr:row>
                    <xdr:rowOff>76200</xdr:rowOff>
                  </from>
                  <to>
                    <xdr:col>9</xdr:col>
                    <xdr:colOff>247650</xdr:colOff>
                    <xdr:row>30</xdr:row>
                    <xdr:rowOff>0</xdr:rowOff>
                  </to>
                </anchor>
              </controlPr>
            </control>
          </mc:Choice>
        </mc:AlternateContent>
        <mc:AlternateContent xmlns:mc="http://schemas.openxmlformats.org/markup-compatibility/2006">
          <mc:Choice Requires="x14">
            <control shapeId="96321" r:id="rId68" name="Option Button 65">
              <controlPr defaultSize="0" autoFill="0" autoLine="0" autoPict="0">
                <anchor>
                  <from>
                    <xdr:col>9</xdr:col>
                    <xdr:colOff>38100</xdr:colOff>
                    <xdr:row>30</xdr:row>
                    <xdr:rowOff>57150</xdr:rowOff>
                  </from>
                  <to>
                    <xdr:col>9</xdr:col>
                    <xdr:colOff>247650</xdr:colOff>
                    <xdr:row>30</xdr:row>
                    <xdr:rowOff>266700</xdr:rowOff>
                  </to>
                </anchor>
              </controlPr>
            </control>
          </mc:Choice>
        </mc:AlternateContent>
        <mc:AlternateContent xmlns:mc="http://schemas.openxmlformats.org/markup-compatibility/2006">
          <mc:Choice Requires="x14">
            <control shapeId="96322" r:id="rId69" name="Option Button 66">
              <controlPr defaultSize="0" autoFill="0" autoLine="0" autoPict="0">
                <anchor>
                  <from>
                    <xdr:col>9</xdr:col>
                    <xdr:colOff>38100</xdr:colOff>
                    <xdr:row>31</xdr:row>
                    <xdr:rowOff>76200</xdr:rowOff>
                  </from>
                  <to>
                    <xdr:col>9</xdr:col>
                    <xdr:colOff>247650</xdr:colOff>
                    <xdr:row>32</xdr:row>
                    <xdr:rowOff>0</xdr:rowOff>
                  </to>
                </anchor>
              </controlPr>
            </control>
          </mc:Choice>
        </mc:AlternateContent>
        <mc:AlternateContent xmlns:mc="http://schemas.openxmlformats.org/markup-compatibility/2006">
          <mc:Choice Requires="x14">
            <control shapeId="96323" r:id="rId70" name="Option Button 67">
              <controlPr defaultSize="0" autoFill="0" autoLine="0" autoPict="0">
                <anchor>
                  <from>
                    <xdr:col>9</xdr:col>
                    <xdr:colOff>38100</xdr:colOff>
                    <xdr:row>32</xdr:row>
                    <xdr:rowOff>38100</xdr:rowOff>
                  </from>
                  <to>
                    <xdr:col>9</xdr:col>
                    <xdr:colOff>247650</xdr:colOff>
                    <xdr:row>32</xdr:row>
                    <xdr:rowOff>266700</xdr:rowOff>
                  </to>
                </anchor>
              </controlPr>
            </control>
          </mc:Choice>
        </mc:AlternateContent>
        <mc:AlternateContent xmlns:mc="http://schemas.openxmlformats.org/markup-compatibility/2006">
          <mc:Choice Requires="x14">
            <control shapeId="96324" r:id="rId71" name="Group Box 68">
              <controlPr defaultSize="0" autoFill="0" autoPict="0">
                <anchor moveWithCells="1">
                  <from>
                    <xdr:col>7</xdr:col>
                    <xdr:colOff>9525</xdr:colOff>
                    <xdr:row>29</xdr:row>
                    <xdr:rowOff>38100</xdr:rowOff>
                  </from>
                  <to>
                    <xdr:col>8</xdr:col>
                    <xdr:colOff>9525</xdr:colOff>
                    <xdr:row>32</xdr:row>
                    <xdr:rowOff>266700</xdr:rowOff>
                  </to>
                </anchor>
              </controlPr>
            </control>
          </mc:Choice>
        </mc:AlternateContent>
        <mc:AlternateContent xmlns:mc="http://schemas.openxmlformats.org/markup-compatibility/2006">
          <mc:Choice Requires="x14">
            <control shapeId="96325" r:id="rId72" name="Group Box 69">
              <controlPr defaultSize="0" autoFill="0" autoPict="0">
                <anchor moveWithCells="1">
                  <from>
                    <xdr:col>9</xdr:col>
                    <xdr:colOff>9525</xdr:colOff>
                    <xdr:row>29</xdr:row>
                    <xdr:rowOff>28575</xdr:rowOff>
                  </from>
                  <to>
                    <xdr:col>10</xdr:col>
                    <xdr:colOff>9525</xdr:colOff>
                    <xdr:row>32</xdr:row>
                    <xdr:rowOff>266700</xdr:rowOff>
                  </to>
                </anchor>
              </controlPr>
            </control>
          </mc:Choice>
        </mc:AlternateContent>
        <mc:AlternateContent xmlns:mc="http://schemas.openxmlformats.org/markup-compatibility/2006">
          <mc:Choice Requires="x14">
            <control shapeId="96326" r:id="rId73" name="Option Button 70">
              <controlPr defaultSize="0" autoFill="0" autoLine="0" autoPict="0">
                <anchor>
                  <from>
                    <xdr:col>7</xdr:col>
                    <xdr:colOff>57150</xdr:colOff>
                    <xdr:row>32</xdr:row>
                    <xdr:rowOff>9525</xdr:rowOff>
                  </from>
                  <to>
                    <xdr:col>7</xdr:col>
                    <xdr:colOff>247650</xdr:colOff>
                    <xdr:row>32</xdr:row>
                    <xdr:rowOff>228600</xdr:rowOff>
                  </to>
                </anchor>
              </controlPr>
            </control>
          </mc:Choice>
        </mc:AlternateContent>
        <mc:AlternateContent xmlns:mc="http://schemas.openxmlformats.org/markup-compatibility/2006">
          <mc:Choice Requires="x14">
            <control shapeId="96327" r:id="rId74" name="Option Button 71">
              <controlPr defaultSize="0" autoFill="0" autoLine="0" autoPict="0">
                <anchor>
                  <from>
                    <xdr:col>7</xdr:col>
                    <xdr:colOff>38100</xdr:colOff>
                    <xdr:row>33</xdr:row>
                    <xdr:rowOff>76200</xdr:rowOff>
                  </from>
                  <to>
                    <xdr:col>7</xdr:col>
                    <xdr:colOff>247650</xdr:colOff>
                    <xdr:row>34</xdr:row>
                    <xdr:rowOff>28575</xdr:rowOff>
                  </to>
                </anchor>
              </controlPr>
            </control>
          </mc:Choice>
        </mc:AlternateContent>
        <mc:AlternateContent xmlns:mc="http://schemas.openxmlformats.org/markup-compatibility/2006">
          <mc:Choice Requires="x14">
            <control shapeId="96328" r:id="rId75" name="Option Button 72">
              <controlPr defaultSize="0" autoFill="0" autoLine="0" autoPict="0">
                <anchor>
                  <from>
                    <xdr:col>7</xdr:col>
                    <xdr:colOff>38100</xdr:colOff>
                    <xdr:row>34</xdr:row>
                    <xdr:rowOff>57150</xdr:rowOff>
                  </from>
                  <to>
                    <xdr:col>7</xdr:col>
                    <xdr:colOff>247650</xdr:colOff>
                    <xdr:row>34</xdr:row>
                    <xdr:rowOff>266700</xdr:rowOff>
                  </to>
                </anchor>
              </controlPr>
            </control>
          </mc:Choice>
        </mc:AlternateContent>
        <mc:AlternateContent xmlns:mc="http://schemas.openxmlformats.org/markup-compatibility/2006">
          <mc:Choice Requires="x14">
            <control shapeId="96329" r:id="rId76" name="Option Button 73">
              <controlPr defaultSize="0" autoFill="0" autoLine="0" autoPict="0">
                <anchor>
                  <from>
                    <xdr:col>7</xdr:col>
                    <xdr:colOff>38100</xdr:colOff>
                    <xdr:row>35</xdr:row>
                    <xdr:rowOff>38100</xdr:rowOff>
                  </from>
                  <to>
                    <xdr:col>7</xdr:col>
                    <xdr:colOff>247650</xdr:colOff>
                    <xdr:row>35</xdr:row>
                    <xdr:rowOff>266700</xdr:rowOff>
                  </to>
                </anchor>
              </controlPr>
            </control>
          </mc:Choice>
        </mc:AlternateContent>
        <mc:AlternateContent xmlns:mc="http://schemas.openxmlformats.org/markup-compatibility/2006">
          <mc:Choice Requires="x14">
            <control shapeId="96330" r:id="rId77" name="Group Box 74">
              <controlPr defaultSize="0" autoFill="0" autoPict="0">
                <anchor moveWithCells="1">
                  <from>
                    <xdr:col>7</xdr:col>
                    <xdr:colOff>28575</xdr:colOff>
                    <xdr:row>33</xdr:row>
                    <xdr:rowOff>47625</xdr:rowOff>
                  </from>
                  <to>
                    <xdr:col>8</xdr:col>
                    <xdr:colOff>28575</xdr:colOff>
                    <xdr:row>36</xdr:row>
                    <xdr:rowOff>266700</xdr:rowOff>
                  </to>
                </anchor>
              </controlPr>
            </control>
          </mc:Choice>
        </mc:AlternateContent>
        <mc:AlternateContent xmlns:mc="http://schemas.openxmlformats.org/markup-compatibility/2006">
          <mc:Choice Requires="x14">
            <control shapeId="96331" r:id="rId78" name="Option Button 75">
              <controlPr defaultSize="0" autoFill="0" autoLine="0" autoPict="0">
                <anchor>
                  <from>
                    <xdr:col>7</xdr:col>
                    <xdr:colOff>38100</xdr:colOff>
                    <xdr:row>36</xdr:row>
                    <xdr:rowOff>28575</xdr:rowOff>
                  </from>
                  <to>
                    <xdr:col>7</xdr:col>
                    <xdr:colOff>247650</xdr:colOff>
                    <xdr:row>36</xdr:row>
                    <xdr:rowOff>247650</xdr:rowOff>
                  </to>
                </anchor>
              </controlPr>
            </control>
          </mc:Choice>
        </mc:AlternateContent>
        <mc:AlternateContent xmlns:mc="http://schemas.openxmlformats.org/markup-compatibility/2006">
          <mc:Choice Requires="x14">
            <control shapeId="96332" r:id="rId79" name="Option Button 76">
              <controlPr defaultSize="0" autoFill="0" autoLine="0" autoPict="0">
                <anchor>
                  <from>
                    <xdr:col>9</xdr:col>
                    <xdr:colOff>57150</xdr:colOff>
                    <xdr:row>33</xdr:row>
                    <xdr:rowOff>76200</xdr:rowOff>
                  </from>
                  <to>
                    <xdr:col>9</xdr:col>
                    <xdr:colOff>247650</xdr:colOff>
                    <xdr:row>34</xdr:row>
                    <xdr:rowOff>0</xdr:rowOff>
                  </to>
                </anchor>
              </controlPr>
            </control>
          </mc:Choice>
        </mc:AlternateContent>
        <mc:AlternateContent xmlns:mc="http://schemas.openxmlformats.org/markup-compatibility/2006">
          <mc:Choice Requires="x14">
            <control shapeId="96333" r:id="rId80" name="Option Button 77">
              <controlPr defaultSize="0" autoFill="0" autoLine="0" autoPict="0">
                <anchor>
                  <from>
                    <xdr:col>9</xdr:col>
                    <xdr:colOff>57150</xdr:colOff>
                    <xdr:row>34</xdr:row>
                    <xdr:rowOff>57150</xdr:rowOff>
                  </from>
                  <to>
                    <xdr:col>9</xdr:col>
                    <xdr:colOff>247650</xdr:colOff>
                    <xdr:row>34</xdr:row>
                    <xdr:rowOff>266700</xdr:rowOff>
                  </to>
                </anchor>
              </controlPr>
            </control>
          </mc:Choice>
        </mc:AlternateContent>
        <mc:AlternateContent xmlns:mc="http://schemas.openxmlformats.org/markup-compatibility/2006">
          <mc:Choice Requires="x14">
            <control shapeId="96334" r:id="rId81" name="Option Button 78">
              <controlPr defaultSize="0" autoFill="0" autoLine="0" autoPict="0">
                <anchor>
                  <from>
                    <xdr:col>9</xdr:col>
                    <xdr:colOff>57150</xdr:colOff>
                    <xdr:row>35</xdr:row>
                    <xdr:rowOff>38100</xdr:rowOff>
                  </from>
                  <to>
                    <xdr:col>9</xdr:col>
                    <xdr:colOff>247650</xdr:colOff>
                    <xdr:row>35</xdr:row>
                    <xdr:rowOff>266700</xdr:rowOff>
                  </to>
                </anchor>
              </controlPr>
            </control>
          </mc:Choice>
        </mc:AlternateContent>
        <mc:AlternateContent xmlns:mc="http://schemas.openxmlformats.org/markup-compatibility/2006">
          <mc:Choice Requires="x14">
            <control shapeId="96335" r:id="rId82" name="Option Button 79">
              <controlPr defaultSize="0" autoFill="0" autoLine="0" autoPict="0">
                <anchor>
                  <from>
                    <xdr:col>9</xdr:col>
                    <xdr:colOff>57150</xdr:colOff>
                    <xdr:row>36</xdr:row>
                    <xdr:rowOff>38100</xdr:rowOff>
                  </from>
                  <to>
                    <xdr:col>9</xdr:col>
                    <xdr:colOff>247650</xdr:colOff>
                    <xdr:row>36</xdr:row>
                    <xdr:rowOff>266700</xdr:rowOff>
                  </to>
                </anchor>
              </controlPr>
            </control>
          </mc:Choice>
        </mc:AlternateContent>
        <mc:AlternateContent xmlns:mc="http://schemas.openxmlformats.org/markup-compatibility/2006">
          <mc:Choice Requires="x14">
            <control shapeId="96336" r:id="rId83" name="Group Box 80">
              <controlPr defaultSize="0" autoFill="0" autoPict="0">
                <anchor moveWithCells="1">
                  <from>
                    <xdr:col>9</xdr:col>
                    <xdr:colOff>0</xdr:colOff>
                    <xdr:row>33</xdr:row>
                    <xdr:rowOff>28575</xdr:rowOff>
                  </from>
                  <to>
                    <xdr:col>10</xdr:col>
                    <xdr:colOff>0</xdr:colOff>
                    <xdr:row>36</xdr:row>
                    <xdr:rowOff>266700</xdr:rowOff>
                  </to>
                </anchor>
              </controlPr>
            </control>
          </mc:Choice>
        </mc:AlternateContent>
        <mc:AlternateContent xmlns:mc="http://schemas.openxmlformats.org/markup-compatibility/2006">
          <mc:Choice Requires="x14">
            <control shapeId="96337" r:id="rId84" name="Option Button 81">
              <controlPr defaultSize="0" autoFill="0" autoLine="0" autoPict="0">
                <anchor>
                  <from>
                    <xdr:col>7</xdr:col>
                    <xdr:colOff>57150</xdr:colOff>
                    <xdr:row>37</xdr:row>
                    <xdr:rowOff>76200</xdr:rowOff>
                  </from>
                  <to>
                    <xdr:col>7</xdr:col>
                    <xdr:colOff>247650</xdr:colOff>
                    <xdr:row>38</xdr:row>
                    <xdr:rowOff>0</xdr:rowOff>
                  </to>
                </anchor>
              </controlPr>
            </control>
          </mc:Choice>
        </mc:AlternateContent>
        <mc:AlternateContent xmlns:mc="http://schemas.openxmlformats.org/markup-compatibility/2006">
          <mc:Choice Requires="x14">
            <control shapeId="96338" r:id="rId85" name="Option Button 82">
              <controlPr defaultSize="0" autoFill="0" autoLine="0" autoPict="0">
                <anchor>
                  <from>
                    <xdr:col>7</xdr:col>
                    <xdr:colOff>57150</xdr:colOff>
                    <xdr:row>38</xdr:row>
                    <xdr:rowOff>76200</xdr:rowOff>
                  </from>
                  <to>
                    <xdr:col>7</xdr:col>
                    <xdr:colOff>247650</xdr:colOff>
                    <xdr:row>39</xdr:row>
                    <xdr:rowOff>9525</xdr:rowOff>
                  </to>
                </anchor>
              </controlPr>
            </control>
          </mc:Choice>
        </mc:AlternateContent>
        <mc:AlternateContent xmlns:mc="http://schemas.openxmlformats.org/markup-compatibility/2006">
          <mc:Choice Requires="x14">
            <control shapeId="96339" r:id="rId86" name="Option Button 83">
              <controlPr defaultSize="0" autoFill="0" autoLine="0" autoPict="0">
                <anchor>
                  <from>
                    <xdr:col>7</xdr:col>
                    <xdr:colOff>57150</xdr:colOff>
                    <xdr:row>39</xdr:row>
                    <xdr:rowOff>57150</xdr:rowOff>
                  </from>
                  <to>
                    <xdr:col>7</xdr:col>
                    <xdr:colOff>247650</xdr:colOff>
                    <xdr:row>39</xdr:row>
                    <xdr:rowOff>266700</xdr:rowOff>
                  </to>
                </anchor>
              </controlPr>
            </control>
          </mc:Choice>
        </mc:AlternateContent>
        <mc:AlternateContent xmlns:mc="http://schemas.openxmlformats.org/markup-compatibility/2006">
          <mc:Choice Requires="x14">
            <control shapeId="96340" r:id="rId87" name="Option Button 84">
              <controlPr defaultSize="0" autoFill="0" autoLine="0" autoPict="0">
                <anchor>
                  <from>
                    <xdr:col>9</xdr:col>
                    <xdr:colOff>38100</xdr:colOff>
                    <xdr:row>37</xdr:row>
                    <xdr:rowOff>57150</xdr:rowOff>
                  </from>
                  <to>
                    <xdr:col>9</xdr:col>
                    <xdr:colOff>247650</xdr:colOff>
                    <xdr:row>37</xdr:row>
                    <xdr:rowOff>266700</xdr:rowOff>
                  </to>
                </anchor>
              </controlPr>
            </control>
          </mc:Choice>
        </mc:AlternateContent>
        <mc:AlternateContent xmlns:mc="http://schemas.openxmlformats.org/markup-compatibility/2006">
          <mc:Choice Requires="x14">
            <control shapeId="96341" r:id="rId88" name="Option Button 85">
              <controlPr defaultSize="0" autoFill="0" autoLine="0" autoPict="0">
                <anchor>
                  <from>
                    <xdr:col>9</xdr:col>
                    <xdr:colOff>38100</xdr:colOff>
                    <xdr:row>38</xdr:row>
                    <xdr:rowOff>38100</xdr:rowOff>
                  </from>
                  <to>
                    <xdr:col>9</xdr:col>
                    <xdr:colOff>247650</xdr:colOff>
                    <xdr:row>38</xdr:row>
                    <xdr:rowOff>266700</xdr:rowOff>
                  </to>
                </anchor>
              </controlPr>
            </control>
          </mc:Choice>
        </mc:AlternateContent>
        <mc:AlternateContent xmlns:mc="http://schemas.openxmlformats.org/markup-compatibility/2006">
          <mc:Choice Requires="x14">
            <control shapeId="96342" r:id="rId89" name="Option Button 86">
              <controlPr defaultSize="0" autoFill="0" autoLine="0" autoPict="0">
                <anchor>
                  <from>
                    <xdr:col>9</xdr:col>
                    <xdr:colOff>38100</xdr:colOff>
                    <xdr:row>39</xdr:row>
                    <xdr:rowOff>57150</xdr:rowOff>
                  </from>
                  <to>
                    <xdr:col>9</xdr:col>
                    <xdr:colOff>247650</xdr:colOff>
                    <xdr:row>39</xdr:row>
                    <xdr:rowOff>266700</xdr:rowOff>
                  </to>
                </anchor>
              </controlPr>
            </control>
          </mc:Choice>
        </mc:AlternateContent>
        <mc:AlternateContent xmlns:mc="http://schemas.openxmlformats.org/markup-compatibility/2006">
          <mc:Choice Requires="x14">
            <control shapeId="96343" r:id="rId90" name="Option Button 87">
              <controlPr defaultSize="0" autoFill="0" autoLine="0" autoPict="0">
                <anchor>
                  <from>
                    <xdr:col>9</xdr:col>
                    <xdr:colOff>38100</xdr:colOff>
                    <xdr:row>40</xdr:row>
                    <xdr:rowOff>28575</xdr:rowOff>
                  </from>
                  <to>
                    <xdr:col>9</xdr:col>
                    <xdr:colOff>247650</xdr:colOff>
                    <xdr:row>40</xdr:row>
                    <xdr:rowOff>266700</xdr:rowOff>
                  </to>
                </anchor>
              </controlPr>
            </control>
          </mc:Choice>
        </mc:AlternateContent>
        <mc:AlternateContent xmlns:mc="http://schemas.openxmlformats.org/markup-compatibility/2006">
          <mc:Choice Requires="x14">
            <control shapeId="96344" r:id="rId91" name="Group Box 88">
              <controlPr defaultSize="0" autoFill="0" autoPict="0">
                <anchor moveWithCells="1">
                  <from>
                    <xdr:col>7</xdr:col>
                    <xdr:colOff>9525</xdr:colOff>
                    <xdr:row>37</xdr:row>
                    <xdr:rowOff>28575</xdr:rowOff>
                  </from>
                  <to>
                    <xdr:col>8</xdr:col>
                    <xdr:colOff>9525</xdr:colOff>
                    <xdr:row>40</xdr:row>
                    <xdr:rowOff>266700</xdr:rowOff>
                  </to>
                </anchor>
              </controlPr>
            </control>
          </mc:Choice>
        </mc:AlternateContent>
        <mc:AlternateContent xmlns:mc="http://schemas.openxmlformats.org/markup-compatibility/2006">
          <mc:Choice Requires="x14">
            <control shapeId="96345" r:id="rId92" name="Group Box 89">
              <controlPr defaultSize="0" autoFill="0" autoPict="0">
                <anchor moveWithCells="1">
                  <from>
                    <xdr:col>9</xdr:col>
                    <xdr:colOff>9525</xdr:colOff>
                    <xdr:row>37</xdr:row>
                    <xdr:rowOff>28575</xdr:rowOff>
                  </from>
                  <to>
                    <xdr:col>10</xdr:col>
                    <xdr:colOff>9525</xdr:colOff>
                    <xdr:row>40</xdr:row>
                    <xdr:rowOff>266700</xdr:rowOff>
                  </to>
                </anchor>
              </controlPr>
            </control>
          </mc:Choice>
        </mc:AlternateContent>
        <mc:AlternateContent xmlns:mc="http://schemas.openxmlformats.org/markup-compatibility/2006">
          <mc:Choice Requires="x14">
            <control shapeId="96346" r:id="rId93" name="Option Button 90">
              <controlPr defaultSize="0" autoFill="0" autoLine="0" autoPict="0">
                <anchor>
                  <from>
                    <xdr:col>7</xdr:col>
                    <xdr:colOff>57150</xdr:colOff>
                    <xdr:row>40</xdr:row>
                    <xdr:rowOff>38100</xdr:rowOff>
                  </from>
                  <to>
                    <xdr:col>7</xdr:col>
                    <xdr:colOff>247650</xdr:colOff>
                    <xdr:row>40</xdr:row>
                    <xdr:rowOff>266700</xdr:rowOff>
                  </to>
                </anchor>
              </controlPr>
            </control>
          </mc:Choice>
        </mc:AlternateContent>
        <mc:AlternateContent xmlns:mc="http://schemas.openxmlformats.org/markup-compatibility/2006">
          <mc:Choice Requires="x14">
            <control shapeId="96347" r:id="rId94" name="Option Button 91">
              <controlPr defaultSize="0" autoFill="0" autoLine="0" autoPict="0">
                <anchor>
                  <from>
                    <xdr:col>7</xdr:col>
                    <xdr:colOff>38100</xdr:colOff>
                    <xdr:row>41</xdr:row>
                    <xdr:rowOff>76200</xdr:rowOff>
                  </from>
                  <to>
                    <xdr:col>7</xdr:col>
                    <xdr:colOff>247650</xdr:colOff>
                    <xdr:row>42</xdr:row>
                    <xdr:rowOff>9525</xdr:rowOff>
                  </to>
                </anchor>
              </controlPr>
            </control>
          </mc:Choice>
        </mc:AlternateContent>
        <mc:AlternateContent xmlns:mc="http://schemas.openxmlformats.org/markup-compatibility/2006">
          <mc:Choice Requires="x14">
            <control shapeId="96348" r:id="rId95" name="Option Button 92">
              <controlPr defaultSize="0" autoFill="0" autoLine="0" autoPict="0">
                <anchor>
                  <from>
                    <xdr:col>7</xdr:col>
                    <xdr:colOff>38100</xdr:colOff>
                    <xdr:row>42</xdr:row>
                    <xdr:rowOff>76200</xdr:rowOff>
                  </from>
                  <to>
                    <xdr:col>7</xdr:col>
                    <xdr:colOff>247650</xdr:colOff>
                    <xdr:row>43</xdr:row>
                    <xdr:rowOff>9525</xdr:rowOff>
                  </to>
                </anchor>
              </controlPr>
            </control>
          </mc:Choice>
        </mc:AlternateContent>
        <mc:AlternateContent xmlns:mc="http://schemas.openxmlformats.org/markup-compatibility/2006">
          <mc:Choice Requires="x14">
            <control shapeId="96349" r:id="rId96" name="Option Button 93">
              <controlPr defaultSize="0" autoFill="0" autoLine="0" autoPict="0">
                <anchor>
                  <from>
                    <xdr:col>7</xdr:col>
                    <xdr:colOff>38100</xdr:colOff>
                    <xdr:row>43</xdr:row>
                    <xdr:rowOff>76200</xdr:rowOff>
                  </from>
                  <to>
                    <xdr:col>7</xdr:col>
                    <xdr:colOff>247650</xdr:colOff>
                    <xdr:row>44</xdr:row>
                    <xdr:rowOff>0</xdr:rowOff>
                  </to>
                </anchor>
              </controlPr>
            </control>
          </mc:Choice>
        </mc:AlternateContent>
        <mc:AlternateContent xmlns:mc="http://schemas.openxmlformats.org/markup-compatibility/2006">
          <mc:Choice Requires="x14">
            <control shapeId="96350" r:id="rId97" name="Group Box 94">
              <controlPr defaultSize="0" autoFill="0" autoPict="0">
                <anchor moveWithCells="1">
                  <from>
                    <xdr:col>7</xdr:col>
                    <xdr:colOff>28575</xdr:colOff>
                    <xdr:row>41</xdr:row>
                    <xdr:rowOff>38100</xdr:rowOff>
                  </from>
                  <to>
                    <xdr:col>8</xdr:col>
                    <xdr:colOff>28575</xdr:colOff>
                    <xdr:row>44</xdr:row>
                    <xdr:rowOff>266700</xdr:rowOff>
                  </to>
                </anchor>
              </controlPr>
            </control>
          </mc:Choice>
        </mc:AlternateContent>
        <mc:AlternateContent xmlns:mc="http://schemas.openxmlformats.org/markup-compatibility/2006">
          <mc:Choice Requires="x14">
            <control shapeId="96351" r:id="rId98" name="Option Button 95">
              <controlPr defaultSize="0" autoFill="0" autoLine="0" autoPict="0">
                <anchor>
                  <from>
                    <xdr:col>7</xdr:col>
                    <xdr:colOff>38100</xdr:colOff>
                    <xdr:row>44</xdr:row>
                    <xdr:rowOff>28575</xdr:rowOff>
                  </from>
                  <to>
                    <xdr:col>7</xdr:col>
                    <xdr:colOff>247650</xdr:colOff>
                    <xdr:row>44</xdr:row>
                    <xdr:rowOff>247650</xdr:rowOff>
                  </to>
                </anchor>
              </controlPr>
            </control>
          </mc:Choice>
        </mc:AlternateContent>
        <mc:AlternateContent xmlns:mc="http://schemas.openxmlformats.org/markup-compatibility/2006">
          <mc:Choice Requires="x14">
            <control shapeId="96352" r:id="rId99" name="Option Button 96">
              <controlPr defaultSize="0" autoFill="0" autoLine="0" autoPict="0">
                <anchor>
                  <from>
                    <xdr:col>9</xdr:col>
                    <xdr:colOff>57150</xdr:colOff>
                    <xdr:row>41</xdr:row>
                    <xdr:rowOff>57150</xdr:rowOff>
                  </from>
                  <to>
                    <xdr:col>9</xdr:col>
                    <xdr:colOff>247650</xdr:colOff>
                    <xdr:row>41</xdr:row>
                    <xdr:rowOff>266700</xdr:rowOff>
                  </to>
                </anchor>
              </controlPr>
            </control>
          </mc:Choice>
        </mc:AlternateContent>
        <mc:AlternateContent xmlns:mc="http://schemas.openxmlformats.org/markup-compatibility/2006">
          <mc:Choice Requires="x14">
            <control shapeId="96353" r:id="rId100" name="Option Button 97">
              <controlPr defaultSize="0" autoFill="0" autoLine="0" autoPict="0">
                <anchor>
                  <from>
                    <xdr:col>9</xdr:col>
                    <xdr:colOff>57150</xdr:colOff>
                    <xdr:row>42</xdr:row>
                    <xdr:rowOff>38100</xdr:rowOff>
                  </from>
                  <to>
                    <xdr:col>9</xdr:col>
                    <xdr:colOff>247650</xdr:colOff>
                    <xdr:row>42</xdr:row>
                    <xdr:rowOff>266700</xdr:rowOff>
                  </to>
                </anchor>
              </controlPr>
            </control>
          </mc:Choice>
        </mc:AlternateContent>
        <mc:AlternateContent xmlns:mc="http://schemas.openxmlformats.org/markup-compatibility/2006">
          <mc:Choice Requires="x14">
            <control shapeId="96354" r:id="rId101" name="Option Button 98">
              <controlPr defaultSize="0" autoFill="0" autoLine="0" autoPict="0">
                <anchor>
                  <from>
                    <xdr:col>9</xdr:col>
                    <xdr:colOff>57150</xdr:colOff>
                    <xdr:row>43</xdr:row>
                    <xdr:rowOff>28575</xdr:rowOff>
                  </from>
                  <to>
                    <xdr:col>9</xdr:col>
                    <xdr:colOff>247650</xdr:colOff>
                    <xdr:row>43</xdr:row>
                    <xdr:rowOff>266700</xdr:rowOff>
                  </to>
                </anchor>
              </controlPr>
            </control>
          </mc:Choice>
        </mc:AlternateContent>
        <mc:AlternateContent xmlns:mc="http://schemas.openxmlformats.org/markup-compatibility/2006">
          <mc:Choice Requires="x14">
            <control shapeId="96355" r:id="rId102" name="Option Button 99">
              <controlPr defaultSize="0" autoFill="0" autoLine="0" autoPict="0">
                <anchor>
                  <from>
                    <xdr:col>9</xdr:col>
                    <xdr:colOff>57150</xdr:colOff>
                    <xdr:row>44</xdr:row>
                    <xdr:rowOff>28575</xdr:rowOff>
                  </from>
                  <to>
                    <xdr:col>9</xdr:col>
                    <xdr:colOff>247650</xdr:colOff>
                    <xdr:row>44</xdr:row>
                    <xdr:rowOff>266700</xdr:rowOff>
                  </to>
                </anchor>
              </controlPr>
            </control>
          </mc:Choice>
        </mc:AlternateContent>
        <mc:AlternateContent xmlns:mc="http://schemas.openxmlformats.org/markup-compatibility/2006">
          <mc:Choice Requires="x14">
            <control shapeId="96356" r:id="rId103" name="Group Box 100">
              <controlPr defaultSize="0" autoFill="0" autoPict="0">
                <anchor moveWithCells="1">
                  <from>
                    <xdr:col>9</xdr:col>
                    <xdr:colOff>0</xdr:colOff>
                    <xdr:row>41</xdr:row>
                    <xdr:rowOff>28575</xdr:rowOff>
                  </from>
                  <to>
                    <xdr:col>10</xdr:col>
                    <xdr:colOff>0</xdr:colOff>
                    <xdr:row>44</xdr:row>
                    <xdr:rowOff>266700</xdr:rowOff>
                  </to>
                </anchor>
              </controlPr>
            </control>
          </mc:Choice>
        </mc:AlternateContent>
        <mc:AlternateContent xmlns:mc="http://schemas.openxmlformats.org/markup-compatibility/2006">
          <mc:Choice Requires="x14">
            <control shapeId="96357" r:id="rId104" name="Option Button 101">
              <controlPr defaultSize="0" autoFill="0" autoLine="0" autoPict="0">
                <anchor>
                  <from>
                    <xdr:col>7</xdr:col>
                    <xdr:colOff>57150</xdr:colOff>
                    <xdr:row>71</xdr:row>
                    <xdr:rowOff>38100</xdr:rowOff>
                  </from>
                  <to>
                    <xdr:col>7</xdr:col>
                    <xdr:colOff>266700</xdr:colOff>
                    <xdr:row>71</xdr:row>
                    <xdr:rowOff>266700</xdr:rowOff>
                  </to>
                </anchor>
              </controlPr>
            </control>
          </mc:Choice>
        </mc:AlternateContent>
        <mc:AlternateContent xmlns:mc="http://schemas.openxmlformats.org/markup-compatibility/2006">
          <mc:Choice Requires="x14">
            <control shapeId="96358" r:id="rId105" name="Option Button 102">
              <controlPr defaultSize="0" autoFill="0" autoLine="0" autoPict="0">
                <anchor>
                  <from>
                    <xdr:col>7</xdr:col>
                    <xdr:colOff>57150</xdr:colOff>
                    <xdr:row>72</xdr:row>
                    <xdr:rowOff>57150</xdr:rowOff>
                  </from>
                  <to>
                    <xdr:col>7</xdr:col>
                    <xdr:colOff>266700</xdr:colOff>
                    <xdr:row>72</xdr:row>
                    <xdr:rowOff>266700</xdr:rowOff>
                  </to>
                </anchor>
              </controlPr>
            </control>
          </mc:Choice>
        </mc:AlternateContent>
        <mc:AlternateContent xmlns:mc="http://schemas.openxmlformats.org/markup-compatibility/2006">
          <mc:Choice Requires="x14">
            <control shapeId="96359" r:id="rId106" name="Option Button 103">
              <controlPr defaultSize="0" autoFill="0" autoLine="0" autoPict="0">
                <anchor>
                  <from>
                    <xdr:col>7</xdr:col>
                    <xdr:colOff>57150</xdr:colOff>
                    <xdr:row>73</xdr:row>
                    <xdr:rowOff>28575</xdr:rowOff>
                  </from>
                  <to>
                    <xdr:col>7</xdr:col>
                    <xdr:colOff>266700</xdr:colOff>
                    <xdr:row>73</xdr:row>
                    <xdr:rowOff>266700</xdr:rowOff>
                  </to>
                </anchor>
              </controlPr>
            </control>
          </mc:Choice>
        </mc:AlternateContent>
        <mc:AlternateContent xmlns:mc="http://schemas.openxmlformats.org/markup-compatibility/2006">
          <mc:Choice Requires="x14">
            <control shapeId="96360" r:id="rId107" name="Option Button 104">
              <controlPr defaultSize="0" autoFill="0" autoLine="0" autoPict="0">
                <anchor>
                  <from>
                    <xdr:col>9</xdr:col>
                    <xdr:colOff>38100</xdr:colOff>
                    <xdr:row>71</xdr:row>
                    <xdr:rowOff>28575</xdr:rowOff>
                  </from>
                  <to>
                    <xdr:col>9</xdr:col>
                    <xdr:colOff>247650</xdr:colOff>
                    <xdr:row>71</xdr:row>
                    <xdr:rowOff>247650</xdr:rowOff>
                  </to>
                </anchor>
              </controlPr>
            </control>
          </mc:Choice>
        </mc:AlternateContent>
        <mc:AlternateContent xmlns:mc="http://schemas.openxmlformats.org/markup-compatibility/2006">
          <mc:Choice Requires="x14">
            <control shapeId="96361" r:id="rId108" name="Option Button 105">
              <controlPr defaultSize="0" autoFill="0" autoLine="0" autoPict="0">
                <anchor>
                  <from>
                    <xdr:col>9</xdr:col>
                    <xdr:colOff>38100</xdr:colOff>
                    <xdr:row>72</xdr:row>
                    <xdr:rowOff>9525</xdr:rowOff>
                  </from>
                  <to>
                    <xdr:col>9</xdr:col>
                    <xdr:colOff>247650</xdr:colOff>
                    <xdr:row>72</xdr:row>
                    <xdr:rowOff>228600</xdr:rowOff>
                  </to>
                </anchor>
              </controlPr>
            </control>
          </mc:Choice>
        </mc:AlternateContent>
        <mc:AlternateContent xmlns:mc="http://schemas.openxmlformats.org/markup-compatibility/2006">
          <mc:Choice Requires="x14">
            <control shapeId="96362" r:id="rId109" name="Option Button 106">
              <controlPr defaultSize="0" autoFill="0" autoLine="0" autoPict="0">
                <anchor>
                  <from>
                    <xdr:col>9</xdr:col>
                    <xdr:colOff>38100</xdr:colOff>
                    <xdr:row>73</xdr:row>
                    <xdr:rowOff>28575</xdr:rowOff>
                  </from>
                  <to>
                    <xdr:col>9</xdr:col>
                    <xdr:colOff>247650</xdr:colOff>
                    <xdr:row>73</xdr:row>
                    <xdr:rowOff>247650</xdr:rowOff>
                  </to>
                </anchor>
              </controlPr>
            </control>
          </mc:Choice>
        </mc:AlternateContent>
        <mc:AlternateContent xmlns:mc="http://schemas.openxmlformats.org/markup-compatibility/2006">
          <mc:Choice Requires="x14">
            <control shapeId="96363" r:id="rId110" name="Option Button 107">
              <controlPr defaultSize="0" autoFill="0" autoLine="0" autoPict="0">
                <anchor>
                  <from>
                    <xdr:col>9</xdr:col>
                    <xdr:colOff>38100</xdr:colOff>
                    <xdr:row>74</xdr:row>
                    <xdr:rowOff>0</xdr:rowOff>
                  </from>
                  <to>
                    <xdr:col>9</xdr:col>
                    <xdr:colOff>247650</xdr:colOff>
                    <xdr:row>74</xdr:row>
                    <xdr:rowOff>219075</xdr:rowOff>
                  </to>
                </anchor>
              </controlPr>
            </control>
          </mc:Choice>
        </mc:AlternateContent>
        <mc:AlternateContent xmlns:mc="http://schemas.openxmlformats.org/markup-compatibility/2006">
          <mc:Choice Requires="x14">
            <control shapeId="96364" r:id="rId111" name="Group Box 108">
              <controlPr defaultSize="0" autoFill="0" autoPict="0">
                <anchor moveWithCells="1">
                  <from>
                    <xdr:col>7</xdr:col>
                    <xdr:colOff>9525</xdr:colOff>
                    <xdr:row>71</xdr:row>
                    <xdr:rowOff>0</xdr:rowOff>
                  </from>
                  <to>
                    <xdr:col>8</xdr:col>
                    <xdr:colOff>9525</xdr:colOff>
                    <xdr:row>74</xdr:row>
                    <xdr:rowOff>228600</xdr:rowOff>
                  </to>
                </anchor>
              </controlPr>
            </control>
          </mc:Choice>
        </mc:AlternateContent>
        <mc:AlternateContent xmlns:mc="http://schemas.openxmlformats.org/markup-compatibility/2006">
          <mc:Choice Requires="x14">
            <control shapeId="96365" r:id="rId112" name="Group Box 109">
              <controlPr defaultSize="0" autoFill="0" autoPict="0">
                <anchor moveWithCells="1">
                  <from>
                    <xdr:col>9</xdr:col>
                    <xdr:colOff>9525</xdr:colOff>
                    <xdr:row>70</xdr:row>
                    <xdr:rowOff>266700</xdr:rowOff>
                  </from>
                  <to>
                    <xdr:col>10</xdr:col>
                    <xdr:colOff>9525</xdr:colOff>
                    <xdr:row>74</xdr:row>
                    <xdr:rowOff>228600</xdr:rowOff>
                  </to>
                </anchor>
              </controlPr>
            </control>
          </mc:Choice>
        </mc:AlternateContent>
        <mc:AlternateContent xmlns:mc="http://schemas.openxmlformats.org/markup-compatibility/2006">
          <mc:Choice Requires="x14">
            <control shapeId="96366" r:id="rId113" name="Option Button 110">
              <controlPr defaultSize="0" autoFill="0" autoLine="0" autoPict="0">
                <anchor>
                  <from>
                    <xdr:col>7</xdr:col>
                    <xdr:colOff>57150</xdr:colOff>
                    <xdr:row>73</xdr:row>
                    <xdr:rowOff>266700</xdr:rowOff>
                  </from>
                  <to>
                    <xdr:col>7</xdr:col>
                    <xdr:colOff>266700</xdr:colOff>
                    <xdr:row>74</xdr:row>
                    <xdr:rowOff>219075</xdr:rowOff>
                  </to>
                </anchor>
              </controlPr>
            </control>
          </mc:Choice>
        </mc:AlternateContent>
        <mc:AlternateContent xmlns:mc="http://schemas.openxmlformats.org/markup-compatibility/2006">
          <mc:Choice Requires="x14">
            <control shapeId="96367" r:id="rId114" name="Option Button 111">
              <controlPr defaultSize="0" autoFill="0" autoLine="0" autoPict="0">
                <anchor>
                  <from>
                    <xdr:col>7</xdr:col>
                    <xdr:colOff>57150</xdr:colOff>
                    <xdr:row>75</xdr:row>
                    <xdr:rowOff>76200</xdr:rowOff>
                  </from>
                  <to>
                    <xdr:col>7</xdr:col>
                    <xdr:colOff>266700</xdr:colOff>
                    <xdr:row>76</xdr:row>
                    <xdr:rowOff>28575</xdr:rowOff>
                  </to>
                </anchor>
              </controlPr>
            </control>
          </mc:Choice>
        </mc:AlternateContent>
        <mc:AlternateContent xmlns:mc="http://schemas.openxmlformats.org/markup-compatibility/2006">
          <mc:Choice Requires="x14">
            <control shapeId="96368" r:id="rId115" name="Option Button 112">
              <controlPr defaultSize="0" autoFill="0" autoLine="0" autoPict="0">
                <anchor>
                  <from>
                    <xdr:col>7</xdr:col>
                    <xdr:colOff>57150</xdr:colOff>
                    <xdr:row>76</xdr:row>
                    <xdr:rowOff>76200</xdr:rowOff>
                  </from>
                  <to>
                    <xdr:col>7</xdr:col>
                    <xdr:colOff>266700</xdr:colOff>
                    <xdr:row>77</xdr:row>
                    <xdr:rowOff>0</xdr:rowOff>
                  </to>
                </anchor>
              </controlPr>
            </control>
          </mc:Choice>
        </mc:AlternateContent>
        <mc:AlternateContent xmlns:mc="http://schemas.openxmlformats.org/markup-compatibility/2006">
          <mc:Choice Requires="x14">
            <control shapeId="96369" r:id="rId116" name="Option Button 113">
              <controlPr defaultSize="0" autoFill="0" autoLine="0" autoPict="0">
                <anchor>
                  <from>
                    <xdr:col>7</xdr:col>
                    <xdr:colOff>57150</xdr:colOff>
                    <xdr:row>77</xdr:row>
                    <xdr:rowOff>57150</xdr:rowOff>
                  </from>
                  <to>
                    <xdr:col>7</xdr:col>
                    <xdr:colOff>266700</xdr:colOff>
                    <xdr:row>77</xdr:row>
                    <xdr:rowOff>266700</xdr:rowOff>
                  </to>
                </anchor>
              </controlPr>
            </control>
          </mc:Choice>
        </mc:AlternateContent>
        <mc:AlternateContent xmlns:mc="http://schemas.openxmlformats.org/markup-compatibility/2006">
          <mc:Choice Requires="x14">
            <control shapeId="96370" r:id="rId117" name="Group Box 114">
              <controlPr defaultSize="0" autoFill="0" autoPict="0">
                <anchor moveWithCells="1">
                  <from>
                    <xdr:col>7</xdr:col>
                    <xdr:colOff>28575</xdr:colOff>
                    <xdr:row>75</xdr:row>
                    <xdr:rowOff>9525</xdr:rowOff>
                  </from>
                  <to>
                    <xdr:col>8</xdr:col>
                    <xdr:colOff>28575</xdr:colOff>
                    <xdr:row>78</xdr:row>
                    <xdr:rowOff>219075</xdr:rowOff>
                  </to>
                </anchor>
              </controlPr>
            </control>
          </mc:Choice>
        </mc:AlternateContent>
        <mc:AlternateContent xmlns:mc="http://schemas.openxmlformats.org/markup-compatibility/2006">
          <mc:Choice Requires="x14">
            <control shapeId="96371" r:id="rId118" name="Option Button 115">
              <controlPr defaultSize="0" autoFill="0" autoLine="0" autoPict="0">
                <anchor>
                  <from>
                    <xdr:col>7</xdr:col>
                    <xdr:colOff>57150</xdr:colOff>
                    <xdr:row>77</xdr:row>
                    <xdr:rowOff>266700</xdr:rowOff>
                  </from>
                  <to>
                    <xdr:col>7</xdr:col>
                    <xdr:colOff>266700</xdr:colOff>
                    <xdr:row>78</xdr:row>
                    <xdr:rowOff>219075</xdr:rowOff>
                  </to>
                </anchor>
              </controlPr>
            </control>
          </mc:Choice>
        </mc:AlternateContent>
        <mc:AlternateContent xmlns:mc="http://schemas.openxmlformats.org/markup-compatibility/2006">
          <mc:Choice Requires="x14">
            <control shapeId="96372" r:id="rId119" name="Option Button 116">
              <controlPr defaultSize="0" autoFill="0" autoLine="0" autoPict="0">
                <anchor>
                  <from>
                    <xdr:col>9</xdr:col>
                    <xdr:colOff>57150</xdr:colOff>
                    <xdr:row>75</xdr:row>
                    <xdr:rowOff>28575</xdr:rowOff>
                  </from>
                  <to>
                    <xdr:col>9</xdr:col>
                    <xdr:colOff>247650</xdr:colOff>
                    <xdr:row>75</xdr:row>
                    <xdr:rowOff>247650</xdr:rowOff>
                  </to>
                </anchor>
              </controlPr>
            </control>
          </mc:Choice>
        </mc:AlternateContent>
        <mc:AlternateContent xmlns:mc="http://schemas.openxmlformats.org/markup-compatibility/2006">
          <mc:Choice Requires="x14">
            <control shapeId="96373" r:id="rId120" name="Option Button 117">
              <controlPr defaultSize="0" autoFill="0" autoLine="0" autoPict="0">
                <anchor>
                  <from>
                    <xdr:col>9</xdr:col>
                    <xdr:colOff>57150</xdr:colOff>
                    <xdr:row>76</xdr:row>
                    <xdr:rowOff>9525</xdr:rowOff>
                  </from>
                  <to>
                    <xdr:col>9</xdr:col>
                    <xdr:colOff>247650</xdr:colOff>
                    <xdr:row>76</xdr:row>
                    <xdr:rowOff>228600</xdr:rowOff>
                  </to>
                </anchor>
              </controlPr>
            </control>
          </mc:Choice>
        </mc:AlternateContent>
        <mc:AlternateContent xmlns:mc="http://schemas.openxmlformats.org/markup-compatibility/2006">
          <mc:Choice Requires="x14">
            <control shapeId="96374" r:id="rId121" name="Option Button 118">
              <controlPr defaultSize="0" autoFill="0" autoLine="0" autoPict="0">
                <anchor>
                  <from>
                    <xdr:col>9</xdr:col>
                    <xdr:colOff>57150</xdr:colOff>
                    <xdr:row>77</xdr:row>
                    <xdr:rowOff>0</xdr:rowOff>
                  </from>
                  <to>
                    <xdr:col>9</xdr:col>
                    <xdr:colOff>247650</xdr:colOff>
                    <xdr:row>77</xdr:row>
                    <xdr:rowOff>219075</xdr:rowOff>
                  </to>
                </anchor>
              </controlPr>
            </control>
          </mc:Choice>
        </mc:AlternateContent>
        <mc:AlternateContent xmlns:mc="http://schemas.openxmlformats.org/markup-compatibility/2006">
          <mc:Choice Requires="x14">
            <control shapeId="96375" r:id="rId122" name="Option Button 119">
              <controlPr defaultSize="0" autoFill="0" autoLine="0" autoPict="0">
                <anchor>
                  <from>
                    <xdr:col>9</xdr:col>
                    <xdr:colOff>57150</xdr:colOff>
                    <xdr:row>78</xdr:row>
                    <xdr:rowOff>0</xdr:rowOff>
                  </from>
                  <to>
                    <xdr:col>9</xdr:col>
                    <xdr:colOff>247650</xdr:colOff>
                    <xdr:row>78</xdr:row>
                    <xdr:rowOff>219075</xdr:rowOff>
                  </to>
                </anchor>
              </controlPr>
            </control>
          </mc:Choice>
        </mc:AlternateContent>
        <mc:AlternateContent xmlns:mc="http://schemas.openxmlformats.org/markup-compatibility/2006">
          <mc:Choice Requires="x14">
            <control shapeId="96376" r:id="rId123" name="Group Box 120">
              <controlPr defaultSize="0" autoFill="0" autoPict="0">
                <anchor moveWithCells="1">
                  <from>
                    <xdr:col>9</xdr:col>
                    <xdr:colOff>0</xdr:colOff>
                    <xdr:row>74</xdr:row>
                    <xdr:rowOff>266700</xdr:rowOff>
                  </from>
                  <to>
                    <xdr:col>10</xdr:col>
                    <xdr:colOff>0</xdr:colOff>
                    <xdr:row>78</xdr:row>
                    <xdr:rowOff>228600</xdr:rowOff>
                  </to>
                </anchor>
              </controlPr>
            </control>
          </mc:Choice>
        </mc:AlternateContent>
        <mc:AlternateContent xmlns:mc="http://schemas.openxmlformats.org/markup-compatibility/2006">
          <mc:Choice Requires="x14">
            <control shapeId="96377" r:id="rId124" name="Option Button 121">
              <controlPr defaultSize="0" autoFill="0" autoLine="0" autoPict="0">
                <anchor>
                  <from>
                    <xdr:col>7</xdr:col>
                    <xdr:colOff>57150</xdr:colOff>
                    <xdr:row>79</xdr:row>
                    <xdr:rowOff>28575</xdr:rowOff>
                  </from>
                  <to>
                    <xdr:col>7</xdr:col>
                    <xdr:colOff>266700</xdr:colOff>
                    <xdr:row>79</xdr:row>
                    <xdr:rowOff>247650</xdr:rowOff>
                  </to>
                </anchor>
              </controlPr>
            </control>
          </mc:Choice>
        </mc:AlternateContent>
        <mc:AlternateContent xmlns:mc="http://schemas.openxmlformats.org/markup-compatibility/2006">
          <mc:Choice Requires="x14">
            <control shapeId="96378" r:id="rId125" name="Option Button 122">
              <controlPr defaultSize="0" autoFill="0" autoLine="0" autoPict="0">
                <anchor>
                  <from>
                    <xdr:col>7</xdr:col>
                    <xdr:colOff>57150</xdr:colOff>
                    <xdr:row>80</xdr:row>
                    <xdr:rowOff>28575</xdr:rowOff>
                  </from>
                  <to>
                    <xdr:col>7</xdr:col>
                    <xdr:colOff>266700</xdr:colOff>
                    <xdr:row>80</xdr:row>
                    <xdr:rowOff>266700</xdr:rowOff>
                  </to>
                </anchor>
              </controlPr>
            </control>
          </mc:Choice>
        </mc:AlternateContent>
        <mc:AlternateContent xmlns:mc="http://schemas.openxmlformats.org/markup-compatibility/2006">
          <mc:Choice Requires="x14">
            <control shapeId="96379" r:id="rId126" name="Option Button 123">
              <controlPr defaultSize="0" autoFill="0" autoLine="0" autoPict="0">
                <anchor>
                  <from>
                    <xdr:col>7</xdr:col>
                    <xdr:colOff>57150</xdr:colOff>
                    <xdr:row>81</xdr:row>
                    <xdr:rowOff>9525</xdr:rowOff>
                  </from>
                  <to>
                    <xdr:col>7</xdr:col>
                    <xdr:colOff>266700</xdr:colOff>
                    <xdr:row>81</xdr:row>
                    <xdr:rowOff>228600</xdr:rowOff>
                  </to>
                </anchor>
              </controlPr>
            </control>
          </mc:Choice>
        </mc:AlternateContent>
        <mc:AlternateContent xmlns:mc="http://schemas.openxmlformats.org/markup-compatibility/2006">
          <mc:Choice Requires="x14">
            <control shapeId="96380" r:id="rId127" name="Group Box 124">
              <controlPr defaultSize="0" autoFill="0" autoPict="0">
                <anchor moveWithCells="1">
                  <from>
                    <xdr:col>7</xdr:col>
                    <xdr:colOff>28575</xdr:colOff>
                    <xdr:row>79</xdr:row>
                    <xdr:rowOff>28575</xdr:rowOff>
                  </from>
                  <to>
                    <xdr:col>8</xdr:col>
                    <xdr:colOff>28575</xdr:colOff>
                    <xdr:row>82</xdr:row>
                    <xdr:rowOff>228600</xdr:rowOff>
                  </to>
                </anchor>
              </controlPr>
            </control>
          </mc:Choice>
        </mc:AlternateContent>
        <mc:AlternateContent xmlns:mc="http://schemas.openxmlformats.org/markup-compatibility/2006">
          <mc:Choice Requires="x14">
            <control shapeId="96381" r:id="rId128" name="Option Button 125">
              <controlPr defaultSize="0" autoFill="0" autoLine="0" autoPict="0">
                <anchor>
                  <from>
                    <xdr:col>7</xdr:col>
                    <xdr:colOff>57150</xdr:colOff>
                    <xdr:row>82</xdr:row>
                    <xdr:rowOff>9525</xdr:rowOff>
                  </from>
                  <to>
                    <xdr:col>7</xdr:col>
                    <xdr:colOff>266700</xdr:colOff>
                    <xdr:row>82</xdr:row>
                    <xdr:rowOff>228600</xdr:rowOff>
                  </to>
                </anchor>
              </controlPr>
            </control>
          </mc:Choice>
        </mc:AlternateContent>
        <mc:AlternateContent xmlns:mc="http://schemas.openxmlformats.org/markup-compatibility/2006">
          <mc:Choice Requires="x14">
            <control shapeId="96382" r:id="rId129" name="Option Button 126">
              <controlPr defaultSize="0" autoFill="0" autoLine="0" autoPict="0">
                <anchor>
                  <from>
                    <xdr:col>9</xdr:col>
                    <xdr:colOff>57150</xdr:colOff>
                    <xdr:row>79</xdr:row>
                    <xdr:rowOff>28575</xdr:rowOff>
                  </from>
                  <to>
                    <xdr:col>9</xdr:col>
                    <xdr:colOff>247650</xdr:colOff>
                    <xdr:row>79</xdr:row>
                    <xdr:rowOff>266700</xdr:rowOff>
                  </to>
                </anchor>
              </controlPr>
            </control>
          </mc:Choice>
        </mc:AlternateContent>
        <mc:AlternateContent xmlns:mc="http://schemas.openxmlformats.org/markup-compatibility/2006">
          <mc:Choice Requires="x14">
            <control shapeId="96383" r:id="rId130" name="Option Button 127">
              <controlPr defaultSize="0" autoFill="0" autoLine="0" autoPict="0">
                <anchor>
                  <from>
                    <xdr:col>9</xdr:col>
                    <xdr:colOff>57150</xdr:colOff>
                    <xdr:row>80</xdr:row>
                    <xdr:rowOff>28575</xdr:rowOff>
                  </from>
                  <to>
                    <xdr:col>9</xdr:col>
                    <xdr:colOff>247650</xdr:colOff>
                    <xdr:row>80</xdr:row>
                    <xdr:rowOff>247650</xdr:rowOff>
                  </to>
                </anchor>
              </controlPr>
            </control>
          </mc:Choice>
        </mc:AlternateContent>
        <mc:AlternateContent xmlns:mc="http://schemas.openxmlformats.org/markup-compatibility/2006">
          <mc:Choice Requires="x14">
            <control shapeId="96384" r:id="rId131" name="Option Button 128">
              <controlPr defaultSize="0" autoFill="0" autoLine="0" autoPict="0">
                <anchor>
                  <from>
                    <xdr:col>9</xdr:col>
                    <xdr:colOff>57150</xdr:colOff>
                    <xdr:row>81</xdr:row>
                    <xdr:rowOff>9525</xdr:rowOff>
                  </from>
                  <to>
                    <xdr:col>9</xdr:col>
                    <xdr:colOff>247650</xdr:colOff>
                    <xdr:row>81</xdr:row>
                    <xdr:rowOff>228600</xdr:rowOff>
                  </to>
                </anchor>
              </controlPr>
            </control>
          </mc:Choice>
        </mc:AlternateContent>
        <mc:AlternateContent xmlns:mc="http://schemas.openxmlformats.org/markup-compatibility/2006">
          <mc:Choice Requires="x14">
            <control shapeId="96385" r:id="rId132" name="Option Button 129">
              <controlPr defaultSize="0" autoFill="0" autoLine="0" autoPict="0">
                <anchor>
                  <from>
                    <xdr:col>9</xdr:col>
                    <xdr:colOff>57150</xdr:colOff>
                    <xdr:row>82</xdr:row>
                    <xdr:rowOff>9525</xdr:rowOff>
                  </from>
                  <to>
                    <xdr:col>9</xdr:col>
                    <xdr:colOff>247650</xdr:colOff>
                    <xdr:row>82</xdr:row>
                    <xdr:rowOff>228600</xdr:rowOff>
                  </to>
                </anchor>
              </controlPr>
            </control>
          </mc:Choice>
        </mc:AlternateContent>
        <mc:AlternateContent xmlns:mc="http://schemas.openxmlformats.org/markup-compatibility/2006">
          <mc:Choice Requires="x14">
            <control shapeId="96386" r:id="rId133" name="Group Box 130">
              <controlPr defaultSize="0" autoFill="0" autoPict="0">
                <anchor moveWithCells="1">
                  <from>
                    <xdr:col>9</xdr:col>
                    <xdr:colOff>0</xdr:colOff>
                    <xdr:row>79</xdr:row>
                    <xdr:rowOff>0</xdr:rowOff>
                  </from>
                  <to>
                    <xdr:col>10</xdr:col>
                    <xdr:colOff>0</xdr:colOff>
                    <xdr:row>82</xdr:row>
                    <xdr:rowOff>247650</xdr:rowOff>
                  </to>
                </anchor>
              </controlPr>
            </control>
          </mc:Choice>
        </mc:AlternateContent>
        <mc:AlternateContent xmlns:mc="http://schemas.openxmlformats.org/markup-compatibility/2006">
          <mc:Choice Requires="x14">
            <control shapeId="96387" r:id="rId134" name="Option Button 131">
              <controlPr defaultSize="0" autoFill="0" autoLine="0" autoPict="0">
                <anchor>
                  <from>
                    <xdr:col>7</xdr:col>
                    <xdr:colOff>57150</xdr:colOff>
                    <xdr:row>83</xdr:row>
                    <xdr:rowOff>76200</xdr:rowOff>
                  </from>
                  <to>
                    <xdr:col>7</xdr:col>
                    <xdr:colOff>247650</xdr:colOff>
                    <xdr:row>84</xdr:row>
                    <xdr:rowOff>9525</xdr:rowOff>
                  </to>
                </anchor>
              </controlPr>
            </control>
          </mc:Choice>
        </mc:AlternateContent>
        <mc:AlternateContent xmlns:mc="http://schemas.openxmlformats.org/markup-compatibility/2006">
          <mc:Choice Requires="x14">
            <control shapeId="96388" r:id="rId135" name="Option Button 132">
              <controlPr defaultSize="0" autoFill="0" autoLine="0" autoPict="0">
                <anchor>
                  <from>
                    <xdr:col>7</xdr:col>
                    <xdr:colOff>57150</xdr:colOff>
                    <xdr:row>84</xdr:row>
                    <xdr:rowOff>76200</xdr:rowOff>
                  </from>
                  <to>
                    <xdr:col>7</xdr:col>
                    <xdr:colOff>247650</xdr:colOff>
                    <xdr:row>85</xdr:row>
                    <xdr:rowOff>0</xdr:rowOff>
                  </to>
                </anchor>
              </controlPr>
            </control>
          </mc:Choice>
        </mc:AlternateContent>
        <mc:AlternateContent xmlns:mc="http://schemas.openxmlformats.org/markup-compatibility/2006">
          <mc:Choice Requires="x14">
            <control shapeId="96389" r:id="rId136" name="Option Button 133">
              <controlPr defaultSize="0" autoFill="0" autoLine="0" autoPict="0">
                <anchor>
                  <from>
                    <xdr:col>7</xdr:col>
                    <xdr:colOff>57150</xdr:colOff>
                    <xdr:row>85</xdr:row>
                    <xdr:rowOff>38100</xdr:rowOff>
                  </from>
                  <to>
                    <xdr:col>7</xdr:col>
                    <xdr:colOff>247650</xdr:colOff>
                    <xdr:row>85</xdr:row>
                    <xdr:rowOff>266700</xdr:rowOff>
                  </to>
                </anchor>
              </controlPr>
            </control>
          </mc:Choice>
        </mc:AlternateContent>
        <mc:AlternateContent xmlns:mc="http://schemas.openxmlformats.org/markup-compatibility/2006">
          <mc:Choice Requires="x14">
            <control shapeId="96390" r:id="rId137" name="Group Box 134">
              <controlPr defaultSize="0" autoFill="0" autoPict="0">
                <anchor moveWithCells="1">
                  <from>
                    <xdr:col>7</xdr:col>
                    <xdr:colOff>28575</xdr:colOff>
                    <xdr:row>83</xdr:row>
                    <xdr:rowOff>28575</xdr:rowOff>
                  </from>
                  <to>
                    <xdr:col>8</xdr:col>
                    <xdr:colOff>28575</xdr:colOff>
                    <xdr:row>86</xdr:row>
                    <xdr:rowOff>228600</xdr:rowOff>
                  </to>
                </anchor>
              </controlPr>
            </control>
          </mc:Choice>
        </mc:AlternateContent>
        <mc:AlternateContent xmlns:mc="http://schemas.openxmlformats.org/markup-compatibility/2006">
          <mc:Choice Requires="x14">
            <control shapeId="96391" r:id="rId138" name="Option Button 135">
              <controlPr defaultSize="0" autoFill="0" autoLine="0" autoPict="0">
                <anchor>
                  <from>
                    <xdr:col>7</xdr:col>
                    <xdr:colOff>57150</xdr:colOff>
                    <xdr:row>86</xdr:row>
                    <xdr:rowOff>9525</xdr:rowOff>
                  </from>
                  <to>
                    <xdr:col>7</xdr:col>
                    <xdr:colOff>247650</xdr:colOff>
                    <xdr:row>86</xdr:row>
                    <xdr:rowOff>228600</xdr:rowOff>
                  </to>
                </anchor>
              </controlPr>
            </control>
          </mc:Choice>
        </mc:AlternateContent>
        <mc:AlternateContent xmlns:mc="http://schemas.openxmlformats.org/markup-compatibility/2006">
          <mc:Choice Requires="x14">
            <control shapeId="96392" r:id="rId139" name="Option Button 136">
              <controlPr defaultSize="0" autoFill="0" autoLine="0" autoPict="0">
                <anchor>
                  <from>
                    <xdr:col>9</xdr:col>
                    <xdr:colOff>38100</xdr:colOff>
                    <xdr:row>83</xdr:row>
                    <xdr:rowOff>28575</xdr:rowOff>
                  </from>
                  <to>
                    <xdr:col>9</xdr:col>
                    <xdr:colOff>247650</xdr:colOff>
                    <xdr:row>83</xdr:row>
                    <xdr:rowOff>266700</xdr:rowOff>
                  </to>
                </anchor>
              </controlPr>
            </control>
          </mc:Choice>
        </mc:AlternateContent>
        <mc:AlternateContent xmlns:mc="http://schemas.openxmlformats.org/markup-compatibility/2006">
          <mc:Choice Requires="x14">
            <control shapeId="96393" r:id="rId140" name="Option Button 137">
              <controlPr defaultSize="0" autoFill="0" autoLine="0" autoPict="0">
                <anchor>
                  <from>
                    <xdr:col>9</xdr:col>
                    <xdr:colOff>38100</xdr:colOff>
                    <xdr:row>84</xdr:row>
                    <xdr:rowOff>28575</xdr:rowOff>
                  </from>
                  <to>
                    <xdr:col>9</xdr:col>
                    <xdr:colOff>247650</xdr:colOff>
                    <xdr:row>84</xdr:row>
                    <xdr:rowOff>247650</xdr:rowOff>
                  </to>
                </anchor>
              </controlPr>
            </control>
          </mc:Choice>
        </mc:AlternateContent>
        <mc:AlternateContent xmlns:mc="http://schemas.openxmlformats.org/markup-compatibility/2006">
          <mc:Choice Requires="x14">
            <control shapeId="96394" r:id="rId141" name="Option Button 138">
              <controlPr defaultSize="0" autoFill="0" autoLine="0" autoPict="0">
                <anchor>
                  <from>
                    <xdr:col>9</xdr:col>
                    <xdr:colOff>38100</xdr:colOff>
                    <xdr:row>85</xdr:row>
                    <xdr:rowOff>9525</xdr:rowOff>
                  </from>
                  <to>
                    <xdr:col>9</xdr:col>
                    <xdr:colOff>247650</xdr:colOff>
                    <xdr:row>85</xdr:row>
                    <xdr:rowOff>228600</xdr:rowOff>
                  </to>
                </anchor>
              </controlPr>
            </control>
          </mc:Choice>
        </mc:AlternateContent>
        <mc:AlternateContent xmlns:mc="http://schemas.openxmlformats.org/markup-compatibility/2006">
          <mc:Choice Requires="x14">
            <control shapeId="96395" r:id="rId142" name="Option Button 139">
              <controlPr defaultSize="0" autoFill="0" autoLine="0" autoPict="0">
                <anchor>
                  <from>
                    <xdr:col>9</xdr:col>
                    <xdr:colOff>38100</xdr:colOff>
                    <xdr:row>86</xdr:row>
                    <xdr:rowOff>9525</xdr:rowOff>
                  </from>
                  <to>
                    <xdr:col>9</xdr:col>
                    <xdr:colOff>247650</xdr:colOff>
                    <xdr:row>86</xdr:row>
                    <xdr:rowOff>228600</xdr:rowOff>
                  </to>
                </anchor>
              </controlPr>
            </control>
          </mc:Choice>
        </mc:AlternateContent>
        <mc:AlternateContent xmlns:mc="http://schemas.openxmlformats.org/markup-compatibility/2006">
          <mc:Choice Requires="x14">
            <control shapeId="96396" r:id="rId143" name="Group Box 140">
              <controlPr defaultSize="0" autoFill="0" autoPict="0">
                <anchor moveWithCells="1">
                  <from>
                    <xdr:col>9</xdr:col>
                    <xdr:colOff>9525</xdr:colOff>
                    <xdr:row>83</xdr:row>
                    <xdr:rowOff>0</xdr:rowOff>
                  </from>
                  <to>
                    <xdr:col>10</xdr:col>
                    <xdr:colOff>9525</xdr:colOff>
                    <xdr:row>86</xdr:row>
                    <xdr:rowOff>247650</xdr:rowOff>
                  </to>
                </anchor>
              </controlPr>
            </control>
          </mc:Choice>
        </mc:AlternateContent>
        <mc:AlternateContent xmlns:mc="http://schemas.openxmlformats.org/markup-compatibility/2006">
          <mc:Choice Requires="x14">
            <control shapeId="96397" r:id="rId144" name="Option Button 141">
              <controlPr defaultSize="0" autoFill="0" autoLine="0" autoPict="0">
                <anchor>
                  <from>
                    <xdr:col>7</xdr:col>
                    <xdr:colOff>57150</xdr:colOff>
                    <xdr:row>67</xdr:row>
                    <xdr:rowOff>28575</xdr:rowOff>
                  </from>
                  <to>
                    <xdr:col>7</xdr:col>
                    <xdr:colOff>247650</xdr:colOff>
                    <xdr:row>67</xdr:row>
                    <xdr:rowOff>247650</xdr:rowOff>
                  </to>
                </anchor>
              </controlPr>
            </control>
          </mc:Choice>
        </mc:AlternateContent>
        <mc:AlternateContent xmlns:mc="http://schemas.openxmlformats.org/markup-compatibility/2006">
          <mc:Choice Requires="x14">
            <control shapeId="96398" r:id="rId145" name="Option Button 142">
              <controlPr defaultSize="0" autoFill="0" autoLine="0" autoPict="0">
                <anchor>
                  <from>
                    <xdr:col>7</xdr:col>
                    <xdr:colOff>57150</xdr:colOff>
                    <xdr:row>68</xdr:row>
                    <xdr:rowOff>28575</xdr:rowOff>
                  </from>
                  <to>
                    <xdr:col>7</xdr:col>
                    <xdr:colOff>247650</xdr:colOff>
                    <xdr:row>68</xdr:row>
                    <xdr:rowOff>266700</xdr:rowOff>
                  </to>
                </anchor>
              </controlPr>
            </control>
          </mc:Choice>
        </mc:AlternateContent>
        <mc:AlternateContent xmlns:mc="http://schemas.openxmlformats.org/markup-compatibility/2006">
          <mc:Choice Requires="x14">
            <control shapeId="96399" r:id="rId146" name="Option Button 143">
              <controlPr defaultSize="0" autoFill="0" autoLine="0" autoPict="0">
                <anchor>
                  <from>
                    <xdr:col>7</xdr:col>
                    <xdr:colOff>57150</xdr:colOff>
                    <xdr:row>69</xdr:row>
                    <xdr:rowOff>9525</xdr:rowOff>
                  </from>
                  <to>
                    <xdr:col>7</xdr:col>
                    <xdr:colOff>247650</xdr:colOff>
                    <xdr:row>69</xdr:row>
                    <xdr:rowOff>228600</xdr:rowOff>
                  </to>
                </anchor>
              </controlPr>
            </control>
          </mc:Choice>
        </mc:AlternateContent>
        <mc:AlternateContent xmlns:mc="http://schemas.openxmlformats.org/markup-compatibility/2006">
          <mc:Choice Requires="x14">
            <control shapeId="96400" r:id="rId147" name="Option Button 144">
              <controlPr defaultSize="0" autoFill="0" autoLine="0" autoPict="0">
                <anchor>
                  <from>
                    <xdr:col>9</xdr:col>
                    <xdr:colOff>57150</xdr:colOff>
                    <xdr:row>67</xdr:row>
                    <xdr:rowOff>28575</xdr:rowOff>
                  </from>
                  <to>
                    <xdr:col>9</xdr:col>
                    <xdr:colOff>247650</xdr:colOff>
                    <xdr:row>67</xdr:row>
                    <xdr:rowOff>266700</xdr:rowOff>
                  </to>
                </anchor>
              </controlPr>
            </control>
          </mc:Choice>
        </mc:AlternateContent>
        <mc:AlternateContent xmlns:mc="http://schemas.openxmlformats.org/markup-compatibility/2006">
          <mc:Choice Requires="x14">
            <control shapeId="96401" r:id="rId148" name="Option Button 145">
              <controlPr defaultSize="0" autoFill="0" autoLine="0" autoPict="0">
                <anchor>
                  <from>
                    <xdr:col>9</xdr:col>
                    <xdr:colOff>57150</xdr:colOff>
                    <xdr:row>68</xdr:row>
                    <xdr:rowOff>28575</xdr:rowOff>
                  </from>
                  <to>
                    <xdr:col>9</xdr:col>
                    <xdr:colOff>247650</xdr:colOff>
                    <xdr:row>68</xdr:row>
                    <xdr:rowOff>247650</xdr:rowOff>
                  </to>
                </anchor>
              </controlPr>
            </control>
          </mc:Choice>
        </mc:AlternateContent>
        <mc:AlternateContent xmlns:mc="http://schemas.openxmlformats.org/markup-compatibility/2006">
          <mc:Choice Requires="x14">
            <control shapeId="96402" r:id="rId149" name="Option Button 146">
              <controlPr defaultSize="0" autoFill="0" autoLine="0" autoPict="0">
                <anchor>
                  <from>
                    <xdr:col>9</xdr:col>
                    <xdr:colOff>57150</xdr:colOff>
                    <xdr:row>69</xdr:row>
                    <xdr:rowOff>28575</xdr:rowOff>
                  </from>
                  <to>
                    <xdr:col>9</xdr:col>
                    <xdr:colOff>247650</xdr:colOff>
                    <xdr:row>69</xdr:row>
                    <xdr:rowOff>266700</xdr:rowOff>
                  </to>
                </anchor>
              </controlPr>
            </control>
          </mc:Choice>
        </mc:AlternateContent>
        <mc:AlternateContent xmlns:mc="http://schemas.openxmlformats.org/markup-compatibility/2006">
          <mc:Choice Requires="x14">
            <control shapeId="96403" r:id="rId150" name="Option Button 147">
              <controlPr defaultSize="0" autoFill="0" autoLine="0" autoPict="0">
                <anchor>
                  <from>
                    <xdr:col>9</xdr:col>
                    <xdr:colOff>57150</xdr:colOff>
                    <xdr:row>70</xdr:row>
                    <xdr:rowOff>9525</xdr:rowOff>
                  </from>
                  <to>
                    <xdr:col>9</xdr:col>
                    <xdr:colOff>247650</xdr:colOff>
                    <xdr:row>70</xdr:row>
                    <xdr:rowOff>228600</xdr:rowOff>
                  </to>
                </anchor>
              </controlPr>
            </control>
          </mc:Choice>
        </mc:AlternateContent>
        <mc:AlternateContent xmlns:mc="http://schemas.openxmlformats.org/markup-compatibility/2006">
          <mc:Choice Requires="x14">
            <control shapeId="96404" r:id="rId151" name="Group Box 148">
              <controlPr defaultSize="0" autoFill="0" autoPict="0">
                <anchor moveWithCells="1">
                  <from>
                    <xdr:col>7</xdr:col>
                    <xdr:colOff>28575</xdr:colOff>
                    <xdr:row>67</xdr:row>
                    <xdr:rowOff>9525</xdr:rowOff>
                  </from>
                  <to>
                    <xdr:col>8</xdr:col>
                    <xdr:colOff>28575</xdr:colOff>
                    <xdr:row>70</xdr:row>
                    <xdr:rowOff>247650</xdr:rowOff>
                  </to>
                </anchor>
              </controlPr>
            </control>
          </mc:Choice>
        </mc:AlternateContent>
        <mc:AlternateContent xmlns:mc="http://schemas.openxmlformats.org/markup-compatibility/2006">
          <mc:Choice Requires="x14">
            <control shapeId="96405" r:id="rId152" name="Group Box 149">
              <controlPr defaultSize="0" autoFill="0" autoPict="0">
                <anchor moveWithCells="1">
                  <from>
                    <xdr:col>9</xdr:col>
                    <xdr:colOff>28575</xdr:colOff>
                    <xdr:row>67</xdr:row>
                    <xdr:rowOff>0</xdr:rowOff>
                  </from>
                  <to>
                    <xdr:col>10</xdr:col>
                    <xdr:colOff>28575</xdr:colOff>
                    <xdr:row>70</xdr:row>
                    <xdr:rowOff>247650</xdr:rowOff>
                  </to>
                </anchor>
              </controlPr>
            </control>
          </mc:Choice>
        </mc:AlternateContent>
        <mc:AlternateContent xmlns:mc="http://schemas.openxmlformats.org/markup-compatibility/2006">
          <mc:Choice Requires="x14">
            <control shapeId="96406" r:id="rId153" name="Option Button 150">
              <controlPr defaultSize="0" autoFill="0" autoLine="0" autoPict="0">
                <anchor>
                  <from>
                    <xdr:col>7</xdr:col>
                    <xdr:colOff>57150</xdr:colOff>
                    <xdr:row>70</xdr:row>
                    <xdr:rowOff>9525</xdr:rowOff>
                  </from>
                  <to>
                    <xdr:col>7</xdr:col>
                    <xdr:colOff>247650</xdr:colOff>
                    <xdr:row>70</xdr:row>
                    <xdr:rowOff>228600</xdr:rowOff>
                  </to>
                </anchor>
              </controlPr>
            </control>
          </mc:Choice>
        </mc:AlternateContent>
        <mc:AlternateContent xmlns:mc="http://schemas.openxmlformats.org/markup-compatibility/2006">
          <mc:Choice Requires="x14">
            <control shapeId="96407" r:id="rId154" name="Option Button 151">
              <controlPr defaultSize="0" autoFill="0" autoLine="0" autoPict="0">
                <anchor>
                  <from>
                    <xdr:col>7</xdr:col>
                    <xdr:colOff>57150</xdr:colOff>
                    <xdr:row>58</xdr:row>
                    <xdr:rowOff>76200</xdr:rowOff>
                  </from>
                  <to>
                    <xdr:col>7</xdr:col>
                    <xdr:colOff>247650</xdr:colOff>
                    <xdr:row>59</xdr:row>
                    <xdr:rowOff>9525</xdr:rowOff>
                  </to>
                </anchor>
              </controlPr>
            </control>
          </mc:Choice>
        </mc:AlternateContent>
        <mc:AlternateContent xmlns:mc="http://schemas.openxmlformats.org/markup-compatibility/2006">
          <mc:Choice Requires="x14">
            <control shapeId="96408" r:id="rId155" name="Option Button 152">
              <controlPr defaultSize="0" autoFill="0" autoLine="0" autoPict="0">
                <anchor>
                  <from>
                    <xdr:col>7</xdr:col>
                    <xdr:colOff>57150</xdr:colOff>
                    <xdr:row>59</xdr:row>
                    <xdr:rowOff>76200</xdr:rowOff>
                  </from>
                  <to>
                    <xdr:col>7</xdr:col>
                    <xdr:colOff>247650</xdr:colOff>
                    <xdr:row>60</xdr:row>
                    <xdr:rowOff>0</xdr:rowOff>
                  </to>
                </anchor>
              </controlPr>
            </control>
          </mc:Choice>
        </mc:AlternateContent>
        <mc:AlternateContent xmlns:mc="http://schemas.openxmlformats.org/markup-compatibility/2006">
          <mc:Choice Requires="x14">
            <control shapeId="96409" r:id="rId156" name="Option Button 153">
              <controlPr defaultSize="0" autoFill="0" autoLine="0" autoPict="0">
                <anchor>
                  <from>
                    <xdr:col>7</xdr:col>
                    <xdr:colOff>57150</xdr:colOff>
                    <xdr:row>60</xdr:row>
                    <xdr:rowOff>57150</xdr:rowOff>
                  </from>
                  <to>
                    <xdr:col>7</xdr:col>
                    <xdr:colOff>247650</xdr:colOff>
                    <xdr:row>60</xdr:row>
                    <xdr:rowOff>266700</xdr:rowOff>
                  </to>
                </anchor>
              </controlPr>
            </control>
          </mc:Choice>
        </mc:AlternateContent>
        <mc:AlternateContent xmlns:mc="http://schemas.openxmlformats.org/markup-compatibility/2006">
          <mc:Choice Requires="x14">
            <control shapeId="96410" r:id="rId157" name="Option Button 154">
              <controlPr defaultSize="0" autoFill="0" autoLine="0" autoPict="0">
                <anchor>
                  <from>
                    <xdr:col>9</xdr:col>
                    <xdr:colOff>57150</xdr:colOff>
                    <xdr:row>58</xdr:row>
                    <xdr:rowOff>38100</xdr:rowOff>
                  </from>
                  <to>
                    <xdr:col>9</xdr:col>
                    <xdr:colOff>266700</xdr:colOff>
                    <xdr:row>58</xdr:row>
                    <xdr:rowOff>266700</xdr:rowOff>
                  </to>
                </anchor>
              </controlPr>
            </control>
          </mc:Choice>
        </mc:AlternateContent>
        <mc:AlternateContent xmlns:mc="http://schemas.openxmlformats.org/markup-compatibility/2006">
          <mc:Choice Requires="x14">
            <control shapeId="96411" r:id="rId158" name="Option Button 155">
              <controlPr defaultSize="0" autoFill="0" autoLine="0" autoPict="0">
                <anchor>
                  <from>
                    <xdr:col>9</xdr:col>
                    <xdr:colOff>57150</xdr:colOff>
                    <xdr:row>59</xdr:row>
                    <xdr:rowOff>28575</xdr:rowOff>
                  </from>
                  <to>
                    <xdr:col>9</xdr:col>
                    <xdr:colOff>266700</xdr:colOff>
                    <xdr:row>59</xdr:row>
                    <xdr:rowOff>266700</xdr:rowOff>
                  </to>
                </anchor>
              </controlPr>
            </control>
          </mc:Choice>
        </mc:AlternateContent>
        <mc:AlternateContent xmlns:mc="http://schemas.openxmlformats.org/markup-compatibility/2006">
          <mc:Choice Requires="x14">
            <control shapeId="96412" r:id="rId159" name="Option Button 156">
              <controlPr defaultSize="0" autoFill="0" autoLine="0" autoPict="0">
                <anchor>
                  <from>
                    <xdr:col>9</xdr:col>
                    <xdr:colOff>57150</xdr:colOff>
                    <xdr:row>60</xdr:row>
                    <xdr:rowOff>38100</xdr:rowOff>
                  </from>
                  <to>
                    <xdr:col>9</xdr:col>
                    <xdr:colOff>266700</xdr:colOff>
                    <xdr:row>60</xdr:row>
                    <xdr:rowOff>266700</xdr:rowOff>
                  </to>
                </anchor>
              </controlPr>
            </control>
          </mc:Choice>
        </mc:AlternateContent>
        <mc:AlternateContent xmlns:mc="http://schemas.openxmlformats.org/markup-compatibility/2006">
          <mc:Choice Requires="x14">
            <control shapeId="96413" r:id="rId160" name="Option Button 157">
              <controlPr defaultSize="0" autoFill="0" autoLine="0" autoPict="0">
                <anchor>
                  <from>
                    <xdr:col>9</xdr:col>
                    <xdr:colOff>57150</xdr:colOff>
                    <xdr:row>61</xdr:row>
                    <xdr:rowOff>28575</xdr:rowOff>
                  </from>
                  <to>
                    <xdr:col>9</xdr:col>
                    <xdr:colOff>266700</xdr:colOff>
                    <xdr:row>61</xdr:row>
                    <xdr:rowOff>247650</xdr:rowOff>
                  </to>
                </anchor>
              </controlPr>
            </control>
          </mc:Choice>
        </mc:AlternateContent>
        <mc:AlternateContent xmlns:mc="http://schemas.openxmlformats.org/markup-compatibility/2006">
          <mc:Choice Requires="x14">
            <control shapeId="96414" r:id="rId161" name="Group Box 158">
              <controlPr defaultSize="0" autoFill="0" autoPict="0">
                <anchor moveWithCells="1">
                  <from>
                    <xdr:col>7</xdr:col>
                    <xdr:colOff>9525</xdr:colOff>
                    <xdr:row>58</xdr:row>
                    <xdr:rowOff>28575</xdr:rowOff>
                  </from>
                  <to>
                    <xdr:col>8</xdr:col>
                    <xdr:colOff>9525</xdr:colOff>
                    <xdr:row>61</xdr:row>
                    <xdr:rowOff>266700</xdr:rowOff>
                  </to>
                </anchor>
              </controlPr>
            </control>
          </mc:Choice>
        </mc:AlternateContent>
        <mc:AlternateContent xmlns:mc="http://schemas.openxmlformats.org/markup-compatibility/2006">
          <mc:Choice Requires="x14">
            <control shapeId="96415" r:id="rId162" name="Group Box 159">
              <controlPr defaultSize="0" autoFill="0" autoPict="0">
                <anchor moveWithCells="1">
                  <from>
                    <xdr:col>9</xdr:col>
                    <xdr:colOff>9525</xdr:colOff>
                    <xdr:row>58</xdr:row>
                    <xdr:rowOff>9525</xdr:rowOff>
                  </from>
                  <to>
                    <xdr:col>10</xdr:col>
                    <xdr:colOff>9525</xdr:colOff>
                    <xdr:row>61</xdr:row>
                    <xdr:rowOff>266700</xdr:rowOff>
                  </to>
                </anchor>
              </controlPr>
            </control>
          </mc:Choice>
        </mc:AlternateContent>
        <mc:AlternateContent xmlns:mc="http://schemas.openxmlformats.org/markup-compatibility/2006">
          <mc:Choice Requires="x14">
            <control shapeId="96416" r:id="rId163" name="Option Button 160">
              <controlPr defaultSize="0" autoFill="0" autoLine="0" autoPict="0">
                <anchor>
                  <from>
                    <xdr:col>7</xdr:col>
                    <xdr:colOff>57150</xdr:colOff>
                    <xdr:row>61</xdr:row>
                    <xdr:rowOff>28575</xdr:rowOff>
                  </from>
                  <to>
                    <xdr:col>7</xdr:col>
                    <xdr:colOff>247650</xdr:colOff>
                    <xdr:row>61</xdr:row>
                    <xdr:rowOff>247650</xdr:rowOff>
                  </to>
                </anchor>
              </controlPr>
            </control>
          </mc:Choice>
        </mc:AlternateContent>
        <mc:AlternateContent xmlns:mc="http://schemas.openxmlformats.org/markup-compatibility/2006">
          <mc:Choice Requires="x14">
            <control shapeId="96417" r:id="rId164" name="Option Button 161">
              <controlPr defaultSize="0" autoFill="0" autoLine="0" autoPict="0">
                <anchor>
                  <from>
                    <xdr:col>7</xdr:col>
                    <xdr:colOff>38100</xdr:colOff>
                    <xdr:row>54</xdr:row>
                    <xdr:rowOff>76200</xdr:rowOff>
                  </from>
                  <to>
                    <xdr:col>7</xdr:col>
                    <xdr:colOff>247650</xdr:colOff>
                    <xdr:row>55</xdr:row>
                    <xdr:rowOff>9525</xdr:rowOff>
                  </to>
                </anchor>
              </controlPr>
            </control>
          </mc:Choice>
        </mc:AlternateContent>
        <mc:AlternateContent xmlns:mc="http://schemas.openxmlformats.org/markup-compatibility/2006">
          <mc:Choice Requires="x14">
            <control shapeId="96418" r:id="rId165" name="Option Button 162">
              <controlPr defaultSize="0" autoFill="0" autoLine="0" autoPict="0">
                <anchor>
                  <from>
                    <xdr:col>7</xdr:col>
                    <xdr:colOff>38100</xdr:colOff>
                    <xdr:row>55</xdr:row>
                    <xdr:rowOff>76200</xdr:rowOff>
                  </from>
                  <to>
                    <xdr:col>7</xdr:col>
                    <xdr:colOff>247650</xdr:colOff>
                    <xdr:row>56</xdr:row>
                    <xdr:rowOff>9525</xdr:rowOff>
                  </to>
                </anchor>
              </controlPr>
            </control>
          </mc:Choice>
        </mc:AlternateContent>
        <mc:AlternateContent xmlns:mc="http://schemas.openxmlformats.org/markup-compatibility/2006">
          <mc:Choice Requires="x14">
            <control shapeId="96419" r:id="rId166" name="Option Button 163">
              <controlPr defaultSize="0" autoFill="0" autoLine="0" autoPict="0">
                <anchor>
                  <from>
                    <xdr:col>7</xdr:col>
                    <xdr:colOff>38100</xdr:colOff>
                    <xdr:row>56</xdr:row>
                    <xdr:rowOff>76200</xdr:rowOff>
                  </from>
                  <to>
                    <xdr:col>7</xdr:col>
                    <xdr:colOff>247650</xdr:colOff>
                    <xdr:row>57</xdr:row>
                    <xdr:rowOff>0</xdr:rowOff>
                  </to>
                </anchor>
              </controlPr>
            </control>
          </mc:Choice>
        </mc:AlternateContent>
        <mc:AlternateContent xmlns:mc="http://schemas.openxmlformats.org/markup-compatibility/2006">
          <mc:Choice Requires="x14">
            <control shapeId="96420" r:id="rId167" name="Option Button 164">
              <controlPr defaultSize="0" autoFill="0" autoLine="0" autoPict="0">
                <anchor>
                  <from>
                    <xdr:col>9</xdr:col>
                    <xdr:colOff>57150</xdr:colOff>
                    <xdr:row>54</xdr:row>
                    <xdr:rowOff>57150</xdr:rowOff>
                  </from>
                  <to>
                    <xdr:col>9</xdr:col>
                    <xdr:colOff>247650</xdr:colOff>
                    <xdr:row>54</xdr:row>
                    <xdr:rowOff>266700</xdr:rowOff>
                  </to>
                </anchor>
              </controlPr>
            </control>
          </mc:Choice>
        </mc:AlternateContent>
        <mc:AlternateContent xmlns:mc="http://schemas.openxmlformats.org/markup-compatibility/2006">
          <mc:Choice Requires="x14">
            <control shapeId="96421" r:id="rId168" name="Option Button 165">
              <controlPr defaultSize="0" autoFill="0" autoLine="0" autoPict="0">
                <anchor>
                  <from>
                    <xdr:col>9</xdr:col>
                    <xdr:colOff>57150</xdr:colOff>
                    <xdr:row>55</xdr:row>
                    <xdr:rowOff>38100</xdr:rowOff>
                  </from>
                  <to>
                    <xdr:col>9</xdr:col>
                    <xdr:colOff>247650</xdr:colOff>
                    <xdr:row>55</xdr:row>
                    <xdr:rowOff>266700</xdr:rowOff>
                  </to>
                </anchor>
              </controlPr>
            </control>
          </mc:Choice>
        </mc:AlternateContent>
        <mc:AlternateContent xmlns:mc="http://schemas.openxmlformats.org/markup-compatibility/2006">
          <mc:Choice Requires="x14">
            <control shapeId="96422" r:id="rId169" name="Option Button 166">
              <controlPr defaultSize="0" autoFill="0" autoLine="0" autoPict="0">
                <anchor>
                  <from>
                    <xdr:col>9</xdr:col>
                    <xdr:colOff>57150</xdr:colOff>
                    <xdr:row>56</xdr:row>
                    <xdr:rowOff>57150</xdr:rowOff>
                  </from>
                  <to>
                    <xdr:col>9</xdr:col>
                    <xdr:colOff>247650</xdr:colOff>
                    <xdr:row>56</xdr:row>
                    <xdr:rowOff>266700</xdr:rowOff>
                  </to>
                </anchor>
              </controlPr>
            </control>
          </mc:Choice>
        </mc:AlternateContent>
        <mc:AlternateContent xmlns:mc="http://schemas.openxmlformats.org/markup-compatibility/2006">
          <mc:Choice Requires="x14">
            <control shapeId="96423" r:id="rId170" name="Option Button 167">
              <controlPr defaultSize="0" autoFill="0" autoLine="0" autoPict="0">
                <anchor>
                  <from>
                    <xdr:col>9</xdr:col>
                    <xdr:colOff>57150</xdr:colOff>
                    <xdr:row>57</xdr:row>
                    <xdr:rowOff>28575</xdr:rowOff>
                  </from>
                  <to>
                    <xdr:col>9</xdr:col>
                    <xdr:colOff>247650</xdr:colOff>
                    <xdr:row>57</xdr:row>
                    <xdr:rowOff>266700</xdr:rowOff>
                  </to>
                </anchor>
              </controlPr>
            </control>
          </mc:Choice>
        </mc:AlternateContent>
        <mc:AlternateContent xmlns:mc="http://schemas.openxmlformats.org/markup-compatibility/2006">
          <mc:Choice Requires="x14">
            <control shapeId="96424" r:id="rId171" name="Group Box 168">
              <controlPr defaultSize="0" autoFill="0" autoPict="0">
                <anchor moveWithCells="1">
                  <from>
                    <xdr:col>7</xdr:col>
                    <xdr:colOff>28575</xdr:colOff>
                    <xdr:row>54</xdr:row>
                    <xdr:rowOff>28575</xdr:rowOff>
                  </from>
                  <to>
                    <xdr:col>8</xdr:col>
                    <xdr:colOff>28575</xdr:colOff>
                    <xdr:row>57</xdr:row>
                    <xdr:rowOff>266700</xdr:rowOff>
                  </to>
                </anchor>
              </controlPr>
            </control>
          </mc:Choice>
        </mc:AlternateContent>
        <mc:AlternateContent xmlns:mc="http://schemas.openxmlformats.org/markup-compatibility/2006">
          <mc:Choice Requires="x14">
            <control shapeId="96425" r:id="rId172" name="Group Box 169">
              <controlPr defaultSize="0" autoFill="0" autoPict="0">
                <anchor moveWithCells="1">
                  <from>
                    <xdr:col>9</xdr:col>
                    <xdr:colOff>28575</xdr:colOff>
                    <xdr:row>54</xdr:row>
                    <xdr:rowOff>28575</xdr:rowOff>
                  </from>
                  <to>
                    <xdr:col>10</xdr:col>
                    <xdr:colOff>28575</xdr:colOff>
                    <xdr:row>57</xdr:row>
                    <xdr:rowOff>266700</xdr:rowOff>
                  </to>
                </anchor>
              </controlPr>
            </control>
          </mc:Choice>
        </mc:AlternateContent>
        <mc:AlternateContent xmlns:mc="http://schemas.openxmlformats.org/markup-compatibility/2006">
          <mc:Choice Requires="x14">
            <control shapeId="96426" r:id="rId173" name="Option Button 170">
              <controlPr defaultSize="0" autoFill="0" autoLine="0" autoPict="0">
                <anchor>
                  <from>
                    <xdr:col>7</xdr:col>
                    <xdr:colOff>38100</xdr:colOff>
                    <xdr:row>57</xdr:row>
                    <xdr:rowOff>38100</xdr:rowOff>
                  </from>
                  <to>
                    <xdr:col>7</xdr:col>
                    <xdr:colOff>247650</xdr:colOff>
                    <xdr:row>57</xdr:row>
                    <xdr:rowOff>266700</xdr:rowOff>
                  </to>
                </anchor>
              </controlPr>
            </control>
          </mc:Choice>
        </mc:AlternateContent>
        <mc:AlternateContent xmlns:mc="http://schemas.openxmlformats.org/markup-compatibility/2006">
          <mc:Choice Requires="x14">
            <control shapeId="96427" r:id="rId174" name="Option Button 171">
              <controlPr defaultSize="0" autoFill="0" autoLine="0" autoPict="0">
                <anchor>
                  <from>
                    <xdr:col>7</xdr:col>
                    <xdr:colOff>38100</xdr:colOff>
                    <xdr:row>50</xdr:row>
                    <xdr:rowOff>57150</xdr:rowOff>
                  </from>
                  <to>
                    <xdr:col>7</xdr:col>
                    <xdr:colOff>247650</xdr:colOff>
                    <xdr:row>50</xdr:row>
                    <xdr:rowOff>266700</xdr:rowOff>
                  </to>
                </anchor>
              </controlPr>
            </control>
          </mc:Choice>
        </mc:AlternateContent>
        <mc:AlternateContent xmlns:mc="http://schemas.openxmlformats.org/markup-compatibility/2006">
          <mc:Choice Requires="x14">
            <control shapeId="96428" r:id="rId175" name="Option Button 172">
              <controlPr defaultSize="0" autoFill="0" autoLine="0" autoPict="0">
                <anchor>
                  <from>
                    <xdr:col>7</xdr:col>
                    <xdr:colOff>38100</xdr:colOff>
                    <xdr:row>51</xdr:row>
                    <xdr:rowOff>76200</xdr:rowOff>
                  </from>
                  <to>
                    <xdr:col>7</xdr:col>
                    <xdr:colOff>247650</xdr:colOff>
                    <xdr:row>52</xdr:row>
                    <xdr:rowOff>0</xdr:rowOff>
                  </to>
                </anchor>
              </controlPr>
            </control>
          </mc:Choice>
        </mc:AlternateContent>
        <mc:AlternateContent xmlns:mc="http://schemas.openxmlformats.org/markup-compatibility/2006">
          <mc:Choice Requires="x14">
            <control shapeId="96429" r:id="rId176" name="Option Button 173">
              <controlPr defaultSize="0" autoFill="0" autoLine="0" autoPict="0">
                <anchor>
                  <from>
                    <xdr:col>7</xdr:col>
                    <xdr:colOff>38100</xdr:colOff>
                    <xdr:row>52</xdr:row>
                    <xdr:rowOff>38100</xdr:rowOff>
                  </from>
                  <to>
                    <xdr:col>7</xdr:col>
                    <xdr:colOff>247650</xdr:colOff>
                    <xdr:row>52</xdr:row>
                    <xdr:rowOff>266700</xdr:rowOff>
                  </to>
                </anchor>
              </controlPr>
            </control>
          </mc:Choice>
        </mc:AlternateContent>
        <mc:AlternateContent xmlns:mc="http://schemas.openxmlformats.org/markup-compatibility/2006">
          <mc:Choice Requires="x14">
            <control shapeId="96430" r:id="rId177" name="Option Button 174">
              <controlPr defaultSize="0" autoFill="0" autoLine="0" autoPict="0">
                <anchor>
                  <from>
                    <xdr:col>9</xdr:col>
                    <xdr:colOff>57150</xdr:colOff>
                    <xdr:row>50</xdr:row>
                    <xdr:rowOff>28575</xdr:rowOff>
                  </from>
                  <to>
                    <xdr:col>9</xdr:col>
                    <xdr:colOff>247650</xdr:colOff>
                    <xdr:row>50</xdr:row>
                    <xdr:rowOff>266700</xdr:rowOff>
                  </to>
                </anchor>
              </controlPr>
            </control>
          </mc:Choice>
        </mc:AlternateContent>
        <mc:AlternateContent xmlns:mc="http://schemas.openxmlformats.org/markup-compatibility/2006">
          <mc:Choice Requires="x14">
            <control shapeId="96431" r:id="rId178" name="Option Button 175">
              <controlPr defaultSize="0" autoFill="0" autoLine="0" autoPict="0">
                <anchor>
                  <from>
                    <xdr:col>9</xdr:col>
                    <xdr:colOff>57150</xdr:colOff>
                    <xdr:row>51</xdr:row>
                    <xdr:rowOff>28575</xdr:rowOff>
                  </from>
                  <to>
                    <xdr:col>9</xdr:col>
                    <xdr:colOff>247650</xdr:colOff>
                    <xdr:row>51</xdr:row>
                    <xdr:rowOff>247650</xdr:rowOff>
                  </to>
                </anchor>
              </controlPr>
            </control>
          </mc:Choice>
        </mc:AlternateContent>
        <mc:AlternateContent xmlns:mc="http://schemas.openxmlformats.org/markup-compatibility/2006">
          <mc:Choice Requires="x14">
            <control shapeId="96432" r:id="rId179" name="Option Button 176">
              <controlPr defaultSize="0" autoFill="0" autoLine="0" autoPict="0">
                <anchor>
                  <from>
                    <xdr:col>9</xdr:col>
                    <xdr:colOff>57150</xdr:colOff>
                    <xdr:row>52</xdr:row>
                    <xdr:rowOff>28575</xdr:rowOff>
                  </from>
                  <to>
                    <xdr:col>9</xdr:col>
                    <xdr:colOff>247650</xdr:colOff>
                    <xdr:row>52</xdr:row>
                    <xdr:rowOff>266700</xdr:rowOff>
                  </to>
                </anchor>
              </controlPr>
            </control>
          </mc:Choice>
        </mc:AlternateContent>
        <mc:AlternateContent xmlns:mc="http://schemas.openxmlformats.org/markup-compatibility/2006">
          <mc:Choice Requires="x14">
            <control shapeId="96433" r:id="rId180" name="Option Button 177">
              <controlPr defaultSize="0" autoFill="0" autoLine="0" autoPict="0">
                <anchor>
                  <from>
                    <xdr:col>9</xdr:col>
                    <xdr:colOff>57150</xdr:colOff>
                    <xdr:row>53</xdr:row>
                    <xdr:rowOff>9525</xdr:rowOff>
                  </from>
                  <to>
                    <xdr:col>9</xdr:col>
                    <xdr:colOff>247650</xdr:colOff>
                    <xdr:row>53</xdr:row>
                    <xdr:rowOff>228600</xdr:rowOff>
                  </to>
                </anchor>
              </controlPr>
            </control>
          </mc:Choice>
        </mc:AlternateContent>
        <mc:AlternateContent xmlns:mc="http://schemas.openxmlformats.org/markup-compatibility/2006">
          <mc:Choice Requires="x14">
            <control shapeId="96434" r:id="rId181" name="Group Box 178">
              <controlPr defaultSize="0" autoFill="0" autoPict="0">
                <anchor moveWithCells="1">
                  <from>
                    <xdr:col>7</xdr:col>
                    <xdr:colOff>28575</xdr:colOff>
                    <xdr:row>50</xdr:row>
                    <xdr:rowOff>9525</xdr:rowOff>
                  </from>
                  <to>
                    <xdr:col>8</xdr:col>
                    <xdr:colOff>76200</xdr:colOff>
                    <xdr:row>54</xdr:row>
                    <xdr:rowOff>38100</xdr:rowOff>
                  </to>
                </anchor>
              </controlPr>
            </control>
          </mc:Choice>
        </mc:AlternateContent>
        <mc:AlternateContent xmlns:mc="http://schemas.openxmlformats.org/markup-compatibility/2006">
          <mc:Choice Requires="x14">
            <control shapeId="96435" r:id="rId182" name="Group Box 179">
              <controlPr defaultSize="0" autoFill="0" autoPict="0">
                <anchor moveWithCells="1">
                  <from>
                    <xdr:col>9</xdr:col>
                    <xdr:colOff>28575</xdr:colOff>
                    <xdr:row>50</xdr:row>
                    <xdr:rowOff>0</xdr:rowOff>
                  </from>
                  <to>
                    <xdr:col>10</xdr:col>
                    <xdr:colOff>28575</xdr:colOff>
                    <xdr:row>53</xdr:row>
                    <xdr:rowOff>247650</xdr:rowOff>
                  </to>
                </anchor>
              </controlPr>
            </control>
          </mc:Choice>
        </mc:AlternateContent>
        <mc:AlternateContent xmlns:mc="http://schemas.openxmlformats.org/markup-compatibility/2006">
          <mc:Choice Requires="x14">
            <control shapeId="96436" r:id="rId183" name="Option Button 180">
              <controlPr defaultSize="0" autoFill="0" autoLine="0" autoPict="0">
                <anchor>
                  <from>
                    <xdr:col>7</xdr:col>
                    <xdr:colOff>38100</xdr:colOff>
                    <xdr:row>53</xdr:row>
                    <xdr:rowOff>38100</xdr:rowOff>
                  </from>
                  <to>
                    <xdr:col>7</xdr:col>
                    <xdr:colOff>247650</xdr:colOff>
                    <xdr:row>53</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75047342-1029-4257-BD1C-64B26C7B31B9}">
            <xm:f>AND(報1!$P$9=FALSE,報1!$P$11=FALSE)</xm:f>
            <x14:dxf>
              <fill>
                <patternFill>
                  <bgColor rgb="FFEAEAEA"/>
                </patternFill>
              </fill>
            </x14:dxf>
          </x14:cfRule>
          <xm:sqref>H68:K87</xm:sqref>
        </x14:conditionalFormatting>
        <x14:conditionalFormatting xmlns:xm="http://schemas.microsoft.com/office/excel/2006/main">
          <x14:cfRule type="expression" priority="1" id="{678B7CC4-342B-4CA2-A367-9C4222DC87F7}">
            <xm:f>AND(報1!$P$7=FALSE,報1!$P$8=FALSE,報1!$P$10=FALSE)</xm:f>
            <x14:dxf>
              <fill>
                <patternFill>
                  <bgColor rgb="FFEAEAEA"/>
                </patternFill>
              </fill>
            </x14:dxf>
          </x14:cfRule>
          <xm:sqref>H51:K62 H6:K45</xm:sqref>
        </x14:conditionalFormatting>
      </x14:conditionalFormatting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5">
    <pageSetUpPr fitToPage="1"/>
  </sheetPr>
  <dimension ref="A1:BT122"/>
  <sheetViews>
    <sheetView showGridLines="0" topLeftCell="B1" zoomScaleNormal="100" workbookViewId="0">
      <selection activeCell="B6" sqref="B6"/>
    </sheetView>
  </sheetViews>
  <sheetFormatPr defaultColWidth="9" defaultRowHeight="12"/>
  <cols>
    <col min="1" max="1" width="9" style="2" hidden="1" customWidth="1"/>
    <col min="2" max="2" width="2.875" style="2" customWidth="1"/>
    <col min="3" max="3" width="10.25" style="2" customWidth="1"/>
    <col min="4" max="5" width="10.625" style="2" customWidth="1"/>
    <col min="6" max="6" width="11.375" style="15" customWidth="1"/>
    <col min="7" max="7" width="8.125" style="5" customWidth="1"/>
    <col min="8" max="8" width="8.625" style="2" customWidth="1"/>
    <col min="9" max="9" width="11.375" style="2" customWidth="1"/>
    <col min="10" max="10" width="10.625" style="2" customWidth="1"/>
    <col min="11" max="11" width="5.5" style="2" customWidth="1"/>
    <col min="12" max="12" width="9.875" style="2" customWidth="1"/>
    <col min="13" max="13" width="23.125" style="2" customWidth="1"/>
    <col min="14" max="24" width="9" style="2"/>
    <col min="25" max="25" width="4.75" style="2" customWidth="1"/>
    <col min="26" max="27" width="11.5" style="2" customWidth="1"/>
    <col min="28" max="37" width="11.875" style="2" customWidth="1"/>
    <col min="38" max="38" width="14.375" style="2" customWidth="1"/>
    <col min="39" max="72" width="11.875" style="2" customWidth="1"/>
    <col min="73" max="16384" width="9" style="2"/>
  </cols>
  <sheetData>
    <row r="1" spans="2:72" ht="21.75" customHeight="1">
      <c r="M1" s="182"/>
      <c r="N1" s="182"/>
      <c r="O1" s="182"/>
      <c r="P1" s="182"/>
      <c r="Q1" s="182"/>
      <c r="R1" s="182"/>
      <c r="S1" s="182"/>
      <c r="T1" s="182"/>
      <c r="U1" s="182"/>
      <c r="V1" s="182"/>
      <c r="W1" s="182"/>
      <c r="X1" s="182"/>
      <c r="Y1" s="182"/>
      <c r="Z1" s="182"/>
      <c r="AA1" s="182"/>
      <c r="AB1" s="182"/>
      <c r="AC1" s="1262"/>
      <c r="AD1" s="1262"/>
      <c r="AE1" s="1262"/>
      <c r="AF1" s="1262"/>
      <c r="AG1" s="1262"/>
      <c r="AH1" s="1262"/>
      <c r="AI1" s="1262"/>
      <c r="AJ1" s="1262"/>
      <c r="AK1" s="1262"/>
      <c r="AL1" s="1262"/>
      <c r="AM1" s="1262"/>
      <c r="AN1" s="1262"/>
      <c r="AO1" s="1262"/>
      <c r="AP1" s="1262"/>
      <c r="AQ1" s="1262"/>
      <c r="AR1" s="1323" t="s">
        <v>443</v>
      </c>
      <c r="AS1" s="1262"/>
      <c r="AT1" s="1262"/>
      <c r="AU1" s="1262"/>
      <c r="AV1" s="1262"/>
      <c r="AW1" s="1262"/>
      <c r="AX1" s="1262"/>
      <c r="AY1" s="1262"/>
      <c r="AZ1" s="1262"/>
      <c r="BA1" s="1262"/>
      <c r="BB1" s="1262"/>
      <c r="BC1" s="1262"/>
      <c r="BD1" s="1262"/>
      <c r="BE1" s="1262"/>
      <c r="BF1" s="1262"/>
      <c r="BG1" s="1262"/>
      <c r="BH1" s="1262"/>
      <c r="BI1" s="1262"/>
      <c r="BJ1" s="1262"/>
      <c r="BK1" s="1262"/>
      <c r="BL1" s="1262"/>
      <c r="BM1" s="1262"/>
      <c r="BN1" s="1262"/>
      <c r="BO1" s="1262"/>
      <c r="BP1" s="1262"/>
      <c r="BQ1" s="1262"/>
      <c r="BR1" s="1262"/>
      <c r="BS1" s="1262"/>
      <c r="BT1" s="182"/>
    </row>
    <row r="2" spans="2:72" ht="13.5">
      <c r="B2" s="57" t="s">
        <v>174</v>
      </c>
      <c r="C2" s="57"/>
      <c r="D2" s="14"/>
      <c r="E2" s="14"/>
      <c r="F2" s="14"/>
      <c r="G2" s="14"/>
      <c r="H2" s="14"/>
      <c r="I2" s="14"/>
      <c r="J2" s="14"/>
      <c r="K2" s="14"/>
      <c r="L2" s="14"/>
      <c r="M2" s="201"/>
      <c r="N2" s="182"/>
      <c r="O2" s="182"/>
      <c r="P2" s="182"/>
      <c r="Q2" s="182"/>
      <c r="R2" s="182"/>
      <c r="S2" s="182"/>
      <c r="T2" s="182"/>
      <c r="U2" s="182"/>
      <c r="V2" s="182"/>
      <c r="W2" s="182"/>
      <c r="X2" s="182"/>
      <c r="Y2" s="182"/>
      <c r="Z2" s="182"/>
      <c r="AA2" s="182"/>
      <c r="AB2" s="182"/>
      <c r="AC2" s="1262" t="s">
        <v>4351</v>
      </c>
      <c r="AD2" s="1262"/>
      <c r="AE2" s="1262"/>
      <c r="AF2" s="1262"/>
      <c r="AG2" s="1262"/>
      <c r="AH2" s="1262"/>
      <c r="AI2" s="1262"/>
      <c r="AJ2" s="1262"/>
      <c r="AK2" s="1262"/>
      <c r="AL2" s="1262"/>
      <c r="AM2" s="1262"/>
      <c r="AN2" s="1262"/>
      <c r="AO2" s="1262"/>
      <c r="AP2" s="1262"/>
      <c r="AQ2" s="1262"/>
      <c r="AR2" s="1323" t="s">
        <v>444</v>
      </c>
      <c r="AS2" s="1262"/>
      <c r="AT2" s="1262"/>
      <c r="AU2" s="1262"/>
      <c r="AV2" s="1262"/>
      <c r="AW2" s="1262"/>
      <c r="AX2" s="1262"/>
      <c r="AY2" s="1262"/>
      <c r="AZ2" s="1262"/>
      <c r="BA2" s="1262"/>
      <c r="BB2" s="1262"/>
      <c r="BC2" s="1262"/>
      <c r="BD2" s="1262"/>
      <c r="BE2" s="1262"/>
      <c r="BF2" s="1262"/>
      <c r="BG2" s="1262"/>
      <c r="BH2" s="1262"/>
      <c r="BI2" s="1262"/>
      <c r="BJ2" s="1262"/>
      <c r="BK2" s="1262"/>
      <c r="BL2" s="1262"/>
      <c r="BM2" s="1262"/>
      <c r="BN2" s="1262"/>
      <c r="BO2" s="1262"/>
      <c r="BP2" s="1262"/>
      <c r="BQ2" s="1262"/>
      <c r="BR2" s="1262"/>
      <c r="BS2" s="1262"/>
      <c r="BT2" s="182"/>
    </row>
    <row r="3" spans="2:72">
      <c r="B3" s="2" t="s">
        <v>233</v>
      </c>
      <c r="D3" s="14"/>
      <c r="E3" s="14"/>
      <c r="F3" s="14"/>
      <c r="G3" s="14"/>
      <c r="H3" s="14"/>
      <c r="I3" s="14"/>
      <c r="J3" s="14"/>
      <c r="K3" s="14"/>
      <c r="L3" s="14"/>
      <c r="M3" s="286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row>
    <row r="4" spans="2:72" ht="15.95" customHeight="1">
      <c r="B4" s="2863" t="s">
        <v>349</v>
      </c>
      <c r="C4" s="2863"/>
      <c r="D4" s="2863"/>
      <c r="E4" s="2863"/>
      <c r="F4" s="2863"/>
      <c r="G4" s="2863"/>
      <c r="H4" s="2863"/>
      <c r="I4" s="2863"/>
      <c r="J4" s="2863"/>
      <c r="K4" s="2863"/>
      <c r="L4" s="2863"/>
      <c r="M4" s="2862"/>
      <c r="N4" s="182"/>
      <c r="O4" s="182"/>
      <c r="P4" s="182"/>
      <c r="Q4" s="182"/>
      <c r="R4" s="182"/>
      <c r="S4" s="182"/>
      <c r="T4" s="182"/>
      <c r="U4" s="182"/>
      <c r="V4" s="182"/>
      <c r="W4" s="182"/>
      <c r="X4" s="182"/>
      <c r="Y4" s="182"/>
      <c r="Z4" s="2864" t="s">
        <v>445</v>
      </c>
      <c r="AA4" s="2864"/>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row>
    <row r="5" spans="2:72" ht="30" customHeight="1">
      <c r="B5" s="2865" t="s">
        <v>564</v>
      </c>
      <c r="C5" s="2865"/>
      <c r="D5" s="2865"/>
      <c r="E5" s="2865"/>
      <c r="F5" s="2865"/>
      <c r="G5" s="2865"/>
      <c r="H5" s="2865"/>
      <c r="I5" s="2865"/>
      <c r="J5" s="2865"/>
      <c r="K5" s="2865"/>
      <c r="L5" s="2865"/>
      <c r="M5" s="2862"/>
      <c r="N5" s="182"/>
      <c r="O5" s="182"/>
      <c r="P5" s="182"/>
      <c r="Q5" s="182"/>
      <c r="R5" s="182"/>
      <c r="S5" s="182"/>
      <c r="T5" s="182"/>
      <c r="U5" s="182"/>
      <c r="V5" s="182"/>
      <c r="W5" s="182"/>
      <c r="X5" s="182"/>
      <c r="Y5" s="202"/>
      <c r="Z5" s="2864"/>
      <c r="AA5" s="2864"/>
      <c r="AB5" s="182"/>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182"/>
      <c r="BR5" s="182"/>
      <c r="BS5" s="182"/>
      <c r="BT5" s="182"/>
    </row>
    <row r="6" spans="2:72" ht="3.75" customHeight="1" thickBot="1">
      <c r="B6" s="1309"/>
      <c r="C6" s="1309"/>
      <c r="D6" s="1309"/>
      <c r="E6" s="1309"/>
      <c r="F6" s="2866"/>
      <c r="G6" s="2867"/>
      <c r="H6" s="1309"/>
      <c r="I6" s="25"/>
      <c r="J6" s="1309"/>
      <c r="K6" s="1309"/>
      <c r="L6" s="1310"/>
      <c r="M6" s="203"/>
      <c r="N6" s="182"/>
      <c r="O6" s="182"/>
      <c r="P6" s="182"/>
      <c r="Q6" s="182"/>
      <c r="R6" s="182"/>
      <c r="S6" s="182"/>
      <c r="T6" s="182"/>
      <c r="U6" s="182"/>
      <c r="V6" s="182"/>
      <c r="W6" s="182"/>
      <c r="X6" s="182"/>
      <c r="Y6" s="182"/>
      <c r="Z6" s="204"/>
      <c r="AA6" s="204"/>
      <c r="AB6" s="182"/>
      <c r="AC6" s="182"/>
      <c r="AD6" s="182"/>
      <c r="AE6" s="182"/>
      <c r="AF6" s="182"/>
      <c r="AG6" s="182"/>
      <c r="AH6" s="182"/>
      <c r="AI6" s="182"/>
      <c r="AJ6" s="182"/>
      <c r="AK6" s="182"/>
      <c r="AL6" s="182"/>
      <c r="AM6" s="182"/>
      <c r="AN6" s="182"/>
      <c r="AO6" s="182"/>
      <c r="AP6" s="182"/>
      <c r="AQ6" s="182"/>
      <c r="AR6" s="182"/>
      <c r="AS6" s="182"/>
      <c r="AT6" s="205"/>
      <c r="AU6" s="206"/>
      <c r="AV6" s="206"/>
      <c r="AW6" s="205"/>
      <c r="AX6" s="205"/>
      <c r="AY6" s="205"/>
      <c r="AZ6" s="205"/>
      <c r="BA6" s="205"/>
      <c r="BB6" s="205"/>
      <c r="BC6" s="205"/>
      <c r="BD6" s="205"/>
      <c r="BE6" s="205"/>
      <c r="BF6" s="205"/>
      <c r="BG6" s="205"/>
      <c r="BH6" s="206"/>
      <c r="BI6" s="206"/>
      <c r="BJ6" s="206"/>
      <c r="BK6" s="206"/>
      <c r="BL6" s="206"/>
      <c r="BM6" s="206"/>
      <c r="BN6" s="206"/>
      <c r="BO6" s="206"/>
      <c r="BP6" s="205"/>
      <c r="BQ6" s="182"/>
      <c r="BR6" s="182"/>
      <c r="BS6" s="182"/>
      <c r="BT6" s="182"/>
    </row>
    <row r="7" spans="2:72" ht="35.1" customHeight="1" thickBot="1">
      <c r="D7" s="5"/>
      <c r="E7" s="5"/>
      <c r="F7" s="2868" t="s">
        <v>416</v>
      </c>
      <c r="G7" s="2869"/>
      <c r="H7" s="2868" t="s">
        <v>417</v>
      </c>
      <c r="I7" s="2869"/>
      <c r="J7" s="2868" t="s">
        <v>500</v>
      </c>
      <c r="K7" s="2870"/>
      <c r="L7" s="2871"/>
      <c r="M7" s="203"/>
      <c r="N7" s="2872" t="s">
        <v>254</v>
      </c>
      <c r="O7" s="2873"/>
      <c r="P7" s="2873"/>
      <c r="Q7" s="2873"/>
      <c r="R7" s="2873"/>
      <c r="S7" s="2872" t="s">
        <v>253</v>
      </c>
      <c r="T7" s="2873"/>
      <c r="U7" s="2873"/>
      <c r="V7" s="2873"/>
      <c r="W7" s="2874"/>
      <c r="X7" s="397" t="s">
        <v>252</v>
      </c>
      <c r="Y7" s="182"/>
      <c r="Z7" s="2879" t="s">
        <v>446</v>
      </c>
      <c r="AA7" s="2880"/>
      <c r="AB7" s="182"/>
      <c r="AC7" s="182"/>
      <c r="AD7" s="182"/>
      <c r="AE7" s="182"/>
      <c r="AF7" s="182"/>
      <c r="AG7" s="182"/>
      <c r="AH7" s="182"/>
      <c r="AI7" s="182"/>
      <c r="AJ7" s="182"/>
      <c r="AK7" s="182"/>
      <c r="AL7" s="182"/>
      <c r="AM7" s="182"/>
      <c r="AN7" s="182"/>
      <c r="AO7" s="182"/>
      <c r="AP7" s="182"/>
      <c r="AQ7" s="182"/>
      <c r="AR7" s="182"/>
      <c r="AS7" s="182"/>
      <c r="AT7" s="205"/>
      <c r="AU7" s="207"/>
      <c r="AV7" s="207"/>
      <c r="AW7" s="205"/>
      <c r="AX7" s="205"/>
      <c r="AY7" s="205"/>
      <c r="AZ7" s="205"/>
      <c r="BA7" s="205"/>
      <c r="BB7" s="205"/>
      <c r="BC7" s="205"/>
      <c r="BD7" s="205"/>
      <c r="BE7" s="208" t="s">
        <v>350</v>
      </c>
      <c r="BF7" s="2876" t="s">
        <v>241</v>
      </c>
      <c r="BG7" s="2883"/>
      <c r="BH7" s="208" t="s">
        <v>240</v>
      </c>
      <c r="BI7" s="208" t="s">
        <v>191</v>
      </c>
      <c r="BJ7" s="208" t="s">
        <v>192</v>
      </c>
      <c r="BK7" s="2876" t="s">
        <v>193</v>
      </c>
      <c r="BL7" s="2883"/>
      <c r="BM7" s="207"/>
      <c r="BN7" s="209" t="s">
        <v>239</v>
      </c>
      <c r="BO7" s="210" t="s">
        <v>238</v>
      </c>
      <c r="BP7" s="1781" t="s">
        <v>237</v>
      </c>
      <c r="BQ7" s="1784" t="s">
        <v>502</v>
      </c>
      <c r="BR7" s="211" t="s">
        <v>351</v>
      </c>
      <c r="BS7" s="212" t="s">
        <v>352</v>
      </c>
      <c r="BT7" s="182"/>
    </row>
    <row r="8" spans="2:72" ht="39.950000000000003" customHeight="1" thickBot="1">
      <c r="D8" s="5"/>
      <c r="E8" s="5"/>
      <c r="F8" s="2884" t="str">
        <f>IF(F10="","",IF(報1!L28-報1!D28=0,IF(報2!E10="",報2!E27,報2!E10),IF(報1!L28-報1!D28=1,IF(報2!E12="",報2!E29,報2!E12),IF(報1!L28-報1!D28=2,IF(報2!E14="",報2!E31,報2!E14),""))))</f>
        <v/>
      </c>
      <c r="G8" s="2885"/>
      <c r="H8" s="2886" t="str">
        <f>IF(SUM(K10:L99)=0,"",SUM(K10:L99))</f>
        <v/>
      </c>
      <c r="I8" s="2887"/>
      <c r="J8" s="2888" t="str">
        <f>IFERROR(H8/F8*100,"")</f>
        <v/>
      </c>
      <c r="K8" s="2889"/>
      <c r="L8" s="78" t="s">
        <v>501</v>
      </c>
      <c r="M8" s="203"/>
      <c r="N8" s="2890" t="s">
        <v>429</v>
      </c>
      <c r="O8" s="2873" t="s">
        <v>251</v>
      </c>
      <c r="P8" s="2873"/>
      <c r="Q8" s="2874"/>
      <c r="R8" s="391" t="s">
        <v>250</v>
      </c>
      <c r="S8" s="2890" t="s">
        <v>430</v>
      </c>
      <c r="T8" s="2873" t="s">
        <v>251</v>
      </c>
      <c r="U8" s="2873"/>
      <c r="V8" s="2874"/>
      <c r="W8" s="392" t="s">
        <v>250</v>
      </c>
      <c r="X8" s="398"/>
      <c r="Y8" s="202"/>
      <c r="Z8" s="2881"/>
      <c r="AA8" s="2882"/>
      <c r="AB8" s="182"/>
      <c r="AC8" s="2875" t="s">
        <v>249</v>
      </c>
      <c r="AD8" s="2875"/>
      <c r="AE8" s="2875" t="s">
        <v>248</v>
      </c>
      <c r="AF8" s="2875"/>
      <c r="AG8" s="2875" t="s">
        <v>247</v>
      </c>
      <c r="AH8" s="2875"/>
      <c r="AI8" s="201"/>
      <c r="AJ8" s="201"/>
      <c r="AK8" s="213" t="s">
        <v>187</v>
      </c>
      <c r="AL8" s="213"/>
      <c r="AM8" s="213"/>
      <c r="AN8" s="213"/>
      <c r="AO8" s="213"/>
      <c r="AP8" s="213"/>
      <c r="AQ8" s="213"/>
      <c r="AR8" s="213"/>
      <c r="AS8" s="214"/>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785"/>
      <c r="BR8" s="215" t="s">
        <v>353</v>
      </c>
      <c r="BS8" s="216" t="s">
        <v>354</v>
      </c>
      <c r="BT8" s="200"/>
    </row>
    <row r="9" spans="2:72" ht="39.950000000000003" customHeight="1" thickBot="1">
      <c r="B9" s="1312" t="s">
        <v>127</v>
      </c>
      <c r="C9" s="81" t="s">
        <v>502</v>
      </c>
      <c r="D9" s="79" t="s">
        <v>351</v>
      </c>
      <c r="E9" s="79" t="s">
        <v>352</v>
      </c>
      <c r="F9" s="2509" t="s">
        <v>255</v>
      </c>
      <c r="G9" s="2539"/>
      <c r="H9" s="2539"/>
      <c r="I9" s="2539"/>
      <c r="J9" s="2510"/>
      <c r="K9" s="2610" t="s">
        <v>418</v>
      </c>
      <c r="L9" s="2611"/>
      <c r="M9" s="182"/>
      <c r="N9" s="2891"/>
      <c r="O9" s="393" t="s">
        <v>246</v>
      </c>
      <c r="P9" s="393" t="s">
        <v>245</v>
      </c>
      <c r="Q9" s="393" t="s">
        <v>244</v>
      </c>
      <c r="R9" s="394" t="s">
        <v>355</v>
      </c>
      <c r="S9" s="2891"/>
      <c r="T9" s="393" t="s">
        <v>246</v>
      </c>
      <c r="U9" s="393" t="s">
        <v>245</v>
      </c>
      <c r="V9" s="393" t="s">
        <v>244</v>
      </c>
      <c r="W9" s="393" t="s">
        <v>355</v>
      </c>
      <c r="X9" s="399" t="s">
        <v>356</v>
      </c>
      <c r="Y9" s="202"/>
      <c r="Z9" s="404" t="s">
        <v>441</v>
      </c>
      <c r="AA9" s="405" t="s">
        <v>442</v>
      </c>
      <c r="AB9" s="182"/>
      <c r="AC9" s="1311" t="s">
        <v>243</v>
      </c>
      <c r="AD9" s="1311" t="s">
        <v>242</v>
      </c>
      <c r="AE9" s="1311" t="s">
        <v>243</v>
      </c>
      <c r="AF9" s="1311" t="s">
        <v>242</v>
      </c>
      <c r="AG9" s="1311" t="s">
        <v>243</v>
      </c>
      <c r="AH9" s="1311" t="s">
        <v>242</v>
      </c>
      <c r="AI9" s="201"/>
      <c r="AJ9" s="217" t="s">
        <v>350</v>
      </c>
      <c r="AK9" s="2876" t="s">
        <v>188</v>
      </c>
      <c r="AL9" s="2877"/>
      <c r="AM9" s="2878"/>
      <c r="AN9" s="2892" t="s">
        <v>189</v>
      </c>
      <c r="AO9" s="2878"/>
      <c r="AP9" s="2892" t="s">
        <v>190</v>
      </c>
      <c r="AQ9" s="2878"/>
      <c r="AR9" s="2892" t="s">
        <v>357</v>
      </c>
      <c r="AS9" s="2883"/>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785" t="s">
        <v>5971</v>
      </c>
      <c r="BR9" s="215" t="s">
        <v>358</v>
      </c>
      <c r="BS9" s="218" t="s">
        <v>359</v>
      </c>
      <c r="BT9" s="200"/>
    </row>
    <row r="10" spans="2:72" ht="42.95" customHeight="1" thickBot="1">
      <c r="B10" s="2718">
        <v>1</v>
      </c>
      <c r="C10" s="2893"/>
      <c r="D10" s="2894"/>
      <c r="E10" s="2894"/>
      <c r="F10" s="2895"/>
      <c r="G10" s="2896"/>
      <c r="H10" s="2896"/>
      <c r="I10" s="2896"/>
      <c r="J10" s="2897"/>
      <c r="K10" s="2898" t="str">
        <f>X10</f>
        <v/>
      </c>
      <c r="L10" s="2899"/>
      <c r="M10" s="182"/>
      <c r="N10" s="2900"/>
      <c r="O10" s="962"/>
      <c r="P10" s="406"/>
      <c r="Q10" s="407"/>
      <c r="R10" s="395" t="str">
        <f>IF(AE10="○",AG10,IF(AE10="×","単位不一致",""))</f>
        <v/>
      </c>
      <c r="S10" s="2900"/>
      <c r="T10" s="962"/>
      <c r="U10" s="406"/>
      <c r="V10" s="407"/>
      <c r="W10" s="396" t="str">
        <f>IF(AF10="○",AH10,IF(AF10="×","単位不一致",""))</f>
        <v/>
      </c>
      <c r="X10" s="2905" t="str">
        <f>IF(AND(AE10&lt;&gt;"×",AF10&lt;&gt;"×",OR(AE10="○",AF10="○")),AG10-AH10+AG11-AH11+AG12-AH12,"")</f>
        <v/>
      </c>
      <c r="Y10" s="219"/>
      <c r="Z10" s="1673"/>
      <c r="AA10" s="1674"/>
      <c r="AB10" s="182"/>
      <c r="AC10" s="220" t="str">
        <f t="shared" ref="AC10:AC73" si="0">IFERROR(IF(O10="","",TEXT(INDEX($BE$10:$BH$42,MATCH(O10,種別リスト,0),1),"00")),"-")</f>
        <v/>
      </c>
      <c r="AD10" s="220" t="str">
        <f t="shared" ref="AD10:AD73" si="1">IFERROR(IF(T10="","",TEXT(INDEX($BE$10:$BH$42,MATCH(T10,種別リスト,0),1),"00")),"-")</f>
        <v/>
      </c>
      <c r="AE10" s="221" t="str">
        <f>IFERROR(IF(AND(Q10&lt;&gt;"",OR(VLOOKUP($O10,$BH$10:$BL$42,4,)=$Q10,VLOOKUP($O10,$BH$10:$BL$42,5,)=$Q10)),"○","×"),"")</f>
        <v/>
      </c>
      <c r="AF10" s="221" t="str">
        <f>IFERROR(IF(AND(V10&lt;&gt;"",OR(VLOOKUP($T10,$BH$10:$BL$42,4,)=$V10,VLOOKUP($T10,$BH$10:$BL$42,5,)=$V10)),"○","×"),"")</f>
        <v/>
      </c>
      <c r="AG10" s="221">
        <f>IF(AE10="○",P10*IF(D10="低炭素電気へ切替",Z10*1000,VLOOKUP(O10,$BH$10:$BI$42,2,))*IFERROR(VLOOKUP(Q10,$BN$10:$BO$18,2,),1),0)</f>
        <v>0</v>
      </c>
      <c r="AH10" s="221">
        <f>IF(AF10="○",U10*IF(D10="低炭素電気へ切替",AA10*1000,VLOOKUP(T10,$BH$10:$BI$42,2,))*VLOOKUP(V10,$BN$10:$BO$18,2,),0)</f>
        <v>0</v>
      </c>
      <c r="AI10" s="182"/>
      <c r="AJ10" s="222">
        <v>1</v>
      </c>
      <c r="AK10" s="2908" t="s">
        <v>194</v>
      </c>
      <c r="AL10" s="223" t="s">
        <v>360</v>
      </c>
      <c r="AM10" s="224"/>
      <c r="AN10" s="225">
        <v>38.200000000000003</v>
      </c>
      <c r="AO10" s="226" t="s">
        <v>195</v>
      </c>
      <c r="AP10" s="227">
        <v>1.8700000000000001E-2</v>
      </c>
      <c r="AQ10" s="226" t="s">
        <v>196</v>
      </c>
      <c r="AR10" s="228">
        <f t="shared" ref="AR10:AR35" si="2">AN10*AP10*44/12</f>
        <v>2.6192466666666667</v>
      </c>
      <c r="AS10" s="229" t="s">
        <v>361</v>
      </c>
      <c r="AT10" s="205"/>
      <c r="AU10" s="230"/>
      <c r="AV10" s="205"/>
      <c r="AW10" s="205"/>
      <c r="AX10" s="205"/>
      <c r="AY10" s="205"/>
      <c r="AZ10" s="205"/>
      <c r="BA10" s="205"/>
      <c r="BB10" s="205"/>
      <c r="BC10" s="205"/>
      <c r="BD10" s="205"/>
      <c r="BE10" s="231">
        <v>1</v>
      </c>
      <c r="BF10" s="232" t="str">
        <f t="shared" ref="BF10:BF39" si="3">IFERROR(VLOOKUP($BE10,$AJ$10:$AM$43,3,),"")</f>
        <v>原油(コンデンセートを除く)</v>
      </c>
      <c r="BG10" s="233">
        <f t="shared" ref="BG10:BG42" si="4">IFERROR(VLOOKUP($BE10,$AJ$10:$AM$43,4,),"")</f>
        <v>0</v>
      </c>
      <c r="BH10" s="234" t="str">
        <f>IF(BG10&lt;&gt;0,BG10,IF(BF10&lt;&gt;0,BF10,""))</f>
        <v>原油(コンデンセートを除く)</v>
      </c>
      <c r="BI10" s="235">
        <f t="shared" ref="BI10:BI42" si="5">IFERROR(VLOOKUP($BE10,$AJ$10:$AR$43,9,),"")</f>
        <v>2.6192466666666667</v>
      </c>
      <c r="BJ10" s="236" t="str">
        <f t="shared" ref="BJ10:BJ42" si="6">IFERROR(VLOOKUP($BE10,$AJ$10:$AS$43,10,),"")</f>
        <v>tCO2/kl</v>
      </c>
      <c r="BK10" s="237" t="str">
        <f>IFERROR(RIGHT(BJ10,LEN(BJ10)-FIND("/",BJ10)),"")</f>
        <v>kl</v>
      </c>
      <c r="BL10" s="238" t="str">
        <f>IFERROR(VLOOKUP(BK10,$BN$10:$BP$18,3,),"")</f>
        <v>l</v>
      </c>
      <c r="BM10" s="205"/>
      <c r="BN10" s="237" t="s">
        <v>362</v>
      </c>
      <c r="BO10" s="239">
        <v>1</v>
      </c>
      <c r="BP10" s="1782" t="s">
        <v>363</v>
      </c>
      <c r="BQ10" s="1785" t="s">
        <v>5972</v>
      </c>
      <c r="BR10" s="215" t="s">
        <v>364</v>
      </c>
      <c r="BS10" s="218" t="s">
        <v>365</v>
      </c>
      <c r="BT10" s="200"/>
    </row>
    <row r="11" spans="2:72" ht="42.95" customHeight="1" thickBot="1">
      <c r="B11" s="2718"/>
      <c r="C11" s="2893"/>
      <c r="D11" s="2894"/>
      <c r="E11" s="2894"/>
      <c r="F11" s="2895"/>
      <c r="G11" s="2896"/>
      <c r="H11" s="2896"/>
      <c r="I11" s="2896"/>
      <c r="J11" s="2897"/>
      <c r="K11" s="2898"/>
      <c r="L11" s="2899"/>
      <c r="M11" s="182"/>
      <c r="N11" s="2901"/>
      <c r="O11" s="962"/>
      <c r="P11" s="406"/>
      <c r="Q11" s="407"/>
      <c r="R11" s="395" t="str">
        <f t="shared" ref="R11:R74" si="7">IF(AE11="○",AG11,IF(AE11="×","単位不一致",""))</f>
        <v/>
      </c>
      <c r="S11" s="2903"/>
      <c r="T11" s="962"/>
      <c r="U11" s="406"/>
      <c r="V11" s="407"/>
      <c r="W11" s="396" t="str">
        <f t="shared" ref="W11:W74" si="8">IF(AF11="○",AH11,IF(AF11="×","単位不一致",""))</f>
        <v/>
      </c>
      <c r="X11" s="2906"/>
      <c r="Y11" s="240"/>
      <c r="Z11" s="1675"/>
      <c r="AA11" s="1676"/>
      <c r="AB11" s="182"/>
      <c r="AC11" s="220" t="str">
        <f t="shared" si="0"/>
        <v/>
      </c>
      <c r="AD11" s="220" t="str">
        <f t="shared" si="1"/>
        <v/>
      </c>
      <c r="AE11" s="221" t="str">
        <f t="shared" ref="AE11:AE74" si="9">IFERROR(IF(AND(Q11&lt;&gt;"",OR(VLOOKUP($O11,$BH$10:$BL$42,4,)=$Q11,VLOOKUP($O11,$BH$10:$BL$42,5,)=$Q11)),"○","×"),"")</f>
        <v/>
      </c>
      <c r="AF11" s="221" t="str">
        <f t="shared" ref="AF11:AF74" si="10">IFERROR(IF(AND(V11&lt;&gt;"",OR(VLOOKUP($T11,$BH$10:$BL$42,4,)=$V11,VLOOKUP($T11,$BH$10:$BL$42,5,)=$V11)),"○","×"),"")</f>
        <v/>
      </c>
      <c r="AG11" s="221">
        <f>IF(AE11="○",P11*IF(D10="低炭素電気へ切替",Z11*1000,VLOOKUP(O11,$BH$10:$BI$42,2,))*IFERROR(VLOOKUP(Q11,$BN$10:$BO$18,2,),1),0)</f>
        <v>0</v>
      </c>
      <c r="AH11" s="221">
        <f>IF(AF11="○",U11*IF(D10="低炭素電気へ切替",AA11*1000,VLOOKUP(T11,$BH$10:$BI$42,2,))*VLOOKUP(V11,$BN$10:$BO$18,2,),0)</f>
        <v>0</v>
      </c>
      <c r="AI11" s="182"/>
      <c r="AJ11" s="241">
        <v>2</v>
      </c>
      <c r="AK11" s="2909"/>
      <c r="AL11" s="242" t="s">
        <v>197</v>
      </c>
      <c r="AM11" s="243"/>
      <c r="AN11" s="244">
        <v>35.299999999999997</v>
      </c>
      <c r="AO11" s="245" t="s">
        <v>195</v>
      </c>
      <c r="AP11" s="246">
        <v>1.84E-2</v>
      </c>
      <c r="AQ11" s="245" t="s">
        <v>196</v>
      </c>
      <c r="AR11" s="247">
        <f t="shared" si="2"/>
        <v>2.3815733333333333</v>
      </c>
      <c r="AS11" s="248" t="s">
        <v>361</v>
      </c>
      <c r="AT11" s="205"/>
      <c r="AU11" s="230"/>
      <c r="AV11" s="205"/>
      <c r="AW11" s="205"/>
      <c r="AX11" s="205"/>
      <c r="AY11" s="205"/>
      <c r="AZ11" s="205"/>
      <c r="BA11" s="205"/>
      <c r="BB11" s="205"/>
      <c r="BC11" s="205"/>
      <c r="BD11" s="205"/>
      <c r="BE11" s="249">
        <f t="shared" ref="BE11:BE27" si="11">BE10+1</f>
        <v>2</v>
      </c>
      <c r="BF11" s="250" t="str">
        <f t="shared" si="3"/>
        <v>原油のうちコンデンセート(NGL)</v>
      </c>
      <c r="BG11" s="248">
        <f t="shared" si="4"/>
        <v>0</v>
      </c>
      <c r="BH11" s="251" t="str">
        <f t="shared" ref="BH11:BH42" si="12">IF(BG11&lt;&gt;0,BG11,IF(BF11&lt;&gt;0,BF11,""))</f>
        <v>原油のうちコンデンセート(NGL)</v>
      </c>
      <c r="BI11" s="252">
        <f t="shared" si="5"/>
        <v>2.3815733333333333</v>
      </c>
      <c r="BJ11" s="253" t="str">
        <f t="shared" si="6"/>
        <v>tCO2/kl</v>
      </c>
      <c r="BK11" s="254" t="str">
        <f t="shared" ref="BK11:BK42" si="13">IFERROR(RIGHT(BJ11,LEN(BJ11)-FIND("/",BJ11)),"")</f>
        <v>kl</v>
      </c>
      <c r="BL11" s="255" t="str">
        <f>IFERROR(VLOOKUP(BK11,$BN$10:$BP$18,3,),"")</f>
        <v>l</v>
      </c>
      <c r="BM11" s="205"/>
      <c r="BN11" s="254" t="s">
        <v>363</v>
      </c>
      <c r="BO11" s="256">
        <v>1E-3</v>
      </c>
      <c r="BP11" s="1783" t="s">
        <v>362</v>
      </c>
      <c r="BQ11" s="1785" t="s">
        <v>5973</v>
      </c>
      <c r="BR11" s="215" t="s">
        <v>366</v>
      </c>
      <c r="BS11" s="218" t="s">
        <v>367</v>
      </c>
      <c r="BT11" s="200"/>
    </row>
    <row r="12" spans="2:72" ht="42.95" customHeight="1" thickBot="1">
      <c r="B12" s="2718"/>
      <c r="C12" s="2893"/>
      <c r="D12" s="2894"/>
      <c r="E12" s="2894"/>
      <c r="F12" s="2895"/>
      <c r="G12" s="2896"/>
      <c r="H12" s="2896"/>
      <c r="I12" s="2896"/>
      <c r="J12" s="2897"/>
      <c r="K12" s="2898"/>
      <c r="L12" s="2899"/>
      <c r="M12" s="182"/>
      <c r="N12" s="2902"/>
      <c r="O12" s="962"/>
      <c r="P12" s="406"/>
      <c r="Q12" s="407"/>
      <c r="R12" s="395" t="str">
        <f t="shared" si="7"/>
        <v/>
      </c>
      <c r="S12" s="2904"/>
      <c r="T12" s="962"/>
      <c r="U12" s="406"/>
      <c r="V12" s="407"/>
      <c r="W12" s="396" t="str">
        <f t="shared" si="8"/>
        <v/>
      </c>
      <c r="X12" s="2907"/>
      <c r="Y12" s="182"/>
      <c r="Z12" s="1677"/>
      <c r="AA12" s="1678"/>
      <c r="AB12" s="182"/>
      <c r="AC12" s="220" t="str">
        <f t="shared" si="0"/>
        <v/>
      </c>
      <c r="AD12" s="220" t="str">
        <f t="shared" si="1"/>
        <v/>
      </c>
      <c r="AE12" s="221" t="str">
        <f t="shared" si="9"/>
        <v/>
      </c>
      <c r="AF12" s="221" t="str">
        <f t="shared" si="10"/>
        <v/>
      </c>
      <c r="AG12" s="221">
        <f>IF(AE12="○",P12*IF(D10="低炭素電気へ切替",Z12*1000,VLOOKUP(O12,$BH$10:$BI$42,2,))*IFERROR(VLOOKUP(Q12,$BN$10:$BO$18,2,),1),0)</f>
        <v>0</v>
      </c>
      <c r="AH12" s="221">
        <f>IF(AF12="○",U12*IF(D10="低炭素電気へ切替",AA12*1000,VLOOKUP(T12,$BH$10:$BI$42,2,))*VLOOKUP(V12,$BN$10:$BO$18,2,),0)</f>
        <v>0</v>
      </c>
      <c r="AI12" s="182"/>
      <c r="AJ12" s="241">
        <v>3</v>
      </c>
      <c r="AK12" s="2909"/>
      <c r="AL12" s="242" t="s">
        <v>368</v>
      </c>
      <c r="AM12" s="243"/>
      <c r="AN12" s="244">
        <v>34.6</v>
      </c>
      <c r="AO12" s="245" t="s">
        <v>195</v>
      </c>
      <c r="AP12" s="246">
        <v>1.83E-2</v>
      </c>
      <c r="AQ12" s="245" t="s">
        <v>196</v>
      </c>
      <c r="AR12" s="247">
        <f t="shared" si="2"/>
        <v>2.3216600000000001</v>
      </c>
      <c r="AS12" s="248" t="s">
        <v>361</v>
      </c>
      <c r="AT12" s="205"/>
      <c r="AU12" s="230"/>
      <c r="AV12" s="205"/>
      <c r="AW12" s="205"/>
      <c r="AX12" s="205"/>
      <c r="AY12" s="205"/>
      <c r="AZ12" s="205"/>
      <c r="BA12" s="205"/>
      <c r="BB12" s="205"/>
      <c r="BC12" s="205"/>
      <c r="BD12" s="205"/>
      <c r="BE12" s="249">
        <f t="shared" si="11"/>
        <v>3</v>
      </c>
      <c r="BF12" s="250" t="str">
        <f t="shared" si="3"/>
        <v>揮発油（ガソリン）</v>
      </c>
      <c r="BG12" s="248">
        <f t="shared" si="4"/>
        <v>0</v>
      </c>
      <c r="BH12" s="251" t="str">
        <f t="shared" si="12"/>
        <v>揮発油（ガソリン）</v>
      </c>
      <c r="BI12" s="252">
        <f t="shared" si="5"/>
        <v>2.3216600000000001</v>
      </c>
      <c r="BJ12" s="253" t="str">
        <f t="shared" si="6"/>
        <v>tCO2/kl</v>
      </c>
      <c r="BK12" s="254" t="str">
        <f t="shared" si="13"/>
        <v>kl</v>
      </c>
      <c r="BL12" s="255" t="str">
        <f t="shared" ref="BL12:BL39" si="14">IFERROR(VLOOKUP(BK12,$BN$10:$BP$18,3,),"")</f>
        <v>l</v>
      </c>
      <c r="BM12" s="205"/>
      <c r="BN12" s="254" t="s">
        <v>369</v>
      </c>
      <c r="BO12" s="256">
        <v>1</v>
      </c>
      <c r="BP12" s="257" t="s">
        <v>370</v>
      </c>
      <c r="BQ12" s="182"/>
      <c r="BR12" s="215" t="s">
        <v>440</v>
      </c>
      <c r="BS12" s="258" t="s">
        <v>372</v>
      </c>
      <c r="BT12" s="200"/>
    </row>
    <row r="13" spans="2:72" ht="42.95" customHeight="1" thickBot="1">
      <c r="B13" s="2718">
        <v>2</v>
      </c>
      <c r="C13" s="2893"/>
      <c r="D13" s="2894"/>
      <c r="E13" s="2894"/>
      <c r="F13" s="2895"/>
      <c r="G13" s="2896"/>
      <c r="H13" s="2896"/>
      <c r="I13" s="2896"/>
      <c r="J13" s="2897"/>
      <c r="K13" s="2898" t="str">
        <f>X13</f>
        <v/>
      </c>
      <c r="L13" s="2899"/>
      <c r="M13" s="182"/>
      <c r="N13" s="2900"/>
      <c r="O13" s="962"/>
      <c r="P13" s="406"/>
      <c r="Q13" s="407"/>
      <c r="R13" s="395" t="str">
        <f t="shared" si="7"/>
        <v/>
      </c>
      <c r="S13" s="2911"/>
      <c r="T13" s="962"/>
      <c r="U13" s="406"/>
      <c r="V13" s="407"/>
      <c r="W13" s="396" t="str">
        <f t="shared" si="8"/>
        <v/>
      </c>
      <c r="X13" s="2905" t="str">
        <f>IF(AND(AE13&lt;&gt;"×",AF13&lt;&gt;"×",OR(AE13="○",AF13="○")),AG13-AH13+AG14-AH14+AG15-AH15,"")</f>
        <v/>
      </c>
      <c r="Y13" s="182"/>
      <c r="Z13" s="1673"/>
      <c r="AA13" s="1674"/>
      <c r="AB13" s="182"/>
      <c r="AC13" s="220" t="str">
        <f t="shared" si="0"/>
        <v/>
      </c>
      <c r="AD13" s="220" t="str">
        <f t="shared" si="1"/>
        <v/>
      </c>
      <c r="AE13" s="221" t="str">
        <f t="shared" si="9"/>
        <v/>
      </c>
      <c r="AF13" s="221" t="str">
        <f t="shared" si="10"/>
        <v/>
      </c>
      <c r="AG13" s="221">
        <f>IF(AE13="○",P13*IF(D13="低炭素電気へ切替",Z13*1000,VLOOKUP(O13,$BH$10:$BI$42,2,))*IFERROR(VLOOKUP(Q13,$BN$10:$BO$18,2,),1),0)</f>
        <v>0</v>
      </c>
      <c r="AH13" s="221">
        <f>IF(AF13="○",U13*IF(D13="低炭素電気へ切替",AA13*1000,VLOOKUP(T13,$BH$10:$BI$42,2,))*VLOOKUP(V13,$BN$10:$BO$18,2,),0)</f>
        <v>0</v>
      </c>
      <c r="AI13" s="182"/>
      <c r="AJ13" s="241">
        <v>4</v>
      </c>
      <c r="AK13" s="2909"/>
      <c r="AL13" s="242" t="s">
        <v>198</v>
      </c>
      <c r="AM13" s="243"/>
      <c r="AN13" s="244">
        <v>33.6</v>
      </c>
      <c r="AO13" s="245" t="s">
        <v>195</v>
      </c>
      <c r="AP13" s="246">
        <v>1.8200000000000001E-2</v>
      </c>
      <c r="AQ13" s="245" t="s">
        <v>196</v>
      </c>
      <c r="AR13" s="247">
        <f t="shared" si="2"/>
        <v>2.2422400000000002</v>
      </c>
      <c r="AS13" s="248" t="s">
        <v>361</v>
      </c>
      <c r="AT13" s="205"/>
      <c r="AU13" s="230"/>
      <c r="AV13" s="205"/>
      <c r="AW13" s="205"/>
      <c r="AX13" s="205"/>
      <c r="AY13" s="205"/>
      <c r="AZ13" s="205"/>
      <c r="BA13" s="205"/>
      <c r="BB13" s="205"/>
      <c r="BC13" s="205"/>
      <c r="BD13" s="205"/>
      <c r="BE13" s="249">
        <f t="shared" si="11"/>
        <v>4</v>
      </c>
      <c r="BF13" s="250" t="str">
        <f t="shared" si="3"/>
        <v>ナフサ</v>
      </c>
      <c r="BG13" s="248">
        <f t="shared" si="4"/>
        <v>0</v>
      </c>
      <c r="BH13" s="251" t="str">
        <f t="shared" si="12"/>
        <v>ナフサ</v>
      </c>
      <c r="BI13" s="252">
        <f t="shared" si="5"/>
        <v>2.2422400000000002</v>
      </c>
      <c r="BJ13" s="253" t="str">
        <f t="shared" si="6"/>
        <v>tCO2/kl</v>
      </c>
      <c r="BK13" s="254" t="str">
        <f t="shared" si="13"/>
        <v>kl</v>
      </c>
      <c r="BL13" s="255" t="str">
        <f t="shared" si="14"/>
        <v>l</v>
      </c>
      <c r="BM13" s="205"/>
      <c r="BN13" s="254" t="s">
        <v>370</v>
      </c>
      <c r="BO13" s="256">
        <v>1E-3</v>
      </c>
      <c r="BP13" s="257" t="s">
        <v>369</v>
      </c>
      <c r="BQ13" s="182"/>
      <c r="BR13" s="215" t="s">
        <v>371</v>
      </c>
      <c r="BS13" s="259" t="s">
        <v>373</v>
      </c>
      <c r="BT13" s="260"/>
    </row>
    <row r="14" spans="2:72" ht="42.95" customHeight="1" thickBot="1">
      <c r="B14" s="2718"/>
      <c r="C14" s="2893"/>
      <c r="D14" s="2894"/>
      <c r="E14" s="2894"/>
      <c r="F14" s="2895"/>
      <c r="G14" s="2896"/>
      <c r="H14" s="2896"/>
      <c r="I14" s="2896"/>
      <c r="J14" s="2897"/>
      <c r="K14" s="2898"/>
      <c r="L14" s="2899"/>
      <c r="M14" s="182"/>
      <c r="N14" s="2901"/>
      <c r="O14" s="962"/>
      <c r="P14" s="406"/>
      <c r="Q14" s="407"/>
      <c r="R14" s="395" t="str">
        <f t="shared" si="7"/>
        <v/>
      </c>
      <c r="S14" s="2912"/>
      <c r="T14" s="962"/>
      <c r="U14" s="406"/>
      <c r="V14" s="407"/>
      <c r="W14" s="396" t="str">
        <f t="shared" si="8"/>
        <v/>
      </c>
      <c r="X14" s="2906"/>
      <c r="Y14" s="182"/>
      <c r="Z14" s="1675"/>
      <c r="AA14" s="1676"/>
      <c r="AB14" s="182"/>
      <c r="AC14" s="220" t="str">
        <f t="shared" si="0"/>
        <v/>
      </c>
      <c r="AD14" s="220" t="str">
        <f t="shared" si="1"/>
        <v/>
      </c>
      <c r="AE14" s="221" t="str">
        <f t="shared" si="9"/>
        <v/>
      </c>
      <c r="AF14" s="221" t="str">
        <f t="shared" si="10"/>
        <v/>
      </c>
      <c r="AG14" s="221">
        <f>IF(AE14="○",P14*IF(D13="低炭素電気へ切替",Z14*1000,VLOOKUP(O14,$BH$10:$BI$42,2,))*IFERROR(VLOOKUP(Q14,$BN$10:$BO$18,2,),1),0)</f>
        <v>0</v>
      </c>
      <c r="AH14" s="221">
        <f>IF(AF14="○",U14*IF(D13="低炭素電気へ切替",AA14*1000,VLOOKUP(T14,$BH$10:$BI$42,2,))*VLOOKUP(V14,$BN$10:$BO$18,2,),0)</f>
        <v>0</v>
      </c>
      <c r="AI14" s="182"/>
      <c r="AJ14" s="241">
        <v>5</v>
      </c>
      <c r="AK14" s="2909"/>
      <c r="AL14" s="242" t="s">
        <v>199</v>
      </c>
      <c r="AM14" s="243"/>
      <c r="AN14" s="244">
        <v>36.700000000000003</v>
      </c>
      <c r="AO14" s="245" t="s">
        <v>195</v>
      </c>
      <c r="AP14" s="246">
        <v>1.8499999999999999E-2</v>
      </c>
      <c r="AQ14" s="245" t="s">
        <v>196</v>
      </c>
      <c r="AR14" s="247">
        <f t="shared" si="2"/>
        <v>2.4894833333333337</v>
      </c>
      <c r="AS14" s="248" t="s">
        <v>361</v>
      </c>
      <c r="AT14" s="205"/>
      <c r="AU14" s="230"/>
      <c r="AV14" s="205"/>
      <c r="AW14" s="205"/>
      <c r="AX14" s="205"/>
      <c r="AY14" s="205"/>
      <c r="AZ14" s="205"/>
      <c r="BA14" s="205"/>
      <c r="BB14" s="205"/>
      <c r="BC14" s="205"/>
      <c r="BD14" s="205"/>
      <c r="BE14" s="249">
        <f t="shared" si="11"/>
        <v>5</v>
      </c>
      <c r="BF14" s="250" t="str">
        <f t="shared" si="3"/>
        <v>灯油</v>
      </c>
      <c r="BG14" s="248">
        <f t="shared" si="4"/>
        <v>0</v>
      </c>
      <c r="BH14" s="251" t="str">
        <f t="shared" si="12"/>
        <v>灯油</v>
      </c>
      <c r="BI14" s="252">
        <f t="shared" si="5"/>
        <v>2.4894833333333337</v>
      </c>
      <c r="BJ14" s="253" t="str">
        <f t="shared" si="6"/>
        <v>tCO2/kl</v>
      </c>
      <c r="BK14" s="254" t="str">
        <f t="shared" si="13"/>
        <v>kl</v>
      </c>
      <c r="BL14" s="255" t="str">
        <f t="shared" si="14"/>
        <v>l</v>
      </c>
      <c r="BM14" s="205"/>
      <c r="BN14" s="254" t="s">
        <v>374</v>
      </c>
      <c r="BO14" s="256">
        <v>1</v>
      </c>
      <c r="BP14" s="257" t="s">
        <v>375</v>
      </c>
      <c r="BQ14" s="182"/>
      <c r="BR14" s="182"/>
      <c r="BS14" s="259" t="s">
        <v>376</v>
      </c>
      <c r="BT14" s="260"/>
    </row>
    <row r="15" spans="2:72" ht="42.95" customHeight="1" thickBot="1">
      <c r="B15" s="2718"/>
      <c r="C15" s="2893"/>
      <c r="D15" s="2894"/>
      <c r="E15" s="2894"/>
      <c r="F15" s="2895"/>
      <c r="G15" s="2896"/>
      <c r="H15" s="2896"/>
      <c r="I15" s="2896"/>
      <c r="J15" s="2897"/>
      <c r="K15" s="2898"/>
      <c r="L15" s="2899"/>
      <c r="M15" s="182"/>
      <c r="N15" s="2901"/>
      <c r="O15" s="1324"/>
      <c r="P15" s="408"/>
      <c r="Q15" s="409"/>
      <c r="R15" s="400" t="str">
        <f t="shared" si="7"/>
        <v/>
      </c>
      <c r="S15" s="2912"/>
      <c r="T15" s="1324"/>
      <c r="U15" s="408"/>
      <c r="V15" s="409"/>
      <c r="W15" s="401" t="str">
        <f t="shared" si="8"/>
        <v/>
      </c>
      <c r="X15" s="2906"/>
      <c r="Y15" s="182"/>
      <c r="Z15" s="1677"/>
      <c r="AA15" s="1678"/>
      <c r="AB15" s="182"/>
      <c r="AC15" s="220" t="str">
        <f t="shared" si="0"/>
        <v/>
      </c>
      <c r="AD15" s="220" t="str">
        <f t="shared" si="1"/>
        <v/>
      </c>
      <c r="AE15" s="221" t="str">
        <f t="shared" si="9"/>
        <v/>
      </c>
      <c r="AF15" s="221" t="str">
        <f t="shared" si="10"/>
        <v/>
      </c>
      <c r="AG15" s="221">
        <f>IF(AE15="○",P15*IF(D13="低炭素電気へ切替",Z15*1000,VLOOKUP(O15,$BH$10:$BI$42,2,))*IFERROR(VLOOKUP(Q15,$BN$10:$BO$18,2,),1),0)</f>
        <v>0</v>
      </c>
      <c r="AH15" s="221">
        <f>IF(AF15="○",U15*IF(D13="低炭素電気へ切替",AA15*1000,VLOOKUP(T15,$BH$10:$BI$42,2,))*VLOOKUP(V15,$BN$10:$BO$18,2,),0)</f>
        <v>0</v>
      </c>
      <c r="AI15" s="182"/>
      <c r="AJ15" s="241">
        <v>6</v>
      </c>
      <c r="AK15" s="2909"/>
      <c r="AL15" s="242" t="s">
        <v>200</v>
      </c>
      <c r="AM15" s="243"/>
      <c r="AN15" s="244">
        <v>37.700000000000003</v>
      </c>
      <c r="AO15" s="245" t="s">
        <v>195</v>
      </c>
      <c r="AP15" s="246">
        <v>1.8700000000000001E-2</v>
      </c>
      <c r="AQ15" s="245" t="s">
        <v>196</v>
      </c>
      <c r="AR15" s="247">
        <f t="shared" si="2"/>
        <v>2.5849633333333339</v>
      </c>
      <c r="AS15" s="248" t="s">
        <v>361</v>
      </c>
      <c r="AT15" s="205"/>
      <c r="AU15" s="230"/>
      <c r="AV15" s="205"/>
      <c r="AW15" s="205"/>
      <c r="AX15" s="205"/>
      <c r="AY15" s="205"/>
      <c r="AZ15" s="205"/>
      <c r="BA15" s="205"/>
      <c r="BB15" s="205"/>
      <c r="BC15" s="205"/>
      <c r="BD15" s="205"/>
      <c r="BE15" s="249">
        <f t="shared" si="11"/>
        <v>6</v>
      </c>
      <c r="BF15" s="250" t="str">
        <f t="shared" si="3"/>
        <v>軽油</v>
      </c>
      <c r="BG15" s="248">
        <f t="shared" si="4"/>
        <v>0</v>
      </c>
      <c r="BH15" s="251" t="str">
        <f t="shared" si="12"/>
        <v>軽油</v>
      </c>
      <c r="BI15" s="252">
        <f t="shared" si="5"/>
        <v>2.5849633333333339</v>
      </c>
      <c r="BJ15" s="253" t="str">
        <f t="shared" si="6"/>
        <v>tCO2/kl</v>
      </c>
      <c r="BK15" s="254" t="str">
        <f t="shared" si="13"/>
        <v>kl</v>
      </c>
      <c r="BL15" s="255" t="str">
        <f t="shared" si="14"/>
        <v>l</v>
      </c>
      <c r="BM15" s="205"/>
      <c r="BN15" s="254" t="s">
        <v>375</v>
      </c>
      <c r="BO15" s="256">
        <v>1E-3</v>
      </c>
      <c r="BP15" s="257" t="s">
        <v>374</v>
      </c>
      <c r="BQ15" s="182"/>
      <c r="BR15" s="182"/>
      <c r="BS15" s="259" t="s">
        <v>377</v>
      </c>
      <c r="BT15" s="260"/>
    </row>
    <row r="16" spans="2:72" ht="42.95" customHeight="1" thickBot="1">
      <c r="B16" s="2718">
        <v>3</v>
      </c>
      <c r="C16" s="2893"/>
      <c r="D16" s="2894"/>
      <c r="E16" s="2894"/>
      <c r="F16" s="2895"/>
      <c r="G16" s="2896"/>
      <c r="H16" s="2896"/>
      <c r="I16" s="2896"/>
      <c r="J16" s="2897"/>
      <c r="K16" s="2898" t="str">
        <f>X16</f>
        <v/>
      </c>
      <c r="L16" s="2899"/>
      <c r="M16" s="182"/>
      <c r="N16" s="2900"/>
      <c r="O16" s="962"/>
      <c r="P16" s="406"/>
      <c r="Q16" s="407"/>
      <c r="R16" s="395" t="str">
        <f t="shared" si="7"/>
        <v/>
      </c>
      <c r="S16" s="2911"/>
      <c r="T16" s="962"/>
      <c r="U16" s="406"/>
      <c r="V16" s="407"/>
      <c r="W16" s="396" t="str">
        <f t="shared" si="8"/>
        <v/>
      </c>
      <c r="X16" s="2905" t="str">
        <f>IF(AND(AE16&lt;&gt;"×",AF16&lt;&gt;"×",OR(AE16="○",AF16="○")),AG16-AH16+AG17-AH17+AG18-AH18,"")</f>
        <v/>
      </c>
      <c r="Y16" s="182"/>
      <c r="Z16" s="1673"/>
      <c r="AA16" s="1674"/>
      <c r="AB16" s="182"/>
      <c r="AC16" s="220" t="str">
        <f t="shared" si="0"/>
        <v/>
      </c>
      <c r="AD16" s="220" t="str">
        <f t="shared" si="1"/>
        <v/>
      </c>
      <c r="AE16" s="221" t="str">
        <f t="shared" si="9"/>
        <v/>
      </c>
      <c r="AF16" s="221" t="str">
        <f t="shared" si="10"/>
        <v/>
      </c>
      <c r="AG16" s="221">
        <f>IF(AE16="○",P16*IF(D16="低炭素電気へ切替",Z16*1000,VLOOKUP(O16,$BH$10:$BI$42,2,))*IFERROR(VLOOKUP(Q16,$BN$10:$BO$18,2,),1),0)</f>
        <v>0</v>
      </c>
      <c r="AH16" s="221">
        <f>IF(AF16="○",U16*IF(D16="低炭素電気へ切替",AA16*1000,VLOOKUP(T16,$BH$10:$BI$42,2,))*VLOOKUP(V16,$BN$10:$BO$18,2,),0)</f>
        <v>0</v>
      </c>
      <c r="AI16" s="182"/>
      <c r="AJ16" s="241">
        <v>7</v>
      </c>
      <c r="AK16" s="2909"/>
      <c r="AL16" s="242" t="s">
        <v>201</v>
      </c>
      <c r="AM16" s="243"/>
      <c r="AN16" s="244">
        <v>39.1</v>
      </c>
      <c r="AO16" s="245" t="s">
        <v>195</v>
      </c>
      <c r="AP16" s="246">
        <v>1.89E-2</v>
      </c>
      <c r="AQ16" s="245" t="s">
        <v>196</v>
      </c>
      <c r="AR16" s="247">
        <f t="shared" si="2"/>
        <v>2.7096300000000002</v>
      </c>
      <c r="AS16" s="248" t="s">
        <v>361</v>
      </c>
      <c r="AT16" s="205"/>
      <c r="AU16" s="230"/>
      <c r="AV16" s="205"/>
      <c r="AW16" s="205"/>
      <c r="AX16" s="205"/>
      <c r="AY16" s="205"/>
      <c r="AZ16" s="205"/>
      <c r="BA16" s="205"/>
      <c r="BB16" s="205"/>
      <c r="BC16" s="205"/>
      <c r="BD16" s="205"/>
      <c r="BE16" s="249">
        <f t="shared" si="11"/>
        <v>7</v>
      </c>
      <c r="BF16" s="250" t="str">
        <f t="shared" si="3"/>
        <v>Ａ重油</v>
      </c>
      <c r="BG16" s="248">
        <f t="shared" si="4"/>
        <v>0</v>
      </c>
      <c r="BH16" s="251" t="str">
        <f t="shared" si="12"/>
        <v>Ａ重油</v>
      </c>
      <c r="BI16" s="252">
        <f t="shared" si="5"/>
        <v>2.7096300000000002</v>
      </c>
      <c r="BJ16" s="253" t="str">
        <f t="shared" si="6"/>
        <v>tCO2/kl</v>
      </c>
      <c r="BK16" s="254" t="str">
        <f t="shared" si="13"/>
        <v>kl</v>
      </c>
      <c r="BL16" s="255" t="str">
        <f t="shared" si="14"/>
        <v>l</v>
      </c>
      <c r="BM16" s="205"/>
      <c r="BN16" s="254" t="s">
        <v>202</v>
      </c>
      <c r="BO16" s="256">
        <v>1</v>
      </c>
      <c r="BP16" s="257" t="s">
        <v>203</v>
      </c>
      <c r="BQ16" s="182"/>
      <c r="BR16" s="182"/>
      <c r="BS16" s="218" t="s">
        <v>378</v>
      </c>
      <c r="BT16" s="200"/>
    </row>
    <row r="17" spans="2:72" ht="42.95" customHeight="1" thickBot="1">
      <c r="B17" s="2718"/>
      <c r="C17" s="2893"/>
      <c r="D17" s="2894"/>
      <c r="E17" s="2894"/>
      <c r="F17" s="2895"/>
      <c r="G17" s="2896"/>
      <c r="H17" s="2896"/>
      <c r="I17" s="2896"/>
      <c r="J17" s="2897"/>
      <c r="K17" s="2898"/>
      <c r="L17" s="2899"/>
      <c r="M17" s="182"/>
      <c r="N17" s="2901"/>
      <c r="O17" s="962"/>
      <c r="P17" s="406"/>
      <c r="Q17" s="407"/>
      <c r="R17" s="395" t="str">
        <f t="shared" si="7"/>
        <v/>
      </c>
      <c r="S17" s="2913"/>
      <c r="T17" s="962"/>
      <c r="U17" s="406"/>
      <c r="V17" s="407"/>
      <c r="W17" s="396" t="str">
        <f t="shared" si="8"/>
        <v/>
      </c>
      <c r="X17" s="2906"/>
      <c r="Y17" s="182"/>
      <c r="Z17" s="1675"/>
      <c r="AA17" s="1676"/>
      <c r="AB17" s="182"/>
      <c r="AC17" s="220" t="str">
        <f t="shared" si="0"/>
        <v/>
      </c>
      <c r="AD17" s="220" t="str">
        <f t="shared" si="1"/>
        <v/>
      </c>
      <c r="AE17" s="221" t="str">
        <f t="shared" si="9"/>
        <v/>
      </c>
      <c r="AF17" s="221" t="str">
        <f t="shared" si="10"/>
        <v/>
      </c>
      <c r="AG17" s="221">
        <f>IF(AE17="○",P17*IF(D16="低炭素電気へ切替",Z17*1000,VLOOKUP(O17,$BH$10:$BI$42,2,))*IFERROR(VLOOKUP(Q17,$BN$10:$BO$18,2,),1),0)</f>
        <v>0</v>
      </c>
      <c r="AH17" s="221">
        <f>IF(AF17="○",U17*IF(D16="低炭素電気へ切替",AA17*1000,VLOOKUP(T17,$BH$10:$BI$42,2,))*VLOOKUP(V17,$BN$10:$BO$18,2,),0)</f>
        <v>0</v>
      </c>
      <c r="AI17" s="182"/>
      <c r="AJ17" s="241">
        <v>8</v>
      </c>
      <c r="AK17" s="2909"/>
      <c r="AL17" s="242" t="s">
        <v>204</v>
      </c>
      <c r="AM17" s="243"/>
      <c r="AN17" s="244">
        <v>41.9</v>
      </c>
      <c r="AO17" s="245" t="s">
        <v>195</v>
      </c>
      <c r="AP17" s="246">
        <v>1.95E-2</v>
      </c>
      <c r="AQ17" s="245" t="s">
        <v>196</v>
      </c>
      <c r="AR17" s="247">
        <f t="shared" si="2"/>
        <v>2.9958499999999995</v>
      </c>
      <c r="AS17" s="248" t="s">
        <v>361</v>
      </c>
      <c r="AT17" s="205"/>
      <c r="AU17" s="230"/>
      <c r="AV17" s="205"/>
      <c r="AW17" s="205"/>
      <c r="AX17" s="205"/>
      <c r="AY17" s="205"/>
      <c r="AZ17" s="205"/>
      <c r="BA17" s="205"/>
      <c r="BB17" s="205"/>
      <c r="BC17" s="205"/>
      <c r="BD17" s="205"/>
      <c r="BE17" s="249">
        <f t="shared" si="11"/>
        <v>8</v>
      </c>
      <c r="BF17" s="250" t="str">
        <f t="shared" si="3"/>
        <v>Ｂ・Ｃ重油</v>
      </c>
      <c r="BG17" s="248">
        <f t="shared" si="4"/>
        <v>0</v>
      </c>
      <c r="BH17" s="251" t="str">
        <f t="shared" si="12"/>
        <v>Ｂ・Ｃ重油</v>
      </c>
      <c r="BI17" s="252">
        <f t="shared" si="5"/>
        <v>2.9958499999999995</v>
      </c>
      <c r="BJ17" s="253" t="str">
        <f t="shared" si="6"/>
        <v>tCO2/kl</v>
      </c>
      <c r="BK17" s="254" t="str">
        <f t="shared" si="13"/>
        <v>kl</v>
      </c>
      <c r="BL17" s="255" t="str">
        <f t="shared" si="14"/>
        <v>l</v>
      </c>
      <c r="BM17" s="205"/>
      <c r="BN17" s="254" t="s">
        <v>379</v>
      </c>
      <c r="BO17" s="256">
        <v>1E-3</v>
      </c>
      <c r="BP17" s="257" t="s">
        <v>202</v>
      </c>
      <c r="BQ17" s="182"/>
      <c r="BR17" s="182"/>
      <c r="BS17" s="218" t="s">
        <v>380</v>
      </c>
      <c r="BT17" s="200"/>
    </row>
    <row r="18" spans="2:72" ht="42.95" customHeight="1" thickBot="1">
      <c r="B18" s="2718"/>
      <c r="C18" s="2893"/>
      <c r="D18" s="2894"/>
      <c r="E18" s="2894"/>
      <c r="F18" s="2895"/>
      <c r="G18" s="2896"/>
      <c r="H18" s="2896"/>
      <c r="I18" s="2896"/>
      <c r="J18" s="2897"/>
      <c r="K18" s="2898"/>
      <c r="L18" s="2899"/>
      <c r="M18" s="261"/>
      <c r="N18" s="2902"/>
      <c r="O18" s="962"/>
      <c r="P18" s="406"/>
      <c r="Q18" s="407"/>
      <c r="R18" s="395" t="str">
        <f t="shared" si="7"/>
        <v/>
      </c>
      <c r="S18" s="2914"/>
      <c r="T18" s="962"/>
      <c r="U18" s="406"/>
      <c r="V18" s="407"/>
      <c r="W18" s="396" t="str">
        <f t="shared" si="8"/>
        <v/>
      </c>
      <c r="X18" s="2907"/>
      <c r="Y18" s="182"/>
      <c r="Z18" s="1677"/>
      <c r="AA18" s="1678"/>
      <c r="AB18" s="182"/>
      <c r="AC18" s="220" t="str">
        <f t="shared" si="0"/>
        <v/>
      </c>
      <c r="AD18" s="220" t="str">
        <f t="shared" si="1"/>
        <v/>
      </c>
      <c r="AE18" s="221" t="str">
        <f t="shared" si="9"/>
        <v/>
      </c>
      <c r="AF18" s="221" t="str">
        <f t="shared" si="10"/>
        <v/>
      </c>
      <c r="AG18" s="221">
        <f>IF(AE18="○",P18*IF(D16="低炭素電気へ切替",Z18*1000,VLOOKUP(O18,$BH$10:$BI$42,2,))*IFERROR(VLOOKUP(Q18,$BN$10:$BO$18,2,),1),0)</f>
        <v>0</v>
      </c>
      <c r="AH18" s="221">
        <f>IF(AF18="○",U18*IF(D16="低炭素電気へ切替",AA18*1000,VLOOKUP(T18,$BH$10:$BI$42,2,))*VLOOKUP(V18,$BN$10:$BO$18,2,),0)</f>
        <v>0</v>
      </c>
      <c r="AI18" s="182"/>
      <c r="AJ18" s="241">
        <v>9</v>
      </c>
      <c r="AK18" s="2909"/>
      <c r="AL18" s="242" t="s">
        <v>205</v>
      </c>
      <c r="AM18" s="243"/>
      <c r="AN18" s="244">
        <v>40.9</v>
      </c>
      <c r="AO18" s="245" t="s">
        <v>206</v>
      </c>
      <c r="AP18" s="246">
        <v>2.0799999999999999E-2</v>
      </c>
      <c r="AQ18" s="245" t="s">
        <v>196</v>
      </c>
      <c r="AR18" s="247">
        <f t="shared" si="2"/>
        <v>3.1193066666666667</v>
      </c>
      <c r="AS18" s="248" t="s">
        <v>381</v>
      </c>
      <c r="AT18" s="205"/>
      <c r="AU18" s="230"/>
      <c r="AV18" s="205"/>
      <c r="AW18" s="205"/>
      <c r="AX18" s="205"/>
      <c r="AY18" s="205"/>
      <c r="AZ18" s="205"/>
      <c r="BA18" s="205"/>
      <c r="BB18" s="205"/>
      <c r="BC18" s="205"/>
      <c r="BD18" s="205"/>
      <c r="BE18" s="249">
        <f t="shared" si="11"/>
        <v>9</v>
      </c>
      <c r="BF18" s="250" t="str">
        <f t="shared" si="3"/>
        <v>石油アスファルト</v>
      </c>
      <c r="BG18" s="248">
        <f t="shared" si="4"/>
        <v>0</v>
      </c>
      <c r="BH18" s="251" t="str">
        <f t="shared" si="12"/>
        <v>石油アスファルト</v>
      </c>
      <c r="BI18" s="252">
        <f t="shared" si="5"/>
        <v>3.1193066666666667</v>
      </c>
      <c r="BJ18" s="253" t="str">
        <f t="shared" si="6"/>
        <v>tCO2/t</v>
      </c>
      <c r="BK18" s="254" t="str">
        <f t="shared" si="13"/>
        <v>t</v>
      </c>
      <c r="BL18" s="255" t="str">
        <f t="shared" si="14"/>
        <v>kg</v>
      </c>
      <c r="BM18" s="205"/>
      <c r="BN18" s="262" t="s">
        <v>382</v>
      </c>
      <c r="BO18" s="263">
        <v>1</v>
      </c>
      <c r="BP18" s="264" t="s">
        <v>207</v>
      </c>
      <c r="BQ18" s="182"/>
      <c r="BR18" s="182"/>
      <c r="BS18" s="265" t="s">
        <v>371</v>
      </c>
      <c r="BT18" s="260"/>
    </row>
    <row r="19" spans="2:72" ht="42.95" customHeight="1">
      <c r="B19" s="2718">
        <v>4</v>
      </c>
      <c r="C19" s="2893"/>
      <c r="D19" s="2894"/>
      <c r="E19" s="2894"/>
      <c r="F19" s="2895"/>
      <c r="G19" s="2896"/>
      <c r="H19" s="2896"/>
      <c r="I19" s="2896"/>
      <c r="J19" s="2897"/>
      <c r="K19" s="2898" t="str">
        <f>X19</f>
        <v/>
      </c>
      <c r="L19" s="2899"/>
      <c r="M19" s="266"/>
      <c r="N19" s="2901"/>
      <c r="O19" s="1325"/>
      <c r="P19" s="410"/>
      <c r="Q19" s="411"/>
      <c r="R19" s="402" t="str">
        <f t="shared" si="7"/>
        <v/>
      </c>
      <c r="S19" s="2913"/>
      <c r="T19" s="1325"/>
      <c r="U19" s="410"/>
      <c r="V19" s="411"/>
      <c r="W19" s="403" t="str">
        <f t="shared" si="8"/>
        <v/>
      </c>
      <c r="X19" s="2906" t="str">
        <f>IF(AND(AE19&lt;&gt;"×",AF19&lt;&gt;"×",OR(AE19="○",AF19="○")),AG19-AH19+AG20-AH20+AG21-AH21,"")</f>
        <v/>
      </c>
      <c r="Y19" s="182"/>
      <c r="Z19" s="1673"/>
      <c r="AA19" s="1674"/>
      <c r="AB19" s="182"/>
      <c r="AC19" s="220" t="str">
        <f t="shared" si="0"/>
        <v/>
      </c>
      <c r="AD19" s="220" t="str">
        <f t="shared" si="1"/>
        <v/>
      </c>
      <c r="AE19" s="221" t="str">
        <f t="shared" si="9"/>
        <v/>
      </c>
      <c r="AF19" s="221" t="str">
        <f t="shared" si="10"/>
        <v/>
      </c>
      <c r="AG19" s="221">
        <f>IF(AE19="○",P19*IF(D19="低炭素電気へ切替",Z19*1000,VLOOKUP(O19,$BH$10:$BI$42,2,))*IFERROR(VLOOKUP(Q19,$BN$10:$BO$18,2,),1),0)</f>
        <v>0</v>
      </c>
      <c r="AH19" s="221">
        <f>IF(AF19="○",U19*IF(D19="低炭素電気へ切替",AA19*1000,VLOOKUP(T19,$BH$10:$BI$42,2,))*VLOOKUP(V19,$BN$10:$BO$18,2,),0)</f>
        <v>0</v>
      </c>
      <c r="AI19" s="182"/>
      <c r="AJ19" s="241">
        <v>10</v>
      </c>
      <c r="AK19" s="2909"/>
      <c r="AL19" s="242" t="s">
        <v>208</v>
      </c>
      <c r="AM19" s="243"/>
      <c r="AN19" s="244">
        <v>29.9</v>
      </c>
      <c r="AO19" s="245" t="s">
        <v>206</v>
      </c>
      <c r="AP19" s="246">
        <v>2.5399999999999999E-2</v>
      </c>
      <c r="AQ19" s="245" t="s">
        <v>196</v>
      </c>
      <c r="AR19" s="247">
        <f t="shared" si="2"/>
        <v>2.7846866666666661</v>
      </c>
      <c r="AS19" s="248" t="s">
        <v>381</v>
      </c>
      <c r="AT19" s="205"/>
      <c r="AU19" s="230"/>
      <c r="AV19" s="205"/>
      <c r="AW19" s="205"/>
      <c r="AX19" s="205"/>
      <c r="AY19" s="205"/>
      <c r="AZ19" s="205"/>
      <c r="BA19" s="205"/>
      <c r="BB19" s="205"/>
      <c r="BC19" s="205"/>
      <c r="BD19" s="205"/>
      <c r="BE19" s="249">
        <f t="shared" si="11"/>
        <v>10</v>
      </c>
      <c r="BF19" s="250" t="str">
        <f t="shared" si="3"/>
        <v>石油コークス</v>
      </c>
      <c r="BG19" s="248">
        <f t="shared" si="4"/>
        <v>0</v>
      </c>
      <c r="BH19" s="251" t="str">
        <f t="shared" si="12"/>
        <v>石油コークス</v>
      </c>
      <c r="BI19" s="252">
        <f t="shared" si="5"/>
        <v>2.7846866666666661</v>
      </c>
      <c r="BJ19" s="253" t="str">
        <f t="shared" si="6"/>
        <v>tCO2/t</v>
      </c>
      <c r="BK19" s="254" t="str">
        <f>IFERROR(RIGHT(BJ19,LEN(BJ19)-FIND("/",BJ19)),"")</f>
        <v>t</v>
      </c>
      <c r="BL19" s="255" t="str">
        <f t="shared" si="14"/>
        <v>kg</v>
      </c>
      <c r="BM19" s="205"/>
      <c r="BN19" s="267"/>
      <c r="BO19" s="205"/>
      <c r="BP19" s="205"/>
      <c r="BQ19" s="182"/>
      <c r="BR19" s="182"/>
      <c r="BS19" s="182"/>
      <c r="BT19" s="182"/>
    </row>
    <row r="20" spans="2:72" ht="42.95" customHeight="1">
      <c r="B20" s="2718"/>
      <c r="C20" s="2893"/>
      <c r="D20" s="2894"/>
      <c r="E20" s="2894"/>
      <c r="F20" s="2895"/>
      <c r="G20" s="2896"/>
      <c r="H20" s="2896"/>
      <c r="I20" s="2896"/>
      <c r="J20" s="2897"/>
      <c r="K20" s="2898"/>
      <c r="L20" s="2899"/>
      <c r="M20" s="266"/>
      <c r="N20" s="2901"/>
      <c r="O20" s="962"/>
      <c r="P20" s="406"/>
      <c r="Q20" s="407"/>
      <c r="R20" s="395" t="str">
        <f t="shared" si="7"/>
        <v/>
      </c>
      <c r="S20" s="2913"/>
      <c r="T20" s="962"/>
      <c r="U20" s="406"/>
      <c r="V20" s="407"/>
      <c r="W20" s="396" t="str">
        <f t="shared" si="8"/>
        <v/>
      </c>
      <c r="X20" s="2906"/>
      <c r="Y20" s="182"/>
      <c r="Z20" s="1675"/>
      <c r="AA20" s="1676"/>
      <c r="AB20" s="182"/>
      <c r="AC20" s="220" t="str">
        <f t="shared" si="0"/>
        <v/>
      </c>
      <c r="AD20" s="220" t="str">
        <f t="shared" si="1"/>
        <v/>
      </c>
      <c r="AE20" s="221" t="str">
        <f t="shared" si="9"/>
        <v/>
      </c>
      <c r="AF20" s="221" t="str">
        <f t="shared" si="10"/>
        <v/>
      </c>
      <c r="AG20" s="221">
        <f>IF(AE20="○",P20*IF(D19="低炭素電気へ切替",Z20*1000,VLOOKUP(O20,$BH$10:$BI$42,2,))*IFERROR(VLOOKUP(Q20,$BN$10:$BO$18,2,),1),0)</f>
        <v>0</v>
      </c>
      <c r="AH20" s="221">
        <f>IF(AF20="○",U20*IF(D19="低炭素電気へ切替",AA20*1000,VLOOKUP(T20,$BH$10:$BI$42,2,))*VLOOKUP(V20,$BN$10:$BO$18,2,),0)</f>
        <v>0</v>
      </c>
      <c r="AI20" s="182"/>
      <c r="AJ20" s="241">
        <v>11</v>
      </c>
      <c r="AK20" s="2909"/>
      <c r="AL20" s="2915" t="s">
        <v>209</v>
      </c>
      <c r="AM20" s="268" t="s">
        <v>383</v>
      </c>
      <c r="AN20" s="244">
        <v>50.8</v>
      </c>
      <c r="AO20" s="245" t="s">
        <v>206</v>
      </c>
      <c r="AP20" s="246">
        <v>1.61E-2</v>
      </c>
      <c r="AQ20" s="245" t="s">
        <v>196</v>
      </c>
      <c r="AR20" s="247">
        <f t="shared" si="2"/>
        <v>2.9988933333333332</v>
      </c>
      <c r="AS20" s="248" t="s">
        <v>381</v>
      </c>
      <c r="AT20" s="205"/>
      <c r="AU20" s="230"/>
      <c r="AV20" s="269"/>
      <c r="AW20" s="205"/>
      <c r="AX20" s="205"/>
      <c r="AY20" s="205"/>
      <c r="AZ20" s="205"/>
      <c r="BA20" s="205"/>
      <c r="BB20" s="205"/>
      <c r="BC20" s="205"/>
      <c r="BD20" s="205"/>
      <c r="BE20" s="249">
        <f t="shared" si="11"/>
        <v>11</v>
      </c>
      <c r="BF20" s="250" t="str">
        <f t="shared" si="3"/>
        <v>石油ガス</v>
      </c>
      <c r="BG20" s="248" t="str">
        <f t="shared" si="4"/>
        <v>液化石油ガス(ＬＰＧ)</v>
      </c>
      <c r="BH20" s="251" t="str">
        <f t="shared" si="12"/>
        <v>液化石油ガス(ＬＰＧ)</v>
      </c>
      <c r="BI20" s="252">
        <f t="shared" si="5"/>
        <v>2.9988933333333332</v>
      </c>
      <c r="BJ20" s="253" t="str">
        <f t="shared" si="6"/>
        <v>tCO2/t</v>
      </c>
      <c r="BK20" s="254" t="str">
        <f t="shared" si="13"/>
        <v>t</v>
      </c>
      <c r="BL20" s="255" t="str">
        <f>IFERROR(VLOOKUP(BK20,$BN$10:$BP$18,3,),"")</f>
        <v>kg</v>
      </c>
      <c r="BM20" s="205"/>
      <c r="BN20" s="267"/>
      <c r="BO20" s="205"/>
      <c r="BP20" s="205"/>
      <c r="BQ20" s="182"/>
      <c r="BR20" s="182"/>
      <c r="BS20" s="182"/>
      <c r="BT20" s="182"/>
    </row>
    <row r="21" spans="2:72" ht="42.95" customHeight="1" thickBot="1">
      <c r="B21" s="2718"/>
      <c r="C21" s="2893"/>
      <c r="D21" s="2894"/>
      <c r="E21" s="2894"/>
      <c r="F21" s="2895"/>
      <c r="G21" s="2896"/>
      <c r="H21" s="2896"/>
      <c r="I21" s="2896"/>
      <c r="J21" s="2897"/>
      <c r="K21" s="2898"/>
      <c r="L21" s="2899"/>
      <c r="M21" s="266"/>
      <c r="N21" s="2901"/>
      <c r="O21" s="1324"/>
      <c r="P21" s="408"/>
      <c r="Q21" s="409"/>
      <c r="R21" s="400" t="str">
        <f t="shared" si="7"/>
        <v/>
      </c>
      <c r="S21" s="2913"/>
      <c r="T21" s="1324"/>
      <c r="U21" s="408"/>
      <c r="V21" s="409"/>
      <c r="W21" s="401" t="str">
        <f t="shared" si="8"/>
        <v/>
      </c>
      <c r="X21" s="2906"/>
      <c r="Y21" s="182"/>
      <c r="Z21" s="1677"/>
      <c r="AA21" s="1678"/>
      <c r="AB21" s="182"/>
      <c r="AC21" s="220" t="str">
        <f t="shared" si="0"/>
        <v/>
      </c>
      <c r="AD21" s="220" t="str">
        <f t="shared" si="1"/>
        <v/>
      </c>
      <c r="AE21" s="221" t="str">
        <f t="shared" si="9"/>
        <v/>
      </c>
      <c r="AF21" s="221" t="str">
        <f t="shared" si="10"/>
        <v/>
      </c>
      <c r="AG21" s="221">
        <f>IF(AE21="○",P21*IF(D19="低炭素電気へ切替",Z21*1000,VLOOKUP(O21,$BH$10:$BI$42,2,))*IFERROR(VLOOKUP(Q21,$BN$10:$BO$18,2,),1),0)</f>
        <v>0</v>
      </c>
      <c r="AH21" s="221">
        <f>IF(AF21="○",U21*IF(D19="低炭素電気へ切替",AA21*1000,VLOOKUP(T21,$BH$10:$BI$42,2,))*VLOOKUP(V21,$BN$10:$BO$18,2,),0)</f>
        <v>0</v>
      </c>
      <c r="AI21" s="182"/>
      <c r="AJ21" s="241">
        <v>12</v>
      </c>
      <c r="AK21" s="2909"/>
      <c r="AL21" s="2916"/>
      <c r="AM21" s="268" t="s">
        <v>384</v>
      </c>
      <c r="AN21" s="244">
        <v>44.9</v>
      </c>
      <c r="AO21" s="245" t="s">
        <v>385</v>
      </c>
      <c r="AP21" s="246">
        <v>1.4200000000000001E-2</v>
      </c>
      <c r="AQ21" s="245" t="s">
        <v>196</v>
      </c>
      <c r="AR21" s="247">
        <f t="shared" si="2"/>
        <v>2.3377933333333334</v>
      </c>
      <c r="AS21" s="248" t="s">
        <v>386</v>
      </c>
      <c r="AT21" s="205"/>
      <c r="AU21" s="230"/>
      <c r="AV21" s="269"/>
      <c r="AW21" s="205"/>
      <c r="AX21" s="205"/>
      <c r="AY21" s="205"/>
      <c r="AZ21" s="205"/>
      <c r="BA21" s="205"/>
      <c r="BB21" s="205"/>
      <c r="BC21" s="205"/>
      <c r="BD21" s="205"/>
      <c r="BE21" s="249">
        <f t="shared" si="11"/>
        <v>12</v>
      </c>
      <c r="BF21" s="250">
        <f t="shared" si="3"/>
        <v>0</v>
      </c>
      <c r="BG21" s="248" t="str">
        <f t="shared" si="4"/>
        <v>石油系炭化水素ガス</v>
      </c>
      <c r="BH21" s="251" t="str">
        <f t="shared" si="12"/>
        <v>石油系炭化水素ガス</v>
      </c>
      <c r="BI21" s="252">
        <f t="shared" si="5"/>
        <v>2.3377933333333334</v>
      </c>
      <c r="BJ21" s="253" t="str">
        <f t="shared" si="6"/>
        <v>tCO2/千m3</v>
      </c>
      <c r="BK21" s="254" t="str">
        <f t="shared" si="13"/>
        <v>千m3</v>
      </c>
      <c r="BL21" s="255" t="str">
        <f t="shared" si="14"/>
        <v>m3</v>
      </c>
      <c r="BM21" s="205"/>
      <c r="BN21" s="267"/>
      <c r="BO21" s="205"/>
      <c r="BP21" s="205"/>
      <c r="BQ21" s="182"/>
      <c r="BR21" s="182"/>
      <c r="BS21" s="182"/>
      <c r="BT21" s="182"/>
    </row>
    <row r="22" spans="2:72" ht="42.95" customHeight="1">
      <c r="B22" s="2718">
        <v>5</v>
      </c>
      <c r="C22" s="2893"/>
      <c r="D22" s="2894"/>
      <c r="E22" s="2894"/>
      <c r="F22" s="2895"/>
      <c r="G22" s="2896"/>
      <c r="H22" s="2896"/>
      <c r="I22" s="2896"/>
      <c r="J22" s="2897"/>
      <c r="K22" s="2898" t="str">
        <f>X22</f>
        <v/>
      </c>
      <c r="L22" s="2899"/>
      <c r="M22" s="182"/>
      <c r="N22" s="2900"/>
      <c r="O22" s="962"/>
      <c r="P22" s="406"/>
      <c r="Q22" s="407"/>
      <c r="R22" s="395" t="str">
        <f t="shared" si="7"/>
        <v/>
      </c>
      <c r="S22" s="2911"/>
      <c r="T22" s="962"/>
      <c r="U22" s="406"/>
      <c r="V22" s="407"/>
      <c r="W22" s="396" t="str">
        <f t="shared" si="8"/>
        <v/>
      </c>
      <c r="X22" s="2905" t="str">
        <f>IF(AND(AE22&lt;&gt;"×",AF22&lt;&gt;"×",OR(AE22="○",AF22="○")),AG22-AH22+AG23-AH23+AG24-AH24,"")</f>
        <v/>
      </c>
      <c r="Y22" s="182"/>
      <c r="Z22" s="1673"/>
      <c r="AA22" s="1674"/>
      <c r="AB22" s="182"/>
      <c r="AC22" s="220" t="str">
        <f t="shared" si="0"/>
        <v/>
      </c>
      <c r="AD22" s="220" t="str">
        <f t="shared" si="1"/>
        <v/>
      </c>
      <c r="AE22" s="221" t="str">
        <f t="shared" si="9"/>
        <v/>
      </c>
      <c r="AF22" s="221" t="str">
        <f t="shared" si="10"/>
        <v/>
      </c>
      <c r="AG22" s="221">
        <f>IF(AE22="○",P22*IF(D22="低炭素電気へ切替",Z22*1000,VLOOKUP(O22,$BH$10:$BI$42,2,))*IFERROR(VLOOKUP(Q22,$BN$10:$BO$18,2,),1),0)</f>
        <v>0</v>
      </c>
      <c r="AH22" s="221">
        <f>IF(AF22="○",U22*IF(D22="低炭素電気へ切替",AA22*1000,VLOOKUP(T22,$BH$10:$BI$42,2,))*VLOOKUP(V22,$BN$10:$BO$18,2,),0)</f>
        <v>0</v>
      </c>
      <c r="AI22" s="182"/>
      <c r="AJ22" s="241">
        <v>13</v>
      </c>
      <c r="AK22" s="2909"/>
      <c r="AL22" s="2915" t="s">
        <v>387</v>
      </c>
      <c r="AM22" s="268" t="s">
        <v>388</v>
      </c>
      <c r="AN22" s="244">
        <v>54.6</v>
      </c>
      <c r="AO22" s="245" t="s">
        <v>206</v>
      </c>
      <c r="AP22" s="246">
        <v>1.35E-2</v>
      </c>
      <c r="AQ22" s="245" t="s">
        <v>196</v>
      </c>
      <c r="AR22" s="247">
        <f t="shared" si="2"/>
        <v>2.7027000000000001</v>
      </c>
      <c r="AS22" s="248" t="s">
        <v>381</v>
      </c>
      <c r="AT22" s="205"/>
      <c r="AU22" s="230"/>
      <c r="AV22" s="269"/>
      <c r="AW22" s="205"/>
      <c r="AX22" s="205"/>
      <c r="AY22" s="205"/>
      <c r="AZ22" s="205"/>
      <c r="BA22" s="205"/>
      <c r="BB22" s="205"/>
      <c r="BC22" s="205"/>
      <c r="BD22" s="205"/>
      <c r="BE22" s="249">
        <f t="shared" si="11"/>
        <v>13</v>
      </c>
      <c r="BF22" s="250" t="str">
        <f t="shared" si="3"/>
        <v>可燃性天然ガス</v>
      </c>
      <c r="BG22" s="248" t="str">
        <f t="shared" si="4"/>
        <v>液化天然ガス（ＬＮＧ）</v>
      </c>
      <c r="BH22" s="251" t="str">
        <f t="shared" si="12"/>
        <v>液化天然ガス（ＬＮＧ）</v>
      </c>
      <c r="BI22" s="252">
        <f t="shared" si="5"/>
        <v>2.7027000000000001</v>
      </c>
      <c r="BJ22" s="253" t="str">
        <f t="shared" si="6"/>
        <v>tCO2/t</v>
      </c>
      <c r="BK22" s="254" t="str">
        <f t="shared" si="13"/>
        <v>t</v>
      </c>
      <c r="BL22" s="255" t="str">
        <f t="shared" si="14"/>
        <v>kg</v>
      </c>
      <c r="BM22" s="205"/>
      <c r="BN22" s="267"/>
      <c r="BO22" s="205"/>
      <c r="BP22" s="205"/>
      <c r="BQ22" s="182"/>
      <c r="BR22" s="182"/>
      <c r="BS22" s="182"/>
      <c r="BT22" s="182"/>
    </row>
    <row r="23" spans="2:72" ht="42.95" customHeight="1">
      <c r="B23" s="2718"/>
      <c r="C23" s="2893"/>
      <c r="D23" s="2894"/>
      <c r="E23" s="2894"/>
      <c r="F23" s="2895"/>
      <c r="G23" s="2896"/>
      <c r="H23" s="2896"/>
      <c r="I23" s="2896"/>
      <c r="J23" s="2897"/>
      <c r="K23" s="2898"/>
      <c r="L23" s="2899"/>
      <c r="M23" s="182"/>
      <c r="N23" s="2901"/>
      <c r="O23" s="962"/>
      <c r="P23" s="406"/>
      <c r="Q23" s="407"/>
      <c r="R23" s="395" t="str">
        <f t="shared" si="7"/>
        <v/>
      </c>
      <c r="S23" s="2913"/>
      <c r="T23" s="962"/>
      <c r="U23" s="406"/>
      <c r="V23" s="407"/>
      <c r="W23" s="396" t="str">
        <f>IF(AF23="○",AH23,IF(AF23="×","単位不一致",""))</f>
        <v/>
      </c>
      <c r="X23" s="2906"/>
      <c r="Y23" s="182"/>
      <c r="Z23" s="1675"/>
      <c r="AA23" s="1676"/>
      <c r="AB23" s="182"/>
      <c r="AC23" s="220" t="str">
        <f t="shared" si="0"/>
        <v/>
      </c>
      <c r="AD23" s="220" t="str">
        <f t="shared" si="1"/>
        <v/>
      </c>
      <c r="AE23" s="221" t="str">
        <f t="shared" si="9"/>
        <v/>
      </c>
      <c r="AF23" s="221" t="str">
        <f t="shared" si="10"/>
        <v/>
      </c>
      <c r="AG23" s="221">
        <f>IF(AE23="○",P23*IF(D22="低炭素電気へ切替",Z23*1000,VLOOKUP(O23,$BH$10:$BI$42,2,))*IFERROR(VLOOKUP(Q23,$BN$10:$BO$18,2,),1),0)</f>
        <v>0</v>
      </c>
      <c r="AH23" s="221">
        <f>IF(AF23="○",U23*IF(D22="低炭素電気へ切替",AA23*1000,VLOOKUP(T23,$BH$10:$BI$42,2,))*VLOOKUP(V23,$BN$10:$BO$18,2,),0)</f>
        <v>0</v>
      </c>
      <c r="AI23" s="182"/>
      <c r="AJ23" s="241">
        <v>14</v>
      </c>
      <c r="AK23" s="2909"/>
      <c r="AL23" s="2916"/>
      <c r="AM23" s="268" t="s">
        <v>210</v>
      </c>
      <c r="AN23" s="244">
        <v>43.5</v>
      </c>
      <c r="AO23" s="245" t="s">
        <v>385</v>
      </c>
      <c r="AP23" s="246">
        <v>1.3899999999999999E-2</v>
      </c>
      <c r="AQ23" s="245" t="s">
        <v>196</v>
      </c>
      <c r="AR23" s="247">
        <f t="shared" si="2"/>
        <v>2.21705</v>
      </c>
      <c r="AS23" s="248" t="s">
        <v>386</v>
      </c>
      <c r="AT23" s="205"/>
      <c r="AU23" s="230"/>
      <c r="AV23" s="269"/>
      <c r="AW23" s="205"/>
      <c r="AX23" s="205"/>
      <c r="AY23" s="205"/>
      <c r="AZ23" s="205"/>
      <c r="BA23" s="205"/>
      <c r="BB23" s="205"/>
      <c r="BC23" s="205"/>
      <c r="BD23" s="205"/>
      <c r="BE23" s="249">
        <f t="shared" si="11"/>
        <v>14</v>
      </c>
      <c r="BF23" s="250">
        <f t="shared" si="3"/>
        <v>0</v>
      </c>
      <c r="BG23" s="248" t="str">
        <f t="shared" si="4"/>
        <v>その他可燃性天然ガス</v>
      </c>
      <c r="BH23" s="251" t="str">
        <f t="shared" si="12"/>
        <v>その他可燃性天然ガス</v>
      </c>
      <c r="BI23" s="252">
        <f t="shared" si="5"/>
        <v>2.21705</v>
      </c>
      <c r="BJ23" s="253" t="str">
        <f t="shared" si="6"/>
        <v>tCO2/千m3</v>
      </c>
      <c r="BK23" s="254" t="str">
        <f t="shared" si="13"/>
        <v>千m3</v>
      </c>
      <c r="BL23" s="255" t="str">
        <f t="shared" si="14"/>
        <v>m3</v>
      </c>
      <c r="BM23" s="205"/>
      <c r="BN23" s="267"/>
      <c r="BO23" s="205"/>
      <c r="BP23" s="205"/>
      <c r="BQ23" s="182"/>
      <c r="BR23" s="182"/>
      <c r="BS23" s="182"/>
      <c r="BT23" s="182"/>
    </row>
    <row r="24" spans="2:72" ht="42.95" customHeight="1" thickBot="1">
      <c r="B24" s="2718"/>
      <c r="C24" s="2893"/>
      <c r="D24" s="2894"/>
      <c r="E24" s="2894"/>
      <c r="F24" s="2895"/>
      <c r="G24" s="2896"/>
      <c r="H24" s="2896"/>
      <c r="I24" s="2896"/>
      <c r="J24" s="2897"/>
      <c r="K24" s="2898"/>
      <c r="L24" s="2899"/>
      <c r="M24" s="182"/>
      <c r="N24" s="2902"/>
      <c r="O24" s="962"/>
      <c r="P24" s="406"/>
      <c r="Q24" s="407"/>
      <c r="R24" s="395" t="str">
        <f t="shared" si="7"/>
        <v/>
      </c>
      <c r="S24" s="2914"/>
      <c r="T24" s="962"/>
      <c r="U24" s="406"/>
      <c r="V24" s="407"/>
      <c r="W24" s="396" t="str">
        <f t="shared" si="8"/>
        <v/>
      </c>
      <c r="X24" s="2907"/>
      <c r="Y24" s="182"/>
      <c r="Z24" s="1677"/>
      <c r="AA24" s="1678"/>
      <c r="AB24" s="182"/>
      <c r="AC24" s="220" t="str">
        <f t="shared" si="0"/>
        <v/>
      </c>
      <c r="AD24" s="220" t="str">
        <f t="shared" si="1"/>
        <v/>
      </c>
      <c r="AE24" s="221" t="str">
        <f t="shared" si="9"/>
        <v/>
      </c>
      <c r="AF24" s="221" t="str">
        <f t="shared" si="10"/>
        <v/>
      </c>
      <c r="AG24" s="221">
        <f>IF(AE24="○",P24*IF(D22="低炭素電気へ切替",Z24*1000,VLOOKUP(O24,$BH$10:$BI$42,2,))*IFERROR(VLOOKUP(Q24,$BN$10:$BO$18,2,),1),0)</f>
        <v>0</v>
      </c>
      <c r="AH24" s="221">
        <f>IF(AF24="○",U24*IF(D22="低炭素電気へ切替",AA24*1000,VLOOKUP(T24,$BH$10:$BI$42,2,))*VLOOKUP(V24,$BN$10:$BO$18,2,),0)</f>
        <v>0</v>
      </c>
      <c r="AI24" s="182"/>
      <c r="AJ24" s="241">
        <v>15</v>
      </c>
      <c r="AK24" s="2909"/>
      <c r="AL24" s="2917" t="s">
        <v>211</v>
      </c>
      <c r="AM24" s="268" t="s">
        <v>212</v>
      </c>
      <c r="AN24" s="244">
        <v>29</v>
      </c>
      <c r="AO24" s="245" t="s">
        <v>206</v>
      </c>
      <c r="AP24" s="246">
        <v>2.4500000000000001E-2</v>
      </c>
      <c r="AQ24" s="245" t="s">
        <v>196</v>
      </c>
      <c r="AR24" s="247">
        <f t="shared" si="2"/>
        <v>2.6051666666666669</v>
      </c>
      <c r="AS24" s="248" t="s">
        <v>381</v>
      </c>
      <c r="AT24" s="205"/>
      <c r="AU24" s="230"/>
      <c r="AV24" s="205"/>
      <c r="AW24" s="205"/>
      <c r="AX24" s="205"/>
      <c r="AY24" s="205"/>
      <c r="AZ24" s="205"/>
      <c r="BA24" s="205"/>
      <c r="BB24" s="205"/>
      <c r="BC24" s="205"/>
      <c r="BD24" s="205"/>
      <c r="BE24" s="249">
        <f t="shared" si="11"/>
        <v>15</v>
      </c>
      <c r="BF24" s="250" t="str">
        <f t="shared" si="3"/>
        <v>石炭</v>
      </c>
      <c r="BG24" s="248" t="str">
        <f t="shared" si="4"/>
        <v>原料炭</v>
      </c>
      <c r="BH24" s="251" t="str">
        <f t="shared" si="12"/>
        <v>原料炭</v>
      </c>
      <c r="BI24" s="252">
        <f t="shared" si="5"/>
        <v>2.6051666666666669</v>
      </c>
      <c r="BJ24" s="253" t="str">
        <f t="shared" si="6"/>
        <v>tCO2/t</v>
      </c>
      <c r="BK24" s="254" t="str">
        <f t="shared" si="13"/>
        <v>t</v>
      </c>
      <c r="BL24" s="255" t="str">
        <f t="shared" si="14"/>
        <v>kg</v>
      </c>
      <c r="BM24" s="205"/>
      <c r="BN24" s="205"/>
      <c r="BO24" s="205"/>
      <c r="BP24" s="205"/>
      <c r="BQ24" s="182"/>
      <c r="BR24" s="182"/>
      <c r="BS24" s="182"/>
      <c r="BT24" s="182"/>
    </row>
    <row r="25" spans="2:72" ht="42.95" customHeight="1">
      <c r="B25" s="2718">
        <v>6</v>
      </c>
      <c r="C25" s="2893"/>
      <c r="D25" s="2894"/>
      <c r="E25" s="2894"/>
      <c r="F25" s="2895"/>
      <c r="G25" s="2896"/>
      <c r="H25" s="2896"/>
      <c r="I25" s="2896"/>
      <c r="J25" s="2897"/>
      <c r="K25" s="2898" t="str">
        <f>X25</f>
        <v/>
      </c>
      <c r="L25" s="2899"/>
      <c r="M25" s="182"/>
      <c r="N25" s="2901"/>
      <c r="O25" s="1325"/>
      <c r="P25" s="410"/>
      <c r="Q25" s="411"/>
      <c r="R25" s="402" t="str">
        <f t="shared" si="7"/>
        <v/>
      </c>
      <c r="S25" s="2913"/>
      <c r="T25" s="1325"/>
      <c r="U25" s="410"/>
      <c r="V25" s="411"/>
      <c r="W25" s="403" t="str">
        <f t="shared" si="8"/>
        <v/>
      </c>
      <c r="X25" s="2906" t="str">
        <f>IF(AND(AE25&lt;&gt;"×",AF25&lt;&gt;"×",OR(AE25="○",AF25="○")),AG25-AH25+AG26-AH26+AG27-AH27,"")</f>
        <v/>
      </c>
      <c r="Y25" s="182"/>
      <c r="Z25" s="1673"/>
      <c r="AA25" s="1674"/>
      <c r="AB25" s="182"/>
      <c r="AC25" s="220" t="str">
        <f t="shared" si="0"/>
        <v/>
      </c>
      <c r="AD25" s="220" t="str">
        <f t="shared" si="1"/>
        <v/>
      </c>
      <c r="AE25" s="221" t="str">
        <f t="shared" si="9"/>
        <v/>
      </c>
      <c r="AF25" s="221" t="str">
        <f t="shared" si="10"/>
        <v/>
      </c>
      <c r="AG25" s="221">
        <f>IF(AE25="○",P25*IF(D25="低炭素電気へ切替",Z25*1000,VLOOKUP(O25,$BH$10:$BI$42,2,))*IFERROR(VLOOKUP(Q25,$BN$10:$BO$18,2,),1),0)</f>
        <v>0</v>
      </c>
      <c r="AH25" s="221">
        <f>IF(AF25="○",U25*IF(D25="低炭素電気へ切替",AA25*1000,VLOOKUP(T25,$BH$10:$BI$42,2,))*VLOOKUP(V25,$BN$10:$BO$18,2,),0)</f>
        <v>0</v>
      </c>
      <c r="AI25" s="182"/>
      <c r="AJ25" s="241">
        <v>16</v>
      </c>
      <c r="AK25" s="2909"/>
      <c r="AL25" s="2918"/>
      <c r="AM25" s="268" t="s">
        <v>213</v>
      </c>
      <c r="AN25" s="244">
        <v>25.7</v>
      </c>
      <c r="AO25" s="245" t="s">
        <v>206</v>
      </c>
      <c r="AP25" s="246">
        <v>2.47E-2</v>
      </c>
      <c r="AQ25" s="245" t="s">
        <v>196</v>
      </c>
      <c r="AR25" s="247">
        <f t="shared" si="2"/>
        <v>2.3275633333333334</v>
      </c>
      <c r="AS25" s="248" t="s">
        <v>381</v>
      </c>
      <c r="AT25" s="205"/>
      <c r="AU25" s="230"/>
      <c r="AV25" s="205"/>
      <c r="AW25" s="205"/>
      <c r="AX25" s="205"/>
      <c r="AY25" s="205"/>
      <c r="AZ25" s="205"/>
      <c r="BA25" s="205"/>
      <c r="BB25" s="205"/>
      <c r="BC25" s="205"/>
      <c r="BD25" s="205"/>
      <c r="BE25" s="249">
        <f t="shared" si="11"/>
        <v>16</v>
      </c>
      <c r="BF25" s="250">
        <f t="shared" si="3"/>
        <v>0</v>
      </c>
      <c r="BG25" s="248" t="str">
        <f t="shared" si="4"/>
        <v>一般炭</v>
      </c>
      <c r="BH25" s="251" t="str">
        <f t="shared" si="12"/>
        <v>一般炭</v>
      </c>
      <c r="BI25" s="252">
        <f t="shared" si="5"/>
        <v>2.3275633333333334</v>
      </c>
      <c r="BJ25" s="253" t="str">
        <f t="shared" si="6"/>
        <v>tCO2/t</v>
      </c>
      <c r="BK25" s="254" t="str">
        <f t="shared" si="13"/>
        <v>t</v>
      </c>
      <c r="BL25" s="255" t="str">
        <f t="shared" si="14"/>
        <v>kg</v>
      </c>
      <c r="BM25" s="205"/>
      <c r="BN25" s="205"/>
      <c r="BO25" s="205"/>
      <c r="BP25" s="205"/>
      <c r="BQ25" s="182"/>
      <c r="BR25" s="182"/>
      <c r="BS25" s="182"/>
      <c r="BT25" s="182"/>
    </row>
    <row r="26" spans="2:72" ht="42.95" customHeight="1">
      <c r="B26" s="2718"/>
      <c r="C26" s="2893"/>
      <c r="D26" s="2894"/>
      <c r="E26" s="2894"/>
      <c r="F26" s="2895"/>
      <c r="G26" s="2896"/>
      <c r="H26" s="2896"/>
      <c r="I26" s="2896"/>
      <c r="J26" s="2897"/>
      <c r="K26" s="2898"/>
      <c r="L26" s="2899"/>
      <c r="M26" s="182"/>
      <c r="N26" s="2901"/>
      <c r="O26" s="962"/>
      <c r="P26" s="406"/>
      <c r="Q26" s="407"/>
      <c r="R26" s="395" t="str">
        <f t="shared" si="7"/>
        <v/>
      </c>
      <c r="S26" s="2912"/>
      <c r="T26" s="962"/>
      <c r="U26" s="406"/>
      <c r="V26" s="407"/>
      <c r="W26" s="396" t="str">
        <f t="shared" si="8"/>
        <v/>
      </c>
      <c r="X26" s="2906"/>
      <c r="Y26" s="182"/>
      <c r="Z26" s="1675"/>
      <c r="AA26" s="1676"/>
      <c r="AB26" s="182"/>
      <c r="AC26" s="220" t="str">
        <f t="shared" si="0"/>
        <v/>
      </c>
      <c r="AD26" s="220" t="str">
        <f t="shared" si="1"/>
        <v/>
      </c>
      <c r="AE26" s="221" t="str">
        <f t="shared" si="9"/>
        <v/>
      </c>
      <c r="AF26" s="221" t="str">
        <f t="shared" si="10"/>
        <v/>
      </c>
      <c r="AG26" s="221">
        <f>IF(AE26="○",P26*IF(D25="低炭素電気へ切替",Z26*1000,VLOOKUP(O26,$BH$10:$BI$42,2,))*IFERROR(VLOOKUP(Q26,$BN$10:$BO$18,2,),1),0)</f>
        <v>0</v>
      </c>
      <c r="AH26" s="221">
        <f>IF(AF26="○",U26*IF(D25="低炭素電気へ切替",AA26*1000,VLOOKUP(T26,$BH$10:$BI$42,2,))*VLOOKUP(V26,$BN$10:$BO$18,2,),0)</f>
        <v>0</v>
      </c>
      <c r="AI26" s="182"/>
      <c r="AJ26" s="241">
        <v>17</v>
      </c>
      <c r="AK26" s="2909"/>
      <c r="AL26" s="2919"/>
      <c r="AM26" s="268" t="s">
        <v>214</v>
      </c>
      <c r="AN26" s="244">
        <v>26.9</v>
      </c>
      <c r="AO26" s="245" t="s">
        <v>206</v>
      </c>
      <c r="AP26" s="246">
        <v>2.5499999999999998E-2</v>
      </c>
      <c r="AQ26" s="245" t="s">
        <v>196</v>
      </c>
      <c r="AR26" s="247">
        <f t="shared" si="2"/>
        <v>2.5151499999999998</v>
      </c>
      <c r="AS26" s="248" t="s">
        <v>381</v>
      </c>
      <c r="AT26" s="205"/>
      <c r="AU26" s="230"/>
      <c r="AV26" s="205"/>
      <c r="AW26" s="205"/>
      <c r="AX26" s="205"/>
      <c r="AY26" s="205"/>
      <c r="AZ26" s="205"/>
      <c r="BA26" s="205"/>
      <c r="BB26" s="205"/>
      <c r="BC26" s="205"/>
      <c r="BD26" s="205"/>
      <c r="BE26" s="249">
        <f t="shared" si="11"/>
        <v>17</v>
      </c>
      <c r="BF26" s="250">
        <f t="shared" si="3"/>
        <v>0</v>
      </c>
      <c r="BG26" s="248" t="str">
        <f t="shared" si="4"/>
        <v>無煙炭</v>
      </c>
      <c r="BH26" s="251" t="str">
        <f t="shared" si="12"/>
        <v>無煙炭</v>
      </c>
      <c r="BI26" s="252">
        <f t="shared" si="5"/>
        <v>2.5151499999999998</v>
      </c>
      <c r="BJ26" s="253" t="str">
        <f t="shared" si="6"/>
        <v>tCO2/t</v>
      </c>
      <c r="BK26" s="254" t="str">
        <f t="shared" si="13"/>
        <v>t</v>
      </c>
      <c r="BL26" s="255" t="str">
        <f t="shared" si="14"/>
        <v>kg</v>
      </c>
      <c r="BM26" s="205"/>
      <c r="BN26" s="205"/>
      <c r="BO26" s="205"/>
      <c r="BP26" s="205"/>
      <c r="BQ26" s="182"/>
      <c r="BR26" s="182"/>
      <c r="BS26" s="182"/>
      <c r="BT26" s="182"/>
    </row>
    <row r="27" spans="2:72" ht="42.95" customHeight="1" thickBot="1">
      <c r="B27" s="2718"/>
      <c r="C27" s="2893"/>
      <c r="D27" s="2894"/>
      <c r="E27" s="2894"/>
      <c r="F27" s="2895"/>
      <c r="G27" s="2896"/>
      <c r="H27" s="2896"/>
      <c r="I27" s="2896"/>
      <c r="J27" s="2897"/>
      <c r="K27" s="2898"/>
      <c r="L27" s="2899"/>
      <c r="M27" s="182"/>
      <c r="N27" s="2901"/>
      <c r="O27" s="1324"/>
      <c r="P27" s="408"/>
      <c r="Q27" s="409"/>
      <c r="R27" s="400" t="str">
        <f t="shared" si="7"/>
        <v/>
      </c>
      <c r="S27" s="2912"/>
      <c r="T27" s="1324"/>
      <c r="U27" s="408"/>
      <c r="V27" s="409"/>
      <c r="W27" s="401" t="str">
        <f t="shared" si="8"/>
        <v/>
      </c>
      <c r="X27" s="2906"/>
      <c r="Y27" s="182"/>
      <c r="Z27" s="1677"/>
      <c r="AA27" s="1678"/>
      <c r="AB27" s="182"/>
      <c r="AC27" s="220" t="str">
        <f t="shared" si="0"/>
        <v/>
      </c>
      <c r="AD27" s="220" t="str">
        <f t="shared" si="1"/>
        <v/>
      </c>
      <c r="AE27" s="221" t="str">
        <f t="shared" si="9"/>
        <v/>
      </c>
      <c r="AF27" s="221" t="str">
        <f t="shared" si="10"/>
        <v/>
      </c>
      <c r="AG27" s="221">
        <f>IF(AE27="○",P27*IF(D25="低炭素電気へ切替",Z27*1000,VLOOKUP(O27,$BH$10:$BI$42,2,))*IFERROR(VLOOKUP(Q27,$BN$10:$BO$18,2,),1),0)</f>
        <v>0</v>
      </c>
      <c r="AH27" s="221">
        <f>IF(AF27="○",U27*IF(D25="低炭素電気へ切替",AA27*1000,VLOOKUP(T27,$BH$10:$BI$42,2,))*VLOOKUP(V27,$BN$10:$BO$18,2,),0)</f>
        <v>0</v>
      </c>
      <c r="AI27" s="182"/>
      <c r="AJ27" s="241">
        <v>18</v>
      </c>
      <c r="AK27" s="2909"/>
      <c r="AL27" s="242" t="s">
        <v>389</v>
      </c>
      <c r="AM27" s="243"/>
      <c r="AN27" s="244">
        <v>29.4</v>
      </c>
      <c r="AO27" s="245" t="s">
        <v>206</v>
      </c>
      <c r="AP27" s="246">
        <v>2.9399999999999999E-2</v>
      </c>
      <c r="AQ27" s="245" t="s">
        <v>196</v>
      </c>
      <c r="AR27" s="247">
        <f t="shared" si="2"/>
        <v>3.1693199999999995</v>
      </c>
      <c r="AS27" s="248" t="s">
        <v>381</v>
      </c>
      <c r="AT27" s="205"/>
      <c r="AU27" s="230"/>
      <c r="AV27" s="205"/>
      <c r="AW27" s="205"/>
      <c r="AX27" s="205"/>
      <c r="AY27" s="205"/>
      <c r="AZ27" s="205"/>
      <c r="BA27" s="205"/>
      <c r="BB27" s="205"/>
      <c r="BC27" s="205"/>
      <c r="BD27" s="205"/>
      <c r="BE27" s="249">
        <f t="shared" si="11"/>
        <v>18</v>
      </c>
      <c r="BF27" s="250" t="str">
        <f t="shared" si="3"/>
        <v>石炭コークス</v>
      </c>
      <c r="BG27" s="248">
        <f t="shared" si="4"/>
        <v>0</v>
      </c>
      <c r="BH27" s="251" t="str">
        <f t="shared" si="12"/>
        <v>石炭コークス</v>
      </c>
      <c r="BI27" s="252">
        <f t="shared" si="5"/>
        <v>3.1693199999999995</v>
      </c>
      <c r="BJ27" s="253" t="str">
        <f t="shared" si="6"/>
        <v>tCO2/t</v>
      </c>
      <c r="BK27" s="254" t="str">
        <f t="shared" si="13"/>
        <v>t</v>
      </c>
      <c r="BL27" s="255" t="str">
        <f t="shared" si="14"/>
        <v>kg</v>
      </c>
      <c r="BM27" s="205"/>
      <c r="BN27" s="205"/>
      <c r="BO27" s="205"/>
      <c r="BP27" s="205"/>
      <c r="BQ27" s="182"/>
      <c r="BR27" s="182"/>
      <c r="BS27" s="182"/>
      <c r="BT27" s="182"/>
    </row>
    <row r="28" spans="2:72" ht="42.95" customHeight="1">
      <c r="B28" s="2718">
        <v>7</v>
      </c>
      <c r="C28" s="2893"/>
      <c r="D28" s="2894"/>
      <c r="E28" s="2894"/>
      <c r="F28" s="2895"/>
      <c r="G28" s="2896"/>
      <c r="H28" s="2896"/>
      <c r="I28" s="2896"/>
      <c r="J28" s="2897"/>
      <c r="K28" s="2898" t="str">
        <f>X28</f>
        <v/>
      </c>
      <c r="L28" s="2899"/>
      <c r="M28" s="182"/>
      <c r="N28" s="2900"/>
      <c r="O28" s="962"/>
      <c r="P28" s="406"/>
      <c r="Q28" s="407"/>
      <c r="R28" s="395" t="str">
        <f t="shared" si="7"/>
        <v/>
      </c>
      <c r="S28" s="2911"/>
      <c r="T28" s="962"/>
      <c r="U28" s="406"/>
      <c r="V28" s="407"/>
      <c r="W28" s="396" t="str">
        <f t="shared" si="8"/>
        <v/>
      </c>
      <c r="X28" s="2905" t="str">
        <f>IF(AND(AE28&lt;&gt;"×",AF28&lt;&gt;"×",OR(AE28="○",AF28="○")),AG28-AH28+AG29-AH29+AG30-AH30,"")</f>
        <v/>
      </c>
      <c r="Y28" s="182"/>
      <c r="Z28" s="1673"/>
      <c r="AA28" s="1674"/>
      <c r="AB28" s="182"/>
      <c r="AC28" s="220" t="str">
        <f t="shared" si="0"/>
        <v/>
      </c>
      <c r="AD28" s="220" t="str">
        <f t="shared" si="1"/>
        <v/>
      </c>
      <c r="AE28" s="221" t="str">
        <f t="shared" si="9"/>
        <v/>
      </c>
      <c r="AF28" s="221" t="str">
        <f t="shared" si="10"/>
        <v/>
      </c>
      <c r="AG28" s="221">
        <f>IF(AE28="○",P28*IF(D28="低炭素電気へ切替",Z28*1000,VLOOKUP(O28,$BH$10:$BI$42,2,))*IFERROR(VLOOKUP(Q28,$BN$10:$BO$18,2,),1),0)</f>
        <v>0</v>
      </c>
      <c r="AH28" s="221">
        <f>IF(AF28="○",U28*IF(D28="低炭素電気へ切替",AA28*1000,VLOOKUP(T28,$BH$10:$BI$42,2,))*VLOOKUP(V28,$BN$10:$BO$18,2,),0)</f>
        <v>0</v>
      </c>
      <c r="AI28" s="182"/>
      <c r="AJ28" s="241">
        <v>19</v>
      </c>
      <c r="AK28" s="2909"/>
      <c r="AL28" s="242" t="s">
        <v>215</v>
      </c>
      <c r="AM28" s="243"/>
      <c r="AN28" s="244">
        <v>37.299999999999997</v>
      </c>
      <c r="AO28" s="245" t="s">
        <v>206</v>
      </c>
      <c r="AP28" s="246">
        <v>2.0899999999999998E-2</v>
      </c>
      <c r="AQ28" s="245" t="s">
        <v>196</v>
      </c>
      <c r="AR28" s="247">
        <f t="shared" si="2"/>
        <v>2.8584233333333326</v>
      </c>
      <c r="AS28" s="248" t="s">
        <v>381</v>
      </c>
      <c r="AT28" s="205"/>
      <c r="AU28" s="230"/>
      <c r="AV28" s="205"/>
      <c r="AW28" s="205"/>
      <c r="AX28" s="205"/>
      <c r="AY28" s="205"/>
      <c r="AZ28" s="205"/>
      <c r="BA28" s="205"/>
      <c r="BB28" s="205"/>
      <c r="BC28" s="205"/>
      <c r="BD28" s="205"/>
      <c r="BE28" s="249">
        <f>BE27+1</f>
        <v>19</v>
      </c>
      <c r="BF28" s="250" t="str">
        <f t="shared" si="3"/>
        <v>コールタール</v>
      </c>
      <c r="BG28" s="248">
        <f t="shared" si="4"/>
        <v>0</v>
      </c>
      <c r="BH28" s="251" t="str">
        <f t="shared" si="12"/>
        <v>コールタール</v>
      </c>
      <c r="BI28" s="252">
        <f t="shared" si="5"/>
        <v>2.8584233333333326</v>
      </c>
      <c r="BJ28" s="253" t="str">
        <f t="shared" si="6"/>
        <v>tCO2/t</v>
      </c>
      <c r="BK28" s="254" t="str">
        <f t="shared" si="13"/>
        <v>t</v>
      </c>
      <c r="BL28" s="255" t="str">
        <f t="shared" si="14"/>
        <v>kg</v>
      </c>
      <c r="BM28" s="205"/>
      <c r="BN28" s="205"/>
      <c r="BO28" s="205"/>
      <c r="BP28" s="205"/>
      <c r="BQ28" s="182"/>
      <c r="BR28" s="182"/>
      <c r="BS28" s="182"/>
      <c r="BT28" s="182"/>
    </row>
    <row r="29" spans="2:72" ht="42.95" customHeight="1">
      <c r="B29" s="2718"/>
      <c r="C29" s="2893"/>
      <c r="D29" s="2894"/>
      <c r="E29" s="2894"/>
      <c r="F29" s="2895"/>
      <c r="G29" s="2896"/>
      <c r="H29" s="2896"/>
      <c r="I29" s="2896"/>
      <c r="J29" s="2897"/>
      <c r="K29" s="2898"/>
      <c r="L29" s="2899"/>
      <c r="M29" s="182"/>
      <c r="N29" s="2901"/>
      <c r="O29" s="962"/>
      <c r="P29" s="406"/>
      <c r="Q29" s="407"/>
      <c r="R29" s="395" t="str">
        <f t="shared" si="7"/>
        <v/>
      </c>
      <c r="S29" s="2912"/>
      <c r="T29" s="962"/>
      <c r="U29" s="406"/>
      <c r="V29" s="407"/>
      <c r="W29" s="396" t="str">
        <f t="shared" si="8"/>
        <v/>
      </c>
      <c r="X29" s="2906"/>
      <c r="Y29" s="182"/>
      <c r="Z29" s="1675"/>
      <c r="AA29" s="1676"/>
      <c r="AB29" s="182"/>
      <c r="AC29" s="220" t="str">
        <f t="shared" si="0"/>
        <v/>
      </c>
      <c r="AD29" s="220" t="str">
        <f t="shared" si="1"/>
        <v/>
      </c>
      <c r="AE29" s="221" t="str">
        <f t="shared" si="9"/>
        <v/>
      </c>
      <c r="AF29" s="221" t="str">
        <f t="shared" si="10"/>
        <v/>
      </c>
      <c r="AG29" s="221">
        <f>IF(AE29="○",P29*IF(D28="低炭素電気へ切替",Z29*1000,VLOOKUP(O29,$BH$10:$BI$42,2,))*IFERROR(VLOOKUP(Q29,$BN$10:$BO$18,2,),1),0)</f>
        <v>0</v>
      </c>
      <c r="AH29" s="221">
        <f>IF(AF29="○",U29*IF(D28="低炭素電気へ切替",AA29*1000,VLOOKUP(T29,$BH$10:$BI$42,2,))*VLOOKUP(V29,$BN$10:$BO$18,2,),0)</f>
        <v>0</v>
      </c>
      <c r="AI29" s="182"/>
      <c r="AJ29" s="241">
        <v>20</v>
      </c>
      <c r="AK29" s="2909"/>
      <c r="AL29" s="242" t="s">
        <v>216</v>
      </c>
      <c r="AM29" s="243"/>
      <c r="AN29" s="244">
        <v>21.1</v>
      </c>
      <c r="AO29" s="245" t="s">
        <v>385</v>
      </c>
      <c r="AP29" s="246">
        <v>1.0999999999999999E-2</v>
      </c>
      <c r="AQ29" s="245" t="s">
        <v>196</v>
      </c>
      <c r="AR29" s="247">
        <f t="shared" si="2"/>
        <v>0.85103333333333342</v>
      </c>
      <c r="AS29" s="248" t="s">
        <v>386</v>
      </c>
      <c r="AT29" s="205"/>
      <c r="AU29" s="230"/>
      <c r="AV29" s="205"/>
      <c r="AW29" s="205"/>
      <c r="AX29" s="205"/>
      <c r="AY29" s="205"/>
      <c r="AZ29" s="205"/>
      <c r="BA29" s="205"/>
      <c r="BB29" s="205"/>
      <c r="BC29" s="205"/>
      <c r="BD29" s="205"/>
      <c r="BE29" s="249">
        <f t="shared" ref="BE29:BE42" si="15">BE28+1</f>
        <v>20</v>
      </c>
      <c r="BF29" s="250" t="str">
        <f t="shared" si="3"/>
        <v>コークス炉ガス</v>
      </c>
      <c r="BG29" s="248">
        <f t="shared" si="4"/>
        <v>0</v>
      </c>
      <c r="BH29" s="251" t="str">
        <f t="shared" si="12"/>
        <v>コークス炉ガス</v>
      </c>
      <c r="BI29" s="252">
        <f t="shared" si="5"/>
        <v>0.85103333333333342</v>
      </c>
      <c r="BJ29" s="253" t="str">
        <f t="shared" si="6"/>
        <v>tCO2/千m3</v>
      </c>
      <c r="BK29" s="254" t="str">
        <f t="shared" si="13"/>
        <v>千m3</v>
      </c>
      <c r="BL29" s="255" t="str">
        <f t="shared" si="14"/>
        <v>m3</v>
      </c>
      <c r="BM29" s="205"/>
      <c r="BN29" s="205"/>
      <c r="BO29" s="205"/>
      <c r="BP29" s="205"/>
      <c r="BQ29" s="182"/>
      <c r="BR29" s="182"/>
      <c r="BS29" s="182"/>
      <c r="BT29" s="182"/>
    </row>
    <row r="30" spans="2:72" ht="42.95" customHeight="1" thickBot="1">
      <c r="B30" s="2718"/>
      <c r="C30" s="2893"/>
      <c r="D30" s="2894"/>
      <c r="E30" s="2894"/>
      <c r="F30" s="2895"/>
      <c r="G30" s="2896"/>
      <c r="H30" s="2896"/>
      <c r="I30" s="2896"/>
      <c r="J30" s="2897"/>
      <c r="K30" s="2898"/>
      <c r="L30" s="2899"/>
      <c r="M30" s="182"/>
      <c r="N30" s="2902"/>
      <c r="O30" s="962"/>
      <c r="P30" s="406"/>
      <c r="Q30" s="407"/>
      <c r="R30" s="395" t="str">
        <f t="shared" si="7"/>
        <v/>
      </c>
      <c r="S30" s="2920"/>
      <c r="T30" s="962"/>
      <c r="U30" s="406"/>
      <c r="V30" s="407"/>
      <c r="W30" s="396" t="str">
        <f t="shared" si="8"/>
        <v/>
      </c>
      <c r="X30" s="2907"/>
      <c r="Y30" s="182"/>
      <c r="Z30" s="1677"/>
      <c r="AA30" s="1678"/>
      <c r="AB30" s="182"/>
      <c r="AC30" s="220" t="str">
        <f t="shared" si="0"/>
        <v/>
      </c>
      <c r="AD30" s="220" t="str">
        <f t="shared" si="1"/>
        <v/>
      </c>
      <c r="AE30" s="221" t="str">
        <f t="shared" si="9"/>
        <v/>
      </c>
      <c r="AF30" s="221" t="str">
        <f t="shared" si="10"/>
        <v/>
      </c>
      <c r="AG30" s="221">
        <f>IF(AE30="○",P30*IF(D28="低炭素電気へ切替",Z30*1000,VLOOKUP(O30,$BH$10:$BI$42,2,))*IFERROR(VLOOKUP(Q30,$BN$10:$BO$18,2,),1),0)</f>
        <v>0</v>
      </c>
      <c r="AH30" s="221">
        <f>IF(AF30="○",U30*IF(D28="低炭素電気へ切替",AA30*1000,VLOOKUP(T30,$BH$10:$BI$42,2,))*VLOOKUP(V30,$BN$10:$BO$18,2,),0)</f>
        <v>0</v>
      </c>
      <c r="AI30" s="182"/>
      <c r="AJ30" s="241">
        <v>21</v>
      </c>
      <c r="AK30" s="2909"/>
      <c r="AL30" s="242" t="s">
        <v>217</v>
      </c>
      <c r="AM30" s="243"/>
      <c r="AN30" s="247">
        <v>3.41</v>
      </c>
      <c r="AO30" s="245" t="s">
        <v>385</v>
      </c>
      <c r="AP30" s="246">
        <v>2.6599999999999999E-2</v>
      </c>
      <c r="AQ30" s="245" t="s">
        <v>196</v>
      </c>
      <c r="AR30" s="247">
        <f t="shared" si="2"/>
        <v>0.33258866666666664</v>
      </c>
      <c r="AS30" s="248" t="s">
        <v>386</v>
      </c>
      <c r="AT30" s="205"/>
      <c r="AU30" s="230"/>
      <c r="AV30" s="205"/>
      <c r="AW30" s="205"/>
      <c r="AX30" s="205"/>
      <c r="AY30" s="205"/>
      <c r="AZ30" s="205"/>
      <c r="BA30" s="205"/>
      <c r="BB30" s="205"/>
      <c r="BC30" s="205"/>
      <c r="BD30" s="205"/>
      <c r="BE30" s="249">
        <f t="shared" si="15"/>
        <v>21</v>
      </c>
      <c r="BF30" s="250" t="str">
        <f t="shared" si="3"/>
        <v>高炉ガス</v>
      </c>
      <c r="BG30" s="248">
        <f t="shared" si="4"/>
        <v>0</v>
      </c>
      <c r="BH30" s="251" t="str">
        <f t="shared" si="12"/>
        <v>高炉ガス</v>
      </c>
      <c r="BI30" s="252">
        <f t="shared" si="5"/>
        <v>0.33258866666666664</v>
      </c>
      <c r="BJ30" s="253" t="str">
        <f t="shared" si="6"/>
        <v>tCO2/千m3</v>
      </c>
      <c r="BK30" s="254" t="str">
        <f t="shared" si="13"/>
        <v>千m3</v>
      </c>
      <c r="BL30" s="255" t="str">
        <f t="shared" si="14"/>
        <v>m3</v>
      </c>
      <c r="BM30" s="205"/>
      <c r="BN30" s="205"/>
      <c r="BO30" s="205"/>
      <c r="BP30" s="205"/>
      <c r="BQ30" s="182"/>
      <c r="BR30" s="182"/>
      <c r="BS30" s="182"/>
      <c r="BT30" s="182"/>
    </row>
    <row r="31" spans="2:72" ht="42.95" customHeight="1">
      <c r="B31" s="2718">
        <v>8</v>
      </c>
      <c r="C31" s="2893"/>
      <c r="D31" s="2894"/>
      <c r="E31" s="2894"/>
      <c r="F31" s="2895"/>
      <c r="G31" s="2896"/>
      <c r="H31" s="2896"/>
      <c r="I31" s="2896"/>
      <c r="J31" s="2897"/>
      <c r="K31" s="2898" t="str">
        <f>X31</f>
        <v/>
      </c>
      <c r="L31" s="2899"/>
      <c r="M31" s="182"/>
      <c r="N31" s="2901"/>
      <c r="O31" s="1325"/>
      <c r="P31" s="410"/>
      <c r="Q31" s="411"/>
      <c r="R31" s="402" t="str">
        <f t="shared" si="7"/>
        <v/>
      </c>
      <c r="S31" s="2913"/>
      <c r="T31" s="1325"/>
      <c r="U31" s="410"/>
      <c r="V31" s="411"/>
      <c r="W31" s="403" t="str">
        <f t="shared" si="8"/>
        <v/>
      </c>
      <c r="X31" s="2906" t="str">
        <f>IF(AND(AE31&lt;&gt;"×",AF31&lt;&gt;"×",OR(AE31="○",AF31="○")),AG31-AH31+AG32-AH32+AG33-AH33,"")</f>
        <v/>
      </c>
      <c r="Y31" s="182"/>
      <c r="Z31" s="1673"/>
      <c r="AA31" s="1674"/>
      <c r="AB31" s="182"/>
      <c r="AC31" s="220" t="str">
        <f t="shared" si="0"/>
        <v/>
      </c>
      <c r="AD31" s="220" t="str">
        <f t="shared" si="1"/>
        <v/>
      </c>
      <c r="AE31" s="221" t="str">
        <f t="shared" si="9"/>
        <v/>
      </c>
      <c r="AF31" s="221" t="str">
        <f t="shared" si="10"/>
        <v/>
      </c>
      <c r="AG31" s="221">
        <f>IF(AE31="○",P31*IF(D31="低炭素電気へ切替",Z31*1000,VLOOKUP(O31,$BH$10:$BI$42,2,))*IFERROR(VLOOKUP(Q31,$BN$10:$BO$18,2,),1),0)</f>
        <v>0</v>
      </c>
      <c r="AH31" s="221">
        <f>IF(AF31="○",U31*IF(D31="低炭素電気へ切替",AA31*1000,VLOOKUP(T31,$BH$10:$BI$42,2,))*VLOOKUP(V31,$BN$10:$BO$18,2,),0)</f>
        <v>0</v>
      </c>
      <c r="AI31" s="182"/>
      <c r="AJ31" s="241">
        <v>22</v>
      </c>
      <c r="AK31" s="2909"/>
      <c r="AL31" s="242" t="s">
        <v>218</v>
      </c>
      <c r="AM31" s="243"/>
      <c r="AN31" s="247">
        <v>8.41</v>
      </c>
      <c r="AO31" s="245" t="s">
        <v>385</v>
      </c>
      <c r="AP31" s="246">
        <v>3.8399999999999997E-2</v>
      </c>
      <c r="AQ31" s="245" t="s">
        <v>196</v>
      </c>
      <c r="AR31" s="247">
        <f t="shared" si="2"/>
        <v>1.1841279999999998</v>
      </c>
      <c r="AS31" s="248" t="s">
        <v>386</v>
      </c>
      <c r="AT31" s="205"/>
      <c r="AU31" s="230"/>
      <c r="AV31" s="205"/>
      <c r="AW31" s="205"/>
      <c r="AX31" s="205"/>
      <c r="AY31" s="205"/>
      <c r="AZ31" s="205"/>
      <c r="BA31" s="205"/>
      <c r="BB31" s="205"/>
      <c r="BC31" s="205"/>
      <c r="BD31" s="205"/>
      <c r="BE31" s="249">
        <f t="shared" si="15"/>
        <v>22</v>
      </c>
      <c r="BF31" s="250" t="str">
        <f t="shared" si="3"/>
        <v>転炉ガス</v>
      </c>
      <c r="BG31" s="248">
        <f t="shared" si="4"/>
        <v>0</v>
      </c>
      <c r="BH31" s="251" t="str">
        <f t="shared" si="12"/>
        <v>転炉ガス</v>
      </c>
      <c r="BI31" s="252">
        <f t="shared" si="5"/>
        <v>1.1841279999999998</v>
      </c>
      <c r="BJ31" s="253" t="str">
        <f t="shared" si="6"/>
        <v>tCO2/千m3</v>
      </c>
      <c r="BK31" s="254" t="str">
        <f t="shared" si="13"/>
        <v>千m3</v>
      </c>
      <c r="BL31" s="255" t="str">
        <f t="shared" si="14"/>
        <v>m3</v>
      </c>
      <c r="BM31" s="205"/>
      <c r="BN31" s="205"/>
      <c r="BO31" s="205"/>
      <c r="BP31" s="205"/>
      <c r="BQ31" s="182"/>
      <c r="BR31" s="182"/>
      <c r="BS31" s="182"/>
      <c r="BT31" s="182"/>
    </row>
    <row r="32" spans="2:72" ht="42.95" customHeight="1">
      <c r="B32" s="2718"/>
      <c r="C32" s="2893"/>
      <c r="D32" s="2894"/>
      <c r="E32" s="2894"/>
      <c r="F32" s="2895"/>
      <c r="G32" s="2896"/>
      <c r="H32" s="2896"/>
      <c r="I32" s="2896"/>
      <c r="J32" s="2897"/>
      <c r="K32" s="2898"/>
      <c r="L32" s="2899"/>
      <c r="M32" s="182"/>
      <c r="N32" s="2901"/>
      <c r="O32" s="962"/>
      <c r="P32" s="406"/>
      <c r="Q32" s="407"/>
      <c r="R32" s="395" t="str">
        <f t="shared" si="7"/>
        <v/>
      </c>
      <c r="S32" s="2912"/>
      <c r="T32" s="962"/>
      <c r="U32" s="406"/>
      <c r="V32" s="407"/>
      <c r="W32" s="396" t="str">
        <f t="shared" si="8"/>
        <v/>
      </c>
      <c r="X32" s="2906"/>
      <c r="Y32" s="182"/>
      <c r="Z32" s="1675"/>
      <c r="AA32" s="1676"/>
      <c r="AB32" s="182"/>
      <c r="AC32" s="220" t="str">
        <f t="shared" si="0"/>
        <v/>
      </c>
      <c r="AD32" s="220" t="str">
        <f t="shared" si="1"/>
        <v/>
      </c>
      <c r="AE32" s="221" t="str">
        <f t="shared" si="9"/>
        <v/>
      </c>
      <c r="AF32" s="221" t="str">
        <f t="shared" si="10"/>
        <v/>
      </c>
      <c r="AG32" s="221">
        <f>IF(AE32="○",P32*IF(D31="低炭素電気へ切替",Z32*1000,VLOOKUP(O32,$BH$10:$BI$42,2,))*IFERROR(VLOOKUP(Q32,$BN$10:$BO$18,2,),1),0)</f>
        <v>0</v>
      </c>
      <c r="AH32" s="221">
        <f>IF(AF32="○",U32*IF(D31="低炭素電気へ切替",AA32*1000,VLOOKUP(T32,$BH$10:$BI$42,2,))*VLOOKUP(V32,$BN$10:$BO$18,2,),0)</f>
        <v>0</v>
      </c>
      <c r="AI32" s="182"/>
      <c r="AJ32" s="241">
        <v>23</v>
      </c>
      <c r="AK32" s="2909"/>
      <c r="AL32" s="2921" t="s">
        <v>390</v>
      </c>
      <c r="AM32" s="2922"/>
      <c r="AN32" s="244">
        <v>45</v>
      </c>
      <c r="AO32" s="245" t="s">
        <v>385</v>
      </c>
      <c r="AP32" s="246">
        <v>1.3899999999999999E-2</v>
      </c>
      <c r="AQ32" s="245" t="s">
        <v>196</v>
      </c>
      <c r="AR32" s="270">
        <f t="shared" si="2"/>
        <v>2.2934999999999999</v>
      </c>
      <c r="AS32" s="271" t="s">
        <v>386</v>
      </c>
      <c r="AT32" s="205"/>
      <c r="AU32" s="230"/>
      <c r="AV32" s="269"/>
      <c r="AW32" s="205"/>
      <c r="AX32" s="205"/>
      <c r="AY32" s="205"/>
      <c r="AZ32" s="205"/>
      <c r="BA32" s="205"/>
      <c r="BB32" s="205"/>
      <c r="BC32" s="205"/>
      <c r="BD32" s="205"/>
      <c r="BE32" s="249">
        <f t="shared" si="15"/>
        <v>23</v>
      </c>
      <c r="BF32" s="250" t="str">
        <f t="shared" si="3"/>
        <v>都市ガス</v>
      </c>
      <c r="BG32" s="248">
        <f t="shared" si="4"/>
        <v>0</v>
      </c>
      <c r="BH32" s="251" t="str">
        <f t="shared" si="12"/>
        <v>都市ガス</v>
      </c>
      <c r="BI32" s="252">
        <f t="shared" si="5"/>
        <v>2.2934999999999999</v>
      </c>
      <c r="BJ32" s="253" t="str">
        <f t="shared" si="6"/>
        <v>tCO2/千m3</v>
      </c>
      <c r="BK32" s="254" t="str">
        <f t="shared" si="13"/>
        <v>千m3</v>
      </c>
      <c r="BL32" s="255" t="str">
        <f t="shared" si="14"/>
        <v>m3</v>
      </c>
      <c r="BM32" s="205"/>
      <c r="BN32" s="205"/>
      <c r="BO32" s="205"/>
      <c r="BP32" s="205"/>
      <c r="BQ32" s="182"/>
      <c r="BR32" s="182"/>
      <c r="BS32" s="182"/>
      <c r="BT32" s="182"/>
    </row>
    <row r="33" spans="2:72" ht="42.95" customHeight="1" thickBot="1">
      <c r="B33" s="2718"/>
      <c r="C33" s="2893"/>
      <c r="D33" s="2894"/>
      <c r="E33" s="2894"/>
      <c r="F33" s="2895"/>
      <c r="G33" s="2896"/>
      <c r="H33" s="2896"/>
      <c r="I33" s="2896"/>
      <c r="J33" s="2897"/>
      <c r="K33" s="2898"/>
      <c r="L33" s="2899"/>
      <c r="M33" s="182"/>
      <c r="N33" s="2901"/>
      <c r="O33" s="1324"/>
      <c r="P33" s="408"/>
      <c r="Q33" s="409"/>
      <c r="R33" s="400" t="str">
        <f t="shared" si="7"/>
        <v/>
      </c>
      <c r="S33" s="2912"/>
      <c r="T33" s="1324"/>
      <c r="U33" s="408"/>
      <c r="V33" s="409"/>
      <c r="W33" s="401" t="str">
        <f t="shared" si="8"/>
        <v/>
      </c>
      <c r="X33" s="2906"/>
      <c r="Y33" s="182"/>
      <c r="Z33" s="1677"/>
      <c r="AA33" s="1678"/>
      <c r="AB33" s="182"/>
      <c r="AC33" s="220" t="str">
        <f t="shared" si="0"/>
        <v/>
      </c>
      <c r="AD33" s="220" t="str">
        <f t="shared" si="1"/>
        <v/>
      </c>
      <c r="AE33" s="221" t="str">
        <f t="shared" si="9"/>
        <v/>
      </c>
      <c r="AF33" s="221" t="str">
        <f t="shared" si="10"/>
        <v/>
      </c>
      <c r="AG33" s="221">
        <f>IF(AE33="○",P33*IF(D31="低炭素電気へ切替",Z33*1000,VLOOKUP(O33,$BH$10:$BI$42,2,))*IFERROR(VLOOKUP(Q33,$BN$10:$BO$18,2,),1),0)</f>
        <v>0</v>
      </c>
      <c r="AH33" s="221">
        <f>IF(AF33="○",U33*IF(D31="低炭素電気へ切替",AA33*1000,VLOOKUP(T33,$BH$10:$BI$42,2,))*VLOOKUP(V33,$BN$10:$BO$18,2,),0)</f>
        <v>0</v>
      </c>
      <c r="AI33" s="182"/>
      <c r="AJ33" s="241">
        <v>31</v>
      </c>
      <c r="AK33" s="2909"/>
      <c r="AL33" s="272" t="s">
        <v>391</v>
      </c>
      <c r="AM33" s="273"/>
      <c r="AN33" s="274"/>
      <c r="AO33" s="275"/>
      <c r="AP33" s="274"/>
      <c r="AQ33" s="256" t="s">
        <v>196</v>
      </c>
      <c r="AR33" s="247">
        <f t="shared" si="2"/>
        <v>0</v>
      </c>
      <c r="AS33" s="276"/>
      <c r="AT33" s="206" t="s">
        <v>392</v>
      </c>
      <c r="AU33" s="277" t="s">
        <v>393</v>
      </c>
      <c r="AV33" s="278"/>
      <c r="AW33" s="279"/>
      <c r="AX33" s="279"/>
      <c r="AY33" s="279"/>
      <c r="AZ33" s="279"/>
      <c r="BA33" s="279"/>
      <c r="BB33" s="279"/>
      <c r="BC33" s="280"/>
      <c r="BD33" s="205"/>
      <c r="BE33" s="249">
        <f t="shared" si="15"/>
        <v>24</v>
      </c>
      <c r="BF33" s="250" t="str">
        <f t="shared" si="3"/>
        <v>産業用蒸気</v>
      </c>
      <c r="BG33" s="248">
        <f t="shared" si="4"/>
        <v>0</v>
      </c>
      <c r="BH33" s="251" t="str">
        <f t="shared" si="12"/>
        <v>産業用蒸気</v>
      </c>
      <c r="BI33" s="252">
        <f t="shared" si="5"/>
        <v>0.06</v>
      </c>
      <c r="BJ33" s="253" t="str">
        <f t="shared" si="6"/>
        <v>tCO2/GJ</v>
      </c>
      <c r="BK33" s="254" t="str">
        <f t="shared" si="13"/>
        <v>GJ</v>
      </c>
      <c r="BL33" s="255" t="str">
        <f t="shared" si="14"/>
        <v/>
      </c>
      <c r="BM33" s="205"/>
      <c r="BN33" s="205"/>
      <c r="BO33" s="205"/>
      <c r="BP33" s="205"/>
      <c r="BQ33" s="182"/>
      <c r="BR33" s="182"/>
      <c r="BS33" s="182"/>
      <c r="BT33" s="182"/>
    </row>
    <row r="34" spans="2:72" ht="42.95" customHeight="1">
      <c r="B34" s="2718">
        <v>9</v>
      </c>
      <c r="C34" s="2893"/>
      <c r="D34" s="2894"/>
      <c r="E34" s="2894"/>
      <c r="F34" s="2895"/>
      <c r="G34" s="2896"/>
      <c r="H34" s="2896"/>
      <c r="I34" s="2896"/>
      <c r="J34" s="2897"/>
      <c r="K34" s="2898" t="str">
        <f>X34</f>
        <v/>
      </c>
      <c r="L34" s="2899"/>
      <c r="M34" s="182"/>
      <c r="N34" s="2900"/>
      <c r="O34" s="962"/>
      <c r="P34" s="406"/>
      <c r="Q34" s="407"/>
      <c r="R34" s="395" t="str">
        <f t="shared" si="7"/>
        <v/>
      </c>
      <c r="S34" s="2911"/>
      <c r="T34" s="962"/>
      <c r="U34" s="406"/>
      <c r="V34" s="407"/>
      <c r="W34" s="396" t="str">
        <f t="shared" si="8"/>
        <v/>
      </c>
      <c r="X34" s="2905" t="str">
        <f>IF(AND(AE34&lt;&gt;"×",AF34&lt;&gt;"×",OR(AE34="○",AF34="○")),AG34-AH34+AG35-AH35+AG36-AH36,"")</f>
        <v/>
      </c>
      <c r="Y34" s="182"/>
      <c r="Z34" s="1673"/>
      <c r="AA34" s="1674"/>
      <c r="AB34" s="182"/>
      <c r="AC34" s="220" t="str">
        <f t="shared" si="0"/>
        <v/>
      </c>
      <c r="AD34" s="220" t="str">
        <f t="shared" si="1"/>
        <v/>
      </c>
      <c r="AE34" s="221" t="str">
        <f t="shared" si="9"/>
        <v/>
      </c>
      <c r="AF34" s="221" t="str">
        <f t="shared" si="10"/>
        <v/>
      </c>
      <c r="AG34" s="221">
        <f>IF(AE34="○",P34*IF(D34="低炭素電気へ切替",Z34*1000,VLOOKUP(O34,$BH$10:$BI$42,2,))*IFERROR(VLOOKUP(Q34,$BN$10:$BO$18,2,),1),0)</f>
        <v>0</v>
      </c>
      <c r="AH34" s="221">
        <f>IF(AF34="○",U34*IF(D34="低炭素電気へ切替",AA34*1000,VLOOKUP(T34,$BH$10:$BI$42,2,))*VLOOKUP(V34,$BN$10:$BO$18,2,),0)</f>
        <v>0</v>
      </c>
      <c r="AI34" s="182"/>
      <c r="AJ34" s="241">
        <v>32</v>
      </c>
      <c r="AK34" s="2909"/>
      <c r="AL34" s="1313" t="s">
        <v>394</v>
      </c>
      <c r="AM34" s="273"/>
      <c r="AN34" s="274"/>
      <c r="AO34" s="275"/>
      <c r="AP34" s="274"/>
      <c r="AQ34" s="256" t="s">
        <v>196</v>
      </c>
      <c r="AR34" s="247">
        <f t="shared" si="2"/>
        <v>0</v>
      </c>
      <c r="AS34" s="276"/>
      <c r="AT34" s="205"/>
      <c r="AU34" s="281"/>
      <c r="AV34" s="268" t="s">
        <v>219</v>
      </c>
      <c r="AW34" s="242">
        <v>1</v>
      </c>
      <c r="AX34" s="245" t="s">
        <v>395</v>
      </c>
      <c r="AY34" s="242">
        <v>0.02</v>
      </c>
      <c r="AZ34" s="256" t="s">
        <v>196</v>
      </c>
      <c r="BA34" s="282">
        <f>AW34*AY34*44/12</f>
        <v>7.3333333333333334E-2</v>
      </c>
      <c r="BB34" s="248" t="s">
        <v>396</v>
      </c>
      <c r="BC34" s="283"/>
      <c r="BD34" s="205"/>
      <c r="BE34" s="249">
        <f t="shared" si="15"/>
        <v>25</v>
      </c>
      <c r="BF34" s="250" t="str">
        <f t="shared" si="3"/>
        <v>産業用以外の蒸気</v>
      </c>
      <c r="BG34" s="248">
        <f t="shared" si="4"/>
        <v>0</v>
      </c>
      <c r="BH34" s="251" t="str">
        <f t="shared" si="12"/>
        <v>産業用以外の蒸気</v>
      </c>
      <c r="BI34" s="252">
        <f t="shared" si="5"/>
        <v>5.7000000000000002E-2</v>
      </c>
      <c r="BJ34" s="253" t="str">
        <f t="shared" si="6"/>
        <v>tCO2/GJ</v>
      </c>
      <c r="BK34" s="254" t="str">
        <f t="shared" si="13"/>
        <v>GJ</v>
      </c>
      <c r="BL34" s="255" t="str">
        <f t="shared" si="14"/>
        <v/>
      </c>
      <c r="BM34" s="205"/>
      <c r="BN34" s="205"/>
      <c r="BO34" s="205"/>
      <c r="BP34" s="205"/>
      <c r="BQ34" s="182"/>
      <c r="BR34" s="182"/>
      <c r="BS34" s="182"/>
      <c r="BT34" s="182"/>
    </row>
    <row r="35" spans="2:72" ht="42.95" customHeight="1">
      <c r="B35" s="2718"/>
      <c r="C35" s="2893"/>
      <c r="D35" s="2894"/>
      <c r="E35" s="2894"/>
      <c r="F35" s="2895"/>
      <c r="G35" s="2896"/>
      <c r="H35" s="2896"/>
      <c r="I35" s="2896"/>
      <c r="J35" s="2897"/>
      <c r="K35" s="2898"/>
      <c r="L35" s="2899"/>
      <c r="M35" s="182"/>
      <c r="N35" s="2901"/>
      <c r="O35" s="962"/>
      <c r="P35" s="406"/>
      <c r="Q35" s="407"/>
      <c r="R35" s="395" t="str">
        <f t="shared" si="7"/>
        <v/>
      </c>
      <c r="S35" s="2912"/>
      <c r="T35" s="962"/>
      <c r="U35" s="406"/>
      <c r="V35" s="407"/>
      <c r="W35" s="396" t="str">
        <f t="shared" si="8"/>
        <v/>
      </c>
      <c r="X35" s="2906"/>
      <c r="Y35" s="182"/>
      <c r="Z35" s="1675"/>
      <c r="AA35" s="1676"/>
      <c r="AB35" s="182"/>
      <c r="AC35" s="220" t="str">
        <f t="shared" si="0"/>
        <v/>
      </c>
      <c r="AD35" s="220" t="str">
        <f t="shared" si="1"/>
        <v/>
      </c>
      <c r="AE35" s="221" t="str">
        <f t="shared" si="9"/>
        <v/>
      </c>
      <c r="AF35" s="221" t="str">
        <f t="shared" si="10"/>
        <v/>
      </c>
      <c r="AG35" s="221">
        <f>IF(AE35="○",P35*IF(D34="低炭素電気へ切替",Z35*1000,VLOOKUP(O35,$BH$10:$BI$42,2,))*IFERROR(VLOOKUP(Q35,$BN$10:$BO$18,2,),1),0)</f>
        <v>0</v>
      </c>
      <c r="AH35" s="221">
        <f>IF(AF35="○",U35*IF(D34="低炭素電気へ切替",AA35*1000,VLOOKUP(T35,$BH$10:$BI$42,2,))*VLOOKUP(V35,$BN$10:$BO$18,2,),0)</f>
        <v>0</v>
      </c>
      <c r="AI35" s="182"/>
      <c r="AJ35" s="241">
        <v>33</v>
      </c>
      <c r="AK35" s="2910"/>
      <c r="AL35" s="284" t="s">
        <v>397</v>
      </c>
      <c r="AM35" s="273"/>
      <c r="AN35" s="274"/>
      <c r="AO35" s="275"/>
      <c r="AP35" s="285"/>
      <c r="AQ35" s="286" t="s">
        <v>196</v>
      </c>
      <c r="AR35" s="247">
        <f t="shared" si="2"/>
        <v>0</v>
      </c>
      <c r="AS35" s="276"/>
      <c r="AT35" s="205"/>
      <c r="AU35" s="287"/>
      <c r="AV35" s="288"/>
      <c r="AW35" s="289"/>
      <c r="AX35" s="289"/>
      <c r="AY35" s="289"/>
      <c r="AZ35" s="289"/>
      <c r="BA35" s="289"/>
      <c r="BB35" s="289"/>
      <c r="BC35" s="224"/>
      <c r="BD35" s="205"/>
      <c r="BE35" s="249">
        <f t="shared" si="15"/>
        <v>26</v>
      </c>
      <c r="BF35" s="250" t="str">
        <f t="shared" si="3"/>
        <v>温水</v>
      </c>
      <c r="BG35" s="248">
        <f t="shared" si="4"/>
        <v>0</v>
      </c>
      <c r="BH35" s="251" t="str">
        <f t="shared" si="12"/>
        <v>温水</v>
      </c>
      <c r="BI35" s="252">
        <f t="shared" si="5"/>
        <v>5.7000000000000002E-2</v>
      </c>
      <c r="BJ35" s="253" t="str">
        <f t="shared" si="6"/>
        <v>tCO2/GJ</v>
      </c>
      <c r="BK35" s="254" t="str">
        <f t="shared" si="13"/>
        <v>GJ</v>
      </c>
      <c r="BL35" s="255" t="str">
        <f t="shared" si="14"/>
        <v/>
      </c>
      <c r="BM35" s="205"/>
      <c r="BN35" s="205"/>
      <c r="BO35" s="205"/>
      <c r="BP35" s="205"/>
      <c r="BQ35" s="182"/>
      <c r="BR35" s="182"/>
      <c r="BS35" s="182"/>
      <c r="BT35" s="182"/>
    </row>
    <row r="36" spans="2:72" ht="42.95" customHeight="1" thickBot="1">
      <c r="B36" s="2718"/>
      <c r="C36" s="2893"/>
      <c r="D36" s="2894"/>
      <c r="E36" s="2894"/>
      <c r="F36" s="2895"/>
      <c r="G36" s="2896"/>
      <c r="H36" s="2896"/>
      <c r="I36" s="2896"/>
      <c r="J36" s="2897"/>
      <c r="K36" s="2898"/>
      <c r="L36" s="2899"/>
      <c r="M36" s="182"/>
      <c r="N36" s="2902"/>
      <c r="O36" s="962"/>
      <c r="P36" s="406"/>
      <c r="Q36" s="407"/>
      <c r="R36" s="395" t="str">
        <f t="shared" si="7"/>
        <v/>
      </c>
      <c r="S36" s="2920"/>
      <c r="T36" s="962"/>
      <c r="U36" s="406"/>
      <c r="V36" s="407"/>
      <c r="W36" s="396" t="str">
        <f t="shared" si="8"/>
        <v/>
      </c>
      <c r="X36" s="2907"/>
      <c r="Y36" s="182"/>
      <c r="Z36" s="1677"/>
      <c r="AA36" s="1678"/>
      <c r="AB36" s="182"/>
      <c r="AC36" s="220" t="str">
        <f t="shared" si="0"/>
        <v/>
      </c>
      <c r="AD36" s="220" t="str">
        <f t="shared" si="1"/>
        <v/>
      </c>
      <c r="AE36" s="221" t="str">
        <f t="shared" si="9"/>
        <v/>
      </c>
      <c r="AF36" s="221" t="str">
        <f t="shared" si="10"/>
        <v/>
      </c>
      <c r="AG36" s="221">
        <f>IF(AE36="○",P36*IF(D34="低炭素電気へ切替",Z36*1000,VLOOKUP(O36,$BH$10:$BI$42,2,))*IFERROR(VLOOKUP(Q36,$BN$10:$BO$18,2,),1),0)</f>
        <v>0</v>
      </c>
      <c r="AH36" s="221">
        <f>IF(AF36="○",U36*IF(D34="低炭素電気へ切替",AA36*1000,VLOOKUP(T36,$BH$10:$BI$42,2,))*VLOOKUP(V36,$BN$10:$BO$18,2,),0)</f>
        <v>0</v>
      </c>
      <c r="AI36" s="182"/>
      <c r="AJ36" s="241">
        <v>24</v>
      </c>
      <c r="AK36" s="2923" t="s">
        <v>220</v>
      </c>
      <c r="AL36" s="242" t="s">
        <v>221</v>
      </c>
      <c r="AM36" s="243"/>
      <c r="AN36" s="247">
        <v>1.02</v>
      </c>
      <c r="AO36" s="245" t="s">
        <v>222</v>
      </c>
      <c r="AP36" s="290"/>
      <c r="AQ36" s="245"/>
      <c r="AR36" s="291">
        <v>0.06</v>
      </c>
      <c r="AS36" s="248" t="s">
        <v>396</v>
      </c>
      <c r="AT36" s="205"/>
      <c r="AU36" s="230"/>
      <c r="AV36" s="205"/>
      <c r="AW36" s="205"/>
      <c r="AX36" s="205"/>
      <c r="AY36" s="205"/>
      <c r="AZ36" s="205"/>
      <c r="BA36" s="205"/>
      <c r="BB36" s="205"/>
      <c r="BC36" s="205"/>
      <c r="BD36" s="205"/>
      <c r="BE36" s="249">
        <f t="shared" si="15"/>
        <v>27</v>
      </c>
      <c r="BF36" s="250" t="str">
        <f t="shared" si="3"/>
        <v>冷水</v>
      </c>
      <c r="BG36" s="248">
        <f t="shared" si="4"/>
        <v>0</v>
      </c>
      <c r="BH36" s="251" t="str">
        <f t="shared" si="12"/>
        <v>冷水</v>
      </c>
      <c r="BI36" s="252">
        <f t="shared" si="5"/>
        <v>5.7000000000000002E-2</v>
      </c>
      <c r="BJ36" s="253" t="str">
        <f t="shared" si="6"/>
        <v>tCO2/GJ</v>
      </c>
      <c r="BK36" s="254" t="str">
        <f t="shared" si="13"/>
        <v>GJ</v>
      </c>
      <c r="BL36" s="255" t="str">
        <f t="shared" si="14"/>
        <v/>
      </c>
      <c r="BM36" s="205"/>
      <c r="BN36" s="205"/>
      <c r="BO36" s="205"/>
      <c r="BP36" s="205"/>
      <c r="BQ36" s="182"/>
      <c r="BR36" s="182"/>
      <c r="BS36" s="182"/>
      <c r="BT36" s="182"/>
    </row>
    <row r="37" spans="2:72" ht="42.95" customHeight="1">
      <c r="B37" s="2718">
        <v>10</v>
      </c>
      <c r="C37" s="2893"/>
      <c r="D37" s="2894"/>
      <c r="E37" s="2894"/>
      <c r="F37" s="2895"/>
      <c r="G37" s="2896"/>
      <c r="H37" s="2896"/>
      <c r="I37" s="2896"/>
      <c r="J37" s="2897"/>
      <c r="K37" s="2898" t="str">
        <f>X37</f>
        <v/>
      </c>
      <c r="L37" s="2899"/>
      <c r="M37" s="182"/>
      <c r="N37" s="2901"/>
      <c r="O37" s="1325"/>
      <c r="P37" s="410"/>
      <c r="Q37" s="411"/>
      <c r="R37" s="402" t="str">
        <f t="shared" si="7"/>
        <v/>
      </c>
      <c r="S37" s="2913"/>
      <c r="T37" s="1325"/>
      <c r="U37" s="410"/>
      <c r="V37" s="411"/>
      <c r="W37" s="403" t="str">
        <f t="shared" si="8"/>
        <v/>
      </c>
      <c r="X37" s="2906" t="str">
        <f>IF(AND(AE37&lt;&gt;"×",AF37&lt;&gt;"×",OR(AE37="○",AF37="○")),AG37-AH37+AG38-AH38+AG39-AH39,"")</f>
        <v/>
      </c>
      <c r="Y37" s="182"/>
      <c r="Z37" s="1673"/>
      <c r="AA37" s="1674"/>
      <c r="AB37" s="182"/>
      <c r="AC37" s="220" t="str">
        <f t="shared" si="0"/>
        <v/>
      </c>
      <c r="AD37" s="220" t="str">
        <f t="shared" si="1"/>
        <v/>
      </c>
      <c r="AE37" s="221" t="str">
        <f t="shared" si="9"/>
        <v/>
      </c>
      <c r="AF37" s="221" t="str">
        <f t="shared" si="10"/>
        <v/>
      </c>
      <c r="AG37" s="221">
        <f>IF(AE37="○",P37*IF(D37="低炭素電気へ切替",Z37*1000,VLOOKUP(O37,$BH$10:$BI$42,2,))*IFERROR(VLOOKUP(Q37,$BN$10:$BO$18,2,),1),0)</f>
        <v>0</v>
      </c>
      <c r="AH37" s="221">
        <f>IF(AF37="○",U37*IF(D37="低炭素電気へ切替",AA37*1000,VLOOKUP(T37,$BH$10:$BI$42,2,))*VLOOKUP(V37,$BN$10:$BO$18,2,),0)</f>
        <v>0</v>
      </c>
      <c r="AI37" s="182"/>
      <c r="AJ37" s="241">
        <v>25</v>
      </c>
      <c r="AK37" s="2909"/>
      <c r="AL37" s="242" t="s">
        <v>223</v>
      </c>
      <c r="AM37" s="243"/>
      <c r="AN37" s="247">
        <v>1.36</v>
      </c>
      <c r="AO37" s="245" t="s">
        <v>222</v>
      </c>
      <c r="AP37" s="290"/>
      <c r="AQ37" s="245"/>
      <c r="AR37" s="291">
        <v>5.7000000000000002E-2</v>
      </c>
      <c r="AS37" s="248" t="s">
        <v>396</v>
      </c>
      <c r="AT37" s="205"/>
      <c r="AU37" s="230"/>
      <c r="AV37" s="205"/>
      <c r="AW37" s="205"/>
      <c r="AX37" s="205"/>
      <c r="AY37" s="205"/>
      <c r="AZ37" s="205"/>
      <c r="BA37" s="205"/>
      <c r="BB37" s="205"/>
      <c r="BC37" s="205"/>
      <c r="BD37" s="205"/>
      <c r="BE37" s="249">
        <f t="shared" si="15"/>
        <v>28</v>
      </c>
      <c r="BF37" s="250" t="str">
        <f t="shared" si="3"/>
        <v>一般電気事業者</v>
      </c>
      <c r="BG37" s="248" t="str">
        <f t="shared" si="4"/>
        <v>昼間買電</v>
      </c>
      <c r="BH37" s="251" t="str">
        <f t="shared" si="12"/>
        <v>昼間買電</v>
      </c>
      <c r="BI37" s="252">
        <f t="shared" si="5"/>
        <v>0.45700000000000002</v>
      </c>
      <c r="BJ37" s="253" t="str">
        <f t="shared" si="6"/>
        <v>tCO2/千ｋWh</v>
      </c>
      <c r="BK37" s="254" t="str">
        <f t="shared" si="13"/>
        <v>千ｋWh</v>
      </c>
      <c r="BL37" s="255" t="str">
        <f t="shared" si="14"/>
        <v>ｋWh</v>
      </c>
      <c r="BM37" s="205"/>
      <c r="BN37" s="205"/>
      <c r="BO37" s="205"/>
      <c r="BP37" s="205"/>
      <c r="BQ37" s="182"/>
      <c r="BR37" s="182"/>
      <c r="BS37" s="182"/>
      <c r="BT37" s="182"/>
    </row>
    <row r="38" spans="2:72" ht="42.95" customHeight="1">
      <c r="B38" s="2718"/>
      <c r="C38" s="2893"/>
      <c r="D38" s="2894"/>
      <c r="E38" s="2894"/>
      <c r="F38" s="2895"/>
      <c r="G38" s="2896"/>
      <c r="H38" s="2896"/>
      <c r="I38" s="2896"/>
      <c r="J38" s="2897"/>
      <c r="K38" s="2898"/>
      <c r="L38" s="2899"/>
      <c r="M38" s="182"/>
      <c r="N38" s="2901"/>
      <c r="O38" s="962"/>
      <c r="P38" s="406"/>
      <c r="Q38" s="407"/>
      <c r="R38" s="395" t="str">
        <f t="shared" si="7"/>
        <v/>
      </c>
      <c r="S38" s="2912"/>
      <c r="T38" s="962"/>
      <c r="U38" s="406"/>
      <c r="V38" s="407"/>
      <c r="W38" s="396" t="str">
        <f t="shared" si="8"/>
        <v/>
      </c>
      <c r="X38" s="2906"/>
      <c r="Y38" s="182"/>
      <c r="Z38" s="1675"/>
      <c r="AA38" s="1676"/>
      <c r="AB38" s="182"/>
      <c r="AC38" s="220" t="str">
        <f t="shared" si="0"/>
        <v/>
      </c>
      <c r="AD38" s="220" t="str">
        <f t="shared" si="1"/>
        <v/>
      </c>
      <c r="AE38" s="221" t="str">
        <f t="shared" si="9"/>
        <v/>
      </c>
      <c r="AF38" s="221" t="str">
        <f t="shared" si="10"/>
        <v/>
      </c>
      <c r="AG38" s="221">
        <f>IF(AE38="○",P38*IF(D37="低炭素電気へ切替",Z38*1000,VLOOKUP(O38,$BH$10:$BI$42,2,))*IFERROR(VLOOKUP(Q38,$BN$10:$BO$18,2,),1),0)</f>
        <v>0</v>
      </c>
      <c r="AH38" s="221">
        <f>IF(AF38="○",U38*IF(D37="低炭素電気へ切替",AA38*1000,VLOOKUP(T38,$BH$10:$BI$42,2,))*VLOOKUP(V38,$BN$10:$BO$18,2,),0)</f>
        <v>0</v>
      </c>
      <c r="AI38" s="182"/>
      <c r="AJ38" s="241">
        <v>26</v>
      </c>
      <c r="AK38" s="2909"/>
      <c r="AL38" s="242" t="s">
        <v>224</v>
      </c>
      <c r="AM38" s="243"/>
      <c r="AN38" s="247">
        <v>1.36</v>
      </c>
      <c r="AO38" s="245" t="s">
        <v>222</v>
      </c>
      <c r="AP38" s="290"/>
      <c r="AQ38" s="245"/>
      <c r="AR38" s="291">
        <v>5.7000000000000002E-2</v>
      </c>
      <c r="AS38" s="248" t="s">
        <v>396</v>
      </c>
      <c r="AT38" s="205"/>
      <c r="AU38" s="230"/>
      <c r="AV38" s="205"/>
      <c r="AW38" s="205"/>
      <c r="AX38" s="205"/>
      <c r="AY38" s="205"/>
      <c r="AZ38" s="205"/>
      <c r="BA38" s="205"/>
      <c r="BB38" s="205"/>
      <c r="BC38" s="205"/>
      <c r="BD38" s="205"/>
      <c r="BE38" s="249">
        <f t="shared" si="15"/>
        <v>29</v>
      </c>
      <c r="BF38" s="250">
        <f t="shared" si="3"/>
        <v>0</v>
      </c>
      <c r="BG38" s="248" t="str">
        <f t="shared" si="4"/>
        <v>夜間買電</v>
      </c>
      <c r="BH38" s="251" t="str">
        <f t="shared" si="12"/>
        <v>夜間買電</v>
      </c>
      <c r="BI38" s="252">
        <f t="shared" si="5"/>
        <v>0.45700000000000002</v>
      </c>
      <c r="BJ38" s="253" t="str">
        <f t="shared" si="6"/>
        <v>tCO2/千ｋWh</v>
      </c>
      <c r="BK38" s="254" t="str">
        <f t="shared" si="13"/>
        <v>千ｋWh</v>
      </c>
      <c r="BL38" s="255" t="str">
        <f t="shared" si="14"/>
        <v>ｋWh</v>
      </c>
      <c r="BM38" s="205"/>
      <c r="BN38" s="205"/>
      <c r="BO38" s="205"/>
      <c r="BP38" s="205"/>
      <c r="BQ38" s="182"/>
      <c r="BR38" s="182"/>
      <c r="BS38" s="182"/>
      <c r="BT38" s="182"/>
    </row>
    <row r="39" spans="2:72" ht="42.95" customHeight="1" thickBot="1">
      <c r="B39" s="2718"/>
      <c r="C39" s="2893"/>
      <c r="D39" s="2894"/>
      <c r="E39" s="2894"/>
      <c r="F39" s="2895"/>
      <c r="G39" s="2896"/>
      <c r="H39" s="2896"/>
      <c r="I39" s="2896"/>
      <c r="J39" s="2897"/>
      <c r="K39" s="2898"/>
      <c r="L39" s="2899"/>
      <c r="M39" s="182"/>
      <c r="N39" s="2901"/>
      <c r="O39" s="1324"/>
      <c r="P39" s="408"/>
      <c r="Q39" s="409"/>
      <c r="R39" s="400" t="str">
        <f t="shared" si="7"/>
        <v/>
      </c>
      <c r="S39" s="2912"/>
      <c r="T39" s="1324"/>
      <c r="U39" s="408"/>
      <c r="V39" s="409"/>
      <c r="W39" s="401" t="str">
        <f t="shared" si="8"/>
        <v/>
      </c>
      <c r="X39" s="2906"/>
      <c r="Y39" s="182"/>
      <c r="Z39" s="1677"/>
      <c r="AA39" s="1678"/>
      <c r="AB39" s="182"/>
      <c r="AC39" s="220" t="str">
        <f t="shared" si="0"/>
        <v/>
      </c>
      <c r="AD39" s="220" t="str">
        <f t="shared" si="1"/>
        <v/>
      </c>
      <c r="AE39" s="221" t="str">
        <f t="shared" si="9"/>
        <v/>
      </c>
      <c r="AF39" s="221" t="str">
        <f t="shared" si="10"/>
        <v/>
      </c>
      <c r="AG39" s="221">
        <f>IF(AE39="○",P39*IF(D37="低炭素電気へ切替",Z39*1000,VLOOKUP(O39,$BH$10:$BI$42,2,))*IFERROR(VLOOKUP(Q39,$BN$10:$BO$18,2,),1),0)</f>
        <v>0</v>
      </c>
      <c r="AH39" s="221">
        <f>IF(AF39="○",U39*IF(D37="低炭素電気へ切替",AA39*1000,VLOOKUP(T39,$BH$10:$BI$42,2,))*VLOOKUP(V39,$BN$10:$BO$18,2,),0)</f>
        <v>0</v>
      </c>
      <c r="AI39" s="182"/>
      <c r="AJ39" s="292">
        <v>27</v>
      </c>
      <c r="AK39" s="2924"/>
      <c r="AL39" s="293" t="s">
        <v>225</v>
      </c>
      <c r="AM39" s="294"/>
      <c r="AN39" s="295">
        <v>1.36</v>
      </c>
      <c r="AO39" s="296" t="s">
        <v>222</v>
      </c>
      <c r="AP39" s="297"/>
      <c r="AQ39" s="296"/>
      <c r="AR39" s="298">
        <v>5.7000000000000002E-2</v>
      </c>
      <c r="AS39" s="299" t="s">
        <v>396</v>
      </c>
      <c r="AT39" s="205"/>
      <c r="AU39" s="230"/>
      <c r="AV39" s="205"/>
      <c r="AW39" s="205"/>
      <c r="AX39" s="205"/>
      <c r="AY39" s="205"/>
      <c r="AZ39" s="205"/>
      <c r="BA39" s="205"/>
      <c r="BB39" s="205"/>
      <c r="BC39" s="205"/>
      <c r="BD39" s="205"/>
      <c r="BE39" s="249">
        <f t="shared" si="15"/>
        <v>30</v>
      </c>
      <c r="BF39" s="250" t="str">
        <f t="shared" si="3"/>
        <v>その他</v>
      </c>
      <c r="BG39" s="248" t="str">
        <f t="shared" si="4"/>
        <v>上記以外の買電</v>
      </c>
      <c r="BH39" s="251" t="str">
        <f t="shared" si="12"/>
        <v>上記以外の買電</v>
      </c>
      <c r="BI39" s="252">
        <f t="shared" si="5"/>
        <v>0.45700000000000002</v>
      </c>
      <c r="BJ39" s="253" t="str">
        <f t="shared" si="6"/>
        <v>tCO2/千ｋWh</v>
      </c>
      <c r="BK39" s="254" t="str">
        <f t="shared" si="13"/>
        <v>千ｋWh</v>
      </c>
      <c r="BL39" s="255" t="str">
        <f t="shared" si="14"/>
        <v>ｋWh</v>
      </c>
      <c r="BM39" s="205"/>
      <c r="BN39" s="205"/>
      <c r="BO39" s="205"/>
      <c r="BP39" s="205"/>
      <c r="BQ39" s="182"/>
      <c r="BR39" s="182"/>
      <c r="BS39" s="182"/>
      <c r="BT39" s="182"/>
    </row>
    <row r="40" spans="2:72" ht="42.95" customHeight="1" thickBot="1">
      <c r="B40" s="2718">
        <v>11</v>
      </c>
      <c r="C40" s="2893"/>
      <c r="D40" s="2894"/>
      <c r="E40" s="2894"/>
      <c r="F40" s="2895"/>
      <c r="G40" s="2896"/>
      <c r="H40" s="2896"/>
      <c r="I40" s="2896"/>
      <c r="J40" s="2897"/>
      <c r="K40" s="2898" t="str">
        <f>X40</f>
        <v/>
      </c>
      <c r="L40" s="2899"/>
      <c r="M40" s="182"/>
      <c r="N40" s="2900"/>
      <c r="O40" s="962"/>
      <c r="P40" s="406"/>
      <c r="Q40" s="407"/>
      <c r="R40" s="395" t="str">
        <f t="shared" si="7"/>
        <v/>
      </c>
      <c r="S40" s="2911"/>
      <c r="T40" s="962"/>
      <c r="U40" s="406"/>
      <c r="V40" s="407"/>
      <c r="W40" s="396" t="str">
        <f t="shared" si="8"/>
        <v/>
      </c>
      <c r="X40" s="2905" t="str">
        <f>IF(AND(AE40&lt;&gt;"×",AF40&lt;&gt;"×",OR(AE40="○",AF40="○")),AG40-AH40+AG41-AH41+AG42-AH42,"")</f>
        <v/>
      </c>
      <c r="Y40" s="182"/>
      <c r="Z40" s="1673"/>
      <c r="AA40" s="1674"/>
      <c r="AB40" s="182"/>
      <c r="AC40" s="220" t="str">
        <f t="shared" si="0"/>
        <v/>
      </c>
      <c r="AD40" s="220" t="str">
        <f t="shared" si="1"/>
        <v/>
      </c>
      <c r="AE40" s="221" t="str">
        <f t="shared" si="9"/>
        <v/>
      </c>
      <c r="AF40" s="221" t="str">
        <f t="shared" si="10"/>
        <v/>
      </c>
      <c r="AG40" s="221">
        <f>IF(AE40="○",P40*IF(D40="低炭素電気へ切替",Z40*1000,VLOOKUP(O40,$BH$10:$BI$42,2,))*IFERROR(VLOOKUP(Q40,$BN$10:$BO$18,2,),1),0)</f>
        <v>0</v>
      </c>
      <c r="AH40" s="221">
        <f>IF(AF40="○",U40*IF(D40="低炭素電気へ切替",AA40*1000,VLOOKUP(T40,$BH$10:$BI$42,2,))*VLOOKUP(V40,$BN$10:$BO$18,2,),0)</f>
        <v>0</v>
      </c>
      <c r="AI40" s="182"/>
      <c r="AJ40" s="300"/>
      <c r="AK40" s="230"/>
      <c r="AL40" s="205"/>
      <c r="AM40" s="205"/>
      <c r="AN40" s="205"/>
      <c r="AO40" s="205"/>
      <c r="AP40" s="205"/>
      <c r="AQ40" s="205"/>
      <c r="AR40" s="301" t="s">
        <v>439</v>
      </c>
      <c r="AS40" s="205"/>
      <c r="AT40" s="205"/>
      <c r="AU40" s="230"/>
      <c r="AV40" s="205"/>
      <c r="AW40" s="205"/>
      <c r="AX40" s="205"/>
      <c r="AY40" s="205"/>
      <c r="AZ40" s="205"/>
      <c r="BA40" s="205"/>
      <c r="BB40" s="205"/>
      <c r="BC40" s="205"/>
      <c r="BD40" s="205"/>
      <c r="BE40" s="249">
        <f t="shared" si="15"/>
        <v>31</v>
      </c>
      <c r="BF40" s="250" t="s">
        <v>398</v>
      </c>
      <c r="BG40" s="248">
        <f t="shared" si="4"/>
        <v>0</v>
      </c>
      <c r="BH40" s="251" t="str">
        <f t="shared" si="12"/>
        <v>その他の燃料１</v>
      </c>
      <c r="BI40" s="252">
        <f t="shared" si="5"/>
        <v>0</v>
      </c>
      <c r="BJ40" s="253">
        <f t="shared" si="6"/>
        <v>0</v>
      </c>
      <c r="BK40" s="254" t="str">
        <f t="shared" si="13"/>
        <v/>
      </c>
      <c r="BL40" s="255"/>
      <c r="BM40" s="205"/>
      <c r="BN40" s="205"/>
      <c r="BO40" s="205"/>
      <c r="BP40" s="205"/>
      <c r="BQ40" s="182"/>
      <c r="BR40" s="182"/>
      <c r="BS40" s="182"/>
      <c r="BT40" s="182"/>
    </row>
    <row r="41" spans="2:72" ht="42.95" customHeight="1">
      <c r="B41" s="2718"/>
      <c r="C41" s="2893"/>
      <c r="D41" s="2894"/>
      <c r="E41" s="2894"/>
      <c r="F41" s="2895"/>
      <c r="G41" s="2896"/>
      <c r="H41" s="2896"/>
      <c r="I41" s="2896"/>
      <c r="J41" s="2897"/>
      <c r="K41" s="2898"/>
      <c r="L41" s="2899"/>
      <c r="M41" s="182"/>
      <c r="N41" s="2901"/>
      <c r="O41" s="962"/>
      <c r="P41" s="406"/>
      <c r="Q41" s="407"/>
      <c r="R41" s="395" t="str">
        <f t="shared" si="7"/>
        <v/>
      </c>
      <c r="S41" s="2912"/>
      <c r="T41" s="962"/>
      <c r="U41" s="406"/>
      <c r="V41" s="407"/>
      <c r="W41" s="396" t="str">
        <f t="shared" si="8"/>
        <v/>
      </c>
      <c r="X41" s="2906"/>
      <c r="Y41" s="182"/>
      <c r="Z41" s="1675"/>
      <c r="AA41" s="1676"/>
      <c r="AB41" s="182"/>
      <c r="AC41" s="220" t="str">
        <f t="shared" si="0"/>
        <v/>
      </c>
      <c r="AD41" s="220" t="str">
        <f t="shared" si="1"/>
        <v/>
      </c>
      <c r="AE41" s="221" t="str">
        <f t="shared" si="9"/>
        <v/>
      </c>
      <c r="AF41" s="221" t="str">
        <f t="shared" si="10"/>
        <v/>
      </c>
      <c r="AG41" s="221">
        <f>IF(AE41="○",P41*IF(D40="低炭素電気へ切替",Z41*1000,VLOOKUP(O41,$BH$10:$BI$42,2,))*IFERROR(VLOOKUP(Q41,$BN$10:$BO$18,2,),1),0)</f>
        <v>0</v>
      </c>
      <c r="AH41" s="221">
        <f>IF(AF41="○",U41*IF(D40="低炭素電気へ切替",AA41*1000,VLOOKUP(T41,$BH$10:$BI$42,2,))*VLOOKUP(V41,$BN$10:$BO$18,2,),0)</f>
        <v>0</v>
      </c>
      <c r="AI41" s="182"/>
      <c r="AJ41" s="222">
        <v>28</v>
      </c>
      <c r="AK41" s="2908" t="s">
        <v>226</v>
      </c>
      <c r="AL41" s="2925" t="s">
        <v>234</v>
      </c>
      <c r="AM41" s="302" t="s">
        <v>227</v>
      </c>
      <c r="AN41" s="303">
        <v>9.9700000000000006</v>
      </c>
      <c r="AO41" s="304" t="s">
        <v>228</v>
      </c>
      <c r="AP41" s="205"/>
      <c r="AQ41" s="205"/>
      <c r="AR41" s="305">
        <v>0.45700000000000002</v>
      </c>
      <c r="AS41" s="304" t="s">
        <v>229</v>
      </c>
      <c r="AT41" s="269"/>
      <c r="AU41" s="205"/>
      <c r="AV41" s="205"/>
      <c r="AW41" s="205"/>
      <c r="AX41" s="205"/>
      <c r="AY41" s="205"/>
      <c r="AZ41" s="205"/>
      <c r="BA41" s="205"/>
      <c r="BB41" s="205"/>
      <c r="BC41" s="205"/>
      <c r="BD41" s="205"/>
      <c r="BE41" s="249">
        <f t="shared" si="15"/>
        <v>32</v>
      </c>
      <c r="BF41" s="250" t="s">
        <v>399</v>
      </c>
      <c r="BG41" s="248">
        <f t="shared" si="4"/>
        <v>0</v>
      </c>
      <c r="BH41" s="251" t="str">
        <f t="shared" si="12"/>
        <v>その他の燃料２</v>
      </c>
      <c r="BI41" s="252">
        <f t="shared" si="5"/>
        <v>0</v>
      </c>
      <c r="BJ41" s="253">
        <f t="shared" si="6"/>
        <v>0</v>
      </c>
      <c r="BK41" s="254" t="str">
        <f t="shared" si="13"/>
        <v/>
      </c>
      <c r="BL41" s="255"/>
      <c r="BM41" s="205"/>
      <c r="BN41" s="205"/>
      <c r="BO41" s="205"/>
      <c r="BP41" s="205"/>
      <c r="BQ41" s="182"/>
      <c r="BR41" s="182"/>
      <c r="BS41" s="182"/>
      <c r="BT41" s="182"/>
    </row>
    <row r="42" spans="2:72" ht="42.95" customHeight="1" thickBot="1">
      <c r="B42" s="2718"/>
      <c r="C42" s="2893"/>
      <c r="D42" s="2894"/>
      <c r="E42" s="2894"/>
      <c r="F42" s="2895"/>
      <c r="G42" s="2896"/>
      <c r="H42" s="2896"/>
      <c r="I42" s="2896"/>
      <c r="J42" s="2897"/>
      <c r="K42" s="2898"/>
      <c r="L42" s="2899"/>
      <c r="M42" s="182"/>
      <c r="N42" s="2902"/>
      <c r="O42" s="962"/>
      <c r="P42" s="406"/>
      <c r="Q42" s="407"/>
      <c r="R42" s="395" t="str">
        <f t="shared" si="7"/>
        <v/>
      </c>
      <c r="S42" s="2920"/>
      <c r="T42" s="962"/>
      <c r="U42" s="406"/>
      <c r="V42" s="407"/>
      <c r="W42" s="396" t="str">
        <f t="shared" si="8"/>
        <v/>
      </c>
      <c r="X42" s="2907"/>
      <c r="Y42" s="182"/>
      <c r="Z42" s="1677"/>
      <c r="AA42" s="1678"/>
      <c r="AB42" s="182"/>
      <c r="AC42" s="220" t="str">
        <f t="shared" si="0"/>
        <v/>
      </c>
      <c r="AD42" s="220" t="str">
        <f t="shared" si="1"/>
        <v/>
      </c>
      <c r="AE42" s="221" t="str">
        <f t="shared" si="9"/>
        <v/>
      </c>
      <c r="AF42" s="221" t="str">
        <f t="shared" si="10"/>
        <v/>
      </c>
      <c r="AG42" s="221">
        <f>IF(AE42="○",P42*IF(D40="低炭素電気へ切替",Z42*1000,VLOOKUP(O42,$BH$10:$BI$42,2,))*IFERROR(VLOOKUP(Q42,$BN$10:$BO$18,2,),1),0)</f>
        <v>0</v>
      </c>
      <c r="AH42" s="221">
        <f>IF(AF42="○",U42*IF(D40="低炭素電気へ切替",AA42*1000,VLOOKUP(T42,$BH$10:$BI$42,2,))*VLOOKUP(V42,$BN$10:$BO$18,2,),0)</f>
        <v>0</v>
      </c>
      <c r="AI42" s="182"/>
      <c r="AJ42" s="241">
        <v>29</v>
      </c>
      <c r="AK42" s="2909"/>
      <c r="AL42" s="2916"/>
      <c r="AM42" s="268" t="s">
        <v>230</v>
      </c>
      <c r="AN42" s="306">
        <v>9.2799999999999994</v>
      </c>
      <c r="AO42" s="307" t="s">
        <v>228</v>
      </c>
      <c r="AP42" s="205"/>
      <c r="AQ42" s="205"/>
      <c r="AR42" s="308">
        <v>0.45700000000000002</v>
      </c>
      <c r="AS42" s="307" t="s">
        <v>229</v>
      </c>
      <c r="AT42" s="269"/>
      <c r="AU42" s="205"/>
      <c r="AV42" s="205"/>
      <c r="AW42" s="205"/>
      <c r="AX42" s="205"/>
      <c r="AY42" s="205"/>
      <c r="AZ42" s="205"/>
      <c r="BA42" s="205"/>
      <c r="BB42" s="205"/>
      <c r="BC42" s="205"/>
      <c r="BD42" s="205"/>
      <c r="BE42" s="309">
        <f t="shared" si="15"/>
        <v>33</v>
      </c>
      <c r="BF42" s="310" t="s">
        <v>400</v>
      </c>
      <c r="BG42" s="299">
        <f t="shared" si="4"/>
        <v>0</v>
      </c>
      <c r="BH42" s="311" t="str">
        <f t="shared" si="12"/>
        <v>その他の燃料３</v>
      </c>
      <c r="BI42" s="312">
        <f t="shared" si="5"/>
        <v>0</v>
      </c>
      <c r="BJ42" s="313">
        <f t="shared" si="6"/>
        <v>0</v>
      </c>
      <c r="BK42" s="262" t="str">
        <f t="shared" si="13"/>
        <v/>
      </c>
      <c r="BL42" s="314"/>
      <c r="BM42" s="205"/>
      <c r="BN42" s="205"/>
      <c r="BO42" s="205"/>
      <c r="BP42" s="205"/>
      <c r="BQ42" s="182"/>
      <c r="BR42" s="182"/>
      <c r="BS42" s="182"/>
      <c r="BT42" s="182"/>
    </row>
    <row r="43" spans="2:72" ht="42.95" customHeight="1" thickBot="1">
      <c r="B43" s="2718">
        <v>12</v>
      </c>
      <c r="C43" s="2893"/>
      <c r="D43" s="2894"/>
      <c r="E43" s="2894"/>
      <c r="F43" s="2895"/>
      <c r="G43" s="2896"/>
      <c r="H43" s="2896"/>
      <c r="I43" s="2896"/>
      <c r="J43" s="2897"/>
      <c r="K43" s="2898" t="str">
        <f>X43</f>
        <v/>
      </c>
      <c r="L43" s="2899"/>
      <c r="M43" s="182"/>
      <c r="N43" s="2901"/>
      <c r="O43" s="1325"/>
      <c r="P43" s="410"/>
      <c r="Q43" s="411"/>
      <c r="R43" s="402" t="str">
        <f t="shared" si="7"/>
        <v/>
      </c>
      <c r="S43" s="2913"/>
      <c r="T43" s="1325"/>
      <c r="U43" s="410"/>
      <c r="V43" s="411"/>
      <c r="W43" s="403" t="str">
        <f t="shared" si="8"/>
        <v/>
      </c>
      <c r="X43" s="2906" t="str">
        <f>IF(AND(AE43&lt;&gt;"×",AF43&lt;&gt;"×",OR(AE43="○",AF43="○")),AG43-AH43+AG44-AH44+AG45-AH45,"")</f>
        <v/>
      </c>
      <c r="Y43" s="182"/>
      <c r="Z43" s="1673"/>
      <c r="AA43" s="1674"/>
      <c r="AB43" s="182"/>
      <c r="AC43" s="220" t="str">
        <f t="shared" si="0"/>
        <v/>
      </c>
      <c r="AD43" s="220" t="str">
        <f t="shared" si="1"/>
        <v/>
      </c>
      <c r="AE43" s="221" t="str">
        <f t="shared" si="9"/>
        <v/>
      </c>
      <c r="AF43" s="221" t="str">
        <f t="shared" si="10"/>
        <v/>
      </c>
      <c r="AG43" s="221">
        <f>IF(AE43="○",P43*IF(D43="低炭素電気へ切替",Z43*1000,VLOOKUP(O43,$BH$10:$BI$42,2,))*IFERROR(VLOOKUP(Q43,$BN$10:$BO$18,2,),1),0)</f>
        <v>0</v>
      </c>
      <c r="AH43" s="221">
        <f>IF(AF43="○",U43*IF(D43="低炭素電気へ切替",AA43*1000,VLOOKUP(T43,$BH$10:$BI$42,2,))*VLOOKUP(V43,$BN$10:$BO$18,2,),0)</f>
        <v>0</v>
      </c>
      <c r="AI43" s="182"/>
      <c r="AJ43" s="292">
        <v>30</v>
      </c>
      <c r="AK43" s="2924"/>
      <c r="AL43" s="294" t="s">
        <v>231</v>
      </c>
      <c r="AM43" s="315" t="s">
        <v>232</v>
      </c>
      <c r="AN43" s="316">
        <v>9.76</v>
      </c>
      <c r="AO43" s="317" t="s">
        <v>228</v>
      </c>
      <c r="AP43" s="205"/>
      <c r="AQ43" s="205"/>
      <c r="AR43" s="318">
        <v>0.45700000000000002</v>
      </c>
      <c r="AS43" s="317" t="s">
        <v>229</v>
      </c>
      <c r="AT43" s="205"/>
      <c r="AU43" s="205"/>
      <c r="AV43" s="205"/>
      <c r="AW43" s="205"/>
      <c r="AX43" s="205"/>
      <c r="AY43" s="205"/>
      <c r="AZ43" s="205"/>
      <c r="BA43" s="205"/>
      <c r="BB43" s="205"/>
      <c r="BC43" s="205"/>
      <c r="BD43" s="205"/>
      <c r="BE43" s="182"/>
      <c r="BF43" s="182"/>
      <c r="BG43" s="182"/>
      <c r="BH43" s="182"/>
      <c r="BI43" s="182"/>
      <c r="BJ43" s="182"/>
      <c r="BK43" s="182"/>
      <c r="BL43" s="182"/>
      <c r="BM43" s="205"/>
      <c r="BN43" s="205"/>
      <c r="BO43" s="205"/>
      <c r="BP43" s="205"/>
      <c r="BQ43" s="182"/>
      <c r="BR43" s="182"/>
      <c r="BS43" s="182"/>
      <c r="BT43" s="182"/>
    </row>
    <row r="44" spans="2:72" ht="42.95" customHeight="1">
      <c r="B44" s="2718"/>
      <c r="C44" s="2893"/>
      <c r="D44" s="2894"/>
      <c r="E44" s="2894"/>
      <c r="F44" s="2895"/>
      <c r="G44" s="2896"/>
      <c r="H44" s="2896"/>
      <c r="I44" s="2896"/>
      <c r="J44" s="2897"/>
      <c r="K44" s="2898"/>
      <c r="L44" s="2899"/>
      <c r="M44" s="182"/>
      <c r="N44" s="2901"/>
      <c r="O44" s="962"/>
      <c r="P44" s="406"/>
      <c r="Q44" s="407"/>
      <c r="R44" s="395" t="str">
        <f t="shared" si="7"/>
        <v/>
      </c>
      <c r="S44" s="2912"/>
      <c r="T44" s="962"/>
      <c r="U44" s="406"/>
      <c r="V44" s="407"/>
      <c r="W44" s="396" t="str">
        <f t="shared" si="8"/>
        <v/>
      </c>
      <c r="X44" s="2906"/>
      <c r="Y44" s="182"/>
      <c r="Z44" s="1675"/>
      <c r="AA44" s="1676"/>
      <c r="AB44" s="182"/>
      <c r="AC44" s="220" t="str">
        <f t="shared" si="0"/>
        <v/>
      </c>
      <c r="AD44" s="220" t="str">
        <f t="shared" si="1"/>
        <v/>
      </c>
      <c r="AE44" s="221" t="str">
        <f t="shared" si="9"/>
        <v/>
      </c>
      <c r="AF44" s="221" t="str">
        <f t="shared" si="10"/>
        <v/>
      </c>
      <c r="AG44" s="221">
        <f>IF(AE44="○",P44*IF(D43="低炭素電気へ切替",Z44*1000,VLOOKUP(O44,$BH$10:$BI$42,2,))*IFERROR(VLOOKUP(Q44,$BN$10:$BO$18,2,),1),0)</f>
        <v>0</v>
      </c>
      <c r="AH44" s="221">
        <f>IF(AF44="○",U44*IF(D43="低炭素電気へ切替",AA44*1000,VLOOKUP(T44,$BH$10:$BI$42,2,))*VLOOKUP(V44,$BN$10:$BO$18,2,),0)</f>
        <v>0</v>
      </c>
      <c r="AI44" s="182"/>
      <c r="AJ44" s="182"/>
      <c r="AK44" s="319"/>
      <c r="AL44" s="319"/>
      <c r="AM44" s="319"/>
      <c r="AN44" s="319"/>
      <c r="AO44" s="319"/>
      <c r="AP44" s="319"/>
      <c r="AQ44" s="319"/>
      <c r="AR44" s="319"/>
      <c r="AS44" s="319"/>
      <c r="AT44" s="267"/>
      <c r="AU44" s="267"/>
      <c r="AV44" s="267"/>
      <c r="AW44" s="267"/>
      <c r="AX44" s="267"/>
      <c r="AY44" s="267"/>
      <c r="AZ44" s="267"/>
      <c r="BA44" s="267"/>
      <c r="BB44" s="267"/>
      <c r="BC44" s="267"/>
      <c r="BD44" s="267"/>
      <c r="BE44" s="182"/>
      <c r="BF44" s="182"/>
      <c r="BG44" s="182"/>
      <c r="BH44" s="182"/>
      <c r="BI44" s="182"/>
      <c r="BJ44" s="182"/>
      <c r="BK44" s="182"/>
      <c r="BL44" s="182"/>
      <c r="BM44" s="205"/>
      <c r="BN44" s="205"/>
      <c r="BO44" s="205"/>
      <c r="BP44" s="205"/>
      <c r="BQ44" s="182"/>
      <c r="BR44" s="182"/>
      <c r="BS44" s="182"/>
      <c r="BT44" s="182"/>
    </row>
    <row r="45" spans="2:72" ht="42.95" customHeight="1" thickBot="1">
      <c r="B45" s="2718"/>
      <c r="C45" s="2893"/>
      <c r="D45" s="2894"/>
      <c r="E45" s="2894"/>
      <c r="F45" s="2895"/>
      <c r="G45" s="2896"/>
      <c r="H45" s="2896"/>
      <c r="I45" s="2896"/>
      <c r="J45" s="2897"/>
      <c r="K45" s="2898"/>
      <c r="L45" s="2899"/>
      <c r="M45" s="182"/>
      <c r="N45" s="2901"/>
      <c r="O45" s="1324"/>
      <c r="P45" s="408"/>
      <c r="Q45" s="409"/>
      <c r="R45" s="400" t="str">
        <f t="shared" si="7"/>
        <v/>
      </c>
      <c r="S45" s="2912"/>
      <c r="T45" s="1324"/>
      <c r="U45" s="408"/>
      <c r="V45" s="409"/>
      <c r="W45" s="401" t="str">
        <f t="shared" si="8"/>
        <v/>
      </c>
      <c r="X45" s="2906"/>
      <c r="Y45" s="182"/>
      <c r="Z45" s="1677"/>
      <c r="AA45" s="1678"/>
      <c r="AB45" s="182"/>
      <c r="AC45" s="220" t="str">
        <f t="shared" si="0"/>
        <v/>
      </c>
      <c r="AD45" s="220" t="str">
        <f t="shared" si="1"/>
        <v/>
      </c>
      <c r="AE45" s="221" t="str">
        <f t="shared" si="9"/>
        <v/>
      </c>
      <c r="AF45" s="221" t="str">
        <f t="shared" si="10"/>
        <v/>
      </c>
      <c r="AG45" s="221">
        <f>IF(AE45="○",P45*IF(D43="低炭素電気へ切替",Z45*1000,VLOOKUP(O45,$BH$10:$BI$42,2,))*IFERROR(VLOOKUP(Q45,$BN$10:$BO$18,2,),1),0)</f>
        <v>0</v>
      </c>
      <c r="AH45" s="221">
        <f>IF(AF45="○",U45*IF(D43="低炭素電気へ切替",AA45*1000,VLOOKUP(T45,$BH$10:$BI$42,2,))*VLOOKUP(V45,$BN$10:$BO$18,2,),0)</f>
        <v>0</v>
      </c>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205"/>
      <c r="BN45" s="205"/>
      <c r="BO45" s="205"/>
      <c r="BP45" s="205"/>
      <c r="BQ45" s="182"/>
      <c r="BR45" s="182"/>
      <c r="BS45" s="182"/>
      <c r="BT45" s="182"/>
    </row>
    <row r="46" spans="2:72" ht="42.95" customHeight="1">
      <c r="B46" s="2718">
        <v>13</v>
      </c>
      <c r="C46" s="2893"/>
      <c r="D46" s="2894"/>
      <c r="E46" s="2894"/>
      <c r="F46" s="2895"/>
      <c r="G46" s="2896"/>
      <c r="H46" s="2896"/>
      <c r="I46" s="2896"/>
      <c r="J46" s="2897"/>
      <c r="K46" s="2898" t="str">
        <f>X46</f>
        <v/>
      </c>
      <c r="L46" s="2899"/>
      <c r="M46" s="182"/>
      <c r="N46" s="2900"/>
      <c r="O46" s="962"/>
      <c r="P46" s="406"/>
      <c r="Q46" s="407"/>
      <c r="R46" s="395" t="str">
        <f t="shared" si="7"/>
        <v/>
      </c>
      <c r="S46" s="2911"/>
      <c r="T46" s="962"/>
      <c r="U46" s="406"/>
      <c r="V46" s="407"/>
      <c r="W46" s="396" t="str">
        <f t="shared" si="8"/>
        <v/>
      </c>
      <c r="X46" s="2905" t="str">
        <f>IF(AND(AE46&lt;&gt;"×",AF46&lt;&gt;"×",OR(AE46="○",AF46="○")),AG46-AH46+AG47-AH47+AG48-AH48,"")</f>
        <v/>
      </c>
      <c r="Y46" s="182"/>
      <c r="Z46" s="1673"/>
      <c r="AA46" s="1674"/>
      <c r="AB46" s="182"/>
      <c r="AC46" s="220" t="str">
        <f t="shared" si="0"/>
        <v/>
      </c>
      <c r="AD46" s="220" t="str">
        <f t="shared" si="1"/>
        <v/>
      </c>
      <c r="AE46" s="221" t="str">
        <f t="shared" si="9"/>
        <v/>
      </c>
      <c r="AF46" s="221" t="str">
        <f t="shared" si="10"/>
        <v/>
      </c>
      <c r="AG46" s="221">
        <f>IF(AE46="○",P46*IF(D46="低炭素電気へ切替",Z46*1000,VLOOKUP(O46,$BH$10:$BI$42,2,))*IFERROR(VLOOKUP(Q46,$BN$10:$BO$18,2,),1),0)</f>
        <v>0</v>
      </c>
      <c r="AH46" s="221">
        <f>IF(AF46="○",U46*IF(D46="低炭素電気へ切替",AA46*1000,VLOOKUP(T46,$BH$10:$BI$42,2,))*VLOOKUP(V46,$BN$10:$BO$18,2,),0)</f>
        <v>0</v>
      </c>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205"/>
      <c r="BN46" s="205"/>
      <c r="BO46" s="205"/>
      <c r="BP46" s="205"/>
      <c r="BQ46" s="182"/>
      <c r="BR46" s="182"/>
      <c r="BS46" s="182"/>
      <c r="BT46" s="182"/>
    </row>
    <row r="47" spans="2:72" ht="42.95" customHeight="1">
      <c r="B47" s="2718"/>
      <c r="C47" s="2893"/>
      <c r="D47" s="2894"/>
      <c r="E47" s="2894"/>
      <c r="F47" s="2895"/>
      <c r="G47" s="2896"/>
      <c r="H47" s="2896"/>
      <c r="I47" s="2896"/>
      <c r="J47" s="2897"/>
      <c r="K47" s="2898"/>
      <c r="L47" s="2899"/>
      <c r="M47" s="182"/>
      <c r="N47" s="2901"/>
      <c r="O47" s="962"/>
      <c r="P47" s="406"/>
      <c r="Q47" s="407"/>
      <c r="R47" s="395" t="str">
        <f t="shared" si="7"/>
        <v/>
      </c>
      <c r="S47" s="2912"/>
      <c r="T47" s="962"/>
      <c r="U47" s="406"/>
      <c r="V47" s="407"/>
      <c r="W47" s="396" t="str">
        <f t="shared" si="8"/>
        <v/>
      </c>
      <c r="X47" s="2906"/>
      <c r="Y47" s="182"/>
      <c r="Z47" s="1675"/>
      <c r="AA47" s="1676"/>
      <c r="AB47" s="182"/>
      <c r="AC47" s="220" t="str">
        <f t="shared" si="0"/>
        <v/>
      </c>
      <c r="AD47" s="220" t="str">
        <f t="shared" si="1"/>
        <v/>
      </c>
      <c r="AE47" s="221" t="str">
        <f t="shared" si="9"/>
        <v/>
      </c>
      <c r="AF47" s="221" t="str">
        <f t="shared" si="10"/>
        <v/>
      </c>
      <c r="AG47" s="221">
        <f>IF(AE47="○",P47*IF(D46="低炭素電気へ切替",Z47*1000,VLOOKUP(O47,$BH$10:$BI$42,2,))*IFERROR(VLOOKUP(Q47,$BN$10:$BO$18,2,),1),0)</f>
        <v>0</v>
      </c>
      <c r="AH47" s="221">
        <f>IF(AF47="○",U47*IF(D46="低炭素電気へ切替",AA47*1000,VLOOKUP(T47,$BH$10:$BI$42,2,))*VLOOKUP(V47,$BN$10:$BO$18,2,),0)</f>
        <v>0</v>
      </c>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205"/>
      <c r="BN47" s="205"/>
      <c r="BO47" s="205"/>
      <c r="BP47" s="205"/>
      <c r="BQ47" s="182"/>
      <c r="BR47" s="182"/>
      <c r="BS47" s="182"/>
      <c r="BT47" s="182"/>
    </row>
    <row r="48" spans="2:72" ht="42.95" customHeight="1" thickBot="1">
      <c r="B48" s="2718"/>
      <c r="C48" s="2893"/>
      <c r="D48" s="2894"/>
      <c r="E48" s="2894"/>
      <c r="F48" s="2895"/>
      <c r="G48" s="2896"/>
      <c r="H48" s="2896"/>
      <c r="I48" s="2896"/>
      <c r="J48" s="2897"/>
      <c r="K48" s="2898"/>
      <c r="L48" s="2899"/>
      <c r="M48" s="182"/>
      <c r="N48" s="2902"/>
      <c r="O48" s="962"/>
      <c r="P48" s="406"/>
      <c r="Q48" s="407"/>
      <c r="R48" s="395" t="str">
        <f t="shared" si="7"/>
        <v/>
      </c>
      <c r="S48" s="2920"/>
      <c r="T48" s="962"/>
      <c r="U48" s="406"/>
      <c r="V48" s="407"/>
      <c r="W48" s="396" t="str">
        <f t="shared" si="8"/>
        <v/>
      </c>
      <c r="X48" s="2907"/>
      <c r="Y48" s="182"/>
      <c r="Z48" s="1677"/>
      <c r="AA48" s="1678"/>
      <c r="AB48" s="182"/>
      <c r="AC48" s="220" t="str">
        <f t="shared" si="0"/>
        <v/>
      </c>
      <c r="AD48" s="220" t="str">
        <f t="shared" si="1"/>
        <v/>
      </c>
      <c r="AE48" s="221" t="str">
        <f t="shared" si="9"/>
        <v/>
      </c>
      <c r="AF48" s="221" t="str">
        <f t="shared" si="10"/>
        <v/>
      </c>
      <c r="AG48" s="221">
        <f>IF(AE48="○",P48*IF(D46="低炭素電気へ切替",Z48*1000,VLOOKUP(O48,$BH$10:$BI$42,2,))*IFERROR(VLOOKUP(Q48,$BN$10:$BO$18,2,),1),0)</f>
        <v>0</v>
      </c>
      <c r="AH48" s="221">
        <f>IF(AF48="○",U48*IF(D46="低炭素電気へ切替",AA48*1000,VLOOKUP(T48,$BH$10:$BI$42,2,))*VLOOKUP(V48,$BN$10:$BO$18,2,),0)</f>
        <v>0</v>
      </c>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205"/>
      <c r="BN48" s="205"/>
      <c r="BO48" s="205"/>
      <c r="BP48" s="205"/>
      <c r="BQ48" s="182"/>
      <c r="BR48" s="182"/>
      <c r="BS48" s="182"/>
      <c r="BT48" s="182"/>
    </row>
    <row r="49" spans="2:72" ht="42.95" customHeight="1">
      <c r="B49" s="2718">
        <v>14</v>
      </c>
      <c r="C49" s="2893"/>
      <c r="D49" s="2894"/>
      <c r="E49" s="2894"/>
      <c r="F49" s="2895"/>
      <c r="G49" s="2896"/>
      <c r="H49" s="2896"/>
      <c r="I49" s="2896"/>
      <c r="J49" s="2897"/>
      <c r="K49" s="2898" t="str">
        <f>X49</f>
        <v/>
      </c>
      <c r="L49" s="2899"/>
      <c r="M49" s="182"/>
      <c r="N49" s="2901"/>
      <c r="O49" s="1325"/>
      <c r="P49" s="410"/>
      <c r="Q49" s="411"/>
      <c r="R49" s="402" t="str">
        <f t="shared" si="7"/>
        <v/>
      </c>
      <c r="S49" s="2913"/>
      <c r="T49" s="1325"/>
      <c r="U49" s="410"/>
      <c r="V49" s="411"/>
      <c r="W49" s="403" t="str">
        <f t="shared" si="8"/>
        <v/>
      </c>
      <c r="X49" s="2906" t="str">
        <f>IF(AND(AE49&lt;&gt;"×",AF49&lt;&gt;"×",OR(AE49="○",AF49="○")),AG49-AH49+AG50-AH50+AG51-AH51,"")</f>
        <v/>
      </c>
      <c r="Y49" s="182"/>
      <c r="Z49" s="1673"/>
      <c r="AA49" s="1674"/>
      <c r="AB49" s="182"/>
      <c r="AC49" s="220" t="str">
        <f t="shared" si="0"/>
        <v/>
      </c>
      <c r="AD49" s="220" t="str">
        <f t="shared" si="1"/>
        <v/>
      </c>
      <c r="AE49" s="221" t="str">
        <f t="shared" si="9"/>
        <v/>
      </c>
      <c r="AF49" s="221" t="str">
        <f t="shared" si="10"/>
        <v/>
      </c>
      <c r="AG49" s="221">
        <f>IF(AE49="○",P49*IF(D49="低炭素電気へ切替",Z49*1000,VLOOKUP(O49,$BH$10:$BI$42,2,))*IFERROR(VLOOKUP(Q49,$BN$10:$BO$18,2,),1),0)</f>
        <v>0</v>
      </c>
      <c r="AH49" s="221">
        <f>IF(AF49="○",U49*IF(D49="低炭素電気へ切替",AA49*1000,VLOOKUP(T49,$BH$10:$BI$42,2,))*VLOOKUP(V49,$BN$10:$BO$18,2,),0)</f>
        <v>0</v>
      </c>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205"/>
      <c r="BN49" s="205"/>
      <c r="BO49" s="205"/>
      <c r="BP49" s="205"/>
      <c r="BQ49" s="182"/>
      <c r="BR49" s="182"/>
      <c r="BS49" s="182"/>
      <c r="BT49" s="182"/>
    </row>
    <row r="50" spans="2:72" ht="42.95" customHeight="1">
      <c r="B50" s="2718"/>
      <c r="C50" s="2893"/>
      <c r="D50" s="2894"/>
      <c r="E50" s="2894"/>
      <c r="F50" s="2895"/>
      <c r="G50" s="2896"/>
      <c r="H50" s="2896"/>
      <c r="I50" s="2896"/>
      <c r="J50" s="2897"/>
      <c r="K50" s="2898"/>
      <c r="L50" s="2899"/>
      <c r="M50" s="182"/>
      <c r="N50" s="2901"/>
      <c r="O50" s="962"/>
      <c r="P50" s="406"/>
      <c r="Q50" s="407"/>
      <c r="R50" s="395" t="str">
        <f t="shared" si="7"/>
        <v/>
      </c>
      <c r="S50" s="2912"/>
      <c r="T50" s="962"/>
      <c r="U50" s="406"/>
      <c r="V50" s="407"/>
      <c r="W50" s="396" t="str">
        <f t="shared" si="8"/>
        <v/>
      </c>
      <c r="X50" s="2906"/>
      <c r="Y50" s="182"/>
      <c r="Z50" s="1675"/>
      <c r="AA50" s="1676"/>
      <c r="AB50" s="182"/>
      <c r="AC50" s="220" t="str">
        <f t="shared" si="0"/>
        <v/>
      </c>
      <c r="AD50" s="220" t="str">
        <f t="shared" si="1"/>
        <v/>
      </c>
      <c r="AE50" s="221" t="str">
        <f t="shared" si="9"/>
        <v/>
      </c>
      <c r="AF50" s="221" t="str">
        <f t="shared" si="10"/>
        <v/>
      </c>
      <c r="AG50" s="221">
        <f>IF(AE50="○",P50*IF(D49="低炭素電気へ切替",Z50*1000,VLOOKUP(O50,$BH$10:$BI$42,2,))*IFERROR(VLOOKUP(Q50,$BN$10:$BO$18,2,),1),0)</f>
        <v>0</v>
      </c>
      <c r="AH50" s="221">
        <f>IF(AF50="○",U50*IF(D49="低炭素電気へ切替",AA50*1000,VLOOKUP(T50,$BH$10:$BI$42,2,))*VLOOKUP(V50,$BN$10:$BO$18,2,),0)</f>
        <v>0</v>
      </c>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205"/>
      <c r="BN50" s="205"/>
      <c r="BO50" s="205"/>
      <c r="BP50" s="205"/>
      <c r="BQ50" s="182"/>
      <c r="BR50" s="182"/>
      <c r="BS50" s="182"/>
      <c r="BT50" s="182"/>
    </row>
    <row r="51" spans="2:72" ht="42.95" customHeight="1" thickBot="1">
      <c r="B51" s="2718"/>
      <c r="C51" s="2893"/>
      <c r="D51" s="2894"/>
      <c r="E51" s="2894"/>
      <c r="F51" s="2895"/>
      <c r="G51" s="2896"/>
      <c r="H51" s="2896"/>
      <c r="I51" s="2896"/>
      <c r="J51" s="2897"/>
      <c r="K51" s="2898"/>
      <c r="L51" s="2899"/>
      <c r="M51" s="182"/>
      <c r="N51" s="2901"/>
      <c r="O51" s="1324"/>
      <c r="P51" s="408"/>
      <c r="Q51" s="409"/>
      <c r="R51" s="400" t="str">
        <f t="shared" si="7"/>
        <v/>
      </c>
      <c r="S51" s="2912"/>
      <c r="T51" s="1324"/>
      <c r="U51" s="408"/>
      <c r="V51" s="409"/>
      <c r="W51" s="401" t="str">
        <f t="shared" si="8"/>
        <v/>
      </c>
      <c r="X51" s="2906"/>
      <c r="Y51" s="182"/>
      <c r="Z51" s="1677"/>
      <c r="AA51" s="1678"/>
      <c r="AB51" s="182"/>
      <c r="AC51" s="220" t="str">
        <f t="shared" si="0"/>
        <v/>
      </c>
      <c r="AD51" s="220" t="str">
        <f t="shared" si="1"/>
        <v/>
      </c>
      <c r="AE51" s="221" t="str">
        <f t="shared" si="9"/>
        <v/>
      </c>
      <c r="AF51" s="221" t="str">
        <f t="shared" si="10"/>
        <v/>
      </c>
      <c r="AG51" s="221">
        <f>IF(AE51="○",P51*IF(D49="低炭素電気へ切替",Z51*1000,VLOOKUP(O51,$BH$10:$BI$42,2,))*IFERROR(VLOOKUP(Q51,$BN$10:$BO$18,2,),1),0)</f>
        <v>0</v>
      </c>
      <c r="AH51" s="221">
        <f>IF(AF51="○",U51*IF(D49="低炭素電気へ切替",AA51*1000,VLOOKUP(T51,$BH$10:$BI$42,2,))*VLOOKUP(V51,$BN$10:$BO$18,2,),0)</f>
        <v>0</v>
      </c>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205"/>
      <c r="BN51" s="205"/>
      <c r="BO51" s="205"/>
      <c r="BP51" s="205"/>
      <c r="BQ51" s="182"/>
      <c r="BR51" s="182"/>
      <c r="BS51" s="182"/>
      <c r="BT51" s="182"/>
    </row>
    <row r="52" spans="2:72" ht="42.95" customHeight="1">
      <c r="B52" s="2718">
        <v>15</v>
      </c>
      <c r="C52" s="2893"/>
      <c r="D52" s="2894"/>
      <c r="E52" s="2894"/>
      <c r="F52" s="2895"/>
      <c r="G52" s="2896"/>
      <c r="H52" s="2896"/>
      <c r="I52" s="2896"/>
      <c r="J52" s="2897"/>
      <c r="K52" s="2898" t="str">
        <f>X52</f>
        <v/>
      </c>
      <c r="L52" s="2899"/>
      <c r="M52" s="182"/>
      <c r="N52" s="2900"/>
      <c r="O52" s="962"/>
      <c r="P52" s="406"/>
      <c r="Q52" s="407"/>
      <c r="R52" s="395" t="str">
        <f t="shared" si="7"/>
        <v/>
      </c>
      <c r="S52" s="2911"/>
      <c r="T52" s="962"/>
      <c r="U52" s="406"/>
      <c r="V52" s="407"/>
      <c r="W52" s="396" t="str">
        <f t="shared" si="8"/>
        <v/>
      </c>
      <c r="X52" s="2905" t="str">
        <f>IF(AND(AE52&lt;&gt;"×",AF52&lt;&gt;"×",OR(AE52="○",AF52="○")),AG52-AH52+AG53-AH53+AG54-AH54,"")</f>
        <v/>
      </c>
      <c r="Y52" s="182"/>
      <c r="Z52" s="1673"/>
      <c r="AA52" s="1674"/>
      <c r="AB52" s="182"/>
      <c r="AC52" s="220" t="str">
        <f t="shared" si="0"/>
        <v/>
      </c>
      <c r="AD52" s="220" t="str">
        <f t="shared" si="1"/>
        <v/>
      </c>
      <c r="AE52" s="221" t="str">
        <f t="shared" si="9"/>
        <v/>
      </c>
      <c r="AF52" s="221" t="str">
        <f t="shared" si="10"/>
        <v/>
      </c>
      <c r="AG52" s="221">
        <f>IF(AE52="○",P52*IF(D52="低炭素電気へ切替",Z52*1000,VLOOKUP(O52,$BH$10:$BI$42,2,))*IFERROR(VLOOKUP(Q52,$BN$10:$BO$18,2,),1),0)</f>
        <v>0</v>
      </c>
      <c r="AH52" s="221">
        <f>IF(AF52="○",U52*IF(D52="低炭素電気へ切替",AA52*1000,VLOOKUP(T52,$BH$10:$BI$42,2,))*VLOOKUP(V52,$BN$10:$BO$18,2,),0)</f>
        <v>0</v>
      </c>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205"/>
      <c r="BN52" s="205"/>
      <c r="BO52" s="205"/>
      <c r="BP52" s="205"/>
      <c r="BQ52" s="182"/>
      <c r="BR52" s="182"/>
      <c r="BS52" s="182"/>
      <c r="BT52" s="182"/>
    </row>
    <row r="53" spans="2:72" ht="42.95" customHeight="1">
      <c r="B53" s="2718"/>
      <c r="C53" s="2893"/>
      <c r="D53" s="2894"/>
      <c r="E53" s="2894"/>
      <c r="F53" s="2895"/>
      <c r="G53" s="2896"/>
      <c r="H53" s="2896"/>
      <c r="I53" s="2896"/>
      <c r="J53" s="2897"/>
      <c r="K53" s="2898"/>
      <c r="L53" s="2899"/>
      <c r="M53" s="182"/>
      <c r="N53" s="2901"/>
      <c r="O53" s="962"/>
      <c r="P53" s="406"/>
      <c r="Q53" s="407"/>
      <c r="R53" s="395" t="str">
        <f t="shared" si="7"/>
        <v/>
      </c>
      <c r="S53" s="2912"/>
      <c r="T53" s="962"/>
      <c r="U53" s="406"/>
      <c r="V53" s="407"/>
      <c r="W53" s="396" t="str">
        <f t="shared" si="8"/>
        <v/>
      </c>
      <c r="X53" s="2906"/>
      <c r="Y53" s="182"/>
      <c r="Z53" s="1675"/>
      <c r="AA53" s="1676"/>
      <c r="AB53" s="182"/>
      <c r="AC53" s="220" t="str">
        <f t="shared" si="0"/>
        <v/>
      </c>
      <c r="AD53" s="220" t="str">
        <f t="shared" si="1"/>
        <v/>
      </c>
      <c r="AE53" s="221" t="str">
        <f t="shared" si="9"/>
        <v/>
      </c>
      <c r="AF53" s="221" t="str">
        <f t="shared" si="10"/>
        <v/>
      </c>
      <c r="AG53" s="221">
        <f>IF(AE53="○",P53*IF(D52="低炭素電気へ切替",Z53*1000,VLOOKUP(O53,$BH$10:$BI$42,2,))*IFERROR(VLOOKUP(Q53,$BN$10:$BO$18,2,),1),0)</f>
        <v>0</v>
      </c>
      <c r="AH53" s="221">
        <f>IF(AF53="○",U53*IF(D52="低炭素電気へ切替",AA53*1000,VLOOKUP(T53,$BH$10:$BI$42,2,))*VLOOKUP(V53,$BN$10:$BO$18,2,),0)</f>
        <v>0</v>
      </c>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205"/>
      <c r="BN53" s="205"/>
      <c r="BO53" s="205"/>
      <c r="BP53" s="205"/>
      <c r="BQ53" s="182"/>
      <c r="BR53" s="182"/>
      <c r="BS53" s="182"/>
      <c r="BT53" s="182"/>
    </row>
    <row r="54" spans="2:72" ht="42.95" customHeight="1" thickBot="1">
      <c r="B54" s="2718"/>
      <c r="C54" s="2893"/>
      <c r="D54" s="2894"/>
      <c r="E54" s="2894"/>
      <c r="F54" s="2895"/>
      <c r="G54" s="2896"/>
      <c r="H54" s="2896"/>
      <c r="I54" s="2896"/>
      <c r="J54" s="2897"/>
      <c r="K54" s="2898"/>
      <c r="L54" s="2899"/>
      <c r="M54" s="182"/>
      <c r="N54" s="2902"/>
      <c r="O54" s="962"/>
      <c r="P54" s="406"/>
      <c r="Q54" s="407"/>
      <c r="R54" s="395" t="str">
        <f t="shared" si="7"/>
        <v/>
      </c>
      <c r="S54" s="2920"/>
      <c r="T54" s="962"/>
      <c r="U54" s="406"/>
      <c r="V54" s="407"/>
      <c r="W54" s="396" t="str">
        <f t="shared" si="8"/>
        <v/>
      </c>
      <c r="X54" s="2907"/>
      <c r="Y54" s="182"/>
      <c r="Z54" s="1677"/>
      <c r="AA54" s="1678"/>
      <c r="AB54" s="182"/>
      <c r="AC54" s="220" t="str">
        <f t="shared" si="0"/>
        <v/>
      </c>
      <c r="AD54" s="220" t="str">
        <f t="shared" si="1"/>
        <v/>
      </c>
      <c r="AE54" s="221" t="str">
        <f t="shared" si="9"/>
        <v/>
      </c>
      <c r="AF54" s="221" t="str">
        <f t="shared" si="10"/>
        <v/>
      </c>
      <c r="AG54" s="221">
        <f>IF(AE54="○",P54*IF(D52="低炭素電気へ切替",Z54*1000,VLOOKUP(O54,$BH$10:$BI$42,2,))*IFERROR(VLOOKUP(Q54,$BN$10:$BO$18,2,),1),0)</f>
        <v>0</v>
      </c>
      <c r="AH54" s="221">
        <f>IF(AF54="○",U54*IF(D52="低炭素電気へ切替",AA54*1000,VLOOKUP(T54,$BH$10:$BI$42,2,))*VLOOKUP(V54,$BN$10:$BO$18,2,),0)</f>
        <v>0</v>
      </c>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205"/>
      <c r="BN54" s="205"/>
      <c r="BO54" s="205"/>
      <c r="BP54" s="205"/>
      <c r="BQ54" s="182"/>
      <c r="BR54" s="182"/>
      <c r="BS54" s="182"/>
      <c r="BT54" s="182"/>
    </row>
    <row r="55" spans="2:72" ht="42.95" customHeight="1">
      <c r="B55" s="2718">
        <v>16</v>
      </c>
      <c r="C55" s="2893"/>
      <c r="D55" s="2894"/>
      <c r="E55" s="2894"/>
      <c r="F55" s="2895"/>
      <c r="G55" s="2896"/>
      <c r="H55" s="2896"/>
      <c r="I55" s="2896"/>
      <c r="J55" s="2897"/>
      <c r="K55" s="2898" t="str">
        <f>X55</f>
        <v/>
      </c>
      <c r="L55" s="2899"/>
      <c r="M55" s="182"/>
      <c r="N55" s="2901"/>
      <c r="O55" s="1325"/>
      <c r="P55" s="410"/>
      <c r="Q55" s="411"/>
      <c r="R55" s="402" t="str">
        <f t="shared" si="7"/>
        <v/>
      </c>
      <c r="S55" s="2913"/>
      <c r="T55" s="1325"/>
      <c r="U55" s="410"/>
      <c r="V55" s="411"/>
      <c r="W55" s="403" t="str">
        <f t="shared" si="8"/>
        <v/>
      </c>
      <c r="X55" s="2906" t="str">
        <f>IF(AND(AE55&lt;&gt;"×",AF55&lt;&gt;"×",OR(AE55="○",AF55="○")),AG55-AH55+AG56-AH56+AG57-AH57,"")</f>
        <v/>
      </c>
      <c r="Y55" s="182"/>
      <c r="Z55" s="1673"/>
      <c r="AA55" s="1674"/>
      <c r="AB55" s="182"/>
      <c r="AC55" s="220" t="str">
        <f t="shared" si="0"/>
        <v/>
      </c>
      <c r="AD55" s="220" t="str">
        <f t="shared" si="1"/>
        <v/>
      </c>
      <c r="AE55" s="221" t="str">
        <f t="shared" si="9"/>
        <v/>
      </c>
      <c r="AF55" s="221" t="str">
        <f t="shared" si="10"/>
        <v/>
      </c>
      <c r="AG55" s="221">
        <f>IF(AE55="○",P55*IF(D55="低炭素電気へ切替",Z55*1000,VLOOKUP(O55,$BH$10:$BI$42,2,))*IFERROR(VLOOKUP(Q55,$BN$10:$BO$18,2,),1),0)</f>
        <v>0</v>
      </c>
      <c r="AH55" s="221">
        <f>IF(AF55="○",U55*IF(D55="低炭素電気へ切替",AA55*1000,VLOOKUP(T55,$BH$10:$BI$42,2,))*VLOOKUP(V55,$BN$10:$BO$18,2,),0)</f>
        <v>0</v>
      </c>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205"/>
      <c r="BN55" s="205"/>
      <c r="BO55" s="205"/>
      <c r="BP55" s="205"/>
      <c r="BQ55" s="182"/>
      <c r="BR55" s="182"/>
      <c r="BS55" s="182"/>
      <c r="BT55" s="182"/>
    </row>
    <row r="56" spans="2:72" ht="42.95" customHeight="1">
      <c r="B56" s="2718"/>
      <c r="C56" s="2893"/>
      <c r="D56" s="2894"/>
      <c r="E56" s="2894"/>
      <c r="F56" s="2895"/>
      <c r="G56" s="2896"/>
      <c r="H56" s="2896"/>
      <c r="I56" s="2896"/>
      <c r="J56" s="2897"/>
      <c r="K56" s="2898"/>
      <c r="L56" s="2899"/>
      <c r="M56" s="182"/>
      <c r="N56" s="2901"/>
      <c r="O56" s="962"/>
      <c r="P56" s="406"/>
      <c r="Q56" s="407"/>
      <c r="R56" s="395" t="str">
        <f t="shared" si="7"/>
        <v/>
      </c>
      <c r="S56" s="2912"/>
      <c r="T56" s="962"/>
      <c r="U56" s="406"/>
      <c r="V56" s="407"/>
      <c r="W56" s="396" t="str">
        <f t="shared" si="8"/>
        <v/>
      </c>
      <c r="X56" s="2906"/>
      <c r="Y56" s="182"/>
      <c r="Z56" s="1675"/>
      <c r="AA56" s="1676"/>
      <c r="AB56" s="182"/>
      <c r="AC56" s="220" t="str">
        <f t="shared" si="0"/>
        <v/>
      </c>
      <c r="AD56" s="220" t="str">
        <f t="shared" si="1"/>
        <v/>
      </c>
      <c r="AE56" s="221" t="str">
        <f t="shared" si="9"/>
        <v/>
      </c>
      <c r="AF56" s="221" t="str">
        <f t="shared" si="10"/>
        <v/>
      </c>
      <c r="AG56" s="221">
        <f>IF(AE56="○",P56*IF(D55="低炭素電気へ切替",Z56*1000,VLOOKUP(O56,$BH$10:$BI$42,2,))*IFERROR(VLOOKUP(Q56,$BN$10:$BO$18,2,),1),0)</f>
        <v>0</v>
      </c>
      <c r="AH56" s="221">
        <f>IF(AF56="○",U56*IF(D55="低炭素電気へ切替",AA56*1000,VLOOKUP(T56,$BH$10:$BI$42,2,))*VLOOKUP(V56,$BN$10:$BO$18,2,),0)</f>
        <v>0</v>
      </c>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205"/>
      <c r="BN56" s="205"/>
      <c r="BO56" s="205"/>
      <c r="BP56" s="205"/>
      <c r="BQ56" s="182"/>
      <c r="BR56" s="182"/>
      <c r="BS56" s="182"/>
      <c r="BT56" s="182"/>
    </row>
    <row r="57" spans="2:72" ht="42.95" customHeight="1" thickBot="1">
      <c r="B57" s="2718"/>
      <c r="C57" s="2893"/>
      <c r="D57" s="2894"/>
      <c r="E57" s="2894"/>
      <c r="F57" s="2895"/>
      <c r="G57" s="2896"/>
      <c r="H57" s="2896"/>
      <c r="I57" s="2896"/>
      <c r="J57" s="2897"/>
      <c r="K57" s="2898"/>
      <c r="L57" s="2899"/>
      <c r="M57" s="182"/>
      <c r="N57" s="2901"/>
      <c r="O57" s="1324"/>
      <c r="P57" s="408"/>
      <c r="Q57" s="409"/>
      <c r="R57" s="400" t="str">
        <f t="shared" si="7"/>
        <v/>
      </c>
      <c r="S57" s="2912"/>
      <c r="T57" s="1324"/>
      <c r="U57" s="408"/>
      <c r="V57" s="409"/>
      <c r="W57" s="401" t="str">
        <f t="shared" si="8"/>
        <v/>
      </c>
      <c r="X57" s="2906"/>
      <c r="Y57" s="182"/>
      <c r="Z57" s="1677"/>
      <c r="AA57" s="1678"/>
      <c r="AB57" s="182"/>
      <c r="AC57" s="220" t="str">
        <f t="shared" si="0"/>
        <v/>
      </c>
      <c r="AD57" s="220" t="str">
        <f t="shared" si="1"/>
        <v/>
      </c>
      <c r="AE57" s="221" t="str">
        <f t="shared" si="9"/>
        <v/>
      </c>
      <c r="AF57" s="221" t="str">
        <f t="shared" si="10"/>
        <v/>
      </c>
      <c r="AG57" s="221">
        <f>IF(AE57="○",P57*IF(D55="低炭素電気へ切替",Z57*1000,VLOOKUP(O57,$BH$10:$BI$42,2,))*IFERROR(VLOOKUP(Q57,$BN$10:$BO$18,2,),1),0)</f>
        <v>0</v>
      </c>
      <c r="AH57" s="221">
        <f>IF(AF57="○",U57*IF(D55="低炭素電気へ切替",AA57*1000,VLOOKUP(T57,$BH$10:$BI$42,2,))*VLOOKUP(V57,$BN$10:$BO$18,2,),0)</f>
        <v>0</v>
      </c>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205"/>
      <c r="BN57" s="205"/>
      <c r="BO57" s="205"/>
      <c r="BP57" s="205"/>
      <c r="BQ57" s="182"/>
      <c r="BR57" s="182"/>
      <c r="BS57" s="182"/>
      <c r="BT57" s="182"/>
    </row>
    <row r="58" spans="2:72" ht="42.95" customHeight="1">
      <c r="B58" s="2718">
        <v>17</v>
      </c>
      <c r="C58" s="2893"/>
      <c r="D58" s="2894"/>
      <c r="E58" s="2894"/>
      <c r="F58" s="2895"/>
      <c r="G58" s="2896"/>
      <c r="H58" s="2896"/>
      <c r="I58" s="2896"/>
      <c r="J58" s="2897"/>
      <c r="K58" s="2898" t="str">
        <f>X58</f>
        <v/>
      </c>
      <c r="L58" s="2899"/>
      <c r="M58" s="182"/>
      <c r="N58" s="2900"/>
      <c r="O58" s="962"/>
      <c r="P58" s="406"/>
      <c r="Q58" s="407"/>
      <c r="R58" s="395" t="str">
        <f t="shared" si="7"/>
        <v/>
      </c>
      <c r="S58" s="2911"/>
      <c r="T58" s="962"/>
      <c r="U58" s="406"/>
      <c r="V58" s="407"/>
      <c r="W58" s="396" t="str">
        <f t="shared" si="8"/>
        <v/>
      </c>
      <c r="X58" s="2905" t="str">
        <f>IF(AND(AE58&lt;&gt;"×",AF58&lt;&gt;"×",OR(AE58="○",AF58="○")),AG58-AH58+AG59-AH59+AG60-AH60,"")</f>
        <v/>
      </c>
      <c r="Y58" s="182"/>
      <c r="Z58" s="1673"/>
      <c r="AA58" s="1674"/>
      <c r="AB58" s="182"/>
      <c r="AC58" s="220" t="str">
        <f t="shared" si="0"/>
        <v/>
      </c>
      <c r="AD58" s="220" t="str">
        <f t="shared" si="1"/>
        <v/>
      </c>
      <c r="AE58" s="221" t="str">
        <f t="shared" si="9"/>
        <v/>
      </c>
      <c r="AF58" s="221" t="str">
        <f t="shared" si="10"/>
        <v/>
      </c>
      <c r="AG58" s="221">
        <f>IF(AE58="○",P58*IF(D58="低炭素電気へ切替",Z58*1000,VLOOKUP(O58,$BH$10:$BI$42,2,))*IFERROR(VLOOKUP(Q58,$BN$10:$BO$18,2,),1),0)</f>
        <v>0</v>
      </c>
      <c r="AH58" s="221">
        <f>IF(AF58="○",U58*IF(D58="低炭素電気へ切替",AA58*1000,VLOOKUP(T58,$BH$10:$BI$42,2,))*VLOOKUP(V58,$BN$10:$BO$18,2,),0)</f>
        <v>0</v>
      </c>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205"/>
      <c r="BN58" s="205"/>
      <c r="BO58" s="205"/>
      <c r="BP58" s="205"/>
      <c r="BQ58" s="182"/>
      <c r="BR58" s="182"/>
      <c r="BS58" s="182"/>
      <c r="BT58" s="182"/>
    </row>
    <row r="59" spans="2:72" ht="42.95" customHeight="1">
      <c r="B59" s="2718"/>
      <c r="C59" s="2893"/>
      <c r="D59" s="2894"/>
      <c r="E59" s="2894"/>
      <c r="F59" s="2895"/>
      <c r="G59" s="2896"/>
      <c r="H59" s="2896"/>
      <c r="I59" s="2896"/>
      <c r="J59" s="2897"/>
      <c r="K59" s="2898"/>
      <c r="L59" s="2899"/>
      <c r="M59" s="182"/>
      <c r="N59" s="2901"/>
      <c r="O59" s="962"/>
      <c r="P59" s="406"/>
      <c r="Q59" s="407"/>
      <c r="R59" s="395" t="str">
        <f t="shared" si="7"/>
        <v/>
      </c>
      <c r="S59" s="2912"/>
      <c r="T59" s="962"/>
      <c r="U59" s="406"/>
      <c r="V59" s="407"/>
      <c r="W59" s="396" t="str">
        <f t="shared" si="8"/>
        <v/>
      </c>
      <c r="X59" s="2906"/>
      <c r="Y59" s="182"/>
      <c r="Z59" s="1675"/>
      <c r="AA59" s="1676"/>
      <c r="AB59" s="182"/>
      <c r="AC59" s="220" t="str">
        <f t="shared" si="0"/>
        <v/>
      </c>
      <c r="AD59" s="220" t="str">
        <f t="shared" si="1"/>
        <v/>
      </c>
      <c r="AE59" s="221" t="str">
        <f t="shared" si="9"/>
        <v/>
      </c>
      <c r="AF59" s="221" t="str">
        <f t="shared" si="10"/>
        <v/>
      </c>
      <c r="AG59" s="221">
        <f>IF(AE59="○",P59*IF(D58="低炭素電気へ切替",Z59*1000,VLOOKUP(O59,$BH$10:$BI$42,2,))*IFERROR(VLOOKUP(Q59,$BN$10:$BO$18,2,),1),0)</f>
        <v>0</v>
      </c>
      <c r="AH59" s="221">
        <f>IF(AF59="○",U59*IF(D58="低炭素電気へ切替",AA59*1000,VLOOKUP(T59,$BH$10:$BI$42,2,))*VLOOKUP(V59,$BN$10:$BO$18,2,),0)</f>
        <v>0</v>
      </c>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205"/>
      <c r="BN59" s="205"/>
      <c r="BO59" s="205"/>
      <c r="BP59" s="205"/>
      <c r="BQ59" s="182"/>
      <c r="BR59" s="182"/>
      <c r="BS59" s="182"/>
      <c r="BT59" s="182"/>
    </row>
    <row r="60" spans="2:72" ht="42.95" customHeight="1" thickBot="1">
      <c r="B60" s="2718"/>
      <c r="C60" s="2893"/>
      <c r="D60" s="2894"/>
      <c r="E60" s="2894"/>
      <c r="F60" s="2895"/>
      <c r="G60" s="2896"/>
      <c r="H60" s="2896"/>
      <c r="I60" s="2896"/>
      <c r="J60" s="2897"/>
      <c r="K60" s="2898"/>
      <c r="L60" s="2899"/>
      <c r="M60" s="182"/>
      <c r="N60" s="2902"/>
      <c r="O60" s="962"/>
      <c r="P60" s="406"/>
      <c r="Q60" s="407"/>
      <c r="R60" s="395" t="str">
        <f t="shared" si="7"/>
        <v/>
      </c>
      <c r="S60" s="2920"/>
      <c r="T60" s="962"/>
      <c r="U60" s="406"/>
      <c r="V60" s="407"/>
      <c r="W60" s="396" t="str">
        <f t="shared" si="8"/>
        <v/>
      </c>
      <c r="X60" s="2907"/>
      <c r="Y60" s="182"/>
      <c r="Z60" s="1677"/>
      <c r="AA60" s="1678"/>
      <c r="AB60" s="182"/>
      <c r="AC60" s="220" t="str">
        <f t="shared" si="0"/>
        <v/>
      </c>
      <c r="AD60" s="220" t="str">
        <f t="shared" si="1"/>
        <v/>
      </c>
      <c r="AE60" s="221" t="str">
        <f t="shared" si="9"/>
        <v/>
      </c>
      <c r="AF60" s="221" t="str">
        <f t="shared" si="10"/>
        <v/>
      </c>
      <c r="AG60" s="221">
        <f>IF(AE60="○",P60*IF(D58="低炭素電気へ切替",Z60*1000,VLOOKUP(O60,$BH$10:$BI$42,2,))*IFERROR(VLOOKUP(Q60,$BN$10:$BO$18,2,),1),0)</f>
        <v>0</v>
      </c>
      <c r="AH60" s="221">
        <f>IF(AF60="○",U60*IF(D58="低炭素電気へ切替",AA60*1000,VLOOKUP(T60,$BH$10:$BI$42,2,))*VLOOKUP(V60,$BN$10:$BO$18,2,),0)</f>
        <v>0</v>
      </c>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205"/>
      <c r="BN60" s="205"/>
      <c r="BO60" s="205"/>
      <c r="BP60" s="205"/>
      <c r="BQ60" s="182"/>
      <c r="BR60" s="182"/>
      <c r="BS60" s="182"/>
      <c r="BT60" s="182"/>
    </row>
    <row r="61" spans="2:72" ht="42.95" customHeight="1">
      <c r="B61" s="2718">
        <v>18</v>
      </c>
      <c r="C61" s="2893"/>
      <c r="D61" s="2894"/>
      <c r="E61" s="2894"/>
      <c r="F61" s="2895"/>
      <c r="G61" s="2896"/>
      <c r="H61" s="2896"/>
      <c r="I61" s="2896"/>
      <c r="J61" s="2897"/>
      <c r="K61" s="2898" t="str">
        <f>X61</f>
        <v/>
      </c>
      <c r="L61" s="2899"/>
      <c r="M61" s="182"/>
      <c r="N61" s="2901"/>
      <c r="O61" s="1325"/>
      <c r="P61" s="410"/>
      <c r="Q61" s="411"/>
      <c r="R61" s="402" t="str">
        <f t="shared" si="7"/>
        <v/>
      </c>
      <c r="S61" s="2913"/>
      <c r="T61" s="1325"/>
      <c r="U61" s="410"/>
      <c r="V61" s="411"/>
      <c r="W61" s="403" t="str">
        <f t="shared" si="8"/>
        <v/>
      </c>
      <c r="X61" s="2906" t="str">
        <f>IF(AND(AE61&lt;&gt;"×",AF61&lt;&gt;"×",OR(AE61="○",AF61="○")),AG61-AH61+AG62-AH62+AG63-AH63,"")</f>
        <v/>
      </c>
      <c r="Y61" s="182"/>
      <c r="Z61" s="1673"/>
      <c r="AA61" s="1674"/>
      <c r="AB61" s="182"/>
      <c r="AC61" s="220" t="str">
        <f t="shared" si="0"/>
        <v/>
      </c>
      <c r="AD61" s="220" t="str">
        <f t="shared" si="1"/>
        <v/>
      </c>
      <c r="AE61" s="221" t="str">
        <f t="shared" si="9"/>
        <v/>
      </c>
      <c r="AF61" s="221" t="str">
        <f t="shared" si="10"/>
        <v/>
      </c>
      <c r="AG61" s="221">
        <f>IF(AE61="○",P61*IF(D61="低炭素電気へ切替",Z61*1000,VLOOKUP(O61,$BH$10:$BI$42,2,))*IFERROR(VLOOKUP(Q61,$BN$10:$BO$18,2,),1),0)</f>
        <v>0</v>
      </c>
      <c r="AH61" s="221">
        <f>IF(AF61="○",U61*IF(D61="低炭素電気へ切替",AA61*1000,VLOOKUP(T61,$BH$10:$BI$42,2,))*VLOOKUP(V61,$BN$10:$BO$18,2,),0)</f>
        <v>0</v>
      </c>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205"/>
      <c r="BN61" s="205"/>
      <c r="BO61" s="205"/>
      <c r="BP61" s="205"/>
      <c r="BQ61" s="182"/>
      <c r="BR61" s="182"/>
      <c r="BS61" s="182"/>
      <c r="BT61" s="182"/>
    </row>
    <row r="62" spans="2:72" ht="42.95" customHeight="1">
      <c r="B62" s="2718"/>
      <c r="C62" s="2893"/>
      <c r="D62" s="2894"/>
      <c r="E62" s="2894"/>
      <c r="F62" s="2895"/>
      <c r="G62" s="2896"/>
      <c r="H62" s="2896"/>
      <c r="I62" s="2896"/>
      <c r="J62" s="2897"/>
      <c r="K62" s="2898"/>
      <c r="L62" s="2899"/>
      <c r="M62" s="182"/>
      <c r="N62" s="2901"/>
      <c r="O62" s="962"/>
      <c r="P62" s="406"/>
      <c r="Q62" s="407"/>
      <c r="R62" s="395" t="str">
        <f t="shared" si="7"/>
        <v/>
      </c>
      <c r="S62" s="2912"/>
      <c r="T62" s="962"/>
      <c r="U62" s="406"/>
      <c r="V62" s="407"/>
      <c r="W62" s="396" t="str">
        <f t="shared" si="8"/>
        <v/>
      </c>
      <c r="X62" s="2906"/>
      <c r="Y62" s="182"/>
      <c r="Z62" s="1675"/>
      <c r="AA62" s="1676"/>
      <c r="AB62" s="182"/>
      <c r="AC62" s="220" t="str">
        <f t="shared" si="0"/>
        <v/>
      </c>
      <c r="AD62" s="220" t="str">
        <f t="shared" si="1"/>
        <v/>
      </c>
      <c r="AE62" s="221" t="str">
        <f t="shared" si="9"/>
        <v/>
      </c>
      <c r="AF62" s="221" t="str">
        <f t="shared" si="10"/>
        <v/>
      </c>
      <c r="AG62" s="221">
        <f>IF(AE62="○",P62*IF(D61="低炭素電気へ切替",Z62*1000,VLOOKUP(O62,$BH$10:$BI$42,2,))*IFERROR(VLOOKUP(Q62,$BN$10:$BO$18,2,),1),0)</f>
        <v>0</v>
      </c>
      <c r="AH62" s="221">
        <f>IF(AF62="○",U62*IF(D61="低炭素電気へ切替",AA62*1000,VLOOKUP(T62,$BH$10:$BI$42,2,))*VLOOKUP(V62,$BN$10:$BO$18,2,),0)</f>
        <v>0</v>
      </c>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205"/>
      <c r="BN62" s="205"/>
      <c r="BO62" s="205"/>
      <c r="BP62" s="205"/>
      <c r="BQ62" s="182"/>
      <c r="BR62" s="182"/>
      <c r="BS62" s="182"/>
      <c r="BT62" s="182"/>
    </row>
    <row r="63" spans="2:72" ht="42.95" customHeight="1" thickBot="1">
      <c r="B63" s="2718"/>
      <c r="C63" s="2893"/>
      <c r="D63" s="2894"/>
      <c r="E63" s="2894"/>
      <c r="F63" s="2895"/>
      <c r="G63" s="2896"/>
      <c r="H63" s="2896"/>
      <c r="I63" s="2896"/>
      <c r="J63" s="2897"/>
      <c r="K63" s="2898"/>
      <c r="L63" s="2899"/>
      <c r="M63" s="182"/>
      <c r="N63" s="2901"/>
      <c r="O63" s="1324"/>
      <c r="P63" s="408"/>
      <c r="Q63" s="409"/>
      <c r="R63" s="400" t="str">
        <f t="shared" si="7"/>
        <v/>
      </c>
      <c r="S63" s="2912"/>
      <c r="T63" s="1324"/>
      <c r="U63" s="408"/>
      <c r="V63" s="409"/>
      <c r="W63" s="401" t="str">
        <f t="shared" si="8"/>
        <v/>
      </c>
      <c r="X63" s="2906"/>
      <c r="Y63" s="182"/>
      <c r="Z63" s="1677"/>
      <c r="AA63" s="1678"/>
      <c r="AB63" s="182"/>
      <c r="AC63" s="220" t="str">
        <f t="shared" si="0"/>
        <v/>
      </c>
      <c r="AD63" s="220" t="str">
        <f t="shared" si="1"/>
        <v/>
      </c>
      <c r="AE63" s="221" t="str">
        <f t="shared" si="9"/>
        <v/>
      </c>
      <c r="AF63" s="221" t="str">
        <f t="shared" si="10"/>
        <v/>
      </c>
      <c r="AG63" s="221">
        <f>IF(AE63="○",P63*IF(D61="低炭素電気へ切替",Z63*1000,VLOOKUP(O63,$BH$10:$BI$42,2,))*IFERROR(VLOOKUP(Q63,$BN$10:$BO$18,2,),1),0)</f>
        <v>0</v>
      </c>
      <c r="AH63" s="221">
        <f>IF(AF63="○",U63*IF(D61="低炭素電気へ切替",AA63*1000,VLOOKUP(T63,$BH$10:$BI$42,2,))*VLOOKUP(V63,$BN$10:$BO$18,2,),0)</f>
        <v>0</v>
      </c>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205"/>
      <c r="BN63" s="205"/>
      <c r="BO63" s="205"/>
      <c r="BP63" s="205"/>
      <c r="BQ63" s="182"/>
      <c r="BR63" s="182"/>
      <c r="BS63" s="182"/>
      <c r="BT63" s="182"/>
    </row>
    <row r="64" spans="2:72" ht="42.95" customHeight="1">
      <c r="B64" s="2718">
        <v>19</v>
      </c>
      <c r="C64" s="2893"/>
      <c r="D64" s="2894"/>
      <c r="E64" s="2894"/>
      <c r="F64" s="2895"/>
      <c r="G64" s="2896"/>
      <c r="H64" s="2896"/>
      <c r="I64" s="2896"/>
      <c r="J64" s="2897"/>
      <c r="K64" s="2898" t="str">
        <f>X64</f>
        <v/>
      </c>
      <c r="L64" s="2899"/>
      <c r="M64" s="182"/>
      <c r="N64" s="2900"/>
      <c r="O64" s="962"/>
      <c r="P64" s="406"/>
      <c r="Q64" s="407"/>
      <c r="R64" s="395" t="str">
        <f t="shared" si="7"/>
        <v/>
      </c>
      <c r="S64" s="2911"/>
      <c r="T64" s="962"/>
      <c r="U64" s="406"/>
      <c r="V64" s="407"/>
      <c r="W64" s="396" t="str">
        <f t="shared" si="8"/>
        <v/>
      </c>
      <c r="X64" s="2905" t="str">
        <f>IF(AND(AE64&lt;&gt;"×",AF64&lt;&gt;"×",OR(AE64="○",AF64="○")),AG64-AH64+AG65-AH65+AG66-AH66,"")</f>
        <v/>
      </c>
      <c r="Y64" s="182"/>
      <c r="Z64" s="1673"/>
      <c r="AA64" s="1674"/>
      <c r="AB64" s="182"/>
      <c r="AC64" s="220" t="str">
        <f t="shared" si="0"/>
        <v/>
      </c>
      <c r="AD64" s="220" t="str">
        <f t="shared" si="1"/>
        <v/>
      </c>
      <c r="AE64" s="221" t="str">
        <f t="shared" si="9"/>
        <v/>
      </c>
      <c r="AF64" s="221" t="str">
        <f t="shared" si="10"/>
        <v/>
      </c>
      <c r="AG64" s="221">
        <f>IF(AE64="○",P64*IF(D64="低炭素電気へ切替",Z64*1000,VLOOKUP(O64,$BH$10:$BI$42,2,))*IFERROR(VLOOKUP(Q64,$BN$10:$BO$18,2,),1),0)</f>
        <v>0</v>
      </c>
      <c r="AH64" s="221">
        <f>IF(AF64="○",U64*IF(D64="低炭素電気へ切替",AA64*1000,VLOOKUP(T64,$BH$10:$BI$42,2,))*VLOOKUP(V64,$BN$10:$BO$18,2,),0)</f>
        <v>0</v>
      </c>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205"/>
      <c r="BN64" s="205"/>
      <c r="BO64" s="205"/>
      <c r="BP64" s="205"/>
      <c r="BQ64" s="182"/>
      <c r="BR64" s="182"/>
      <c r="BS64" s="182"/>
      <c r="BT64" s="182"/>
    </row>
    <row r="65" spans="2:72" ht="42.95" customHeight="1">
      <c r="B65" s="2718"/>
      <c r="C65" s="2893"/>
      <c r="D65" s="2894"/>
      <c r="E65" s="2894"/>
      <c r="F65" s="2895"/>
      <c r="G65" s="2896"/>
      <c r="H65" s="2896"/>
      <c r="I65" s="2896"/>
      <c r="J65" s="2897"/>
      <c r="K65" s="2898"/>
      <c r="L65" s="2899"/>
      <c r="M65" s="182"/>
      <c r="N65" s="2901"/>
      <c r="O65" s="962"/>
      <c r="P65" s="406"/>
      <c r="Q65" s="407"/>
      <c r="R65" s="395" t="str">
        <f t="shared" si="7"/>
        <v/>
      </c>
      <c r="S65" s="2912"/>
      <c r="T65" s="962"/>
      <c r="U65" s="406"/>
      <c r="V65" s="407"/>
      <c r="W65" s="396" t="str">
        <f t="shared" si="8"/>
        <v/>
      </c>
      <c r="X65" s="2906"/>
      <c r="Y65" s="182"/>
      <c r="Z65" s="1675"/>
      <c r="AA65" s="1676"/>
      <c r="AB65" s="182"/>
      <c r="AC65" s="220" t="str">
        <f t="shared" si="0"/>
        <v/>
      </c>
      <c r="AD65" s="220" t="str">
        <f t="shared" si="1"/>
        <v/>
      </c>
      <c r="AE65" s="221" t="str">
        <f t="shared" si="9"/>
        <v/>
      </c>
      <c r="AF65" s="221" t="str">
        <f t="shared" si="10"/>
        <v/>
      </c>
      <c r="AG65" s="221">
        <f>IF(AE65="○",P65*IF(D64="低炭素電気へ切替",Z65*1000,VLOOKUP(O65,$BH$10:$BI$42,2,))*IFERROR(VLOOKUP(Q65,$BN$10:$BO$18,2,),1),0)</f>
        <v>0</v>
      </c>
      <c r="AH65" s="221">
        <f>IF(AF65="○",U65*IF(D64="低炭素電気へ切替",AA65*1000,VLOOKUP(T65,$BH$10:$BI$42,2,))*VLOOKUP(V65,$BN$10:$BO$18,2,),0)</f>
        <v>0</v>
      </c>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205"/>
      <c r="BN65" s="205"/>
      <c r="BO65" s="205"/>
      <c r="BP65" s="205"/>
      <c r="BQ65" s="182"/>
      <c r="BR65" s="182"/>
      <c r="BS65" s="182"/>
      <c r="BT65" s="182"/>
    </row>
    <row r="66" spans="2:72" ht="42.95" customHeight="1" thickBot="1">
      <c r="B66" s="2718"/>
      <c r="C66" s="2893"/>
      <c r="D66" s="2894"/>
      <c r="E66" s="2894"/>
      <c r="F66" s="2895"/>
      <c r="G66" s="2896"/>
      <c r="H66" s="2896"/>
      <c r="I66" s="2896"/>
      <c r="J66" s="2897"/>
      <c r="K66" s="2898"/>
      <c r="L66" s="2899"/>
      <c r="M66" s="182"/>
      <c r="N66" s="2902"/>
      <c r="O66" s="962"/>
      <c r="P66" s="406"/>
      <c r="Q66" s="407"/>
      <c r="R66" s="395" t="str">
        <f t="shared" si="7"/>
        <v/>
      </c>
      <c r="S66" s="2920"/>
      <c r="T66" s="962"/>
      <c r="U66" s="406"/>
      <c r="V66" s="407"/>
      <c r="W66" s="396" t="str">
        <f t="shared" si="8"/>
        <v/>
      </c>
      <c r="X66" s="2907"/>
      <c r="Y66" s="182"/>
      <c r="Z66" s="1677"/>
      <c r="AA66" s="1678"/>
      <c r="AB66" s="182"/>
      <c r="AC66" s="220" t="str">
        <f t="shared" si="0"/>
        <v/>
      </c>
      <c r="AD66" s="220" t="str">
        <f t="shared" si="1"/>
        <v/>
      </c>
      <c r="AE66" s="221" t="str">
        <f t="shared" si="9"/>
        <v/>
      </c>
      <c r="AF66" s="221" t="str">
        <f t="shared" si="10"/>
        <v/>
      </c>
      <c r="AG66" s="221">
        <f>IF(AE66="○",P66*IF(D64="低炭素電気へ切替",Z66*1000,VLOOKUP(O66,$BH$10:$BI$42,2,))*IFERROR(VLOOKUP(Q66,$BN$10:$BO$18,2,),1),0)</f>
        <v>0</v>
      </c>
      <c r="AH66" s="221">
        <f>IF(AF66="○",U66*IF(D64="低炭素電気へ切替",AA66*1000,VLOOKUP(T66,$BH$10:$BI$42,2,))*VLOOKUP(V66,$BN$10:$BO$18,2,),0)</f>
        <v>0</v>
      </c>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205"/>
      <c r="BN66" s="205"/>
      <c r="BO66" s="205"/>
      <c r="BP66" s="205"/>
      <c r="BQ66" s="182"/>
      <c r="BR66" s="182"/>
      <c r="BS66" s="182"/>
      <c r="BT66" s="182"/>
    </row>
    <row r="67" spans="2:72" ht="42.95" customHeight="1">
      <c r="B67" s="2718">
        <v>20</v>
      </c>
      <c r="C67" s="2893"/>
      <c r="D67" s="2894"/>
      <c r="E67" s="2894"/>
      <c r="F67" s="2895"/>
      <c r="G67" s="2896"/>
      <c r="H67" s="2896"/>
      <c r="I67" s="2896"/>
      <c r="J67" s="2897"/>
      <c r="K67" s="2898" t="str">
        <f>X67</f>
        <v/>
      </c>
      <c r="L67" s="2899"/>
      <c r="M67" s="182"/>
      <c r="N67" s="2901"/>
      <c r="O67" s="1325"/>
      <c r="P67" s="410"/>
      <c r="Q67" s="411"/>
      <c r="R67" s="402" t="str">
        <f t="shared" si="7"/>
        <v/>
      </c>
      <c r="S67" s="2913"/>
      <c r="T67" s="1325"/>
      <c r="U67" s="410"/>
      <c r="V67" s="411"/>
      <c r="W67" s="403" t="str">
        <f t="shared" si="8"/>
        <v/>
      </c>
      <c r="X67" s="2906" t="str">
        <f>IF(AND(AE67&lt;&gt;"×",AF67&lt;&gt;"×",OR(AE67="○",AF67="○")),AG67-AH67+AG68-AH68+AG69-AH69,"")</f>
        <v/>
      </c>
      <c r="Y67" s="182"/>
      <c r="Z67" s="1673"/>
      <c r="AA67" s="1674"/>
      <c r="AB67" s="182"/>
      <c r="AC67" s="220" t="str">
        <f t="shared" si="0"/>
        <v/>
      </c>
      <c r="AD67" s="220" t="str">
        <f t="shared" si="1"/>
        <v/>
      </c>
      <c r="AE67" s="221" t="str">
        <f t="shared" si="9"/>
        <v/>
      </c>
      <c r="AF67" s="221" t="str">
        <f t="shared" si="10"/>
        <v/>
      </c>
      <c r="AG67" s="221">
        <f>IF(AE67="○",P67*IF(D67="低炭素電気へ切替",Z67*1000,VLOOKUP(O67,$BH$10:$BI$42,2,))*IFERROR(VLOOKUP(Q67,$BN$10:$BO$18,2,),1),0)</f>
        <v>0</v>
      </c>
      <c r="AH67" s="221">
        <f>IF(AF67="○",U67*IF(D67="低炭素電気へ切替",AA67*1000,VLOOKUP(T67,$BH$10:$BI$42,2,))*VLOOKUP(V67,$BN$10:$BO$18,2,),0)</f>
        <v>0</v>
      </c>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205"/>
      <c r="BN67" s="205"/>
      <c r="BO67" s="205"/>
      <c r="BP67" s="205"/>
      <c r="BQ67" s="182"/>
      <c r="BR67" s="182"/>
      <c r="BS67" s="182"/>
      <c r="BT67" s="182"/>
    </row>
    <row r="68" spans="2:72" ht="42.95" customHeight="1">
      <c r="B68" s="2718"/>
      <c r="C68" s="2893"/>
      <c r="D68" s="2894"/>
      <c r="E68" s="2894"/>
      <c r="F68" s="2895"/>
      <c r="G68" s="2896"/>
      <c r="H68" s="2896"/>
      <c r="I68" s="2896"/>
      <c r="J68" s="2897"/>
      <c r="K68" s="2898"/>
      <c r="L68" s="2899"/>
      <c r="M68" s="182"/>
      <c r="N68" s="2901"/>
      <c r="O68" s="962"/>
      <c r="P68" s="406"/>
      <c r="Q68" s="407"/>
      <c r="R68" s="395" t="str">
        <f t="shared" si="7"/>
        <v/>
      </c>
      <c r="S68" s="2912"/>
      <c r="T68" s="962"/>
      <c r="U68" s="406"/>
      <c r="V68" s="407"/>
      <c r="W68" s="396" t="str">
        <f t="shared" si="8"/>
        <v/>
      </c>
      <c r="X68" s="2906"/>
      <c r="Y68" s="182"/>
      <c r="Z68" s="1675"/>
      <c r="AA68" s="1676"/>
      <c r="AB68" s="182"/>
      <c r="AC68" s="220" t="str">
        <f t="shared" si="0"/>
        <v/>
      </c>
      <c r="AD68" s="220" t="str">
        <f t="shared" si="1"/>
        <v/>
      </c>
      <c r="AE68" s="221" t="str">
        <f t="shared" si="9"/>
        <v/>
      </c>
      <c r="AF68" s="221" t="str">
        <f t="shared" si="10"/>
        <v/>
      </c>
      <c r="AG68" s="221">
        <f>IF(AE68="○",P68*IF(D67="低炭素電気へ切替",Z68*1000,VLOOKUP(O68,$BH$10:$BI$42,2,))*IFERROR(VLOOKUP(Q68,$BN$10:$BO$18,2,),1),0)</f>
        <v>0</v>
      </c>
      <c r="AH68" s="221">
        <f>IF(AF68="○",U68*IF(D67="低炭素電気へ切替",AA68*1000,VLOOKUP(T68,$BH$10:$BI$42,2,))*VLOOKUP(V68,$BN$10:$BO$18,2,),0)</f>
        <v>0</v>
      </c>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205"/>
      <c r="BN68" s="205"/>
      <c r="BO68" s="205"/>
      <c r="BP68" s="205"/>
      <c r="BQ68" s="182"/>
      <c r="BR68" s="182"/>
      <c r="BS68" s="182"/>
      <c r="BT68" s="182"/>
    </row>
    <row r="69" spans="2:72" ht="42.95" customHeight="1" thickBot="1">
      <c r="B69" s="2718"/>
      <c r="C69" s="2893"/>
      <c r="D69" s="2894"/>
      <c r="E69" s="2894"/>
      <c r="F69" s="2895"/>
      <c r="G69" s="2896"/>
      <c r="H69" s="2896"/>
      <c r="I69" s="2896"/>
      <c r="J69" s="2897"/>
      <c r="K69" s="2898"/>
      <c r="L69" s="2899"/>
      <c r="M69" s="182"/>
      <c r="N69" s="2901"/>
      <c r="O69" s="1324"/>
      <c r="P69" s="408"/>
      <c r="Q69" s="409"/>
      <c r="R69" s="400" t="str">
        <f t="shared" si="7"/>
        <v/>
      </c>
      <c r="S69" s="2912"/>
      <c r="T69" s="1324"/>
      <c r="U69" s="408"/>
      <c r="V69" s="409"/>
      <c r="W69" s="401" t="str">
        <f t="shared" si="8"/>
        <v/>
      </c>
      <c r="X69" s="2906"/>
      <c r="Y69" s="182"/>
      <c r="Z69" s="1677"/>
      <c r="AA69" s="1678"/>
      <c r="AB69" s="182"/>
      <c r="AC69" s="220" t="str">
        <f t="shared" si="0"/>
        <v/>
      </c>
      <c r="AD69" s="220" t="str">
        <f t="shared" si="1"/>
        <v/>
      </c>
      <c r="AE69" s="221" t="str">
        <f t="shared" si="9"/>
        <v/>
      </c>
      <c r="AF69" s="221" t="str">
        <f t="shared" si="10"/>
        <v/>
      </c>
      <c r="AG69" s="221">
        <f>IF(AE69="○",P69*IF(D67="低炭素電気へ切替",Z69*1000,VLOOKUP(O69,$BH$10:$BI$42,2,))*IFERROR(VLOOKUP(Q69,$BN$10:$BO$18,2,),1),0)</f>
        <v>0</v>
      </c>
      <c r="AH69" s="221">
        <f>IF(AF69="○",U69*IF(D67="低炭素電気へ切替",AA69*1000,VLOOKUP(T69,$BH$10:$BI$42,2,))*VLOOKUP(V69,$BN$10:$BO$18,2,),0)</f>
        <v>0</v>
      </c>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205"/>
      <c r="BN69" s="205"/>
      <c r="BO69" s="205"/>
      <c r="BP69" s="205"/>
      <c r="BQ69" s="182"/>
      <c r="BR69" s="182"/>
      <c r="BS69" s="182"/>
      <c r="BT69" s="182"/>
    </row>
    <row r="70" spans="2:72" ht="42.95" customHeight="1">
      <c r="B70" s="2718">
        <v>21</v>
      </c>
      <c r="C70" s="2893"/>
      <c r="D70" s="2894"/>
      <c r="E70" s="2894"/>
      <c r="F70" s="2895"/>
      <c r="G70" s="2896"/>
      <c r="H70" s="2896"/>
      <c r="I70" s="2896"/>
      <c r="J70" s="2897"/>
      <c r="K70" s="2898" t="str">
        <f>X70</f>
        <v/>
      </c>
      <c r="L70" s="2899"/>
      <c r="M70" s="182"/>
      <c r="N70" s="2900"/>
      <c r="O70" s="962"/>
      <c r="P70" s="406"/>
      <c r="Q70" s="407"/>
      <c r="R70" s="395" t="str">
        <f t="shared" si="7"/>
        <v/>
      </c>
      <c r="S70" s="2911"/>
      <c r="T70" s="962"/>
      <c r="U70" s="406"/>
      <c r="V70" s="407"/>
      <c r="W70" s="396" t="str">
        <f t="shared" si="8"/>
        <v/>
      </c>
      <c r="X70" s="2905" t="str">
        <f>IF(AND(AE70&lt;&gt;"×",AF70&lt;&gt;"×",OR(AE70="○",AF70="○")),AG70-AH70+AG71-AH71+AG72-AH72,"")</f>
        <v/>
      </c>
      <c r="Y70" s="182"/>
      <c r="Z70" s="1673"/>
      <c r="AA70" s="1674"/>
      <c r="AB70" s="182"/>
      <c r="AC70" s="220" t="str">
        <f t="shared" si="0"/>
        <v/>
      </c>
      <c r="AD70" s="220" t="str">
        <f t="shared" si="1"/>
        <v/>
      </c>
      <c r="AE70" s="221" t="str">
        <f t="shared" si="9"/>
        <v/>
      </c>
      <c r="AF70" s="221" t="str">
        <f t="shared" si="10"/>
        <v/>
      </c>
      <c r="AG70" s="221">
        <f>IF(AE70="○",P70*IF(D70="低炭素電気へ切替",Z70*1000,VLOOKUP(O70,$BH$10:$BI$42,2,))*IFERROR(VLOOKUP(Q70,$BN$10:$BO$18,2,),1),0)</f>
        <v>0</v>
      </c>
      <c r="AH70" s="221">
        <f>IF(AF70="○",U70*IF(D70="低炭素電気へ切替",AA70*1000,VLOOKUP(T70,$BH$10:$BI$42,2,))*VLOOKUP(V70,$BN$10:$BO$18,2,),0)</f>
        <v>0</v>
      </c>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205"/>
      <c r="BN70" s="205"/>
      <c r="BO70" s="205"/>
      <c r="BP70" s="205"/>
      <c r="BQ70" s="182"/>
      <c r="BR70" s="182"/>
      <c r="BS70" s="182"/>
      <c r="BT70" s="182"/>
    </row>
    <row r="71" spans="2:72" ht="42.95" customHeight="1">
      <c r="B71" s="2718"/>
      <c r="C71" s="2893"/>
      <c r="D71" s="2894"/>
      <c r="E71" s="2894"/>
      <c r="F71" s="2895"/>
      <c r="G71" s="2896"/>
      <c r="H71" s="2896"/>
      <c r="I71" s="2896"/>
      <c r="J71" s="2897"/>
      <c r="K71" s="2898"/>
      <c r="L71" s="2899"/>
      <c r="M71" s="182"/>
      <c r="N71" s="2901"/>
      <c r="O71" s="962"/>
      <c r="P71" s="406"/>
      <c r="Q71" s="407"/>
      <c r="R71" s="395" t="str">
        <f t="shared" si="7"/>
        <v/>
      </c>
      <c r="S71" s="2912"/>
      <c r="T71" s="962"/>
      <c r="U71" s="406"/>
      <c r="V71" s="407"/>
      <c r="W71" s="396" t="str">
        <f t="shared" si="8"/>
        <v/>
      </c>
      <c r="X71" s="2906"/>
      <c r="Y71" s="182"/>
      <c r="Z71" s="1675"/>
      <c r="AA71" s="1676"/>
      <c r="AB71" s="182"/>
      <c r="AC71" s="220" t="str">
        <f t="shared" si="0"/>
        <v/>
      </c>
      <c r="AD71" s="220" t="str">
        <f t="shared" si="1"/>
        <v/>
      </c>
      <c r="AE71" s="221" t="str">
        <f t="shared" si="9"/>
        <v/>
      </c>
      <c r="AF71" s="221" t="str">
        <f t="shared" si="10"/>
        <v/>
      </c>
      <c r="AG71" s="221">
        <f>IF(AE71="○",P71*IF(D70="低炭素電気へ切替",Z71*1000,VLOOKUP(O71,$BH$10:$BI$42,2,))*IFERROR(VLOOKUP(Q71,$BN$10:$BO$18,2,),1),0)</f>
        <v>0</v>
      </c>
      <c r="AH71" s="221">
        <f>IF(AF71="○",U71*IF(D70="低炭素電気へ切替",AA71*1000,VLOOKUP(T71,$BH$10:$BI$42,2,))*VLOOKUP(V71,$BN$10:$BO$18,2,),0)</f>
        <v>0</v>
      </c>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205"/>
      <c r="BN71" s="205"/>
      <c r="BO71" s="205"/>
      <c r="BP71" s="205"/>
      <c r="BQ71" s="182"/>
      <c r="BR71" s="182"/>
      <c r="BS71" s="182"/>
      <c r="BT71" s="182"/>
    </row>
    <row r="72" spans="2:72" ht="42.95" customHeight="1" thickBot="1">
      <c r="B72" s="2718"/>
      <c r="C72" s="2893"/>
      <c r="D72" s="2894"/>
      <c r="E72" s="2894"/>
      <c r="F72" s="2895"/>
      <c r="G72" s="2896"/>
      <c r="H72" s="2896"/>
      <c r="I72" s="2896"/>
      <c r="J72" s="2897"/>
      <c r="K72" s="2898"/>
      <c r="L72" s="2899"/>
      <c r="M72" s="182"/>
      <c r="N72" s="2902"/>
      <c r="O72" s="962"/>
      <c r="P72" s="406"/>
      <c r="Q72" s="407"/>
      <c r="R72" s="395" t="str">
        <f t="shared" si="7"/>
        <v/>
      </c>
      <c r="S72" s="2920"/>
      <c r="T72" s="962"/>
      <c r="U72" s="406"/>
      <c r="V72" s="407"/>
      <c r="W72" s="396" t="str">
        <f t="shared" si="8"/>
        <v/>
      </c>
      <c r="X72" s="2907"/>
      <c r="Y72" s="182"/>
      <c r="Z72" s="1677"/>
      <c r="AA72" s="1678"/>
      <c r="AB72" s="182"/>
      <c r="AC72" s="220" t="str">
        <f t="shared" si="0"/>
        <v/>
      </c>
      <c r="AD72" s="220" t="str">
        <f t="shared" si="1"/>
        <v/>
      </c>
      <c r="AE72" s="221" t="str">
        <f t="shared" si="9"/>
        <v/>
      </c>
      <c r="AF72" s="221" t="str">
        <f t="shared" si="10"/>
        <v/>
      </c>
      <c r="AG72" s="221">
        <f>IF(AE72="○",P72*IF(D70="低炭素電気へ切替",Z72*1000,VLOOKUP(O72,$BH$10:$BI$42,2,))*IFERROR(VLOOKUP(Q72,$BN$10:$BO$18,2,),1),0)</f>
        <v>0</v>
      </c>
      <c r="AH72" s="221">
        <f>IF(AF72="○",U72*IF(D70="低炭素電気へ切替",AA72*1000,VLOOKUP(T72,$BH$10:$BI$42,2,))*VLOOKUP(V72,$BN$10:$BO$18,2,),0)</f>
        <v>0</v>
      </c>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205"/>
      <c r="BN72" s="205"/>
      <c r="BO72" s="205"/>
      <c r="BP72" s="205"/>
      <c r="BQ72" s="182"/>
      <c r="BR72" s="182"/>
      <c r="BS72" s="182"/>
      <c r="BT72" s="182"/>
    </row>
    <row r="73" spans="2:72" ht="42.95" customHeight="1">
      <c r="B73" s="2718">
        <v>22</v>
      </c>
      <c r="C73" s="2893"/>
      <c r="D73" s="2894"/>
      <c r="E73" s="2894"/>
      <c r="F73" s="2895"/>
      <c r="G73" s="2896"/>
      <c r="H73" s="2896"/>
      <c r="I73" s="2896"/>
      <c r="J73" s="2897"/>
      <c r="K73" s="2898" t="str">
        <f>X73</f>
        <v/>
      </c>
      <c r="L73" s="2899"/>
      <c r="M73" s="182"/>
      <c r="N73" s="2901"/>
      <c r="O73" s="1325"/>
      <c r="P73" s="410"/>
      <c r="Q73" s="411"/>
      <c r="R73" s="402" t="str">
        <f t="shared" si="7"/>
        <v/>
      </c>
      <c r="S73" s="2913"/>
      <c r="T73" s="1325"/>
      <c r="U73" s="410"/>
      <c r="V73" s="411"/>
      <c r="W73" s="403" t="str">
        <f t="shared" si="8"/>
        <v/>
      </c>
      <c r="X73" s="2906" t="str">
        <f>IF(AND(AE73&lt;&gt;"×",AF73&lt;&gt;"×",OR(AE73="○",AF73="○")),AG73-AH73+AG74-AH74+AG75-AH75,"")</f>
        <v/>
      </c>
      <c r="Y73" s="182"/>
      <c r="Z73" s="1673"/>
      <c r="AA73" s="1674"/>
      <c r="AB73" s="182"/>
      <c r="AC73" s="220" t="str">
        <f t="shared" si="0"/>
        <v/>
      </c>
      <c r="AD73" s="220" t="str">
        <f t="shared" si="1"/>
        <v/>
      </c>
      <c r="AE73" s="221" t="str">
        <f t="shared" si="9"/>
        <v/>
      </c>
      <c r="AF73" s="221" t="str">
        <f t="shared" si="10"/>
        <v/>
      </c>
      <c r="AG73" s="221">
        <f>IF(AE73="○",P73*IF(D73="低炭素電気へ切替",Z73*1000,VLOOKUP(O73,$BH$10:$BI$42,2,))*IFERROR(VLOOKUP(Q73,$BN$10:$BO$18,2,),1),0)</f>
        <v>0</v>
      </c>
      <c r="AH73" s="221">
        <f>IF(AF73="○",U73*IF(D73="低炭素電気へ切替",AA73*1000,VLOOKUP(T73,$BH$10:$BI$42,2,))*VLOOKUP(V73,$BN$10:$BO$18,2,),0)</f>
        <v>0</v>
      </c>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205"/>
      <c r="BN73" s="205"/>
      <c r="BO73" s="205"/>
      <c r="BP73" s="205"/>
      <c r="BQ73" s="182"/>
      <c r="BR73" s="182"/>
      <c r="BS73" s="182"/>
      <c r="BT73" s="182"/>
    </row>
    <row r="74" spans="2:72" ht="42.95" customHeight="1">
      <c r="B74" s="2718"/>
      <c r="C74" s="2893"/>
      <c r="D74" s="2894"/>
      <c r="E74" s="2894"/>
      <c r="F74" s="2895"/>
      <c r="G74" s="2896"/>
      <c r="H74" s="2896"/>
      <c r="I74" s="2896"/>
      <c r="J74" s="2897"/>
      <c r="K74" s="2898"/>
      <c r="L74" s="2899"/>
      <c r="M74" s="182"/>
      <c r="N74" s="2901"/>
      <c r="O74" s="962"/>
      <c r="P74" s="406"/>
      <c r="Q74" s="407"/>
      <c r="R74" s="395" t="str">
        <f t="shared" si="7"/>
        <v/>
      </c>
      <c r="S74" s="2912"/>
      <c r="T74" s="962"/>
      <c r="U74" s="406"/>
      <c r="V74" s="407"/>
      <c r="W74" s="396" t="str">
        <f t="shared" si="8"/>
        <v/>
      </c>
      <c r="X74" s="2906"/>
      <c r="Y74" s="182"/>
      <c r="Z74" s="1675"/>
      <c r="AA74" s="1676"/>
      <c r="AB74" s="182"/>
      <c r="AC74" s="220" t="str">
        <f t="shared" ref="AC74:AC99" si="16">IFERROR(IF(O74="","",TEXT(INDEX($BE$10:$BH$42,MATCH(O74,種別リスト,0),1),"00")),"-")</f>
        <v/>
      </c>
      <c r="AD74" s="220" t="str">
        <f t="shared" ref="AD74:AD99" si="17">IFERROR(IF(T74="","",TEXT(INDEX($BE$10:$BH$42,MATCH(T74,種別リスト,0),1),"00")),"-")</f>
        <v/>
      </c>
      <c r="AE74" s="221" t="str">
        <f t="shared" si="9"/>
        <v/>
      </c>
      <c r="AF74" s="221" t="str">
        <f t="shared" si="10"/>
        <v/>
      </c>
      <c r="AG74" s="221">
        <f>IF(AE74="○",P74*IF(D73="低炭素電気へ切替",Z74*1000,VLOOKUP(O74,$BH$10:$BI$42,2,))*IFERROR(VLOOKUP(Q74,$BN$10:$BO$18,2,),1),0)</f>
        <v>0</v>
      </c>
      <c r="AH74" s="221">
        <f>IF(AF74="○",U74*IF(D73="低炭素電気へ切替",AA74*1000,VLOOKUP(T74,$BH$10:$BI$42,2,))*VLOOKUP(V74,$BN$10:$BO$18,2,),0)</f>
        <v>0</v>
      </c>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205"/>
      <c r="BN74" s="205"/>
      <c r="BO74" s="205"/>
      <c r="BP74" s="205"/>
      <c r="BQ74" s="182"/>
      <c r="BR74" s="182"/>
      <c r="BS74" s="182"/>
      <c r="BT74" s="182"/>
    </row>
    <row r="75" spans="2:72" ht="42.95" customHeight="1" thickBot="1">
      <c r="B75" s="2718"/>
      <c r="C75" s="2893"/>
      <c r="D75" s="2894"/>
      <c r="E75" s="2894"/>
      <c r="F75" s="2895"/>
      <c r="G75" s="2896"/>
      <c r="H75" s="2896"/>
      <c r="I75" s="2896"/>
      <c r="J75" s="2897"/>
      <c r="K75" s="2898"/>
      <c r="L75" s="2899"/>
      <c r="M75" s="182"/>
      <c r="N75" s="2901"/>
      <c r="O75" s="1324"/>
      <c r="P75" s="408"/>
      <c r="Q75" s="409"/>
      <c r="R75" s="400" t="str">
        <f t="shared" ref="R75:R99" si="18">IF(AE75="○",AG75,IF(AE75="×","単位不一致",""))</f>
        <v/>
      </c>
      <c r="S75" s="2912"/>
      <c r="T75" s="1324"/>
      <c r="U75" s="408"/>
      <c r="V75" s="409"/>
      <c r="W75" s="401" t="str">
        <f t="shared" ref="W75:W99" si="19">IF(AF75="○",AH75,IF(AF75="×","単位不一致",""))</f>
        <v/>
      </c>
      <c r="X75" s="2906"/>
      <c r="Y75" s="182"/>
      <c r="Z75" s="1677"/>
      <c r="AA75" s="1678"/>
      <c r="AB75" s="182"/>
      <c r="AC75" s="220" t="str">
        <f t="shared" si="16"/>
        <v/>
      </c>
      <c r="AD75" s="220" t="str">
        <f t="shared" si="17"/>
        <v/>
      </c>
      <c r="AE75" s="221" t="str">
        <f t="shared" ref="AE75:AE99" si="20">IFERROR(IF(AND(Q75&lt;&gt;"",OR(VLOOKUP($O75,$BH$10:$BL$42,4,)=$Q75,VLOOKUP($O75,$BH$10:$BL$42,5,)=$Q75)),"○","×"),"")</f>
        <v/>
      </c>
      <c r="AF75" s="221" t="str">
        <f t="shared" ref="AF75:AF99" si="21">IFERROR(IF(AND(V75&lt;&gt;"",OR(VLOOKUP($T75,$BH$10:$BL$42,4,)=$V75,VLOOKUP($T75,$BH$10:$BL$42,5,)=$V75)),"○","×"),"")</f>
        <v/>
      </c>
      <c r="AG75" s="221">
        <f>IF(AE75="○",P75*IF(D73="低炭素電気へ切替",Z75*1000,VLOOKUP(O75,$BH$10:$BI$42,2,))*IFERROR(VLOOKUP(Q75,$BN$10:$BO$18,2,),1),0)</f>
        <v>0</v>
      </c>
      <c r="AH75" s="221">
        <f>IF(AF75="○",U75*IF(D73="低炭素電気へ切替",AA75*1000,VLOOKUP(T75,$BH$10:$BI$42,2,))*VLOOKUP(V75,$BN$10:$BO$18,2,),0)</f>
        <v>0</v>
      </c>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205"/>
      <c r="BN75" s="205"/>
      <c r="BO75" s="205"/>
      <c r="BP75" s="205"/>
      <c r="BQ75" s="182"/>
      <c r="BR75" s="182"/>
      <c r="BS75" s="182"/>
      <c r="BT75" s="182"/>
    </row>
    <row r="76" spans="2:72" ht="42.95" customHeight="1">
      <c r="B76" s="2718">
        <v>23</v>
      </c>
      <c r="C76" s="2893"/>
      <c r="D76" s="2894"/>
      <c r="E76" s="2894"/>
      <c r="F76" s="2895"/>
      <c r="G76" s="2896"/>
      <c r="H76" s="2896"/>
      <c r="I76" s="2896"/>
      <c r="J76" s="2897"/>
      <c r="K76" s="2898" t="str">
        <f>X76</f>
        <v/>
      </c>
      <c r="L76" s="2899"/>
      <c r="M76" s="182"/>
      <c r="N76" s="2900"/>
      <c r="O76" s="962"/>
      <c r="P76" s="406"/>
      <c r="Q76" s="407"/>
      <c r="R76" s="395" t="str">
        <f t="shared" si="18"/>
        <v/>
      </c>
      <c r="S76" s="2911"/>
      <c r="T76" s="962"/>
      <c r="U76" s="406"/>
      <c r="V76" s="407"/>
      <c r="W76" s="396" t="str">
        <f t="shared" si="19"/>
        <v/>
      </c>
      <c r="X76" s="2905" t="str">
        <f>IF(AND(AE76&lt;&gt;"×",AF76&lt;&gt;"×",OR(AE76="○",AF76="○")),AG76-AH76+AG77-AH77+AG78-AH78,"")</f>
        <v/>
      </c>
      <c r="Y76" s="182"/>
      <c r="Z76" s="1673"/>
      <c r="AA76" s="1674"/>
      <c r="AB76" s="182"/>
      <c r="AC76" s="220" t="str">
        <f t="shared" si="16"/>
        <v/>
      </c>
      <c r="AD76" s="220" t="str">
        <f t="shared" si="17"/>
        <v/>
      </c>
      <c r="AE76" s="221" t="str">
        <f t="shared" si="20"/>
        <v/>
      </c>
      <c r="AF76" s="221" t="str">
        <f t="shared" si="21"/>
        <v/>
      </c>
      <c r="AG76" s="221">
        <f>IF(AE76="○",P76*IF(D76="低炭素電気へ切替",Z76*1000,VLOOKUP(O76,$BH$10:$BI$42,2,))*IFERROR(VLOOKUP(Q76,$BN$10:$BO$18,2,),1),0)</f>
        <v>0</v>
      </c>
      <c r="AH76" s="221">
        <f>IF(AF76="○",U76*IF(D76="低炭素電気へ切替",AA76*1000,VLOOKUP(T76,$BH$10:$BI$42,2,))*VLOOKUP(V76,$BN$10:$BO$18,2,),0)</f>
        <v>0</v>
      </c>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205"/>
      <c r="BN76" s="205"/>
      <c r="BO76" s="205"/>
      <c r="BP76" s="205"/>
      <c r="BQ76" s="182"/>
      <c r="BR76" s="182"/>
      <c r="BS76" s="182"/>
      <c r="BT76" s="182"/>
    </row>
    <row r="77" spans="2:72" ht="42.95" customHeight="1">
      <c r="B77" s="2718"/>
      <c r="C77" s="2893"/>
      <c r="D77" s="2894"/>
      <c r="E77" s="2894"/>
      <c r="F77" s="2895"/>
      <c r="G77" s="2896"/>
      <c r="H77" s="2896"/>
      <c r="I77" s="2896"/>
      <c r="J77" s="2897"/>
      <c r="K77" s="2898"/>
      <c r="L77" s="2899"/>
      <c r="M77" s="182"/>
      <c r="N77" s="2901"/>
      <c r="O77" s="962"/>
      <c r="P77" s="406"/>
      <c r="Q77" s="407"/>
      <c r="R77" s="395" t="str">
        <f t="shared" si="18"/>
        <v/>
      </c>
      <c r="S77" s="2912"/>
      <c r="T77" s="962"/>
      <c r="U77" s="406"/>
      <c r="V77" s="407"/>
      <c r="W77" s="396" t="str">
        <f t="shared" si="19"/>
        <v/>
      </c>
      <c r="X77" s="2906"/>
      <c r="Y77" s="182"/>
      <c r="Z77" s="1675"/>
      <c r="AA77" s="1676"/>
      <c r="AB77" s="182"/>
      <c r="AC77" s="220" t="str">
        <f t="shared" si="16"/>
        <v/>
      </c>
      <c r="AD77" s="220" t="str">
        <f t="shared" si="17"/>
        <v/>
      </c>
      <c r="AE77" s="221" t="str">
        <f t="shared" si="20"/>
        <v/>
      </c>
      <c r="AF77" s="221" t="str">
        <f t="shared" si="21"/>
        <v/>
      </c>
      <c r="AG77" s="221">
        <f>IF(AE77="○",P77*IF(D76="低炭素電気へ切替",Z77*1000,VLOOKUP(O77,$BH$10:$BI$42,2,))*IFERROR(VLOOKUP(Q77,$BN$10:$BO$18,2,),1),0)</f>
        <v>0</v>
      </c>
      <c r="AH77" s="221">
        <f>IF(AF77="○",U77*IF(D76="低炭素電気へ切替",AA77*1000,VLOOKUP(T77,$BH$10:$BI$42,2,))*VLOOKUP(V77,$BN$10:$BO$18,2,),0)</f>
        <v>0</v>
      </c>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205"/>
      <c r="BN77" s="205"/>
      <c r="BO77" s="205"/>
      <c r="BP77" s="205"/>
      <c r="BQ77" s="182"/>
      <c r="BR77" s="182"/>
      <c r="BS77" s="182"/>
      <c r="BT77" s="182"/>
    </row>
    <row r="78" spans="2:72" ht="42.95" customHeight="1" thickBot="1">
      <c r="B78" s="2718"/>
      <c r="C78" s="2893"/>
      <c r="D78" s="2894"/>
      <c r="E78" s="2894"/>
      <c r="F78" s="2895"/>
      <c r="G78" s="2896"/>
      <c r="H78" s="2896"/>
      <c r="I78" s="2896"/>
      <c r="J78" s="2897"/>
      <c r="K78" s="2898"/>
      <c r="L78" s="2899"/>
      <c r="M78" s="182"/>
      <c r="N78" s="2902"/>
      <c r="O78" s="962"/>
      <c r="P78" s="406"/>
      <c r="Q78" s="407"/>
      <c r="R78" s="395" t="str">
        <f t="shared" si="18"/>
        <v/>
      </c>
      <c r="S78" s="2920"/>
      <c r="T78" s="962"/>
      <c r="U78" s="406"/>
      <c r="V78" s="407"/>
      <c r="W78" s="396" t="str">
        <f t="shared" si="19"/>
        <v/>
      </c>
      <c r="X78" s="2907"/>
      <c r="Y78" s="182"/>
      <c r="Z78" s="1677"/>
      <c r="AA78" s="1678"/>
      <c r="AB78" s="182"/>
      <c r="AC78" s="220" t="str">
        <f t="shared" si="16"/>
        <v/>
      </c>
      <c r="AD78" s="220" t="str">
        <f t="shared" si="17"/>
        <v/>
      </c>
      <c r="AE78" s="221" t="str">
        <f t="shared" si="20"/>
        <v/>
      </c>
      <c r="AF78" s="221" t="str">
        <f t="shared" si="21"/>
        <v/>
      </c>
      <c r="AG78" s="221">
        <f>IF(AE78="○",P78*IF(D76="低炭素電気へ切替",Z78*1000,VLOOKUP(O78,$BH$10:$BI$42,2,))*IFERROR(VLOOKUP(Q78,$BN$10:$BO$18,2,),1),0)</f>
        <v>0</v>
      </c>
      <c r="AH78" s="221">
        <f>IF(AF78="○",U78*IF(D76="低炭素電気へ切替",AA78*1000,VLOOKUP(T78,$BH$10:$BI$42,2,))*VLOOKUP(V78,$BN$10:$BO$18,2,),0)</f>
        <v>0</v>
      </c>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205"/>
      <c r="BN78" s="205"/>
      <c r="BO78" s="205"/>
      <c r="BP78" s="205"/>
      <c r="BQ78" s="182"/>
      <c r="BR78" s="182"/>
      <c r="BS78" s="182"/>
      <c r="BT78" s="182"/>
    </row>
    <row r="79" spans="2:72" ht="42.95" customHeight="1">
      <c r="B79" s="2718">
        <v>24</v>
      </c>
      <c r="C79" s="2893"/>
      <c r="D79" s="2894"/>
      <c r="E79" s="2894"/>
      <c r="F79" s="2895"/>
      <c r="G79" s="2896"/>
      <c r="H79" s="2896"/>
      <c r="I79" s="2896"/>
      <c r="J79" s="2897"/>
      <c r="K79" s="2898" t="str">
        <f>X79</f>
        <v/>
      </c>
      <c r="L79" s="2899"/>
      <c r="M79" s="182"/>
      <c r="N79" s="2901"/>
      <c r="O79" s="1325"/>
      <c r="P79" s="410"/>
      <c r="Q79" s="411"/>
      <c r="R79" s="402" t="str">
        <f t="shared" si="18"/>
        <v/>
      </c>
      <c r="S79" s="2913"/>
      <c r="T79" s="1325"/>
      <c r="U79" s="410"/>
      <c r="V79" s="411"/>
      <c r="W79" s="403" t="str">
        <f t="shared" si="19"/>
        <v/>
      </c>
      <c r="X79" s="2906" t="str">
        <f>IF(AND(AE79&lt;&gt;"×",AF79&lt;&gt;"×",OR(AE79="○",AF79="○")),AG79-AH79+AG80-AH80+AG81-AH81,"")</f>
        <v/>
      </c>
      <c r="Y79" s="182"/>
      <c r="Z79" s="1673"/>
      <c r="AA79" s="1674"/>
      <c r="AB79" s="182"/>
      <c r="AC79" s="220" t="str">
        <f t="shared" si="16"/>
        <v/>
      </c>
      <c r="AD79" s="220" t="str">
        <f t="shared" si="17"/>
        <v/>
      </c>
      <c r="AE79" s="221" t="str">
        <f t="shared" si="20"/>
        <v/>
      </c>
      <c r="AF79" s="221" t="str">
        <f t="shared" si="21"/>
        <v/>
      </c>
      <c r="AG79" s="221">
        <f>IF(AE79="○",P79*IF(D79="低炭素電気へ切替",Z79*1000,VLOOKUP(O79,$BH$10:$BI$42,2,))*IFERROR(VLOOKUP(Q79,$BN$10:$BO$18,2,),1),0)</f>
        <v>0</v>
      </c>
      <c r="AH79" s="221">
        <f>IF(AF79="○",U79*IF(D79="低炭素電気へ切替",AA79*1000,VLOOKUP(T79,$BH$10:$BI$42,2,))*VLOOKUP(V79,$BN$10:$BO$18,2,),0)</f>
        <v>0</v>
      </c>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205"/>
      <c r="BN79" s="205"/>
      <c r="BO79" s="205"/>
      <c r="BP79" s="205"/>
      <c r="BQ79" s="182"/>
      <c r="BR79" s="182"/>
      <c r="BS79" s="182"/>
      <c r="BT79" s="182"/>
    </row>
    <row r="80" spans="2:72" ht="42.95" customHeight="1">
      <c r="B80" s="2718"/>
      <c r="C80" s="2893"/>
      <c r="D80" s="2894"/>
      <c r="E80" s="2894"/>
      <c r="F80" s="2895"/>
      <c r="G80" s="2896"/>
      <c r="H80" s="2896"/>
      <c r="I80" s="2896"/>
      <c r="J80" s="2897"/>
      <c r="K80" s="2898"/>
      <c r="L80" s="2899"/>
      <c r="M80" s="182"/>
      <c r="N80" s="2901"/>
      <c r="O80" s="962"/>
      <c r="P80" s="406"/>
      <c r="Q80" s="407"/>
      <c r="R80" s="395" t="str">
        <f t="shared" si="18"/>
        <v/>
      </c>
      <c r="S80" s="2912"/>
      <c r="T80" s="962"/>
      <c r="U80" s="406"/>
      <c r="V80" s="407"/>
      <c r="W80" s="396" t="str">
        <f t="shared" si="19"/>
        <v/>
      </c>
      <c r="X80" s="2906"/>
      <c r="Y80" s="182"/>
      <c r="Z80" s="1675"/>
      <c r="AA80" s="1676"/>
      <c r="AB80" s="182"/>
      <c r="AC80" s="220" t="str">
        <f t="shared" si="16"/>
        <v/>
      </c>
      <c r="AD80" s="220" t="str">
        <f t="shared" si="17"/>
        <v/>
      </c>
      <c r="AE80" s="221" t="str">
        <f t="shared" si="20"/>
        <v/>
      </c>
      <c r="AF80" s="221" t="str">
        <f t="shared" si="21"/>
        <v/>
      </c>
      <c r="AG80" s="221">
        <f>IF(AE80="○",P80*IF(D79="低炭素電気へ切替",Z80*1000,VLOOKUP(O80,$BH$10:$BI$42,2,))*IFERROR(VLOOKUP(Q80,$BN$10:$BO$18,2,),1),0)</f>
        <v>0</v>
      </c>
      <c r="AH80" s="221">
        <f>IF(AF80="○",U80*IF(D79="低炭素電気へ切替",AA80*1000,VLOOKUP(T80,$BH$10:$BI$42,2,))*VLOOKUP(V80,$BN$10:$BO$18,2,),0)</f>
        <v>0</v>
      </c>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205"/>
      <c r="BN80" s="205"/>
      <c r="BO80" s="205"/>
      <c r="BP80" s="205"/>
      <c r="BQ80" s="182"/>
      <c r="BR80" s="182"/>
      <c r="BS80" s="182"/>
      <c r="BT80" s="182"/>
    </row>
    <row r="81" spans="2:72" ht="42.95" customHeight="1" thickBot="1">
      <c r="B81" s="2718"/>
      <c r="C81" s="2893"/>
      <c r="D81" s="2894"/>
      <c r="E81" s="2894"/>
      <c r="F81" s="2895"/>
      <c r="G81" s="2896"/>
      <c r="H81" s="2896"/>
      <c r="I81" s="2896"/>
      <c r="J81" s="2897"/>
      <c r="K81" s="2898"/>
      <c r="L81" s="2899"/>
      <c r="M81" s="182"/>
      <c r="N81" s="2901"/>
      <c r="O81" s="1324"/>
      <c r="P81" s="408"/>
      <c r="Q81" s="409"/>
      <c r="R81" s="400" t="str">
        <f t="shared" si="18"/>
        <v/>
      </c>
      <c r="S81" s="2912"/>
      <c r="T81" s="1324"/>
      <c r="U81" s="408"/>
      <c r="V81" s="409"/>
      <c r="W81" s="401" t="str">
        <f t="shared" si="19"/>
        <v/>
      </c>
      <c r="X81" s="2906"/>
      <c r="Y81" s="182"/>
      <c r="Z81" s="1677"/>
      <c r="AA81" s="1678"/>
      <c r="AB81" s="182"/>
      <c r="AC81" s="220" t="str">
        <f t="shared" si="16"/>
        <v/>
      </c>
      <c r="AD81" s="220" t="str">
        <f t="shared" si="17"/>
        <v/>
      </c>
      <c r="AE81" s="221" t="str">
        <f t="shared" si="20"/>
        <v/>
      </c>
      <c r="AF81" s="221" t="str">
        <f t="shared" si="21"/>
        <v/>
      </c>
      <c r="AG81" s="221">
        <f>IF(AE81="○",P81*IF(D79="低炭素電気へ切替",Z81*1000,VLOOKUP(O81,$BH$10:$BI$42,2,))*IFERROR(VLOOKUP(Q81,$BN$10:$BO$18,2,),1),0)</f>
        <v>0</v>
      </c>
      <c r="AH81" s="221">
        <f>IF(AF81="○",U81*IF(D79="低炭素電気へ切替",AA81*1000,VLOOKUP(T81,$BH$10:$BI$42,2,))*VLOOKUP(V81,$BN$10:$BO$18,2,),0)</f>
        <v>0</v>
      </c>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205"/>
      <c r="BN81" s="205"/>
      <c r="BO81" s="205"/>
      <c r="BP81" s="205"/>
      <c r="BQ81" s="182"/>
      <c r="BR81" s="182"/>
      <c r="BS81" s="182"/>
      <c r="BT81" s="182"/>
    </row>
    <row r="82" spans="2:72" ht="42.95" customHeight="1">
      <c r="B82" s="2718">
        <v>25</v>
      </c>
      <c r="C82" s="2893"/>
      <c r="D82" s="2894"/>
      <c r="E82" s="2894"/>
      <c r="F82" s="2895"/>
      <c r="G82" s="2896"/>
      <c r="H82" s="2896"/>
      <c r="I82" s="2896"/>
      <c r="J82" s="2897"/>
      <c r="K82" s="2898" t="str">
        <f>X82</f>
        <v/>
      </c>
      <c r="L82" s="2899"/>
      <c r="M82" s="182"/>
      <c r="N82" s="2900"/>
      <c r="O82" s="962"/>
      <c r="P82" s="406"/>
      <c r="Q82" s="407"/>
      <c r="R82" s="395" t="str">
        <f t="shared" si="18"/>
        <v/>
      </c>
      <c r="S82" s="2911"/>
      <c r="T82" s="962"/>
      <c r="U82" s="406"/>
      <c r="V82" s="407"/>
      <c r="W82" s="396" t="str">
        <f t="shared" si="19"/>
        <v/>
      </c>
      <c r="X82" s="2905" t="str">
        <f>IF(AND(AE82&lt;&gt;"×",AF82&lt;&gt;"×",OR(AE82="○",AF82="○")),AG82-AH82+AG83-AH83+AG84-AH84,"")</f>
        <v/>
      </c>
      <c r="Y82" s="182"/>
      <c r="Z82" s="1673"/>
      <c r="AA82" s="1674"/>
      <c r="AB82" s="182"/>
      <c r="AC82" s="220" t="str">
        <f t="shared" si="16"/>
        <v/>
      </c>
      <c r="AD82" s="220" t="str">
        <f t="shared" si="17"/>
        <v/>
      </c>
      <c r="AE82" s="221" t="str">
        <f t="shared" si="20"/>
        <v/>
      </c>
      <c r="AF82" s="221" t="str">
        <f t="shared" si="21"/>
        <v/>
      </c>
      <c r="AG82" s="221">
        <f>IF(AE82="○",P82*IF(D82="低炭素電気へ切替",Z82*1000,VLOOKUP(O82,$BH$10:$BI$42,2,))*IFERROR(VLOOKUP(Q82,$BN$10:$BO$18,2,),1),0)</f>
        <v>0</v>
      </c>
      <c r="AH82" s="221">
        <f>IF(AF82="○",U82*IF(D82="低炭素電気へ切替",AA82*1000,VLOOKUP(T82,$BH$10:$BI$42,2,))*VLOOKUP(V82,$BN$10:$BO$18,2,),0)</f>
        <v>0</v>
      </c>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205"/>
      <c r="BN82" s="205"/>
      <c r="BO82" s="205"/>
      <c r="BP82" s="205"/>
      <c r="BQ82" s="182"/>
      <c r="BR82" s="182"/>
      <c r="BS82" s="182"/>
      <c r="BT82" s="182"/>
    </row>
    <row r="83" spans="2:72" ht="42.95" customHeight="1">
      <c r="B83" s="2718"/>
      <c r="C83" s="2893"/>
      <c r="D83" s="2894"/>
      <c r="E83" s="2894"/>
      <c r="F83" s="2895"/>
      <c r="G83" s="2896"/>
      <c r="H83" s="2896"/>
      <c r="I83" s="2896"/>
      <c r="J83" s="2897"/>
      <c r="K83" s="2898"/>
      <c r="L83" s="2899"/>
      <c r="M83" s="182"/>
      <c r="N83" s="2901"/>
      <c r="O83" s="962"/>
      <c r="P83" s="406"/>
      <c r="Q83" s="407"/>
      <c r="R83" s="395" t="str">
        <f t="shared" si="18"/>
        <v/>
      </c>
      <c r="S83" s="2912"/>
      <c r="T83" s="962"/>
      <c r="U83" s="406"/>
      <c r="V83" s="407"/>
      <c r="W83" s="396" t="str">
        <f t="shared" si="19"/>
        <v/>
      </c>
      <c r="X83" s="2906"/>
      <c r="Y83" s="182"/>
      <c r="Z83" s="1675"/>
      <c r="AA83" s="1676"/>
      <c r="AB83" s="182"/>
      <c r="AC83" s="220" t="str">
        <f t="shared" si="16"/>
        <v/>
      </c>
      <c r="AD83" s="220" t="str">
        <f t="shared" si="17"/>
        <v/>
      </c>
      <c r="AE83" s="221" t="str">
        <f t="shared" si="20"/>
        <v/>
      </c>
      <c r="AF83" s="221" t="str">
        <f t="shared" si="21"/>
        <v/>
      </c>
      <c r="AG83" s="221">
        <f>IF(AE83="○",P83*IF(D82="低炭素電気へ切替",Z83*1000,VLOOKUP(O83,$BH$10:$BI$42,2,))*IFERROR(VLOOKUP(Q83,$BN$10:$BO$18,2,),1),0)</f>
        <v>0</v>
      </c>
      <c r="AH83" s="221">
        <f>IF(AF83="○",U83*IF(D82="低炭素電気へ切替",AA83*1000,VLOOKUP(T83,$BH$10:$BI$42,2,))*VLOOKUP(V83,$BN$10:$BO$18,2,),0)</f>
        <v>0</v>
      </c>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205"/>
      <c r="BN83" s="205"/>
      <c r="BO83" s="205"/>
      <c r="BP83" s="205"/>
      <c r="BQ83" s="182"/>
      <c r="BR83" s="182"/>
      <c r="BS83" s="182"/>
      <c r="BT83" s="182"/>
    </row>
    <row r="84" spans="2:72" ht="42.95" customHeight="1" thickBot="1">
      <c r="B84" s="2718"/>
      <c r="C84" s="2893"/>
      <c r="D84" s="2894"/>
      <c r="E84" s="2894"/>
      <c r="F84" s="2895"/>
      <c r="G84" s="2896"/>
      <c r="H84" s="2896"/>
      <c r="I84" s="2896"/>
      <c r="J84" s="2897"/>
      <c r="K84" s="2898"/>
      <c r="L84" s="2899"/>
      <c r="M84" s="182"/>
      <c r="N84" s="2902"/>
      <c r="O84" s="962"/>
      <c r="P84" s="406"/>
      <c r="Q84" s="407"/>
      <c r="R84" s="395" t="str">
        <f t="shared" si="18"/>
        <v/>
      </c>
      <c r="S84" s="2920"/>
      <c r="T84" s="962"/>
      <c r="U84" s="406"/>
      <c r="V84" s="407"/>
      <c r="W84" s="396" t="str">
        <f t="shared" si="19"/>
        <v/>
      </c>
      <c r="X84" s="2907"/>
      <c r="Y84" s="182"/>
      <c r="Z84" s="1677"/>
      <c r="AA84" s="1678"/>
      <c r="AB84" s="182"/>
      <c r="AC84" s="220" t="str">
        <f t="shared" si="16"/>
        <v/>
      </c>
      <c r="AD84" s="220" t="str">
        <f t="shared" si="17"/>
        <v/>
      </c>
      <c r="AE84" s="221" t="str">
        <f t="shared" si="20"/>
        <v/>
      </c>
      <c r="AF84" s="221" t="str">
        <f t="shared" si="21"/>
        <v/>
      </c>
      <c r="AG84" s="221">
        <f>IF(AE84="○",P84*IF(D82="低炭素電気へ切替",Z84*1000,VLOOKUP(O84,$BH$10:$BI$42,2,))*IFERROR(VLOOKUP(Q84,$BN$10:$BO$18,2,),1),0)</f>
        <v>0</v>
      </c>
      <c r="AH84" s="221">
        <f>IF(AF84="○",U84*IF(D82="低炭素電気へ切替",AA84*1000,VLOOKUP(T84,$BH$10:$BI$42,2,))*VLOOKUP(V84,$BN$10:$BO$18,2,),0)</f>
        <v>0</v>
      </c>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205"/>
      <c r="BN84" s="205"/>
      <c r="BO84" s="205"/>
      <c r="BP84" s="205"/>
      <c r="BQ84" s="182"/>
      <c r="BR84" s="182"/>
      <c r="BS84" s="182"/>
      <c r="BT84" s="182"/>
    </row>
    <row r="85" spans="2:72" ht="42.95" customHeight="1">
      <c r="B85" s="2718">
        <v>26</v>
      </c>
      <c r="C85" s="2893"/>
      <c r="D85" s="2894"/>
      <c r="E85" s="2894"/>
      <c r="F85" s="2895"/>
      <c r="G85" s="2896"/>
      <c r="H85" s="2896"/>
      <c r="I85" s="2896"/>
      <c r="J85" s="2897"/>
      <c r="K85" s="2898" t="str">
        <f>X85</f>
        <v/>
      </c>
      <c r="L85" s="2899"/>
      <c r="M85" s="182"/>
      <c r="N85" s="2901"/>
      <c r="O85" s="1325"/>
      <c r="P85" s="410"/>
      <c r="Q85" s="411"/>
      <c r="R85" s="402" t="str">
        <f t="shared" si="18"/>
        <v/>
      </c>
      <c r="S85" s="2913"/>
      <c r="T85" s="1325"/>
      <c r="U85" s="410"/>
      <c r="V85" s="411"/>
      <c r="W85" s="403" t="str">
        <f t="shared" si="19"/>
        <v/>
      </c>
      <c r="X85" s="2906" t="str">
        <f>IF(AND(AE85&lt;&gt;"×",AF85&lt;&gt;"×",OR(AE85="○",AF85="○")),AG85-AH85+AG86-AH86+AG87-AH87,"")</f>
        <v/>
      </c>
      <c r="Y85" s="182"/>
      <c r="Z85" s="1673"/>
      <c r="AA85" s="1674"/>
      <c r="AB85" s="182"/>
      <c r="AC85" s="220" t="str">
        <f t="shared" si="16"/>
        <v/>
      </c>
      <c r="AD85" s="220" t="str">
        <f t="shared" si="17"/>
        <v/>
      </c>
      <c r="AE85" s="221" t="str">
        <f t="shared" si="20"/>
        <v/>
      </c>
      <c r="AF85" s="221" t="str">
        <f t="shared" si="21"/>
        <v/>
      </c>
      <c r="AG85" s="221">
        <f>IF(AE85="○",P85*IF(D85="低炭素電気へ切替",Z85*1000,VLOOKUP(O85,$BH$10:$BI$42,2,))*IFERROR(VLOOKUP(Q85,$BN$10:$BO$18,2,),1),0)</f>
        <v>0</v>
      </c>
      <c r="AH85" s="221">
        <f>IF(AF85="○",U85*IF(D85="低炭素電気へ切替",AA85*1000,VLOOKUP(T85,$BH$10:$BI$42,2,))*VLOOKUP(V85,$BN$10:$BO$18,2,),0)</f>
        <v>0</v>
      </c>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205"/>
      <c r="BN85" s="205"/>
      <c r="BO85" s="205"/>
      <c r="BP85" s="205"/>
      <c r="BQ85" s="182"/>
      <c r="BR85" s="182"/>
      <c r="BS85" s="182"/>
      <c r="BT85" s="182"/>
    </row>
    <row r="86" spans="2:72" ht="42.95" customHeight="1">
      <c r="B86" s="2718"/>
      <c r="C86" s="2893"/>
      <c r="D86" s="2894"/>
      <c r="E86" s="2894"/>
      <c r="F86" s="2895"/>
      <c r="G86" s="2896"/>
      <c r="H86" s="2896"/>
      <c r="I86" s="2896"/>
      <c r="J86" s="2897"/>
      <c r="K86" s="2898"/>
      <c r="L86" s="2899"/>
      <c r="M86" s="182"/>
      <c r="N86" s="2901"/>
      <c r="O86" s="962"/>
      <c r="P86" s="406"/>
      <c r="Q86" s="407"/>
      <c r="R86" s="395" t="str">
        <f t="shared" si="18"/>
        <v/>
      </c>
      <c r="S86" s="2912"/>
      <c r="T86" s="962"/>
      <c r="U86" s="406"/>
      <c r="V86" s="407"/>
      <c r="W86" s="396" t="str">
        <f t="shared" si="19"/>
        <v/>
      </c>
      <c r="X86" s="2906"/>
      <c r="Y86" s="182"/>
      <c r="Z86" s="1675"/>
      <c r="AA86" s="1676"/>
      <c r="AB86" s="182"/>
      <c r="AC86" s="220" t="str">
        <f t="shared" si="16"/>
        <v/>
      </c>
      <c r="AD86" s="220" t="str">
        <f t="shared" si="17"/>
        <v/>
      </c>
      <c r="AE86" s="221" t="str">
        <f t="shared" si="20"/>
        <v/>
      </c>
      <c r="AF86" s="221" t="str">
        <f t="shared" si="21"/>
        <v/>
      </c>
      <c r="AG86" s="221">
        <f>IF(AE86="○",P86*IF(D85="低炭素電気へ切替",Z86*1000,VLOOKUP(O86,$BH$10:$BI$42,2,))*IFERROR(VLOOKUP(Q86,$BN$10:$BO$18,2,),1),0)</f>
        <v>0</v>
      </c>
      <c r="AH86" s="221">
        <f>IF(AF86="○",U86*IF(D85="低炭素電気へ切替",AA86*1000,VLOOKUP(T86,$BH$10:$BI$42,2,))*VLOOKUP(V86,$BN$10:$BO$18,2,),0)</f>
        <v>0</v>
      </c>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205"/>
      <c r="BN86" s="205"/>
      <c r="BO86" s="205"/>
      <c r="BP86" s="205"/>
      <c r="BQ86" s="182"/>
      <c r="BR86" s="182"/>
      <c r="BS86" s="182"/>
      <c r="BT86" s="182"/>
    </row>
    <row r="87" spans="2:72" ht="42.95" customHeight="1" thickBot="1">
      <c r="B87" s="2718"/>
      <c r="C87" s="2893"/>
      <c r="D87" s="2894"/>
      <c r="E87" s="2894"/>
      <c r="F87" s="2895"/>
      <c r="G87" s="2896"/>
      <c r="H87" s="2896"/>
      <c r="I87" s="2896"/>
      <c r="J87" s="2897"/>
      <c r="K87" s="2898"/>
      <c r="L87" s="2899"/>
      <c r="M87" s="182"/>
      <c r="N87" s="2901"/>
      <c r="O87" s="1324"/>
      <c r="P87" s="408"/>
      <c r="Q87" s="409"/>
      <c r="R87" s="400" t="str">
        <f t="shared" si="18"/>
        <v/>
      </c>
      <c r="S87" s="2912"/>
      <c r="T87" s="1324"/>
      <c r="U87" s="408"/>
      <c r="V87" s="409"/>
      <c r="W87" s="401" t="str">
        <f t="shared" si="19"/>
        <v/>
      </c>
      <c r="X87" s="2906"/>
      <c r="Y87" s="182"/>
      <c r="Z87" s="1677"/>
      <c r="AA87" s="1678"/>
      <c r="AB87" s="182"/>
      <c r="AC87" s="220" t="str">
        <f t="shared" si="16"/>
        <v/>
      </c>
      <c r="AD87" s="220" t="str">
        <f t="shared" si="17"/>
        <v/>
      </c>
      <c r="AE87" s="221" t="str">
        <f t="shared" si="20"/>
        <v/>
      </c>
      <c r="AF87" s="221" t="str">
        <f t="shared" si="21"/>
        <v/>
      </c>
      <c r="AG87" s="221">
        <f>IF(AE87="○",P87*IF(D85="低炭素電気へ切替",Z87*1000,VLOOKUP(O87,$BH$10:$BI$42,2,))*IFERROR(VLOOKUP(Q87,$BN$10:$BO$18,2,),1),0)</f>
        <v>0</v>
      </c>
      <c r="AH87" s="221">
        <f>IF(AF87="○",U87*IF(D85="低炭素電気へ切替",AA87*1000,VLOOKUP(T87,$BH$10:$BI$42,2,))*VLOOKUP(V87,$BN$10:$BO$18,2,),0)</f>
        <v>0</v>
      </c>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205"/>
      <c r="BN87" s="205"/>
      <c r="BO87" s="205"/>
      <c r="BP87" s="205"/>
      <c r="BQ87" s="182"/>
      <c r="BR87" s="182"/>
      <c r="BS87" s="182"/>
      <c r="BT87" s="182"/>
    </row>
    <row r="88" spans="2:72" ht="42.95" customHeight="1">
      <c r="B88" s="2718">
        <v>27</v>
      </c>
      <c r="C88" s="2893"/>
      <c r="D88" s="2894"/>
      <c r="E88" s="2894"/>
      <c r="F88" s="2895"/>
      <c r="G88" s="2896"/>
      <c r="H88" s="2896"/>
      <c r="I88" s="2896"/>
      <c r="J88" s="2897"/>
      <c r="K88" s="2898" t="str">
        <f>X88</f>
        <v/>
      </c>
      <c r="L88" s="2899"/>
      <c r="M88" s="182"/>
      <c r="N88" s="2900"/>
      <c r="O88" s="962"/>
      <c r="P88" s="406"/>
      <c r="Q88" s="407"/>
      <c r="R88" s="395" t="str">
        <f t="shared" si="18"/>
        <v/>
      </c>
      <c r="S88" s="2911"/>
      <c r="T88" s="962"/>
      <c r="U88" s="406"/>
      <c r="V88" s="407"/>
      <c r="W88" s="396" t="str">
        <f t="shared" si="19"/>
        <v/>
      </c>
      <c r="X88" s="2905" t="str">
        <f>IF(AND(AE88&lt;&gt;"×",AF88&lt;&gt;"×",OR(AE88="○",AF88="○")),AG88-AH88+AG89-AH89+AG90-AH90,"")</f>
        <v/>
      </c>
      <c r="Y88" s="182"/>
      <c r="Z88" s="1673"/>
      <c r="AA88" s="1674"/>
      <c r="AB88" s="182"/>
      <c r="AC88" s="220" t="str">
        <f t="shared" si="16"/>
        <v/>
      </c>
      <c r="AD88" s="220" t="str">
        <f t="shared" si="17"/>
        <v/>
      </c>
      <c r="AE88" s="221" t="str">
        <f t="shared" si="20"/>
        <v/>
      </c>
      <c r="AF88" s="221" t="str">
        <f t="shared" si="21"/>
        <v/>
      </c>
      <c r="AG88" s="221">
        <f>IF(AE88="○",P88*IF(D88="低炭素電気へ切替",Z88*1000,VLOOKUP(O88,$BH$10:$BI$42,2,))*IFERROR(VLOOKUP(Q88,$BN$10:$BO$18,2,),1),0)</f>
        <v>0</v>
      </c>
      <c r="AH88" s="221">
        <f>IF(AF88="○",U88*IF(D88="低炭素電気へ切替",AA88*1000,VLOOKUP(T88,$BH$10:$BI$42,2,))*VLOOKUP(V88,$BN$10:$BO$18,2,),0)</f>
        <v>0</v>
      </c>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205"/>
      <c r="BN88" s="205"/>
      <c r="BO88" s="205"/>
      <c r="BP88" s="205"/>
      <c r="BQ88" s="182"/>
      <c r="BR88" s="182"/>
      <c r="BS88" s="182"/>
      <c r="BT88" s="182"/>
    </row>
    <row r="89" spans="2:72" ht="42.95" customHeight="1">
      <c r="B89" s="2718"/>
      <c r="C89" s="2893"/>
      <c r="D89" s="2894"/>
      <c r="E89" s="2894"/>
      <c r="F89" s="2895"/>
      <c r="G89" s="2896"/>
      <c r="H89" s="2896"/>
      <c r="I89" s="2896"/>
      <c r="J89" s="2897"/>
      <c r="K89" s="2898"/>
      <c r="L89" s="2899"/>
      <c r="M89" s="182"/>
      <c r="N89" s="2901"/>
      <c r="O89" s="962"/>
      <c r="P89" s="406"/>
      <c r="Q89" s="407"/>
      <c r="R89" s="395" t="str">
        <f t="shared" si="18"/>
        <v/>
      </c>
      <c r="S89" s="2912"/>
      <c r="T89" s="962"/>
      <c r="U89" s="406"/>
      <c r="V89" s="407"/>
      <c r="W89" s="396" t="str">
        <f t="shared" si="19"/>
        <v/>
      </c>
      <c r="X89" s="2906"/>
      <c r="Y89" s="182"/>
      <c r="Z89" s="1675"/>
      <c r="AA89" s="1676"/>
      <c r="AB89" s="182"/>
      <c r="AC89" s="220" t="str">
        <f t="shared" si="16"/>
        <v/>
      </c>
      <c r="AD89" s="220" t="str">
        <f t="shared" si="17"/>
        <v/>
      </c>
      <c r="AE89" s="221" t="str">
        <f t="shared" si="20"/>
        <v/>
      </c>
      <c r="AF89" s="221" t="str">
        <f t="shared" si="21"/>
        <v/>
      </c>
      <c r="AG89" s="221">
        <f>IF(AE89="○",P89*IF(D88="低炭素電気へ切替",Z89*1000,VLOOKUP(O89,$BH$10:$BI$42,2,))*IFERROR(VLOOKUP(Q89,$BN$10:$BO$18,2,),1),0)</f>
        <v>0</v>
      </c>
      <c r="AH89" s="221">
        <f>IF(AF89="○",U89*IF(D88="低炭素電気へ切替",AA89*1000,VLOOKUP(T89,$BH$10:$BI$42,2,))*VLOOKUP(V89,$BN$10:$BO$18,2,),0)</f>
        <v>0</v>
      </c>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205"/>
      <c r="BN89" s="205"/>
      <c r="BO89" s="205"/>
      <c r="BP89" s="205"/>
      <c r="BQ89" s="182"/>
      <c r="BR89" s="182"/>
      <c r="BS89" s="182"/>
      <c r="BT89" s="182"/>
    </row>
    <row r="90" spans="2:72" ht="42.95" customHeight="1" thickBot="1">
      <c r="B90" s="2718"/>
      <c r="C90" s="2893"/>
      <c r="D90" s="2894"/>
      <c r="E90" s="2894"/>
      <c r="F90" s="2895"/>
      <c r="G90" s="2896"/>
      <c r="H90" s="2896"/>
      <c r="I90" s="2896"/>
      <c r="J90" s="2897"/>
      <c r="K90" s="2898"/>
      <c r="L90" s="2899"/>
      <c r="M90" s="182"/>
      <c r="N90" s="2902"/>
      <c r="O90" s="962"/>
      <c r="P90" s="406"/>
      <c r="Q90" s="407"/>
      <c r="R90" s="395" t="str">
        <f t="shared" si="18"/>
        <v/>
      </c>
      <c r="S90" s="2920"/>
      <c r="T90" s="962"/>
      <c r="U90" s="406"/>
      <c r="V90" s="407"/>
      <c r="W90" s="396" t="str">
        <f t="shared" si="19"/>
        <v/>
      </c>
      <c r="X90" s="2907"/>
      <c r="Y90" s="182"/>
      <c r="Z90" s="1677"/>
      <c r="AA90" s="1678"/>
      <c r="AB90" s="182"/>
      <c r="AC90" s="220" t="str">
        <f t="shared" si="16"/>
        <v/>
      </c>
      <c r="AD90" s="220" t="str">
        <f t="shared" si="17"/>
        <v/>
      </c>
      <c r="AE90" s="221" t="str">
        <f t="shared" si="20"/>
        <v/>
      </c>
      <c r="AF90" s="221" t="str">
        <f t="shared" si="21"/>
        <v/>
      </c>
      <c r="AG90" s="221">
        <f>IF(AE90="○",P90*IF(D88="低炭素電気へ切替",Z90*1000,VLOOKUP(O90,$BH$10:$BI$42,2,))*IFERROR(VLOOKUP(Q90,$BN$10:$BO$18,2,),1),0)</f>
        <v>0</v>
      </c>
      <c r="AH90" s="221">
        <f>IF(AF90="○",U90*IF(D88="低炭素電気へ切替",AA90*1000,VLOOKUP(T90,$BH$10:$BI$42,2,))*VLOOKUP(V90,$BN$10:$BO$18,2,),0)</f>
        <v>0</v>
      </c>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205"/>
      <c r="BN90" s="205"/>
      <c r="BO90" s="205"/>
      <c r="BP90" s="205"/>
      <c r="BQ90" s="182"/>
      <c r="BR90" s="182"/>
      <c r="BS90" s="182"/>
      <c r="BT90" s="182"/>
    </row>
    <row r="91" spans="2:72" ht="42.95" customHeight="1">
      <c r="B91" s="2718">
        <v>28</v>
      </c>
      <c r="C91" s="2893"/>
      <c r="D91" s="2894"/>
      <c r="E91" s="2894"/>
      <c r="F91" s="2895"/>
      <c r="G91" s="2896"/>
      <c r="H91" s="2896"/>
      <c r="I91" s="2896"/>
      <c r="J91" s="2897"/>
      <c r="K91" s="2898" t="str">
        <f>X91</f>
        <v/>
      </c>
      <c r="L91" s="2899"/>
      <c r="M91" s="182"/>
      <c r="N91" s="2901"/>
      <c r="O91" s="1325"/>
      <c r="P91" s="410"/>
      <c r="Q91" s="411"/>
      <c r="R91" s="402" t="str">
        <f t="shared" si="18"/>
        <v/>
      </c>
      <c r="S91" s="2913"/>
      <c r="T91" s="1325"/>
      <c r="U91" s="410"/>
      <c r="V91" s="411"/>
      <c r="W91" s="403" t="str">
        <f t="shared" si="19"/>
        <v/>
      </c>
      <c r="X91" s="2906" t="str">
        <f>IF(AND(AE91&lt;&gt;"×",AF91&lt;&gt;"×",OR(AE91="○",AF91="○")),AG91-AH91+AG92-AH92+AG93-AH93,"")</f>
        <v/>
      </c>
      <c r="Y91" s="182"/>
      <c r="Z91" s="1673"/>
      <c r="AA91" s="1674"/>
      <c r="AB91" s="182"/>
      <c r="AC91" s="220" t="str">
        <f t="shared" si="16"/>
        <v/>
      </c>
      <c r="AD91" s="220" t="str">
        <f t="shared" si="17"/>
        <v/>
      </c>
      <c r="AE91" s="221" t="str">
        <f t="shared" si="20"/>
        <v/>
      </c>
      <c r="AF91" s="221" t="str">
        <f t="shared" si="21"/>
        <v/>
      </c>
      <c r="AG91" s="221">
        <f>IF(AE91="○",P91*IF(D91="低炭素電気へ切替",Z91*1000,VLOOKUP(O91,$BH$10:$BI$42,2,))*IFERROR(VLOOKUP(Q91,$BN$10:$BO$18,2,),1),0)</f>
        <v>0</v>
      </c>
      <c r="AH91" s="221">
        <f>IF(AF91="○",U91*IF(D91="低炭素電気へ切替",AA91*1000,VLOOKUP(T91,$BH$10:$BI$42,2,))*VLOOKUP(V91,$BN$10:$BO$18,2,),0)</f>
        <v>0</v>
      </c>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205"/>
      <c r="BN91" s="205"/>
      <c r="BO91" s="205"/>
      <c r="BP91" s="205"/>
      <c r="BQ91" s="182"/>
      <c r="BR91" s="182"/>
      <c r="BS91" s="182"/>
      <c r="BT91" s="182"/>
    </row>
    <row r="92" spans="2:72" ht="42.95" customHeight="1">
      <c r="B92" s="2718"/>
      <c r="C92" s="2893"/>
      <c r="D92" s="2894"/>
      <c r="E92" s="2894"/>
      <c r="F92" s="2895"/>
      <c r="G92" s="2896"/>
      <c r="H92" s="2896"/>
      <c r="I92" s="2896"/>
      <c r="J92" s="2897"/>
      <c r="K92" s="2898"/>
      <c r="L92" s="2899"/>
      <c r="M92" s="182"/>
      <c r="N92" s="2901"/>
      <c r="O92" s="962"/>
      <c r="P92" s="406"/>
      <c r="Q92" s="407"/>
      <c r="R92" s="395" t="str">
        <f t="shared" si="18"/>
        <v/>
      </c>
      <c r="S92" s="2912"/>
      <c r="T92" s="962"/>
      <c r="U92" s="406"/>
      <c r="V92" s="407"/>
      <c r="W92" s="396" t="str">
        <f t="shared" si="19"/>
        <v/>
      </c>
      <c r="X92" s="2906"/>
      <c r="Y92" s="182"/>
      <c r="Z92" s="1675"/>
      <c r="AA92" s="1676"/>
      <c r="AB92" s="182"/>
      <c r="AC92" s="220" t="str">
        <f t="shared" si="16"/>
        <v/>
      </c>
      <c r="AD92" s="220" t="str">
        <f t="shared" si="17"/>
        <v/>
      </c>
      <c r="AE92" s="221" t="str">
        <f t="shared" si="20"/>
        <v/>
      </c>
      <c r="AF92" s="221" t="str">
        <f t="shared" si="21"/>
        <v/>
      </c>
      <c r="AG92" s="221">
        <f>IF(AE92="○",P92*IF(D91="低炭素電気へ切替",Z92*1000,VLOOKUP(O92,$BH$10:$BI$42,2,))*IFERROR(VLOOKUP(Q92,$BN$10:$BO$18,2,),1),0)</f>
        <v>0</v>
      </c>
      <c r="AH92" s="221">
        <f>IF(AF92="○",U92*IF(D91="低炭素電気へ切替",AA92*1000,VLOOKUP(T92,$BH$10:$BI$42,2,))*VLOOKUP(V92,$BN$10:$BO$18,2,),0)</f>
        <v>0</v>
      </c>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205"/>
      <c r="BN92" s="205"/>
      <c r="BO92" s="205"/>
      <c r="BP92" s="205"/>
      <c r="BQ92" s="182"/>
      <c r="BR92" s="182"/>
      <c r="BS92" s="182"/>
      <c r="BT92" s="182"/>
    </row>
    <row r="93" spans="2:72" ht="42.95" customHeight="1" thickBot="1">
      <c r="B93" s="2718"/>
      <c r="C93" s="2893"/>
      <c r="D93" s="2894"/>
      <c r="E93" s="2894"/>
      <c r="F93" s="2895"/>
      <c r="G93" s="2896"/>
      <c r="H93" s="2896"/>
      <c r="I93" s="2896"/>
      <c r="J93" s="2897"/>
      <c r="K93" s="2898"/>
      <c r="L93" s="2899"/>
      <c r="M93" s="182"/>
      <c r="N93" s="2901"/>
      <c r="O93" s="1324"/>
      <c r="P93" s="408"/>
      <c r="Q93" s="409"/>
      <c r="R93" s="400" t="str">
        <f t="shared" si="18"/>
        <v/>
      </c>
      <c r="S93" s="2912"/>
      <c r="T93" s="1324"/>
      <c r="U93" s="408"/>
      <c r="V93" s="409"/>
      <c r="W93" s="401" t="str">
        <f t="shared" si="19"/>
        <v/>
      </c>
      <c r="X93" s="2906"/>
      <c r="Y93" s="182"/>
      <c r="Z93" s="1677"/>
      <c r="AA93" s="1678"/>
      <c r="AB93" s="182"/>
      <c r="AC93" s="220" t="str">
        <f t="shared" si="16"/>
        <v/>
      </c>
      <c r="AD93" s="220" t="str">
        <f t="shared" si="17"/>
        <v/>
      </c>
      <c r="AE93" s="221" t="str">
        <f t="shared" si="20"/>
        <v/>
      </c>
      <c r="AF93" s="221" t="str">
        <f t="shared" si="21"/>
        <v/>
      </c>
      <c r="AG93" s="221">
        <f>IF(AE93="○",P93*IF(D91="低炭素電気へ切替",Z93*1000,VLOOKUP(O93,$BH$10:$BI$42,2,))*IFERROR(VLOOKUP(Q93,$BN$10:$BO$18,2,),1),0)</f>
        <v>0</v>
      </c>
      <c r="AH93" s="221">
        <f>IF(AF93="○",U93*IF(D91="低炭素電気へ切替",AA93*1000,VLOOKUP(T93,$BH$10:$BI$42,2,))*VLOOKUP(V93,$BN$10:$BO$18,2,),0)</f>
        <v>0</v>
      </c>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205"/>
      <c r="BN93" s="205"/>
      <c r="BO93" s="205"/>
      <c r="BP93" s="205"/>
      <c r="BQ93" s="182"/>
      <c r="BR93" s="182"/>
      <c r="BS93" s="182"/>
      <c r="BT93" s="182"/>
    </row>
    <row r="94" spans="2:72" ht="42.95" customHeight="1">
      <c r="B94" s="2718">
        <v>29</v>
      </c>
      <c r="C94" s="2893"/>
      <c r="D94" s="2894"/>
      <c r="E94" s="2894"/>
      <c r="F94" s="2895"/>
      <c r="G94" s="2896"/>
      <c r="H94" s="2896"/>
      <c r="I94" s="2896"/>
      <c r="J94" s="2897"/>
      <c r="K94" s="2898" t="str">
        <f>X94</f>
        <v/>
      </c>
      <c r="L94" s="2899"/>
      <c r="M94" s="182"/>
      <c r="N94" s="2900"/>
      <c r="O94" s="962"/>
      <c r="P94" s="406"/>
      <c r="Q94" s="407"/>
      <c r="R94" s="395" t="str">
        <f t="shared" si="18"/>
        <v/>
      </c>
      <c r="S94" s="2911"/>
      <c r="T94" s="962"/>
      <c r="U94" s="406"/>
      <c r="V94" s="407"/>
      <c r="W94" s="396" t="str">
        <f t="shared" si="19"/>
        <v/>
      </c>
      <c r="X94" s="2905" t="str">
        <f>IF(AND(AE94&lt;&gt;"×",AF94&lt;&gt;"×",OR(AE94="○",AF94="○")),AG94-AH94+AG95-AH95+AG96-AH96,"")</f>
        <v/>
      </c>
      <c r="Y94" s="182"/>
      <c r="Z94" s="1673"/>
      <c r="AA94" s="1674"/>
      <c r="AB94" s="182"/>
      <c r="AC94" s="220" t="str">
        <f t="shared" si="16"/>
        <v/>
      </c>
      <c r="AD94" s="220" t="str">
        <f t="shared" si="17"/>
        <v/>
      </c>
      <c r="AE94" s="221" t="str">
        <f t="shared" si="20"/>
        <v/>
      </c>
      <c r="AF94" s="221" t="str">
        <f t="shared" si="21"/>
        <v/>
      </c>
      <c r="AG94" s="221">
        <f>IF(AE94="○",P94*IF(D94="低炭素電気へ切替",Z94*1000,VLOOKUP(O94,$BH$10:$BI$42,2,))*IFERROR(VLOOKUP(Q94,$BN$10:$BO$18,2,),1),0)</f>
        <v>0</v>
      </c>
      <c r="AH94" s="221">
        <f>IF(AF94="○",U94*IF(D94="低炭素電気へ切替",AA94*1000,VLOOKUP(T94,$BH$10:$BI$42,2,))*VLOOKUP(V94,$BN$10:$BO$18,2,),0)</f>
        <v>0</v>
      </c>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205"/>
      <c r="BN94" s="205"/>
      <c r="BO94" s="205"/>
      <c r="BP94" s="205"/>
      <c r="BQ94" s="182"/>
      <c r="BR94" s="182"/>
      <c r="BS94" s="182"/>
      <c r="BT94" s="182"/>
    </row>
    <row r="95" spans="2:72" ht="42.95" customHeight="1">
      <c r="B95" s="2718"/>
      <c r="C95" s="2893"/>
      <c r="D95" s="2894"/>
      <c r="E95" s="2894"/>
      <c r="F95" s="2895"/>
      <c r="G95" s="2896"/>
      <c r="H95" s="2896"/>
      <c r="I95" s="2896"/>
      <c r="J95" s="2897"/>
      <c r="K95" s="2898"/>
      <c r="L95" s="2899"/>
      <c r="M95" s="182"/>
      <c r="N95" s="2901"/>
      <c r="O95" s="962"/>
      <c r="P95" s="406"/>
      <c r="Q95" s="407"/>
      <c r="R95" s="395" t="str">
        <f t="shared" si="18"/>
        <v/>
      </c>
      <c r="S95" s="2912"/>
      <c r="T95" s="962"/>
      <c r="U95" s="406"/>
      <c r="V95" s="407"/>
      <c r="W95" s="396" t="str">
        <f t="shared" si="19"/>
        <v/>
      </c>
      <c r="X95" s="2906"/>
      <c r="Y95" s="182"/>
      <c r="Z95" s="1675"/>
      <c r="AA95" s="1676"/>
      <c r="AB95" s="182"/>
      <c r="AC95" s="220" t="str">
        <f t="shared" si="16"/>
        <v/>
      </c>
      <c r="AD95" s="220" t="str">
        <f t="shared" si="17"/>
        <v/>
      </c>
      <c r="AE95" s="221" t="str">
        <f t="shared" si="20"/>
        <v/>
      </c>
      <c r="AF95" s="221" t="str">
        <f t="shared" si="21"/>
        <v/>
      </c>
      <c r="AG95" s="221">
        <f>IF(AE95="○",P95*IF(D94="低炭素電気へ切替",Z95*1000,VLOOKUP(O95,$BH$10:$BI$42,2,))*IFERROR(VLOOKUP(Q95,$BN$10:$BO$18,2,),1),0)</f>
        <v>0</v>
      </c>
      <c r="AH95" s="221">
        <f>IF(AF95="○",U95*IF(D94="低炭素電気へ切替",AA95*1000,VLOOKUP(T95,$BH$10:$BI$42,2,))*VLOOKUP(V95,$BN$10:$BO$18,2,),0)</f>
        <v>0</v>
      </c>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205"/>
      <c r="BN95" s="205"/>
      <c r="BO95" s="205"/>
      <c r="BP95" s="205"/>
      <c r="BQ95" s="182"/>
      <c r="BR95" s="182"/>
      <c r="BS95" s="182"/>
      <c r="BT95" s="182"/>
    </row>
    <row r="96" spans="2:72" ht="42.95" customHeight="1" thickBot="1">
      <c r="B96" s="2718"/>
      <c r="C96" s="2893"/>
      <c r="D96" s="2894"/>
      <c r="E96" s="2894"/>
      <c r="F96" s="2895"/>
      <c r="G96" s="2896"/>
      <c r="H96" s="2896"/>
      <c r="I96" s="2896"/>
      <c r="J96" s="2897"/>
      <c r="K96" s="2898"/>
      <c r="L96" s="2899"/>
      <c r="M96" s="182"/>
      <c r="N96" s="2902"/>
      <c r="O96" s="962"/>
      <c r="P96" s="406"/>
      <c r="Q96" s="407"/>
      <c r="R96" s="395" t="str">
        <f t="shared" si="18"/>
        <v/>
      </c>
      <c r="S96" s="2920"/>
      <c r="T96" s="962"/>
      <c r="U96" s="406"/>
      <c r="V96" s="407"/>
      <c r="W96" s="396" t="str">
        <f t="shared" si="19"/>
        <v/>
      </c>
      <c r="X96" s="2907"/>
      <c r="Y96" s="182"/>
      <c r="Z96" s="1677"/>
      <c r="AA96" s="1678"/>
      <c r="AB96" s="182"/>
      <c r="AC96" s="220" t="str">
        <f t="shared" si="16"/>
        <v/>
      </c>
      <c r="AD96" s="220" t="str">
        <f t="shared" si="17"/>
        <v/>
      </c>
      <c r="AE96" s="221" t="str">
        <f t="shared" si="20"/>
        <v/>
      </c>
      <c r="AF96" s="221" t="str">
        <f t="shared" si="21"/>
        <v/>
      </c>
      <c r="AG96" s="221">
        <f>IF(AE96="○",P96*IF(D94="低炭素電気へ切替",Z96*1000,VLOOKUP(O96,$BH$10:$BI$42,2,))*IFERROR(VLOOKUP(Q96,$BN$10:$BO$18,2,),1),0)</f>
        <v>0</v>
      </c>
      <c r="AH96" s="221">
        <f>IF(AF96="○",U96*IF(D94="低炭素電気へ切替",AA96*1000,VLOOKUP(T96,$BH$10:$BI$42,2,))*VLOOKUP(V96,$BN$10:$BO$18,2,),0)</f>
        <v>0</v>
      </c>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205"/>
      <c r="BN96" s="205"/>
      <c r="BO96" s="205"/>
      <c r="BP96" s="205"/>
      <c r="BQ96" s="182"/>
      <c r="BR96" s="182"/>
      <c r="BS96" s="182"/>
      <c r="BT96" s="182"/>
    </row>
    <row r="97" spans="2:72" ht="42.95" customHeight="1">
      <c r="B97" s="2718">
        <v>30</v>
      </c>
      <c r="C97" s="2893"/>
      <c r="D97" s="2894"/>
      <c r="E97" s="2894"/>
      <c r="F97" s="2895"/>
      <c r="G97" s="2896"/>
      <c r="H97" s="2896"/>
      <c r="I97" s="2896"/>
      <c r="J97" s="2897"/>
      <c r="K97" s="2898" t="str">
        <f>X97</f>
        <v/>
      </c>
      <c r="L97" s="2899"/>
      <c r="M97" s="182"/>
      <c r="N97" s="2901"/>
      <c r="O97" s="1325"/>
      <c r="P97" s="410"/>
      <c r="Q97" s="411"/>
      <c r="R97" s="402" t="str">
        <f t="shared" si="18"/>
        <v/>
      </c>
      <c r="S97" s="2913"/>
      <c r="T97" s="1325"/>
      <c r="U97" s="410"/>
      <c r="V97" s="411"/>
      <c r="W97" s="403" t="str">
        <f t="shared" si="19"/>
        <v/>
      </c>
      <c r="X97" s="2906" t="str">
        <f>IF(AND(AE97&lt;&gt;"×",AF97&lt;&gt;"×",OR(AE97="○",AF97="○")),AG97-AH97+AG98-AH98+AG99-AH99,"")</f>
        <v/>
      </c>
      <c r="Y97" s="182"/>
      <c r="Z97" s="1673"/>
      <c r="AA97" s="1674"/>
      <c r="AB97" s="182"/>
      <c r="AC97" s="220" t="str">
        <f t="shared" si="16"/>
        <v/>
      </c>
      <c r="AD97" s="220" t="str">
        <f t="shared" si="17"/>
        <v/>
      </c>
      <c r="AE97" s="221" t="str">
        <f t="shared" si="20"/>
        <v/>
      </c>
      <c r="AF97" s="221" t="str">
        <f t="shared" si="21"/>
        <v/>
      </c>
      <c r="AG97" s="221">
        <f>IF(AE97="○",P97*IF(D97="低炭素電気へ切替",Z97*1000,VLOOKUP(O97,$BH$10:$BI$42,2,))*IFERROR(VLOOKUP(Q97,$BN$10:$BO$18,2,),1),0)</f>
        <v>0</v>
      </c>
      <c r="AH97" s="221">
        <f>IF(AF97="○",U97*IF(D97="低炭素電気へ切替",AA97*1000,VLOOKUP(T97,$BH$10:$BI$42,2,))*VLOOKUP(V97,$BN$10:$BO$18,2,),0)</f>
        <v>0</v>
      </c>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205"/>
      <c r="BN97" s="205"/>
      <c r="BO97" s="205"/>
      <c r="BP97" s="205"/>
      <c r="BQ97" s="182"/>
      <c r="BR97" s="182"/>
      <c r="BS97" s="182"/>
      <c r="BT97" s="182"/>
    </row>
    <row r="98" spans="2:72" ht="42.95" customHeight="1">
      <c r="B98" s="2718"/>
      <c r="C98" s="2893"/>
      <c r="D98" s="2894"/>
      <c r="E98" s="2894"/>
      <c r="F98" s="2895"/>
      <c r="G98" s="2896"/>
      <c r="H98" s="2896"/>
      <c r="I98" s="2896"/>
      <c r="J98" s="2897"/>
      <c r="K98" s="2898"/>
      <c r="L98" s="2899"/>
      <c r="M98" s="182"/>
      <c r="N98" s="2901"/>
      <c r="O98" s="962"/>
      <c r="P98" s="406"/>
      <c r="Q98" s="407"/>
      <c r="R98" s="395" t="str">
        <f t="shared" si="18"/>
        <v/>
      </c>
      <c r="S98" s="2912"/>
      <c r="T98" s="962"/>
      <c r="U98" s="406"/>
      <c r="V98" s="407"/>
      <c r="W98" s="396" t="str">
        <f t="shared" si="19"/>
        <v/>
      </c>
      <c r="X98" s="2906"/>
      <c r="Y98" s="182"/>
      <c r="Z98" s="1675"/>
      <c r="AA98" s="1676"/>
      <c r="AB98" s="182"/>
      <c r="AC98" s="220" t="str">
        <f t="shared" si="16"/>
        <v/>
      </c>
      <c r="AD98" s="220" t="str">
        <f t="shared" si="17"/>
        <v/>
      </c>
      <c r="AE98" s="221" t="str">
        <f t="shared" si="20"/>
        <v/>
      </c>
      <c r="AF98" s="221" t="str">
        <f t="shared" si="21"/>
        <v/>
      </c>
      <c r="AG98" s="221">
        <f>IF(AE98="○",P98*IF(D97="低炭素電気へ切替",Z98*1000,VLOOKUP(O98,$BH$10:$BI$42,2,))*IFERROR(VLOOKUP(Q98,$BN$10:$BO$18,2,),1),0)</f>
        <v>0</v>
      </c>
      <c r="AH98" s="221">
        <f>IF(AF98="○",U98*IF(D97="低炭素電気へ切替",AA98*1000,VLOOKUP(T98,$BH$10:$BI$42,2,))*VLOOKUP(V98,$BN$10:$BO$18,2,),0)</f>
        <v>0</v>
      </c>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205"/>
      <c r="BN98" s="205"/>
      <c r="BO98" s="205"/>
      <c r="BP98" s="205"/>
      <c r="BQ98" s="182"/>
      <c r="BR98" s="182"/>
      <c r="BS98" s="182"/>
      <c r="BT98" s="182"/>
    </row>
    <row r="99" spans="2:72" ht="42.95" customHeight="1" thickBot="1">
      <c r="B99" s="2718"/>
      <c r="C99" s="2893"/>
      <c r="D99" s="2894"/>
      <c r="E99" s="2894"/>
      <c r="F99" s="2895"/>
      <c r="G99" s="2896"/>
      <c r="H99" s="2896"/>
      <c r="I99" s="2896"/>
      <c r="J99" s="2897"/>
      <c r="K99" s="2898"/>
      <c r="L99" s="2899"/>
      <c r="M99" s="182"/>
      <c r="N99" s="2902"/>
      <c r="O99" s="962"/>
      <c r="P99" s="406"/>
      <c r="Q99" s="407"/>
      <c r="R99" s="395" t="str">
        <f t="shared" si="18"/>
        <v/>
      </c>
      <c r="S99" s="2920"/>
      <c r="T99" s="962"/>
      <c r="U99" s="406"/>
      <c r="V99" s="407"/>
      <c r="W99" s="396" t="str">
        <f t="shared" si="19"/>
        <v/>
      </c>
      <c r="X99" s="2907"/>
      <c r="Y99" s="182"/>
      <c r="Z99" s="1677"/>
      <c r="AA99" s="1678"/>
      <c r="AB99" s="182"/>
      <c r="AC99" s="220" t="str">
        <f t="shared" si="16"/>
        <v/>
      </c>
      <c r="AD99" s="220" t="str">
        <f t="shared" si="17"/>
        <v/>
      </c>
      <c r="AE99" s="221" t="str">
        <f t="shared" si="20"/>
        <v/>
      </c>
      <c r="AF99" s="221" t="str">
        <f t="shared" si="21"/>
        <v/>
      </c>
      <c r="AG99" s="221">
        <f>IF(AE99="○",P99*IF(D97="低炭素電気へ切替",Z99*1000,VLOOKUP(O99,$BH$10:$BI$42,2,))*IFERROR(VLOOKUP(Q99,$BN$10:$BO$18,2,),1),0)</f>
        <v>0</v>
      </c>
      <c r="AH99" s="221">
        <f>IF(AF99="○",U99*IF(D97="低炭素電気へ切替",AA99*1000,VLOOKUP(T99,$BH$10:$BI$42,2,))*VLOOKUP(V99,$BN$10:$BO$18,2,),0)</f>
        <v>0</v>
      </c>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205"/>
      <c r="BN99" s="205"/>
      <c r="BO99" s="205"/>
      <c r="BP99" s="205"/>
      <c r="BQ99" s="182"/>
      <c r="BR99" s="182"/>
      <c r="BS99" s="182"/>
      <c r="BT99" s="182"/>
    </row>
    <row r="100" spans="2:72" ht="39.950000000000003" customHeight="1">
      <c r="B100" s="182"/>
      <c r="C100" s="182"/>
      <c r="D100" s="182"/>
      <c r="E100" s="182"/>
      <c r="F100" s="182"/>
      <c r="G100" s="182"/>
      <c r="H100" s="182"/>
      <c r="I100" s="182"/>
      <c r="J100" s="182"/>
      <c r="K100" s="182"/>
      <c r="L100" s="185"/>
      <c r="M100" s="182"/>
      <c r="N100" s="182"/>
      <c r="O100" s="182"/>
      <c r="P100" s="182"/>
      <c r="Q100" s="182"/>
      <c r="R100" s="182"/>
      <c r="S100" s="182"/>
      <c r="T100" s="182"/>
      <c r="U100" s="182"/>
      <c r="V100" s="182"/>
      <c r="W100" s="182"/>
      <c r="X100" s="182"/>
      <c r="Y100" s="182"/>
      <c r="Z100" s="320"/>
      <c r="AA100" s="321"/>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205"/>
      <c r="BN100" s="205"/>
      <c r="BO100" s="205"/>
      <c r="BP100" s="205"/>
      <c r="BQ100" s="182"/>
      <c r="BR100" s="182"/>
      <c r="BS100" s="182"/>
      <c r="BT100" s="182"/>
    </row>
    <row r="101" spans="2:72" ht="50.1" customHeight="1">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320"/>
      <c r="AA101" s="321"/>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205"/>
      <c r="BN101" s="205"/>
      <c r="BO101" s="205"/>
      <c r="BP101" s="205"/>
      <c r="BQ101" s="182"/>
      <c r="BR101" s="182"/>
      <c r="BS101" s="182"/>
      <c r="BT101" s="182"/>
    </row>
    <row r="102" spans="2:72" ht="50.1" customHeight="1">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320"/>
      <c r="AA102" s="321"/>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205"/>
      <c r="BN102" s="205"/>
      <c r="BO102" s="205"/>
      <c r="BP102" s="205"/>
      <c r="BQ102" s="182"/>
      <c r="BR102" s="182"/>
      <c r="BS102" s="200"/>
      <c r="BT102" s="200"/>
    </row>
    <row r="103" spans="2:72" ht="50.1" customHeight="1">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320"/>
      <c r="AA103" s="321"/>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205"/>
      <c r="BN103" s="205"/>
      <c r="BO103" s="205"/>
      <c r="BP103" s="205"/>
      <c r="BQ103" s="182"/>
      <c r="BR103" s="182"/>
      <c r="BS103" s="182"/>
      <c r="BT103" s="182"/>
    </row>
    <row r="104" spans="2:72" ht="50.1" customHeight="1">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205"/>
      <c r="BN104" s="205"/>
      <c r="BO104" s="205"/>
      <c r="BP104" s="205"/>
      <c r="BQ104" s="182"/>
      <c r="BR104" s="182"/>
      <c r="BS104" s="182"/>
      <c r="BT104" s="182"/>
    </row>
    <row r="105" spans="2:72" ht="50.1" customHeight="1">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205"/>
      <c r="BN105" s="205"/>
      <c r="BO105" s="205"/>
      <c r="BP105" s="205"/>
      <c r="BQ105" s="182"/>
      <c r="BR105" s="182"/>
      <c r="BS105" s="182"/>
      <c r="BT105" s="182"/>
    </row>
    <row r="106" spans="2:72" ht="50.1" customHeight="1">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205"/>
      <c r="BN106" s="205"/>
      <c r="BO106" s="205"/>
      <c r="BP106" s="205"/>
      <c r="BQ106" s="182"/>
      <c r="BR106" s="182"/>
      <c r="BS106" s="182"/>
      <c r="BT106" s="182"/>
    </row>
    <row r="107" spans="2:72" ht="20.100000000000001" customHeight="1">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205"/>
      <c r="BN107" s="205"/>
      <c r="BO107" s="205"/>
      <c r="BP107" s="205"/>
      <c r="BQ107" s="182"/>
      <c r="BR107" s="182"/>
      <c r="BS107" s="182"/>
      <c r="BT107" s="182"/>
    </row>
    <row r="108" spans="2:72" ht="20.100000000000001" customHeight="1">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205"/>
      <c r="BN108" s="205"/>
      <c r="BO108" s="205"/>
      <c r="BP108" s="205"/>
      <c r="BQ108" s="182"/>
      <c r="BR108" s="182"/>
      <c r="BS108" s="182"/>
      <c r="BT108" s="182"/>
    </row>
    <row r="109" spans="2:72" ht="20.100000000000001" customHeight="1">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205"/>
      <c r="BN109" s="205"/>
      <c r="BO109" s="205"/>
      <c r="BP109" s="205"/>
      <c r="BQ109" s="182"/>
      <c r="BR109" s="182"/>
      <c r="BS109" s="182"/>
      <c r="BT109" s="182"/>
    </row>
    <row r="110" spans="2:72" ht="20.100000000000001" customHeight="1">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205"/>
      <c r="BN110" s="205"/>
      <c r="BO110" s="205"/>
      <c r="BP110" s="205"/>
      <c r="BQ110" s="182"/>
      <c r="BR110" s="182"/>
      <c r="BS110" s="182"/>
      <c r="BT110" s="182"/>
    </row>
    <row r="111" spans="2:72" ht="13.5" customHeight="1">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205"/>
      <c r="BN111" s="205"/>
      <c r="BO111" s="205"/>
      <c r="BP111" s="205"/>
      <c r="BQ111" s="182"/>
      <c r="BR111" s="182"/>
      <c r="BS111" s="182"/>
      <c r="BT111" s="182"/>
    </row>
    <row r="112" spans="2:72" ht="27.95" customHeight="1">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205"/>
      <c r="BN112" s="205"/>
      <c r="BO112" s="205"/>
      <c r="BP112" s="205"/>
      <c r="BQ112" s="182"/>
      <c r="BR112" s="182"/>
      <c r="BS112" s="182"/>
      <c r="BT112" s="182"/>
    </row>
    <row r="113" spans="2:72" ht="27.95" customHeight="1">
      <c r="B113" s="182"/>
      <c r="C113" s="182"/>
      <c r="D113" s="182"/>
      <c r="E113" s="182"/>
      <c r="F113" s="182"/>
      <c r="G113" s="182"/>
      <c r="H113" s="182"/>
      <c r="I113" s="182"/>
      <c r="J113" s="182"/>
      <c r="K113" s="182"/>
      <c r="L113" s="32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205"/>
      <c r="BN113" s="205"/>
      <c r="BO113" s="205"/>
      <c r="BP113" s="205"/>
      <c r="BQ113" s="182"/>
      <c r="BR113" s="182"/>
      <c r="BS113" s="182"/>
      <c r="BT113" s="182"/>
    </row>
    <row r="114" spans="2:72" ht="13.5" customHeight="1">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205"/>
      <c r="BN114" s="205"/>
      <c r="BO114" s="205"/>
      <c r="BP114" s="205"/>
      <c r="BQ114" s="182"/>
      <c r="BR114" s="182"/>
      <c r="BS114" s="182"/>
      <c r="BT114" s="182"/>
    </row>
    <row r="115" spans="2:72" ht="13.5" customHeight="1">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205"/>
      <c r="BN115" s="205"/>
      <c r="BO115" s="205"/>
      <c r="BP115" s="205"/>
      <c r="BQ115" s="182"/>
      <c r="BR115" s="182"/>
      <c r="BS115" s="182"/>
      <c r="BT115" s="182"/>
    </row>
    <row r="116" spans="2:72" ht="13.5" customHeight="1">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267"/>
      <c r="BN116" s="267"/>
      <c r="BO116" s="267"/>
      <c r="BP116" s="267"/>
      <c r="BQ116" s="182"/>
      <c r="BR116" s="182"/>
      <c r="BS116" s="182"/>
      <c r="BT116" s="182"/>
    </row>
    <row r="117" spans="2:72" ht="20.100000000000001" customHeight="1">
      <c r="B117" s="182"/>
      <c r="C117" s="182"/>
      <c r="D117" s="182"/>
      <c r="E117" s="182"/>
      <c r="F117" s="200"/>
      <c r="G117" s="184"/>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row>
    <row r="118" spans="2:72" ht="20.100000000000001" customHeight="1">
      <c r="B118" s="182"/>
      <c r="C118" s="182"/>
      <c r="D118" s="182"/>
      <c r="E118" s="182"/>
      <c r="F118" s="200"/>
      <c r="G118" s="184"/>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row>
    <row r="119" spans="2:72" ht="20.100000000000001" customHeight="1">
      <c r="B119" s="182"/>
      <c r="C119" s="182"/>
      <c r="D119" s="182"/>
      <c r="E119" s="182"/>
      <c r="F119" s="200"/>
      <c r="G119" s="184"/>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row>
    <row r="120" spans="2:72" ht="20.100000000000001" customHeight="1">
      <c r="B120" s="182"/>
      <c r="C120" s="182"/>
      <c r="D120" s="182"/>
      <c r="E120" s="182"/>
      <c r="F120" s="200"/>
      <c r="G120" s="184"/>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row>
    <row r="121" spans="2:72" ht="20.100000000000001" customHeight="1"/>
    <row r="122" spans="2:72" ht="20.100000000000001" customHeight="1"/>
  </sheetData>
  <sheetProtection algorithmName="SHA-512" hashValue="m4DskBAtg9rD/ZAw2mSq+lctu8SlJXNvAQFg9+w0C1m1vPtbepl4Q/ZPwZ2tPfL8wxcfciFV9zgc95BD1jyFYw==" saltValue="yDf+Vb35NlfVJCmAsTCorg==" spinCount="100000" sheet="1" objects="1" scenarios="1"/>
  <mergeCells count="307">
    <mergeCell ref="X97:X99"/>
    <mergeCell ref="S94:S96"/>
    <mergeCell ref="X94:X96"/>
    <mergeCell ref="B97:B99"/>
    <mergeCell ref="C97:C99"/>
    <mergeCell ref="D97:D99"/>
    <mergeCell ref="E97:E99"/>
    <mergeCell ref="F97:J99"/>
    <mergeCell ref="K97:L99"/>
    <mergeCell ref="N97:N99"/>
    <mergeCell ref="S97:S99"/>
    <mergeCell ref="N91:N93"/>
    <mergeCell ref="S91:S93"/>
    <mergeCell ref="X91:X93"/>
    <mergeCell ref="B94:B96"/>
    <mergeCell ref="C94:C96"/>
    <mergeCell ref="D94:D96"/>
    <mergeCell ref="E94:E96"/>
    <mergeCell ref="F94:J96"/>
    <mergeCell ref="K94:L96"/>
    <mergeCell ref="N94:N96"/>
    <mergeCell ref="B91:B93"/>
    <mergeCell ref="C91:C93"/>
    <mergeCell ref="D91:D93"/>
    <mergeCell ref="E91:E93"/>
    <mergeCell ref="F91:J93"/>
    <mergeCell ref="K91:L93"/>
    <mergeCell ref="B88:B90"/>
    <mergeCell ref="C88:C90"/>
    <mergeCell ref="D88:D90"/>
    <mergeCell ref="E88:E90"/>
    <mergeCell ref="F88:J90"/>
    <mergeCell ref="K88:L90"/>
    <mergeCell ref="N88:N90"/>
    <mergeCell ref="S88:S90"/>
    <mergeCell ref="X88:X90"/>
    <mergeCell ref="B85:B87"/>
    <mergeCell ref="C85:C87"/>
    <mergeCell ref="D85:D87"/>
    <mergeCell ref="E85:E87"/>
    <mergeCell ref="F85:J87"/>
    <mergeCell ref="K85:L87"/>
    <mergeCell ref="N85:N87"/>
    <mergeCell ref="S85:S87"/>
    <mergeCell ref="X85:X87"/>
    <mergeCell ref="N79:N81"/>
    <mergeCell ref="S79:S81"/>
    <mergeCell ref="X79:X81"/>
    <mergeCell ref="B82:B84"/>
    <mergeCell ref="C82:C84"/>
    <mergeCell ref="D82:D84"/>
    <mergeCell ref="E82:E84"/>
    <mergeCell ref="F82:J84"/>
    <mergeCell ref="K82:L84"/>
    <mergeCell ref="N82:N84"/>
    <mergeCell ref="B79:B81"/>
    <mergeCell ref="C79:C81"/>
    <mergeCell ref="D79:D81"/>
    <mergeCell ref="E79:E81"/>
    <mergeCell ref="F79:J81"/>
    <mergeCell ref="K79:L81"/>
    <mergeCell ref="S82:S84"/>
    <mergeCell ref="X82:X84"/>
    <mergeCell ref="B76:B78"/>
    <mergeCell ref="C76:C78"/>
    <mergeCell ref="D76:D78"/>
    <mergeCell ref="E76:E78"/>
    <mergeCell ref="F76:J78"/>
    <mergeCell ref="K76:L78"/>
    <mergeCell ref="N76:N78"/>
    <mergeCell ref="S76:S78"/>
    <mergeCell ref="X76:X78"/>
    <mergeCell ref="B73:B75"/>
    <mergeCell ref="C73:C75"/>
    <mergeCell ref="D73:D75"/>
    <mergeCell ref="E73:E75"/>
    <mergeCell ref="F73:J75"/>
    <mergeCell ref="K73:L75"/>
    <mergeCell ref="N73:N75"/>
    <mergeCell ref="S73:S75"/>
    <mergeCell ref="X73:X75"/>
    <mergeCell ref="N67:N69"/>
    <mergeCell ref="S67:S69"/>
    <mergeCell ref="X67:X69"/>
    <mergeCell ref="B70:B72"/>
    <mergeCell ref="C70:C72"/>
    <mergeCell ref="D70:D72"/>
    <mergeCell ref="E70:E72"/>
    <mergeCell ref="F70:J72"/>
    <mergeCell ref="K70:L72"/>
    <mergeCell ref="N70:N72"/>
    <mergeCell ref="B67:B69"/>
    <mergeCell ref="C67:C69"/>
    <mergeCell ref="D67:D69"/>
    <mergeCell ref="E67:E69"/>
    <mergeCell ref="F67:J69"/>
    <mergeCell ref="K67:L69"/>
    <mergeCell ref="S70:S72"/>
    <mergeCell ref="X70:X72"/>
    <mergeCell ref="B64:B66"/>
    <mergeCell ref="C64:C66"/>
    <mergeCell ref="D64:D66"/>
    <mergeCell ref="E64:E66"/>
    <mergeCell ref="F64:J66"/>
    <mergeCell ref="K64:L66"/>
    <mergeCell ref="N64:N66"/>
    <mergeCell ref="S64:S66"/>
    <mergeCell ref="X64:X66"/>
    <mergeCell ref="B61:B63"/>
    <mergeCell ref="C61:C63"/>
    <mergeCell ref="D61:D63"/>
    <mergeCell ref="E61:E63"/>
    <mergeCell ref="F61:J63"/>
    <mergeCell ref="K61:L63"/>
    <mergeCell ref="N61:N63"/>
    <mergeCell ref="S61:S63"/>
    <mergeCell ref="X61:X63"/>
    <mergeCell ref="N55:N57"/>
    <mergeCell ref="S55:S57"/>
    <mergeCell ref="X55:X57"/>
    <mergeCell ref="B58:B60"/>
    <mergeCell ref="C58:C60"/>
    <mergeCell ref="D58:D60"/>
    <mergeCell ref="E58:E60"/>
    <mergeCell ref="F58:J60"/>
    <mergeCell ref="K58:L60"/>
    <mergeCell ref="N58:N60"/>
    <mergeCell ref="B55:B57"/>
    <mergeCell ref="C55:C57"/>
    <mergeCell ref="D55:D57"/>
    <mergeCell ref="E55:E57"/>
    <mergeCell ref="F55:J57"/>
    <mergeCell ref="K55:L57"/>
    <mergeCell ref="S58:S60"/>
    <mergeCell ref="X58:X60"/>
    <mergeCell ref="B52:B54"/>
    <mergeCell ref="C52:C54"/>
    <mergeCell ref="D52:D54"/>
    <mergeCell ref="E52:E54"/>
    <mergeCell ref="F52:J54"/>
    <mergeCell ref="K52:L54"/>
    <mergeCell ref="N52:N54"/>
    <mergeCell ref="S52:S54"/>
    <mergeCell ref="X52:X54"/>
    <mergeCell ref="B49:B51"/>
    <mergeCell ref="C49:C51"/>
    <mergeCell ref="D49:D51"/>
    <mergeCell ref="E49:E51"/>
    <mergeCell ref="F49:J51"/>
    <mergeCell ref="K49:L51"/>
    <mergeCell ref="N49:N51"/>
    <mergeCell ref="S49:S51"/>
    <mergeCell ref="X49:X51"/>
    <mergeCell ref="B46:B48"/>
    <mergeCell ref="C46:C48"/>
    <mergeCell ref="D46:D48"/>
    <mergeCell ref="E46:E48"/>
    <mergeCell ref="F46:J48"/>
    <mergeCell ref="K46:L48"/>
    <mergeCell ref="N46:N48"/>
    <mergeCell ref="S46:S48"/>
    <mergeCell ref="X46:X48"/>
    <mergeCell ref="AK41:AK43"/>
    <mergeCell ref="AL41:AL42"/>
    <mergeCell ref="B43:B45"/>
    <mergeCell ref="C43:C45"/>
    <mergeCell ref="D43:D45"/>
    <mergeCell ref="E43:E45"/>
    <mergeCell ref="F43:J45"/>
    <mergeCell ref="K43:L45"/>
    <mergeCell ref="N43:N45"/>
    <mergeCell ref="S43:S45"/>
    <mergeCell ref="X43:X45"/>
    <mergeCell ref="F37:J39"/>
    <mergeCell ref="K37:L39"/>
    <mergeCell ref="N37:N39"/>
    <mergeCell ref="S37:S39"/>
    <mergeCell ref="X37:X39"/>
    <mergeCell ref="B40:B42"/>
    <mergeCell ref="C40:C42"/>
    <mergeCell ref="D40:D42"/>
    <mergeCell ref="E40:E42"/>
    <mergeCell ref="F40:J42"/>
    <mergeCell ref="K40:L42"/>
    <mergeCell ref="N40:N42"/>
    <mergeCell ref="S40:S42"/>
    <mergeCell ref="X40:X42"/>
    <mergeCell ref="N31:N33"/>
    <mergeCell ref="S31:S33"/>
    <mergeCell ref="X31:X33"/>
    <mergeCell ref="AL32:AM32"/>
    <mergeCell ref="B34:B36"/>
    <mergeCell ref="C34:C36"/>
    <mergeCell ref="D34:D36"/>
    <mergeCell ref="E34:E36"/>
    <mergeCell ref="F34:J36"/>
    <mergeCell ref="K34:L36"/>
    <mergeCell ref="B31:B33"/>
    <mergeCell ref="C31:C33"/>
    <mergeCell ref="D31:D33"/>
    <mergeCell ref="E31:E33"/>
    <mergeCell ref="F31:J33"/>
    <mergeCell ref="K31:L33"/>
    <mergeCell ref="N34:N36"/>
    <mergeCell ref="S34:S36"/>
    <mergeCell ref="X34:X36"/>
    <mergeCell ref="AK36:AK39"/>
    <mergeCell ref="B37:B39"/>
    <mergeCell ref="C37:C39"/>
    <mergeCell ref="D37:D39"/>
    <mergeCell ref="E37:E39"/>
    <mergeCell ref="X25:X27"/>
    <mergeCell ref="B28:B30"/>
    <mergeCell ref="C28:C30"/>
    <mergeCell ref="D28:D30"/>
    <mergeCell ref="E28:E30"/>
    <mergeCell ref="F28:J30"/>
    <mergeCell ref="K28:L30"/>
    <mergeCell ref="N28:N30"/>
    <mergeCell ref="S28:S30"/>
    <mergeCell ref="X28:X30"/>
    <mergeCell ref="K19:L21"/>
    <mergeCell ref="N19:N21"/>
    <mergeCell ref="S19:S21"/>
    <mergeCell ref="X19:X21"/>
    <mergeCell ref="AL20:AL21"/>
    <mergeCell ref="B22:B24"/>
    <mergeCell ref="C22:C24"/>
    <mergeCell ref="D22:D24"/>
    <mergeCell ref="E22:E24"/>
    <mergeCell ref="F22:J24"/>
    <mergeCell ref="K22:L24"/>
    <mergeCell ref="N22:N24"/>
    <mergeCell ref="S22:S24"/>
    <mergeCell ref="X22:X24"/>
    <mergeCell ref="AL22:AL23"/>
    <mergeCell ref="AL24:AL26"/>
    <mergeCell ref="B25:B27"/>
    <mergeCell ref="C25:C27"/>
    <mergeCell ref="D25:D27"/>
    <mergeCell ref="E25:E27"/>
    <mergeCell ref="F25:J27"/>
    <mergeCell ref="K25:L27"/>
    <mergeCell ref="N25:N27"/>
    <mergeCell ref="S25:S27"/>
    <mergeCell ref="AK10:AK35"/>
    <mergeCell ref="B13:B15"/>
    <mergeCell ref="C13:C15"/>
    <mergeCell ref="D13:D15"/>
    <mergeCell ref="E13:E15"/>
    <mergeCell ref="F13:J15"/>
    <mergeCell ref="K13:L15"/>
    <mergeCell ref="N13:N15"/>
    <mergeCell ref="S13:S15"/>
    <mergeCell ref="X13:X15"/>
    <mergeCell ref="B16:B18"/>
    <mergeCell ref="C16:C18"/>
    <mergeCell ref="D16:D18"/>
    <mergeCell ref="E16:E18"/>
    <mergeCell ref="F16:J18"/>
    <mergeCell ref="K16:L18"/>
    <mergeCell ref="N16:N18"/>
    <mergeCell ref="S16:S18"/>
    <mergeCell ref="X16:X18"/>
    <mergeCell ref="B19:B21"/>
    <mergeCell ref="C19:C21"/>
    <mergeCell ref="D19:D21"/>
    <mergeCell ref="E19:E21"/>
    <mergeCell ref="F19:J21"/>
    <mergeCell ref="B10:B12"/>
    <mergeCell ref="C10:C12"/>
    <mergeCell ref="D10:D12"/>
    <mergeCell ref="E10:E12"/>
    <mergeCell ref="F10:J12"/>
    <mergeCell ref="K10:L12"/>
    <mergeCell ref="N10:N12"/>
    <mergeCell ref="S10:S12"/>
    <mergeCell ref="X10:X12"/>
    <mergeCell ref="AC8:AD8"/>
    <mergeCell ref="AE8:AF8"/>
    <mergeCell ref="AG8:AH8"/>
    <mergeCell ref="F9:J9"/>
    <mergeCell ref="K9:L9"/>
    <mergeCell ref="AK9:AM9"/>
    <mergeCell ref="Z7:AA8"/>
    <mergeCell ref="BF7:BG7"/>
    <mergeCell ref="BK7:BL7"/>
    <mergeCell ref="F8:G8"/>
    <mergeCell ref="H8:I8"/>
    <mergeCell ref="J8:K8"/>
    <mergeCell ref="N8:N9"/>
    <mergeCell ref="O8:Q8"/>
    <mergeCell ref="S8:S9"/>
    <mergeCell ref="T8:V8"/>
    <mergeCell ref="AN9:AO9"/>
    <mergeCell ref="AP9:AQ9"/>
    <mergeCell ref="AR9:AS9"/>
    <mergeCell ref="M3:M5"/>
    <mergeCell ref="B4:L4"/>
    <mergeCell ref="Z4:AA5"/>
    <mergeCell ref="B5:L5"/>
    <mergeCell ref="F6:G6"/>
    <mergeCell ref="F7:G7"/>
    <mergeCell ref="H7:I7"/>
    <mergeCell ref="J7:L7"/>
    <mergeCell ref="N7:R7"/>
    <mergeCell ref="S7:W7"/>
  </mergeCells>
  <phoneticPr fontId="15"/>
  <conditionalFormatting sqref="Z10 Z13 Z16 Z19 Z22 Z25 Z28 Z31 Z34 Z37 Z40 Z43 Z46 Z49 Z52 Z55 Z58 Z61 Z64 Z67 Z70 Z73 Z76 Z79 Z82 Z85 Z88 Z91 Z94 Z97">
    <cfRule type="expression" dxfId="288" priority="59">
      <formula>D10&lt;&gt;"低炭素電気へ切替"</formula>
    </cfRule>
  </conditionalFormatting>
  <conditionalFormatting sqref="Z11 Z14 Z17 Z20 Z23 Z26 Z29 Z32 Z35 Z38 Z41 Z44 Z47 Z50 Z53 Z56 Z59 Z62 Z65 Z68 Z71 Z74 Z77 Z80 Z83 Z86 Z89 Z92 Z95 Z98">
    <cfRule type="expression" dxfId="287" priority="58">
      <formula>D10&lt;&gt;"低炭素電気へ切替"</formula>
    </cfRule>
  </conditionalFormatting>
  <conditionalFormatting sqref="Z12 Z15 Z18 Z21 Z24 Z27 Z30 Z33 Z36 Z39 Z42 Z45 Z48 Z51 Z54 Z57 Z60 Z63 Z66 Z69 Z72 Z75 Z78 Z81 Z84 Z87 Z90 Z93 Z96 Z99">
    <cfRule type="expression" dxfId="286" priority="57">
      <formula>D10&lt;&gt;"低炭素電気へ切替"</formula>
    </cfRule>
  </conditionalFormatting>
  <conditionalFormatting sqref="AA10 AA13 AA16 AA19 AA22 AA25 AA28 AA31 AA34 AA37 AA40 AA43 AA46 AA49 AA52 AA55 AA58 AA61 AA64 AA67 AA70 AA73 AA76 AA79 AA82 AA85 AA88 AA91 AA94 AA97">
    <cfRule type="expression" dxfId="285" priority="56">
      <formula>D10&lt;&gt;"低炭素電気へ切替"</formula>
    </cfRule>
  </conditionalFormatting>
  <conditionalFormatting sqref="AA11 AA14 AA17 AA20 AA23 AA26 AA29 AA32 AA35 AA38 AA41 AA44 AA47 AA50 AA53 AA56 AA59 AA62 AA65 AA68 AA71 AA74 AA77 AA80 AA83 AA86 AA89 AA92 AA95 AA98">
    <cfRule type="expression" dxfId="284" priority="55">
      <formula>D10&lt;&gt;"低炭素電気へ切替"</formula>
    </cfRule>
  </conditionalFormatting>
  <conditionalFormatting sqref="AA12 AA15 AA18 AA21 AA24 AA27 AA30 AA33 AA36 AA39 AA42 AA45 AA48 AA51 AA54 AA57 AA60 AA63 AA66 AA69 AA72 AA75 AA78 AA81 AA84 AA87 AA90 AA93 AA96 AA99">
    <cfRule type="expression" dxfId="283" priority="54">
      <formula>D10&lt;&gt;"低炭素電気へ切替"</formula>
    </cfRule>
  </conditionalFormatting>
  <conditionalFormatting sqref="N10:N13 N16 N19 N22 N25 N28 N31 N34 N37 N40 N43 N46 N49 N52 N55 N58 N61 N64 N67 N70 N73 N76 N79 N82 N85 N88 N91 N94 N97">
    <cfRule type="expression" dxfId="282" priority="28">
      <formula>AND(C10="",D10="",E10="",F10="")</formula>
    </cfRule>
  </conditionalFormatting>
  <conditionalFormatting sqref="O10 O13 O16 O19 O22 O25 O28 O31 O34 O37 O40 O43 O46 O49 O52 O55 O58 O61 O64 O67 O70 O73 O76 O79 O82 O85 O88 O91 O94 O97">
    <cfRule type="expression" dxfId="281" priority="27">
      <formula>AND(C10="",D10="",E10="",F10="")</formula>
    </cfRule>
  </conditionalFormatting>
  <conditionalFormatting sqref="P10 P13 P16 P19 P22 P25 P28 P31 P34 P37 P40 P43 P46 P49 P52 P55 P58 P61 P64 P67 P70 P73 P76 P79 P82 P85 P88 P91 P94 P97">
    <cfRule type="expression" dxfId="280" priority="26">
      <formula>AND(C10="",D10="",E10="",F10="")</formula>
    </cfRule>
  </conditionalFormatting>
  <conditionalFormatting sqref="Q10 Q13 Q16 Q19 Q22 Q25 Q28 Q31 Q34 Q37 Q40 Q43 Q46 Q49 Q52 Q55 Q58 Q61 Q64 Q67 Q70 Q73 Q76 Q79 Q82 Q85 Q88 Q91 Q94 Q97">
    <cfRule type="expression" dxfId="279" priority="25">
      <formula>AND(C10="",D10="",E10="",F10="")</formula>
    </cfRule>
  </conditionalFormatting>
  <conditionalFormatting sqref="S10:S13 S16 S19 S22 S25 S28 S31 S34 S37 S40 S43 S46 S49 S52 S55 S58 S61 S64 S67 S70 S73 S76 S79 S82 S85 S88 S91 S94 S97">
    <cfRule type="expression" dxfId="278" priority="24">
      <formula>AND(C10="",D10="",E10="",F10="")</formula>
    </cfRule>
  </conditionalFormatting>
  <conditionalFormatting sqref="T10 T13 T16 T19 T22 T25 T28 T31 T34 T37 T40 T43 T46 T49 T52 T55 T58 T61 T64 T67 T70 T73 T76 T79 T82 T85 T88 T91 T94 T97">
    <cfRule type="expression" dxfId="277" priority="23">
      <formula>AND(C10="",D10="",E10="",F10="")</formula>
    </cfRule>
  </conditionalFormatting>
  <conditionalFormatting sqref="U10 U13 U16 U19 U22 U25 U28 U31 U34 U37 U40 U43 U46 U49 U52 U55 U58 U61 U64 U67 U70 U73 U76 U79 U82 U85 U88 U91 U94 U97">
    <cfRule type="expression" dxfId="276" priority="22">
      <formula>AND(C10="",D10="",E10="",F10="")</formula>
    </cfRule>
  </conditionalFormatting>
  <conditionalFormatting sqref="R10 R13 R16 R19 R22 R25 R28 R31 R34 R37 R40 R43 R46 R49 R52 R55 R58 R61 R64 R67 R70 R73 R76 R79 R82 R85 R88 R91 R94 R97">
    <cfRule type="expression" dxfId="275" priority="21">
      <formula>AND(C10="",D10="",E10="",F10="")</formula>
    </cfRule>
  </conditionalFormatting>
  <conditionalFormatting sqref="V10 V13 V16 V19 V22 V25 V28 V31 V34 V37 V40 V43 V46 V49 V52 V55 V58 V61 V64 V67 V70 V73 V76 V79 V82 V85 V88 V91 V94 V97">
    <cfRule type="expression" dxfId="274" priority="20">
      <formula>AND(C10="",D10="",E10="",F10="")</formula>
    </cfRule>
  </conditionalFormatting>
  <conditionalFormatting sqref="W10 W13 W16 W19 W22 W25 W28 W31 W34 W37 W40 W43 W46 W49 W52 W55 W58 W61 W64 W67 W70 W73 W76 W79 W82 W85 W88 W91 W94 W97">
    <cfRule type="expression" dxfId="273" priority="19">
      <formula>AND(C10="",D10="",E10="",F10="")</formula>
    </cfRule>
  </conditionalFormatting>
  <conditionalFormatting sqref="X10:X13 X16 X19 X22 X25 X28 X31 X34 X37 X40 X43 X46 X49 X52 X55 X58 X61 X64 X67 X70 X73 X76 X79 X82 X85 X88 X91 X94 X97">
    <cfRule type="expression" dxfId="272" priority="18">
      <formula>AND(C10="",D10="",E10="",F10="")</formula>
    </cfRule>
  </conditionalFormatting>
  <conditionalFormatting sqref="O11 O14 O17 O20 O23 O26 O29 O32 O35 O38 O41 O44 O47 O50 O53 O56 O59 O62 O65 O68 O71 O74 O77 O80 O83 O86 O89 O92 O95 O98">
    <cfRule type="expression" dxfId="271" priority="17">
      <formula>AND(C10="",D10="",E10="",F10="")</formula>
    </cfRule>
  </conditionalFormatting>
  <conditionalFormatting sqref="P11 P14 P17 P20 P23 P26 P29 P32 P35 P38 P41 P44 P47 P50 P53 P56 P59 P62 P65 P68 P71 P74 P77 P80 P83 P86 P89 P92 P95 P98">
    <cfRule type="expression" dxfId="270" priority="16">
      <formula>AND(C10="",D10="",E10="",F10="")</formula>
    </cfRule>
  </conditionalFormatting>
  <conditionalFormatting sqref="Q11 Q14 Q17 Q20 Q23 Q26 Q29 Q32 Q35 Q38 Q41 Q44 Q47 Q50 Q53 Q56 Q59 Q62 Q65 Q68 Q71 Q74 Q77 Q80 Q83 Q86 Q89 Q92 Q95 Q98">
    <cfRule type="expression" dxfId="269" priority="15">
      <formula>AND(C10="",D10="",E10="",F10="")</formula>
    </cfRule>
  </conditionalFormatting>
  <conditionalFormatting sqref="T11 T14 T17 T20 T23 T26 T29 T32 T35 T38 T41 T44 T47 T50 T53 T56 T59 T62 T65 T68 T71 T74 T77 T80 T83 T86 T89 T92 T95 T98">
    <cfRule type="expression" dxfId="268" priority="14">
      <formula>AND(C10="",D10="",E10="",F10="")</formula>
    </cfRule>
  </conditionalFormatting>
  <conditionalFormatting sqref="R14 R17 R20 R23 R26 R29 R32 R35 R38 R41 R44 R47 R50 R53 R56 R59 R62 R65 R68 R71 R74 R77 R80 R83 R86 R89 R92 R95 R98 R11">
    <cfRule type="expression" dxfId="267" priority="13">
      <formula>AND(C10="",D10="",E10="",F10="")</formula>
    </cfRule>
  </conditionalFormatting>
  <conditionalFormatting sqref="U11 U14 U17 U20 U23 U26 U29 U32 U35 U38 U41 U44 U47 U50 U53 U56 U59 U62 U65 U68 U71 U74 U77 U80 U83 U86 U89 U92 U95 U98">
    <cfRule type="expression" dxfId="266" priority="12">
      <formula>AND(C10="",D10="",E10="",F10="")</formula>
    </cfRule>
  </conditionalFormatting>
  <conditionalFormatting sqref="V11 V14 V17 V20 V23 V26 V29 V32 V35 V38 V41 V44 V47 V50 V53 V56 V59 V62 V65 V68 V71 V74 V77 V80 V83 V86 V89 V92 V95 V98">
    <cfRule type="expression" dxfId="265" priority="11">
      <formula>AND(C10="",D10="",E10="",F10="")</formula>
    </cfRule>
  </conditionalFormatting>
  <conditionalFormatting sqref="W11 W14 W17 W20 W23 W26 W29 W32 W35 W38 W41 W44 W47 W50 W53 W56 W59 W62 W65 W68 W71 W74 W77 W80 W83 W86 W89 W92 W95 W98">
    <cfRule type="expression" dxfId="264" priority="10">
      <formula>AND(C10="",D10="",E10="",F10="")</formula>
    </cfRule>
  </conditionalFormatting>
  <conditionalFormatting sqref="O12 O15 O18 O21 O24 O27 O30 O33 O36 O39 O42 O45 O48 O51 O54 O57 O60 O63 O66 O69 O72 O75 O78 O81 O84 O87 O90 O93 O96 O99">
    <cfRule type="expression" dxfId="263" priority="9">
      <formula>AND(C10="",D10="",E10="",F10="")</formula>
    </cfRule>
  </conditionalFormatting>
  <conditionalFormatting sqref="P12 P15 P18 P21 P24 P27 P30 P33 P36 P39 P42 P45 P48 P51 P54 P57 P60 P63 P66 P69 P72 P75 P78 P81 P84 P87 P90 P93 P96 P99">
    <cfRule type="expression" dxfId="262" priority="8">
      <formula>AND(C10="",D10="",E10="",F10="")</formula>
    </cfRule>
  </conditionalFormatting>
  <conditionalFormatting sqref="Q12 Q15 Q18 Q21 Q24 Q27 Q30 Q33 Q36 Q39 Q42 Q45 Q48 Q51 Q54 Q57 Q60 Q63 Q66 Q69 Q72 Q75 Q78 Q81 Q84 Q87 Q90 Q93 Q96 Q99">
    <cfRule type="expression" dxfId="261" priority="7">
      <formula>AND(C10="",D10="",E10="",F10="")</formula>
    </cfRule>
  </conditionalFormatting>
  <conditionalFormatting sqref="R12 R15 R18 R21 R24 R27 R30 R33 R36 R39 R42 R45 R48 R51 R54 R57 R60 R63 R66 R69 R72 R75 R78 R81 R84 R87 R90 R93 R96 R99">
    <cfRule type="expression" dxfId="260" priority="6">
      <formula>AND(C10="",D10="",E10="",F10="")</formula>
    </cfRule>
  </conditionalFormatting>
  <conditionalFormatting sqref="T12 T15 T18 T21 T24 T27 T30 T33 T36 T39 T42 T45 T48 T51 T54 T57 T60 T63 T66 T69 T72 T75 T78 T81 T84 T87 T90 T93 T96 T99">
    <cfRule type="expression" dxfId="259" priority="5">
      <formula>AND(C10="",D10="",E10="",F10="")</formula>
    </cfRule>
  </conditionalFormatting>
  <conditionalFormatting sqref="U12 U15 U18 U21 U24 U27 U30 U33 U36 U39 U42 U45 U48 U51 U54 U57 U60 U63 U66 U69 U72 U75 U78 U81 U84 U87 U90 U93 U96 U99">
    <cfRule type="expression" dxfId="258" priority="4">
      <formula>AND(C10="",D10="",E10="",F10="")</formula>
    </cfRule>
  </conditionalFormatting>
  <conditionalFormatting sqref="V12 V15 V18 V21 V24 V27 V30 V33 V36 V39 V42 V45 V48 V51 V54 V57 V60 V63 V66 V69 V72 V75 V78 V81 V84 V87 V90 V93 V96 V99">
    <cfRule type="expression" dxfId="257" priority="3">
      <formula>AND(C10="",D10="",E10="",F10="")</formula>
    </cfRule>
  </conditionalFormatting>
  <conditionalFormatting sqref="W12 W15 W18 W21 W24 W27 W30 W33 W36 W39 W42 W45 W48 W51 W54 W57 W60 W63 W66 W69 W72 W75 W78 W81 W84 W87 W90 W93 W96 W99">
    <cfRule type="expression" dxfId="256" priority="2">
      <formula>AND(C10="",D10="",E10="",F10="")</formula>
    </cfRule>
  </conditionalFormatting>
  <dataValidations count="11">
    <dataValidation type="decimal" operator="greaterThanOrEqual" allowBlank="1" showInputMessage="1" showErrorMessage="1" sqref="M143 M146 M149 I110:I118 H100:H109 L114:L118 AN33:AN35 L110:L112 F100:F109 AP33:AP35 P10:P99 U10:U99" xr:uid="{00000000-0002-0000-3F00-000000000000}">
      <formula1>0</formula1>
    </dataValidation>
    <dataValidation type="list" allowBlank="1" showInputMessage="1" showErrorMessage="1" sqref="J110:K118 G100:G109" xr:uid="{00000000-0002-0000-3F00-000001000000}">
      <formula1>#REF!</formula1>
    </dataValidation>
    <dataValidation type="list" allowBlank="1" showInputMessage="1" showErrorMessage="1" sqref="I100:I109" xr:uid="{00000000-0002-0000-3F00-000002000000}">
      <formula1>INDIRECT("単位" &amp; #REF!)</formula1>
    </dataValidation>
    <dataValidation type="list" allowBlank="1" showInputMessage="1" showErrorMessage="1" sqref="G110:G116" xr:uid="{00000000-0002-0000-3F00-000003000000}">
      <formula1>$Q$22:$Q$27</formula1>
    </dataValidation>
    <dataValidation type="list" allowBlank="1" showInputMessage="1" showErrorMessage="1" sqref="Q10:Q99" xr:uid="{00000000-0002-0000-3F00-000004000000}">
      <formula1>INDIRECT("単位" &amp; $AC10)</formula1>
    </dataValidation>
    <dataValidation type="list" allowBlank="1" showInputMessage="1" showErrorMessage="1" sqref="V10:V99" xr:uid="{00000000-0002-0000-3F00-000005000000}">
      <formula1>INDIRECT("単位" &amp; $AD10)</formula1>
    </dataValidation>
    <dataValidation operator="greaterThanOrEqual" allowBlank="1" showInputMessage="1" showErrorMessage="1" sqref="H8:I8" xr:uid="{00000000-0002-0000-3F00-000006000000}"/>
    <dataValidation type="list" allowBlank="1" showInputMessage="1" showErrorMessage="1" sqref="E10:E99" xr:uid="{00000000-0002-0000-3F00-000007000000}">
      <formula1>$BS$8:$BS$19</formula1>
    </dataValidation>
    <dataValidation type="list" allowBlank="1" showInputMessage="1" showErrorMessage="1" sqref="D10:D99" xr:uid="{00000000-0002-0000-3F00-000008000000}">
      <formula1>$BR$8:$BR$13</formula1>
    </dataValidation>
    <dataValidation type="list" allowBlank="1" showInputMessage="1" showErrorMessage="1" sqref="T10:T99 O10:O99" xr:uid="{00000000-0002-0000-3F00-000009000000}">
      <formula1>$BH$10:$BH$42</formula1>
    </dataValidation>
    <dataValidation type="list" allowBlank="1" showInputMessage="1" showErrorMessage="1" sqref="C10:C99" xr:uid="{B1004613-0264-4DDF-A968-835FAF3DE849}">
      <formula1>$BQ$8:$BQ$11</formula1>
    </dataValidation>
  </dataValidations>
  <pageMargins left="0.7" right="0.7" top="0.75" bottom="0.75" header="0.3" footer="0.3"/>
  <pageSetup paperSize="9" scale="17" fitToHeight="0" orientation="landscape"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56788DEC-FBC8-46EB-A6D1-F6D317B24123}">
            <xm:f>はじめに!$B$35&lt;&gt;"報告書"</xm:f>
            <x14:dxf>
              <fill>
                <patternFill>
                  <bgColor theme="0" tint="-0.14996795556505021"/>
                </patternFill>
              </fill>
            </x14:dxf>
          </x14:cfRule>
          <xm:sqref>C10:J99</xm:sqref>
        </x14:conditionalFormatting>
      </x14:conditionalFormatting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6">
    <pageSetUpPr fitToPage="1"/>
  </sheetPr>
  <dimension ref="A1:Z106"/>
  <sheetViews>
    <sheetView showGridLines="0" zoomScaleNormal="100" workbookViewId="0">
      <selection activeCell="B6" sqref="B6"/>
    </sheetView>
  </sheetViews>
  <sheetFormatPr defaultColWidth="9" defaultRowHeight="12"/>
  <cols>
    <col min="1" max="1" width="4.625" style="6" customWidth="1"/>
    <col min="2" max="4" width="5" style="6" customWidth="1"/>
    <col min="5" max="5" width="8" style="6" customWidth="1"/>
    <col min="6" max="6" width="5.5" style="6" customWidth="1"/>
    <col min="7" max="7" width="8.875" style="6" customWidth="1"/>
    <col min="8" max="8" width="2.875" style="6" customWidth="1"/>
    <col min="9" max="9" width="5.125" style="6" customWidth="1"/>
    <col min="10" max="13" width="5.5" style="6" customWidth="1"/>
    <col min="14" max="15" width="5.875" style="6" customWidth="1"/>
    <col min="16" max="16" width="8" style="6" customWidth="1"/>
    <col min="17" max="17" width="2.125" style="6" customWidth="1"/>
    <col min="18" max="18" width="9" style="6" hidden="1" customWidth="1"/>
    <col min="19" max="19" width="11.5" style="6" hidden="1" customWidth="1"/>
    <col min="20" max="26" width="11.5" style="6" customWidth="1"/>
    <col min="27" max="16384" width="9" style="6"/>
  </cols>
  <sheetData>
    <row r="1" spans="1:26" s="3" customFormat="1" ht="13.5">
      <c r="A1" s="1" t="s">
        <v>175</v>
      </c>
      <c r="B1" s="2"/>
      <c r="C1" s="2"/>
      <c r="D1" s="2"/>
      <c r="E1" s="2"/>
      <c r="F1" s="2"/>
      <c r="G1" s="2"/>
      <c r="H1" s="2"/>
      <c r="I1" s="2"/>
      <c r="J1" s="2"/>
      <c r="K1" s="2"/>
      <c r="L1" s="2"/>
      <c r="M1" s="2"/>
      <c r="N1" s="2"/>
      <c r="O1" s="2"/>
      <c r="R1" s="156"/>
      <c r="S1" s="156"/>
      <c r="T1" s="156"/>
      <c r="U1" s="156"/>
      <c r="V1" s="156"/>
      <c r="W1" s="156"/>
      <c r="X1" s="156"/>
      <c r="Y1" s="156"/>
      <c r="Z1" s="156"/>
    </row>
    <row r="2" spans="1:26" s="3" customFormat="1" ht="13.5">
      <c r="A2" s="2" t="s">
        <v>119</v>
      </c>
      <c r="B2" s="4"/>
      <c r="C2" s="4"/>
      <c r="D2" s="4"/>
      <c r="E2" s="4"/>
      <c r="F2" s="4"/>
      <c r="G2" s="4"/>
      <c r="H2" s="4"/>
      <c r="I2" s="4"/>
      <c r="J2" s="4"/>
      <c r="K2" s="4"/>
      <c r="L2" s="4"/>
      <c r="M2" s="4"/>
      <c r="N2" s="4"/>
      <c r="O2" s="2"/>
      <c r="R2" s="156"/>
      <c r="S2" s="156"/>
      <c r="T2" s="156"/>
      <c r="U2" s="156"/>
      <c r="V2" s="156"/>
      <c r="W2" s="156"/>
      <c r="X2" s="156"/>
      <c r="Y2" s="156"/>
      <c r="Z2" s="156"/>
    </row>
    <row r="3" spans="1:26" s="3" customFormat="1" ht="11.25" customHeight="1">
      <c r="R3" s="156"/>
      <c r="S3" s="156"/>
      <c r="T3" s="156"/>
      <c r="U3" s="156"/>
      <c r="V3" s="156"/>
      <c r="W3" s="156"/>
      <c r="X3" s="156"/>
      <c r="Y3" s="156"/>
      <c r="Z3" s="156"/>
    </row>
    <row r="4" spans="1:26" s="50" customFormat="1" ht="15.95" customHeight="1">
      <c r="A4" s="50" t="s">
        <v>401</v>
      </c>
      <c r="B4" s="49"/>
      <c r="C4" s="49"/>
      <c r="D4" s="49"/>
      <c r="E4" s="49"/>
      <c r="F4" s="49"/>
      <c r="G4" s="49"/>
      <c r="H4" s="49"/>
      <c r="I4" s="49"/>
      <c r="J4" s="49"/>
      <c r="K4" s="49"/>
      <c r="L4" s="49"/>
      <c r="M4" s="49"/>
      <c r="N4" s="49"/>
      <c r="O4" s="49"/>
      <c r="P4" s="49"/>
      <c r="R4" s="361"/>
      <c r="S4" s="361"/>
      <c r="T4" s="361"/>
      <c r="U4" s="361"/>
      <c r="V4" s="361"/>
      <c r="W4" s="361"/>
      <c r="X4" s="361"/>
      <c r="Y4" s="361"/>
      <c r="Z4" s="361"/>
    </row>
    <row r="5" spans="1:26" ht="15.75" customHeight="1">
      <c r="A5" s="2926" t="s">
        <v>503</v>
      </c>
      <c r="B5" s="2927"/>
      <c r="C5" s="2927"/>
      <c r="D5" s="2927"/>
      <c r="E5" s="2927"/>
      <c r="F5" s="2927"/>
      <c r="G5" s="2927"/>
      <c r="H5" s="2927"/>
      <c r="I5" s="2927"/>
      <c r="J5" s="2927"/>
      <c r="K5" s="2927"/>
      <c r="L5" s="2927"/>
      <c r="M5" s="2927"/>
      <c r="N5" s="2927"/>
      <c r="O5" s="2927"/>
      <c r="P5" s="2928"/>
      <c r="Q5" s="9"/>
      <c r="R5" s="333"/>
      <c r="S5" s="333"/>
      <c r="T5" s="333"/>
      <c r="U5" s="333"/>
      <c r="V5" s="333"/>
      <c r="W5" s="165"/>
      <c r="X5" s="165"/>
      <c r="Y5" s="165"/>
      <c r="Z5" s="165"/>
    </row>
    <row r="6" spans="1:26" ht="20.25" customHeight="1">
      <c r="A6" s="323"/>
      <c r="B6" s="126" t="s">
        <v>431</v>
      </c>
      <c r="C6" s="127"/>
      <c r="D6" s="127"/>
      <c r="E6" s="127"/>
      <c r="F6" s="127"/>
      <c r="G6" s="127"/>
      <c r="H6" s="127"/>
      <c r="I6" s="127"/>
      <c r="J6" s="127"/>
      <c r="K6" s="127"/>
      <c r="L6" s="127"/>
      <c r="M6" s="127"/>
      <c r="N6" s="127"/>
      <c r="O6" s="127"/>
      <c r="P6" s="128"/>
      <c r="Q6" s="9"/>
      <c r="R6" s="362" t="b">
        <v>0</v>
      </c>
      <c r="S6" s="333"/>
      <c r="T6" s="333"/>
      <c r="U6" s="333"/>
      <c r="V6" s="333"/>
      <c r="W6" s="165"/>
      <c r="X6" s="165"/>
      <c r="Y6" s="165"/>
      <c r="Z6" s="165"/>
    </row>
    <row r="7" spans="1:26" ht="20.25" customHeight="1">
      <c r="A7" s="323"/>
      <c r="B7" s="126" t="s">
        <v>438</v>
      </c>
      <c r="C7" s="127"/>
      <c r="D7" s="127"/>
      <c r="E7" s="127"/>
      <c r="F7" s="127"/>
      <c r="G7" s="127"/>
      <c r="H7" s="127"/>
      <c r="I7" s="127"/>
      <c r="J7" s="127"/>
      <c r="K7" s="127"/>
      <c r="L7" s="127"/>
      <c r="M7" s="127"/>
      <c r="N7" s="127"/>
      <c r="O7" s="127"/>
      <c r="P7" s="128"/>
      <c r="Q7" s="9"/>
      <c r="R7" s="362" t="b">
        <v>0</v>
      </c>
      <c r="S7" s="333"/>
      <c r="T7" s="333"/>
      <c r="U7" s="333"/>
      <c r="V7" s="333"/>
      <c r="W7" s="165"/>
      <c r="X7" s="165"/>
      <c r="Y7" s="165"/>
      <c r="Z7" s="165"/>
    </row>
    <row r="8" spans="1:26" ht="20.25" customHeight="1">
      <c r="A8" s="323"/>
      <c r="B8" s="126" t="s">
        <v>432</v>
      </c>
      <c r="C8" s="127"/>
      <c r="D8" s="127"/>
      <c r="E8" s="127"/>
      <c r="F8" s="127"/>
      <c r="G8" s="127"/>
      <c r="H8" s="127"/>
      <c r="I8" s="127"/>
      <c r="J8" s="127"/>
      <c r="K8" s="127"/>
      <c r="L8" s="127"/>
      <c r="M8" s="127"/>
      <c r="N8" s="127"/>
      <c r="O8" s="127"/>
      <c r="P8" s="128"/>
      <c r="Q8" s="9"/>
      <c r="R8" s="362" t="b">
        <v>0</v>
      </c>
      <c r="S8" s="333"/>
      <c r="T8" s="333"/>
      <c r="U8" s="333"/>
      <c r="V8" s="333"/>
      <c r="W8" s="165"/>
      <c r="X8" s="165"/>
      <c r="Y8" s="165"/>
      <c r="Z8" s="165"/>
    </row>
    <row r="9" spans="1:26" ht="20.25" customHeight="1">
      <c r="A9" s="323"/>
      <c r="B9" s="126" t="s">
        <v>433</v>
      </c>
      <c r="C9" s="127"/>
      <c r="D9" s="127"/>
      <c r="E9" s="127"/>
      <c r="F9" s="127"/>
      <c r="G9" s="127"/>
      <c r="H9" s="127"/>
      <c r="I9" s="127"/>
      <c r="J9" s="127"/>
      <c r="K9" s="127"/>
      <c r="L9" s="127"/>
      <c r="M9" s="127"/>
      <c r="N9" s="127"/>
      <c r="O9" s="127"/>
      <c r="P9" s="128"/>
      <c r="Q9" s="9"/>
      <c r="R9" s="362" t="b">
        <v>0</v>
      </c>
      <c r="S9" s="333"/>
      <c r="T9" s="333"/>
      <c r="U9" s="333"/>
      <c r="V9" s="333"/>
      <c r="W9" s="165"/>
      <c r="X9" s="165"/>
      <c r="Y9" s="165"/>
      <c r="Z9" s="165"/>
    </row>
    <row r="10" spans="1:26" ht="20.25" customHeight="1">
      <c r="A10" s="323"/>
      <c r="B10" s="126" t="s">
        <v>434</v>
      </c>
      <c r="C10" s="127"/>
      <c r="D10" s="127"/>
      <c r="E10" s="127"/>
      <c r="F10" s="127"/>
      <c r="G10" s="127"/>
      <c r="H10" s="127"/>
      <c r="I10" s="127"/>
      <c r="J10" s="127"/>
      <c r="K10" s="127"/>
      <c r="L10" s="127"/>
      <c r="M10" s="127"/>
      <c r="N10" s="127"/>
      <c r="O10" s="127"/>
      <c r="P10" s="128"/>
      <c r="Q10" s="9"/>
      <c r="R10" s="362" t="b">
        <v>0</v>
      </c>
      <c r="S10" s="333"/>
      <c r="T10" s="333"/>
      <c r="U10" s="333"/>
      <c r="V10" s="333"/>
      <c r="W10" s="165"/>
      <c r="X10" s="165"/>
      <c r="Y10" s="165"/>
      <c r="Z10" s="165"/>
    </row>
    <row r="11" spans="1:26" ht="20.25" customHeight="1">
      <c r="A11" s="323"/>
      <c r="B11" s="126" t="s">
        <v>435</v>
      </c>
      <c r="C11" s="127"/>
      <c r="D11" s="127"/>
      <c r="E11" s="127"/>
      <c r="F11" s="127"/>
      <c r="G11" s="127"/>
      <c r="H11" s="127"/>
      <c r="I11" s="127"/>
      <c r="J11" s="127"/>
      <c r="K11" s="127"/>
      <c r="L11" s="127"/>
      <c r="M11" s="127"/>
      <c r="N11" s="127"/>
      <c r="O11" s="127"/>
      <c r="P11" s="128"/>
      <c r="Q11" s="9"/>
      <c r="R11" s="362" t="b">
        <v>0</v>
      </c>
      <c r="S11" s="333"/>
      <c r="T11" s="333"/>
      <c r="U11" s="333"/>
      <c r="V11" s="333"/>
      <c r="W11" s="165"/>
      <c r="X11" s="165"/>
      <c r="Y11" s="165"/>
      <c r="Z11" s="165"/>
    </row>
    <row r="12" spans="1:26" ht="20.25" customHeight="1">
      <c r="A12" s="323"/>
      <c r="B12" s="126" t="s">
        <v>436</v>
      </c>
      <c r="C12" s="127"/>
      <c r="D12" s="127"/>
      <c r="E12" s="127"/>
      <c r="F12" s="127"/>
      <c r="G12" s="127"/>
      <c r="H12" s="127"/>
      <c r="I12" s="127"/>
      <c r="J12" s="127"/>
      <c r="K12" s="127"/>
      <c r="L12" s="127"/>
      <c r="M12" s="127"/>
      <c r="N12" s="127"/>
      <c r="O12" s="127"/>
      <c r="P12" s="128"/>
      <c r="Q12" s="9"/>
      <c r="R12" s="362" t="b">
        <v>0</v>
      </c>
      <c r="S12" s="333"/>
      <c r="T12" s="333"/>
      <c r="U12" s="333"/>
      <c r="V12" s="333"/>
      <c r="W12" s="165"/>
      <c r="X12" s="165"/>
      <c r="Y12" s="165"/>
      <c r="Z12" s="165"/>
    </row>
    <row r="13" spans="1:26" ht="20.25" customHeight="1">
      <c r="A13" s="323"/>
      <c r="B13" s="126" t="s">
        <v>437</v>
      </c>
      <c r="C13" s="127"/>
      <c r="D13" s="127"/>
      <c r="E13" s="127"/>
      <c r="F13" s="127"/>
      <c r="G13" s="127"/>
      <c r="H13" s="127"/>
      <c r="I13" s="127"/>
      <c r="J13" s="127"/>
      <c r="K13" s="127"/>
      <c r="L13" s="127"/>
      <c r="M13" s="127"/>
      <c r="N13" s="127"/>
      <c r="O13" s="127"/>
      <c r="P13" s="128"/>
      <c r="Q13" s="9"/>
      <c r="R13" s="362" t="b">
        <v>0</v>
      </c>
      <c r="S13" s="333"/>
      <c r="T13" s="333"/>
      <c r="U13" s="333"/>
      <c r="V13" s="333"/>
      <c r="W13" s="165"/>
      <c r="X13" s="165"/>
      <c r="Y13" s="165"/>
      <c r="Z13" s="165"/>
    </row>
    <row r="14" spans="1:26" ht="30.75" customHeight="1">
      <c r="A14" s="2929"/>
      <c r="B14" s="2930"/>
      <c r="C14" s="2930"/>
      <c r="D14" s="2930"/>
      <c r="E14" s="2930"/>
      <c r="F14" s="2930"/>
      <c r="G14" s="2930"/>
      <c r="H14" s="2930"/>
      <c r="I14" s="2930"/>
      <c r="J14" s="2930"/>
      <c r="K14" s="2930"/>
      <c r="L14" s="2930"/>
      <c r="M14" s="2930"/>
      <c r="N14" s="2930"/>
      <c r="O14" s="2930"/>
      <c r="P14" s="2931"/>
      <c r="Q14" s="9"/>
      <c r="R14" s="362"/>
      <c r="S14" s="333"/>
      <c r="T14" s="333"/>
      <c r="U14" s="333"/>
      <c r="V14" s="333"/>
      <c r="W14" s="165"/>
      <c r="X14" s="165"/>
      <c r="Y14" s="165"/>
      <c r="Z14" s="165"/>
    </row>
    <row r="15" spans="1:26" ht="49.9" customHeight="1">
      <c r="A15" s="2932"/>
      <c r="B15" s="2933"/>
      <c r="C15" s="2933"/>
      <c r="D15" s="2933"/>
      <c r="E15" s="2933"/>
      <c r="F15" s="2933"/>
      <c r="G15" s="2933"/>
      <c r="H15" s="2933"/>
      <c r="I15" s="2933"/>
      <c r="J15" s="2933"/>
      <c r="K15" s="2933"/>
      <c r="L15" s="2933"/>
      <c r="M15" s="2933"/>
      <c r="N15" s="2933"/>
      <c r="O15" s="2933"/>
      <c r="P15" s="2934"/>
      <c r="R15" s="363"/>
      <c r="S15" s="165"/>
      <c r="T15" s="165"/>
      <c r="U15" s="165"/>
      <c r="V15" s="165"/>
      <c r="W15" s="165"/>
      <c r="X15" s="165"/>
      <c r="Y15" s="165"/>
      <c r="Z15" s="165"/>
    </row>
    <row r="16" spans="1:26" ht="49.9" customHeight="1">
      <c r="P16" s="87"/>
      <c r="R16" s="363"/>
      <c r="S16" s="165"/>
      <c r="T16" s="165"/>
      <c r="U16" s="165"/>
      <c r="V16" s="165"/>
      <c r="W16" s="165"/>
      <c r="X16" s="165"/>
      <c r="Y16" s="165"/>
      <c r="Z16" s="165"/>
    </row>
    <row r="17" spans="1:26" s="50" customFormat="1" ht="15.95" customHeight="1">
      <c r="A17" s="50" t="s">
        <v>402</v>
      </c>
      <c r="B17" s="49"/>
      <c r="C17" s="49"/>
      <c r="D17" s="49"/>
      <c r="E17" s="49"/>
      <c r="F17" s="49"/>
      <c r="G17" s="49"/>
      <c r="H17" s="49"/>
      <c r="I17" s="49"/>
      <c r="J17" s="49"/>
      <c r="K17" s="49"/>
      <c r="L17" s="49"/>
      <c r="M17" s="49"/>
      <c r="N17" s="49"/>
      <c r="O17" s="49"/>
      <c r="P17" s="49"/>
      <c r="R17" s="364"/>
      <c r="S17" s="361"/>
      <c r="T17" s="361"/>
      <c r="U17" s="361"/>
      <c r="V17" s="361"/>
      <c r="W17" s="361"/>
      <c r="X17" s="361"/>
      <c r="Y17" s="361"/>
      <c r="Z17" s="361"/>
    </row>
    <row r="18" spans="1:26" ht="117.75" customHeight="1">
      <c r="A18" s="2935"/>
      <c r="B18" s="2936"/>
      <c r="C18" s="2936"/>
      <c r="D18" s="2936"/>
      <c r="E18" s="2936"/>
      <c r="F18" s="2936"/>
      <c r="G18" s="2936"/>
      <c r="H18" s="2936"/>
      <c r="I18" s="2936"/>
      <c r="J18" s="2936"/>
      <c r="K18" s="2936"/>
      <c r="L18" s="2936"/>
      <c r="M18" s="2936"/>
      <c r="N18" s="2936"/>
      <c r="O18" s="2936"/>
      <c r="P18" s="2937"/>
      <c r="Q18" s="9"/>
      <c r="R18" s="362"/>
      <c r="S18" s="333"/>
      <c r="T18" s="333"/>
      <c r="U18" s="333"/>
      <c r="V18" s="333"/>
      <c r="W18" s="165"/>
      <c r="X18" s="165"/>
      <c r="Y18" s="165"/>
      <c r="Z18" s="165"/>
    </row>
    <row r="19" spans="1:26" ht="117.75" customHeight="1">
      <c r="A19" s="2932"/>
      <c r="B19" s="2933"/>
      <c r="C19" s="2933"/>
      <c r="D19" s="2933"/>
      <c r="E19" s="2933"/>
      <c r="F19" s="2933"/>
      <c r="G19" s="2933"/>
      <c r="H19" s="2933"/>
      <c r="I19" s="2933"/>
      <c r="J19" s="2933"/>
      <c r="K19" s="2933"/>
      <c r="L19" s="2933"/>
      <c r="M19" s="2933"/>
      <c r="N19" s="2933"/>
      <c r="O19" s="2933"/>
      <c r="P19" s="2934"/>
      <c r="R19" s="365"/>
      <c r="S19" s="165"/>
      <c r="T19" s="165"/>
      <c r="U19" s="165"/>
      <c r="V19" s="165"/>
      <c r="W19" s="165"/>
      <c r="X19" s="165"/>
      <c r="Y19" s="165"/>
      <c r="Z19" s="165"/>
    </row>
    <row r="20" spans="1:26" ht="9.9499999999999993" customHeight="1">
      <c r="A20" s="91"/>
      <c r="B20" s="91"/>
      <c r="C20" s="91"/>
      <c r="D20" s="91"/>
      <c r="E20" s="91"/>
      <c r="F20" s="91"/>
      <c r="G20" s="91"/>
      <c r="H20" s="91"/>
      <c r="I20" s="91"/>
      <c r="J20" s="91"/>
      <c r="K20" s="91"/>
      <c r="L20" s="91"/>
      <c r="M20" s="91"/>
      <c r="N20" s="91"/>
      <c r="O20" s="91"/>
      <c r="P20" s="91"/>
      <c r="R20" s="365"/>
      <c r="S20" s="165"/>
      <c r="T20" s="165"/>
      <c r="U20" s="165"/>
      <c r="V20" s="165"/>
      <c r="W20" s="165"/>
      <c r="X20" s="165"/>
      <c r="Y20" s="165"/>
      <c r="Z20" s="165"/>
    </row>
    <row r="21" spans="1:26" ht="36" customHeight="1">
      <c r="A21" s="171"/>
      <c r="B21" s="171"/>
      <c r="C21" s="171"/>
      <c r="D21" s="171"/>
      <c r="E21" s="171"/>
      <c r="F21" s="171"/>
      <c r="G21" s="171"/>
      <c r="H21" s="171"/>
      <c r="I21" s="171"/>
      <c r="J21" s="171"/>
      <c r="K21" s="171"/>
      <c r="L21" s="171"/>
      <c r="M21" s="171"/>
      <c r="N21" s="171"/>
      <c r="O21" s="171"/>
      <c r="P21" s="171"/>
      <c r="Q21" s="165"/>
      <c r="R21" s="365"/>
      <c r="S21" s="165"/>
      <c r="T21" s="165"/>
      <c r="U21" s="165"/>
      <c r="V21" s="165"/>
      <c r="W21" s="165"/>
      <c r="X21" s="165"/>
      <c r="Y21" s="165"/>
      <c r="Z21" s="165"/>
    </row>
    <row r="22" spans="1:26" ht="21" customHeight="1">
      <c r="A22" s="165"/>
      <c r="B22" s="165"/>
      <c r="C22" s="165"/>
      <c r="D22" s="165"/>
      <c r="E22" s="165"/>
      <c r="F22" s="165"/>
      <c r="G22" s="165"/>
      <c r="H22" s="165"/>
      <c r="I22" s="165"/>
      <c r="J22" s="165"/>
      <c r="K22" s="165"/>
      <c r="L22" s="165"/>
      <c r="M22" s="165"/>
      <c r="N22" s="165"/>
      <c r="O22" s="165"/>
      <c r="P22" s="164"/>
      <c r="Q22" s="165"/>
      <c r="R22" s="365"/>
      <c r="S22" s="165"/>
      <c r="T22" s="165"/>
      <c r="U22" s="165"/>
      <c r="V22" s="165"/>
      <c r="W22" s="165"/>
      <c r="X22" s="165"/>
      <c r="Y22" s="165"/>
      <c r="Z22" s="165"/>
    </row>
    <row r="23" spans="1:26" ht="20.100000000000001" customHeight="1">
      <c r="A23" s="165"/>
      <c r="B23" s="165"/>
      <c r="C23" s="165"/>
      <c r="D23" s="165"/>
      <c r="E23" s="165"/>
      <c r="F23" s="165"/>
      <c r="G23" s="165"/>
      <c r="H23" s="165"/>
      <c r="I23" s="165"/>
      <c r="J23" s="165"/>
      <c r="K23" s="165"/>
      <c r="L23" s="165"/>
      <c r="M23" s="165"/>
      <c r="N23" s="165"/>
      <c r="O23" s="165"/>
      <c r="P23" s="178"/>
      <c r="Q23" s="165"/>
      <c r="R23" s="365"/>
      <c r="S23" s="165"/>
      <c r="T23" s="165"/>
      <c r="U23" s="165"/>
      <c r="V23" s="165"/>
      <c r="W23" s="165"/>
      <c r="X23" s="165"/>
      <c r="Y23" s="165"/>
      <c r="Z23" s="165"/>
    </row>
    <row r="24" spans="1:26" ht="20.100000000000001" customHeight="1">
      <c r="A24" s="165"/>
      <c r="B24" s="165"/>
      <c r="C24" s="165"/>
      <c r="D24" s="165"/>
      <c r="E24" s="165"/>
      <c r="F24" s="165"/>
      <c r="G24" s="165"/>
      <c r="H24" s="165"/>
      <c r="I24" s="165"/>
      <c r="J24" s="165"/>
      <c r="K24" s="165"/>
      <c r="L24" s="165"/>
      <c r="M24" s="165"/>
      <c r="N24" s="165"/>
      <c r="O24" s="165"/>
      <c r="P24" s="165"/>
      <c r="Q24" s="165"/>
      <c r="R24" s="365"/>
      <c r="S24" s="165"/>
      <c r="T24" s="165"/>
      <c r="U24" s="165"/>
      <c r="V24" s="165"/>
      <c r="W24" s="165"/>
      <c r="X24" s="165"/>
      <c r="Y24" s="165"/>
      <c r="Z24" s="165"/>
    </row>
    <row r="25" spans="1:26" ht="20.100000000000001" customHeight="1">
      <c r="A25" s="165"/>
      <c r="B25" s="165"/>
      <c r="C25" s="165"/>
      <c r="D25" s="165"/>
      <c r="E25" s="165"/>
      <c r="F25" s="165"/>
      <c r="G25" s="165"/>
      <c r="H25" s="165"/>
      <c r="I25" s="165"/>
      <c r="J25" s="165"/>
      <c r="K25" s="165"/>
      <c r="L25" s="165"/>
      <c r="M25" s="165"/>
      <c r="N25" s="165"/>
      <c r="O25" s="165"/>
      <c r="P25" s="165"/>
      <c r="Q25" s="165"/>
      <c r="R25" s="365"/>
      <c r="S25" s="165"/>
      <c r="T25" s="165"/>
      <c r="U25" s="165"/>
      <c r="V25" s="165"/>
      <c r="W25" s="165"/>
      <c r="X25" s="165"/>
      <c r="Y25" s="165"/>
      <c r="Z25" s="165"/>
    </row>
    <row r="26" spans="1:26" ht="20.100000000000001" customHeight="1">
      <c r="A26" s="165"/>
      <c r="B26" s="165"/>
      <c r="C26" s="165"/>
      <c r="D26" s="165"/>
      <c r="E26" s="165"/>
      <c r="F26" s="165"/>
      <c r="G26" s="165"/>
      <c r="H26" s="165"/>
      <c r="I26" s="165"/>
      <c r="J26" s="165"/>
      <c r="K26" s="165"/>
      <c r="L26" s="165"/>
      <c r="M26" s="165"/>
      <c r="N26" s="165"/>
      <c r="O26" s="165"/>
      <c r="P26" s="165"/>
      <c r="Q26" s="165"/>
      <c r="R26" s="365"/>
      <c r="S26" s="165"/>
      <c r="T26" s="165"/>
      <c r="U26" s="165"/>
      <c r="V26" s="165"/>
      <c r="W26" s="165"/>
      <c r="X26" s="165"/>
      <c r="Y26" s="165"/>
      <c r="Z26" s="165"/>
    </row>
    <row r="27" spans="1:26" ht="20.100000000000001" customHeight="1">
      <c r="A27" s="165"/>
      <c r="B27" s="165"/>
      <c r="C27" s="165"/>
      <c r="D27" s="165"/>
      <c r="E27" s="165"/>
      <c r="F27" s="165"/>
      <c r="G27" s="165"/>
      <c r="H27" s="165"/>
      <c r="I27" s="165"/>
      <c r="J27" s="165"/>
      <c r="K27" s="165"/>
      <c r="L27" s="165"/>
      <c r="M27" s="165"/>
      <c r="N27" s="165"/>
      <c r="O27" s="165"/>
      <c r="P27" s="165"/>
      <c r="Q27" s="165"/>
      <c r="R27" s="365"/>
      <c r="S27" s="165"/>
      <c r="T27" s="165"/>
      <c r="U27" s="165"/>
      <c r="V27" s="165"/>
      <c r="W27" s="165"/>
      <c r="X27" s="165"/>
      <c r="Y27" s="165"/>
      <c r="Z27" s="165"/>
    </row>
    <row r="28" spans="1:26" ht="20.100000000000001" customHeight="1">
      <c r="A28" s="165"/>
      <c r="B28" s="165"/>
      <c r="C28" s="165"/>
      <c r="D28" s="165"/>
      <c r="E28" s="165"/>
      <c r="F28" s="165"/>
      <c r="G28" s="165"/>
      <c r="H28" s="165"/>
      <c r="I28" s="165"/>
      <c r="J28" s="165"/>
      <c r="K28" s="165"/>
      <c r="L28" s="165"/>
      <c r="M28" s="165"/>
      <c r="N28" s="165"/>
      <c r="O28" s="165"/>
      <c r="P28" s="165"/>
      <c r="Q28" s="165"/>
      <c r="R28" s="365"/>
      <c r="S28" s="165"/>
      <c r="T28" s="165"/>
      <c r="U28" s="165"/>
      <c r="V28" s="165"/>
      <c r="W28" s="165"/>
      <c r="X28" s="165"/>
      <c r="Y28" s="165"/>
      <c r="Z28" s="165"/>
    </row>
    <row r="29" spans="1:26" ht="20.100000000000001" customHeight="1">
      <c r="A29" s="165"/>
      <c r="B29" s="165"/>
      <c r="C29" s="165"/>
      <c r="D29" s="165"/>
      <c r="E29" s="165"/>
      <c r="F29" s="165"/>
      <c r="G29" s="165"/>
      <c r="H29" s="165"/>
      <c r="I29" s="165"/>
      <c r="J29" s="165"/>
      <c r="K29" s="165"/>
      <c r="L29" s="165"/>
      <c r="M29" s="165"/>
      <c r="N29" s="165"/>
      <c r="O29" s="165"/>
      <c r="P29" s="165"/>
      <c r="Q29" s="165"/>
      <c r="R29" s="365"/>
      <c r="S29" s="165"/>
      <c r="T29" s="165"/>
      <c r="U29" s="165"/>
      <c r="V29" s="165"/>
      <c r="W29" s="165"/>
      <c r="X29" s="165"/>
      <c r="Y29" s="165"/>
      <c r="Z29" s="165"/>
    </row>
    <row r="30" spans="1:26" ht="20.100000000000001" customHeight="1">
      <c r="A30" s="165"/>
      <c r="B30" s="165"/>
      <c r="C30" s="165"/>
      <c r="D30" s="165"/>
      <c r="E30" s="165"/>
      <c r="F30" s="165"/>
      <c r="G30" s="165"/>
      <c r="H30" s="165"/>
      <c r="I30" s="165"/>
      <c r="J30" s="165"/>
      <c r="K30" s="165"/>
      <c r="L30" s="165"/>
      <c r="M30" s="165"/>
      <c r="N30" s="165"/>
      <c r="O30" s="165"/>
      <c r="P30" s="165"/>
      <c r="Q30" s="165"/>
      <c r="R30" s="365"/>
      <c r="S30" s="165"/>
      <c r="T30" s="165"/>
      <c r="U30" s="165"/>
      <c r="V30" s="165"/>
      <c r="W30" s="165"/>
      <c r="X30" s="165"/>
      <c r="Y30" s="165"/>
      <c r="Z30" s="165"/>
    </row>
    <row r="31" spans="1:26" ht="20.100000000000001" customHeight="1">
      <c r="A31" s="165"/>
      <c r="B31" s="165"/>
      <c r="C31" s="165"/>
      <c r="D31" s="165"/>
      <c r="E31" s="165"/>
      <c r="F31" s="165"/>
      <c r="G31" s="165"/>
      <c r="H31" s="165"/>
      <c r="I31" s="165"/>
      <c r="J31" s="165"/>
      <c r="K31" s="165"/>
      <c r="L31" s="165"/>
      <c r="M31" s="165"/>
      <c r="N31" s="165"/>
      <c r="O31" s="165"/>
      <c r="P31" s="165"/>
      <c r="Q31" s="165"/>
      <c r="R31" s="365"/>
      <c r="S31" s="165"/>
      <c r="T31" s="165"/>
      <c r="U31" s="165"/>
      <c r="V31" s="165"/>
      <c r="W31" s="165"/>
      <c r="X31" s="165"/>
      <c r="Y31" s="165"/>
      <c r="Z31" s="165"/>
    </row>
    <row r="32" spans="1:26" ht="20.100000000000001" customHeight="1">
      <c r="A32" s="165"/>
      <c r="B32" s="165"/>
      <c r="C32" s="165"/>
      <c r="D32" s="165"/>
      <c r="E32" s="165"/>
      <c r="F32" s="165"/>
      <c r="G32" s="165"/>
      <c r="H32" s="165"/>
      <c r="I32" s="165"/>
      <c r="J32" s="165"/>
      <c r="K32" s="165"/>
      <c r="L32" s="165"/>
      <c r="M32" s="165"/>
      <c r="N32" s="165"/>
      <c r="O32" s="165"/>
      <c r="P32" s="165"/>
      <c r="Q32" s="165"/>
      <c r="R32" s="365"/>
      <c r="S32" s="165"/>
      <c r="T32" s="165"/>
      <c r="U32" s="165"/>
      <c r="V32" s="165"/>
      <c r="W32" s="165"/>
      <c r="X32" s="165"/>
      <c r="Y32" s="165"/>
      <c r="Z32" s="165"/>
    </row>
    <row r="33" spans="1:26" ht="20.100000000000001" customHeight="1">
      <c r="A33" s="165"/>
      <c r="B33" s="165"/>
      <c r="C33" s="165"/>
      <c r="D33" s="165"/>
      <c r="E33" s="165"/>
      <c r="F33" s="165"/>
      <c r="G33" s="165"/>
      <c r="H33" s="165"/>
      <c r="I33" s="165"/>
      <c r="J33" s="165"/>
      <c r="K33" s="165"/>
      <c r="L33" s="165"/>
      <c r="M33" s="165"/>
      <c r="N33" s="165"/>
      <c r="O33" s="165"/>
      <c r="P33" s="178"/>
      <c r="Q33" s="165"/>
      <c r="R33" s="365"/>
      <c r="S33" s="165"/>
      <c r="T33" s="165"/>
      <c r="U33" s="165"/>
      <c r="V33" s="165"/>
      <c r="W33" s="165"/>
      <c r="X33" s="165"/>
      <c r="Y33" s="165"/>
      <c r="Z33" s="165"/>
    </row>
    <row r="34" spans="1:26">
      <c r="A34" s="165"/>
      <c r="B34" s="165"/>
      <c r="C34" s="165"/>
      <c r="D34" s="165"/>
      <c r="E34" s="165"/>
      <c r="F34" s="165"/>
      <c r="G34" s="165"/>
      <c r="H34" s="165"/>
      <c r="I34" s="165"/>
      <c r="J34" s="165"/>
      <c r="K34" s="165"/>
      <c r="L34" s="165"/>
      <c r="M34" s="165"/>
      <c r="N34" s="165"/>
      <c r="O34" s="165"/>
      <c r="P34" s="165"/>
      <c r="Q34" s="165"/>
      <c r="R34" s="365"/>
      <c r="S34" s="165"/>
      <c r="T34" s="165"/>
      <c r="U34" s="165"/>
      <c r="V34" s="165"/>
      <c r="W34" s="165"/>
      <c r="X34" s="165"/>
      <c r="Y34" s="165"/>
      <c r="Z34" s="165"/>
    </row>
    <row r="35" spans="1:26">
      <c r="A35" s="165"/>
      <c r="B35" s="165"/>
      <c r="C35" s="165"/>
      <c r="D35" s="165"/>
      <c r="E35" s="165"/>
      <c r="F35" s="165"/>
      <c r="G35" s="165"/>
      <c r="H35" s="165"/>
      <c r="I35" s="165"/>
      <c r="J35" s="165"/>
      <c r="K35" s="165"/>
      <c r="L35" s="165"/>
      <c r="M35" s="165"/>
      <c r="N35" s="165"/>
      <c r="O35" s="165"/>
      <c r="P35" s="165"/>
      <c r="Q35" s="165"/>
      <c r="R35" s="365"/>
      <c r="S35" s="165"/>
      <c r="T35" s="165"/>
      <c r="U35" s="165"/>
      <c r="V35" s="165"/>
      <c r="W35" s="165"/>
      <c r="X35" s="165"/>
      <c r="Y35" s="165"/>
      <c r="Z35" s="165"/>
    </row>
    <row r="36" spans="1:26">
      <c r="A36" s="165"/>
      <c r="B36" s="165"/>
      <c r="C36" s="165"/>
      <c r="D36" s="165"/>
      <c r="E36" s="165"/>
      <c r="F36" s="165"/>
      <c r="G36" s="165"/>
      <c r="H36" s="165"/>
      <c r="I36" s="165"/>
      <c r="J36" s="165"/>
      <c r="K36" s="165"/>
      <c r="L36" s="165"/>
      <c r="M36" s="165"/>
      <c r="N36" s="165"/>
      <c r="O36" s="165"/>
      <c r="P36" s="165"/>
      <c r="Q36" s="165"/>
      <c r="R36" s="365"/>
      <c r="S36" s="165"/>
      <c r="T36" s="165"/>
      <c r="U36" s="165"/>
      <c r="V36" s="165"/>
      <c r="W36" s="165"/>
      <c r="X36" s="165"/>
      <c r="Y36" s="165"/>
      <c r="Z36" s="165"/>
    </row>
    <row r="37" spans="1:26">
      <c r="A37" s="165"/>
      <c r="B37" s="165"/>
      <c r="C37" s="165"/>
      <c r="D37" s="165"/>
      <c r="E37" s="165"/>
      <c r="F37" s="165"/>
      <c r="G37" s="165"/>
      <c r="H37" s="165"/>
      <c r="I37" s="165"/>
      <c r="J37" s="165"/>
      <c r="K37" s="165"/>
      <c r="L37" s="165"/>
      <c r="M37" s="165"/>
      <c r="N37" s="165"/>
      <c r="O37" s="165"/>
      <c r="P37" s="165"/>
      <c r="Q37" s="165"/>
      <c r="R37" s="365"/>
      <c r="S37" s="165"/>
      <c r="T37" s="165"/>
      <c r="U37" s="165"/>
      <c r="V37" s="165"/>
      <c r="W37" s="165"/>
      <c r="X37" s="165"/>
      <c r="Y37" s="165"/>
      <c r="Z37" s="165"/>
    </row>
    <row r="38" spans="1:26">
      <c r="A38" s="165"/>
      <c r="B38" s="165"/>
      <c r="C38" s="165"/>
      <c r="D38" s="165"/>
      <c r="E38" s="165"/>
      <c r="F38" s="165"/>
      <c r="G38" s="165"/>
      <c r="H38" s="165"/>
      <c r="I38" s="165"/>
      <c r="J38" s="165"/>
      <c r="K38" s="165"/>
      <c r="L38" s="165"/>
      <c r="M38" s="165"/>
      <c r="N38" s="165"/>
      <c r="O38" s="165"/>
      <c r="P38" s="165"/>
      <c r="Q38" s="165"/>
      <c r="R38" s="365"/>
      <c r="S38" s="165"/>
      <c r="T38" s="165"/>
      <c r="U38" s="165"/>
      <c r="V38" s="165"/>
      <c r="W38" s="165"/>
      <c r="X38" s="165"/>
      <c r="Y38" s="165"/>
      <c r="Z38" s="165"/>
    </row>
    <row r="39" spans="1:26">
      <c r="A39" s="165"/>
      <c r="B39" s="165"/>
      <c r="C39" s="165"/>
      <c r="D39" s="165"/>
      <c r="E39" s="165"/>
      <c r="F39" s="165"/>
      <c r="G39" s="165"/>
      <c r="H39" s="165"/>
      <c r="I39" s="165"/>
      <c r="J39" s="165"/>
      <c r="K39" s="165"/>
      <c r="L39" s="165"/>
      <c r="M39" s="165"/>
      <c r="N39" s="165"/>
      <c r="O39" s="165"/>
      <c r="P39" s="165"/>
      <c r="Q39" s="165"/>
      <c r="R39" s="365"/>
      <c r="S39" s="165"/>
      <c r="T39" s="165"/>
      <c r="U39" s="165"/>
      <c r="V39" s="165"/>
      <c r="W39" s="165"/>
      <c r="X39" s="165"/>
      <c r="Y39" s="165"/>
      <c r="Z39" s="165"/>
    </row>
    <row r="40" spans="1:26">
      <c r="A40" s="165"/>
      <c r="B40" s="165"/>
      <c r="C40" s="165"/>
      <c r="D40" s="165"/>
      <c r="E40" s="165"/>
      <c r="F40" s="165"/>
      <c r="G40" s="165"/>
      <c r="H40" s="165"/>
      <c r="I40" s="165"/>
      <c r="J40" s="165"/>
      <c r="K40" s="165"/>
      <c r="L40" s="165"/>
      <c r="M40" s="165"/>
      <c r="N40" s="165"/>
      <c r="O40" s="165"/>
      <c r="P40" s="165"/>
      <c r="Q40" s="165"/>
      <c r="R40" s="365"/>
      <c r="S40" s="165"/>
      <c r="T40" s="165"/>
      <c r="U40" s="165"/>
      <c r="V40" s="165"/>
      <c r="W40" s="165"/>
      <c r="X40" s="165"/>
      <c r="Y40" s="165"/>
      <c r="Z40" s="165"/>
    </row>
    <row r="41" spans="1:26">
      <c r="A41" s="165"/>
      <c r="B41" s="165"/>
      <c r="C41" s="165"/>
      <c r="D41" s="165"/>
      <c r="E41" s="165"/>
      <c r="F41" s="165"/>
      <c r="G41" s="165"/>
      <c r="H41" s="165"/>
      <c r="I41" s="165"/>
      <c r="J41" s="165"/>
      <c r="K41" s="165"/>
      <c r="L41" s="165"/>
      <c r="M41" s="165"/>
      <c r="N41" s="165"/>
      <c r="O41" s="165"/>
      <c r="P41" s="165"/>
      <c r="Q41" s="165"/>
      <c r="R41" s="365"/>
      <c r="S41" s="165"/>
      <c r="T41" s="165"/>
      <c r="U41" s="165"/>
      <c r="V41" s="165"/>
      <c r="W41" s="165"/>
      <c r="X41" s="165"/>
      <c r="Y41" s="165"/>
      <c r="Z41" s="165"/>
    </row>
    <row r="42" spans="1:26">
      <c r="A42" s="165"/>
      <c r="B42" s="165"/>
      <c r="C42" s="165"/>
      <c r="D42" s="165"/>
      <c r="E42" s="165"/>
      <c r="F42" s="165"/>
      <c r="G42" s="165"/>
      <c r="H42" s="165"/>
      <c r="I42" s="165"/>
      <c r="J42" s="165"/>
      <c r="K42" s="165"/>
      <c r="L42" s="165"/>
      <c r="M42" s="165"/>
      <c r="N42" s="165"/>
      <c r="O42" s="165"/>
      <c r="P42" s="165"/>
      <c r="Q42" s="165"/>
      <c r="R42" s="365"/>
      <c r="S42" s="165"/>
      <c r="T42" s="165"/>
      <c r="U42" s="165"/>
      <c r="V42" s="165"/>
      <c r="W42" s="165"/>
      <c r="X42" s="165"/>
      <c r="Y42" s="165"/>
      <c r="Z42" s="165"/>
    </row>
    <row r="43" spans="1:26">
      <c r="A43" s="165"/>
      <c r="B43" s="165"/>
      <c r="C43" s="165"/>
      <c r="D43" s="165"/>
      <c r="E43" s="165"/>
      <c r="F43" s="165"/>
      <c r="G43" s="165"/>
      <c r="H43" s="165"/>
      <c r="I43" s="165"/>
      <c r="J43" s="165"/>
      <c r="K43" s="165"/>
      <c r="L43" s="165"/>
      <c r="M43" s="165"/>
      <c r="N43" s="165"/>
      <c r="O43" s="165"/>
      <c r="P43" s="165"/>
      <c r="Q43" s="165"/>
      <c r="R43" s="365"/>
      <c r="S43" s="165"/>
      <c r="T43" s="165"/>
      <c r="U43" s="165"/>
      <c r="V43" s="165"/>
      <c r="W43" s="165"/>
      <c r="X43" s="165"/>
      <c r="Y43" s="165"/>
      <c r="Z43" s="165"/>
    </row>
    <row r="44" spans="1:26">
      <c r="A44" s="165"/>
      <c r="B44" s="165"/>
      <c r="C44" s="165"/>
      <c r="D44" s="165"/>
      <c r="E44" s="165"/>
      <c r="F44" s="165"/>
      <c r="G44" s="165"/>
      <c r="H44" s="165"/>
      <c r="I44" s="165"/>
      <c r="J44" s="165"/>
      <c r="K44" s="165"/>
      <c r="L44" s="165"/>
      <c r="M44" s="165"/>
      <c r="N44" s="165"/>
      <c r="O44" s="165"/>
      <c r="P44" s="165"/>
      <c r="Q44" s="165"/>
      <c r="R44" s="365"/>
      <c r="S44" s="165"/>
      <c r="T44" s="165"/>
      <c r="U44" s="165"/>
      <c r="V44" s="165"/>
      <c r="W44" s="165"/>
      <c r="X44" s="165"/>
      <c r="Y44" s="165"/>
      <c r="Z44" s="165"/>
    </row>
    <row r="45" spans="1:26">
      <c r="A45" s="165"/>
      <c r="B45" s="165"/>
      <c r="C45" s="165"/>
      <c r="D45" s="165"/>
      <c r="E45" s="165"/>
      <c r="F45" s="165"/>
      <c r="G45" s="165"/>
      <c r="H45" s="165"/>
      <c r="I45" s="165"/>
      <c r="J45" s="165"/>
      <c r="K45" s="165"/>
      <c r="L45" s="165"/>
      <c r="M45" s="165"/>
      <c r="N45" s="165"/>
      <c r="O45" s="165"/>
      <c r="P45" s="165"/>
      <c r="Q45" s="165"/>
      <c r="R45" s="365"/>
      <c r="S45" s="165"/>
      <c r="T45" s="165"/>
      <c r="U45" s="165"/>
      <c r="V45" s="165"/>
      <c r="W45" s="165"/>
      <c r="X45" s="165"/>
      <c r="Y45" s="165"/>
      <c r="Z45" s="165"/>
    </row>
    <row r="46" spans="1:26">
      <c r="A46" s="165"/>
      <c r="B46" s="165"/>
      <c r="C46" s="165"/>
      <c r="D46" s="165"/>
      <c r="E46" s="165"/>
      <c r="F46" s="165"/>
      <c r="G46" s="165"/>
      <c r="H46" s="165"/>
      <c r="I46" s="165"/>
      <c r="J46" s="165"/>
      <c r="K46" s="165"/>
      <c r="L46" s="165"/>
      <c r="M46" s="165"/>
      <c r="N46" s="165"/>
      <c r="O46" s="165"/>
      <c r="P46" s="165"/>
      <c r="Q46" s="165"/>
      <c r="R46" s="365"/>
      <c r="S46" s="165"/>
      <c r="T46" s="165"/>
      <c r="U46" s="165"/>
      <c r="V46" s="165"/>
      <c r="W46" s="165"/>
      <c r="X46" s="165"/>
      <c r="Y46" s="165"/>
      <c r="Z46" s="165"/>
    </row>
    <row r="47" spans="1:26">
      <c r="A47" s="165"/>
      <c r="B47" s="165"/>
      <c r="C47" s="165"/>
      <c r="D47" s="165"/>
      <c r="E47" s="165"/>
      <c r="F47" s="165"/>
      <c r="G47" s="165"/>
      <c r="H47" s="165"/>
      <c r="I47" s="165"/>
      <c r="J47" s="165"/>
      <c r="K47" s="165"/>
      <c r="L47" s="165"/>
      <c r="M47" s="165"/>
      <c r="N47" s="165"/>
      <c r="O47" s="165"/>
      <c r="P47" s="165"/>
      <c r="Q47" s="165"/>
      <c r="R47" s="365"/>
      <c r="S47" s="165"/>
      <c r="T47" s="165"/>
      <c r="U47" s="165"/>
      <c r="V47" s="165"/>
      <c r="W47" s="165"/>
      <c r="X47" s="165"/>
      <c r="Y47" s="165"/>
      <c r="Z47" s="165"/>
    </row>
    <row r="48" spans="1:26">
      <c r="R48" s="8"/>
    </row>
    <row r="49" spans="18:18">
      <c r="R49" s="8"/>
    </row>
    <row r="50" spans="18:18">
      <c r="R50" s="8"/>
    </row>
    <row r="51" spans="18:18">
      <c r="R51" s="8"/>
    </row>
    <row r="52" spans="18:18">
      <c r="R52" s="8"/>
    </row>
    <row r="53" spans="18:18">
      <c r="R53" s="8"/>
    </row>
    <row r="54" spans="18:18">
      <c r="R54" s="8"/>
    </row>
    <row r="55" spans="18:18">
      <c r="R55" s="8"/>
    </row>
    <row r="56" spans="18:18">
      <c r="R56" s="8"/>
    </row>
    <row r="57" spans="18:18">
      <c r="R57" s="8"/>
    </row>
    <row r="58" spans="18:18">
      <c r="R58" s="8"/>
    </row>
    <row r="59" spans="18:18">
      <c r="R59" s="8"/>
    </row>
    <row r="60" spans="18:18">
      <c r="R60" s="8"/>
    </row>
    <row r="61" spans="18:18">
      <c r="R61" s="8"/>
    </row>
    <row r="62" spans="18:18">
      <c r="R62" s="8"/>
    </row>
    <row r="63" spans="18:18">
      <c r="R63" s="8"/>
    </row>
    <row r="64" spans="18:18">
      <c r="R64" s="8"/>
    </row>
    <row r="65" spans="18:18">
      <c r="R65" s="8"/>
    </row>
    <row r="66" spans="18:18">
      <c r="R66" s="8"/>
    </row>
    <row r="67" spans="18:18">
      <c r="R67" s="8"/>
    </row>
    <row r="68" spans="18:18">
      <c r="R68" s="8"/>
    </row>
    <row r="69" spans="18:18">
      <c r="R69" s="8"/>
    </row>
    <row r="70" spans="18:18">
      <c r="R70" s="8"/>
    </row>
    <row r="71" spans="18:18">
      <c r="R71" s="8"/>
    </row>
    <row r="72" spans="18:18">
      <c r="R72" s="8"/>
    </row>
    <row r="73" spans="18:18">
      <c r="R73" s="8"/>
    </row>
    <row r="74" spans="18:18">
      <c r="R74" s="8"/>
    </row>
    <row r="75" spans="18:18">
      <c r="R75" s="8"/>
    </row>
    <row r="76" spans="18:18">
      <c r="R76" s="8"/>
    </row>
    <row r="77" spans="18:18">
      <c r="R77" s="8"/>
    </row>
    <row r="78" spans="18:18">
      <c r="R78" s="8"/>
    </row>
    <row r="79" spans="18:18">
      <c r="R79" s="8"/>
    </row>
    <row r="80" spans="18:18">
      <c r="R80" s="8"/>
    </row>
    <row r="81" spans="18:18">
      <c r="R81" s="8"/>
    </row>
    <row r="82" spans="18:18">
      <c r="R82" s="8"/>
    </row>
    <row r="83" spans="18:18">
      <c r="R83" s="8"/>
    </row>
    <row r="84" spans="18:18">
      <c r="R84" s="8"/>
    </row>
    <row r="85" spans="18:18">
      <c r="R85" s="8"/>
    </row>
    <row r="86" spans="18:18">
      <c r="R86" s="8"/>
    </row>
    <row r="87" spans="18:18">
      <c r="R87" s="8"/>
    </row>
    <row r="88" spans="18:18">
      <c r="R88" s="8"/>
    </row>
    <row r="89" spans="18:18">
      <c r="R89" s="8"/>
    </row>
    <row r="90" spans="18:18">
      <c r="R90" s="8"/>
    </row>
    <row r="91" spans="18:18">
      <c r="R91" s="8"/>
    </row>
    <row r="92" spans="18:18">
      <c r="R92" s="8"/>
    </row>
    <row r="93" spans="18:18">
      <c r="R93" s="8"/>
    </row>
    <row r="94" spans="18:18">
      <c r="R94" s="8"/>
    </row>
    <row r="95" spans="18:18">
      <c r="R95" s="8"/>
    </row>
    <row r="96" spans="18:18">
      <c r="R96" s="8"/>
    </row>
    <row r="97" spans="18:18">
      <c r="R97" s="8"/>
    </row>
    <row r="98" spans="18:18">
      <c r="R98" s="8"/>
    </row>
    <row r="99" spans="18:18">
      <c r="R99" s="8"/>
    </row>
    <row r="100" spans="18:18">
      <c r="R100" s="8"/>
    </row>
    <row r="101" spans="18:18">
      <c r="R101" s="8"/>
    </row>
    <row r="102" spans="18:18">
      <c r="R102" s="8"/>
    </row>
    <row r="103" spans="18:18">
      <c r="R103" s="8"/>
    </row>
    <row r="104" spans="18:18">
      <c r="R104" s="8"/>
    </row>
    <row r="105" spans="18:18">
      <c r="R105" s="8"/>
    </row>
    <row r="106" spans="18:18">
      <c r="R106" s="8"/>
    </row>
  </sheetData>
  <sheetProtection algorithmName="SHA-512" hashValue="/YS+Q/XAoHGS/sAntD9/hU1r2AnOjQX1+iByUegPKibOeq91/LQLOqlt4T4Q6QbeBV0PQeU4s2EqVsZs7gbtMg==" saltValue="6JeBQWjjcRdk5+CyLjus6w==" spinCount="100000" sheet="1" formatCells="0"/>
  <mergeCells count="3">
    <mergeCell ref="A5:P5"/>
    <mergeCell ref="A14:P15"/>
    <mergeCell ref="A18:P19"/>
  </mergeCells>
  <phoneticPr fontId="15"/>
  <printOptions horizontalCentered="1"/>
  <pageMargins left="0.59055118110236227" right="0.59055118110236227" top="0.39370078740157483" bottom="0.59055118110236227" header="0.31496062992125984" footer="0.23622047244094491"/>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404" r:id="rId4" name="Check Box 12">
              <controlPr defaultSize="0" autoFill="0" autoLine="0" autoPict="0">
                <anchor moveWithCells="1">
                  <from>
                    <xdr:col>0</xdr:col>
                    <xdr:colOff>66675</xdr:colOff>
                    <xdr:row>5</xdr:row>
                    <xdr:rowOff>38100</xdr:rowOff>
                  </from>
                  <to>
                    <xdr:col>0</xdr:col>
                    <xdr:colOff>285750</xdr:colOff>
                    <xdr:row>5</xdr:row>
                    <xdr:rowOff>171450</xdr:rowOff>
                  </to>
                </anchor>
              </controlPr>
            </control>
          </mc:Choice>
        </mc:AlternateContent>
        <mc:AlternateContent xmlns:mc="http://schemas.openxmlformats.org/markup-compatibility/2006">
          <mc:Choice Requires="x14">
            <control shapeId="59405" r:id="rId5" name="Check Box 13">
              <controlPr defaultSize="0" autoFill="0" autoLine="0" autoPict="0">
                <anchor moveWithCells="1">
                  <from>
                    <xdr:col>0</xdr:col>
                    <xdr:colOff>66675</xdr:colOff>
                    <xdr:row>6</xdr:row>
                    <xdr:rowOff>38100</xdr:rowOff>
                  </from>
                  <to>
                    <xdr:col>0</xdr:col>
                    <xdr:colOff>285750</xdr:colOff>
                    <xdr:row>6</xdr:row>
                    <xdr:rowOff>171450</xdr:rowOff>
                  </to>
                </anchor>
              </controlPr>
            </control>
          </mc:Choice>
        </mc:AlternateContent>
        <mc:AlternateContent xmlns:mc="http://schemas.openxmlformats.org/markup-compatibility/2006">
          <mc:Choice Requires="x14">
            <control shapeId="59406" r:id="rId6" name="Check Box 14">
              <controlPr defaultSize="0" autoFill="0" autoLine="0" autoPict="0">
                <anchor moveWithCells="1">
                  <from>
                    <xdr:col>0</xdr:col>
                    <xdr:colOff>66675</xdr:colOff>
                    <xdr:row>7</xdr:row>
                    <xdr:rowOff>38100</xdr:rowOff>
                  </from>
                  <to>
                    <xdr:col>0</xdr:col>
                    <xdr:colOff>285750</xdr:colOff>
                    <xdr:row>7</xdr:row>
                    <xdr:rowOff>171450</xdr:rowOff>
                  </to>
                </anchor>
              </controlPr>
            </control>
          </mc:Choice>
        </mc:AlternateContent>
        <mc:AlternateContent xmlns:mc="http://schemas.openxmlformats.org/markup-compatibility/2006">
          <mc:Choice Requires="x14">
            <control shapeId="59407" r:id="rId7" name="Check Box 15">
              <controlPr defaultSize="0" autoFill="0" autoLine="0" autoPict="0">
                <anchor moveWithCells="1">
                  <from>
                    <xdr:col>0</xdr:col>
                    <xdr:colOff>66675</xdr:colOff>
                    <xdr:row>8</xdr:row>
                    <xdr:rowOff>38100</xdr:rowOff>
                  </from>
                  <to>
                    <xdr:col>0</xdr:col>
                    <xdr:colOff>285750</xdr:colOff>
                    <xdr:row>8</xdr:row>
                    <xdr:rowOff>171450</xdr:rowOff>
                  </to>
                </anchor>
              </controlPr>
            </control>
          </mc:Choice>
        </mc:AlternateContent>
        <mc:AlternateContent xmlns:mc="http://schemas.openxmlformats.org/markup-compatibility/2006">
          <mc:Choice Requires="x14">
            <control shapeId="59408" r:id="rId8" name="Check Box 16">
              <controlPr defaultSize="0" autoFill="0" autoLine="0" autoPict="0">
                <anchor moveWithCells="1">
                  <from>
                    <xdr:col>0</xdr:col>
                    <xdr:colOff>66675</xdr:colOff>
                    <xdr:row>9</xdr:row>
                    <xdr:rowOff>38100</xdr:rowOff>
                  </from>
                  <to>
                    <xdr:col>0</xdr:col>
                    <xdr:colOff>285750</xdr:colOff>
                    <xdr:row>9</xdr:row>
                    <xdr:rowOff>171450</xdr:rowOff>
                  </to>
                </anchor>
              </controlPr>
            </control>
          </mc:Choice>
        </mc:AlternateContent>
        <mc:AlternateContent xmlns:mc="http://schemas.openxmlformats.org/markup-compatibility/2006">
          <mc:Choice Requires="x14">
            <control shapeId="59409" r:id="rId9" name="Check Box 17">
              <controlPr defaultSize="0" autoFill="0" autoLine="0" autoPict="0">
                <anchor moveWithCells="1">
                  <from>
                    <xdr:col>0</xdr:col>
                    <xdr:colOff>66675</xdr:colOff>
                    <xdr:row>10</xdr:row>
                    <xdr:rowOff>38100</xdr:rowOff>
                  </from>
                  <to>
                    <xdr:col>0</xdr:col>
                    <xdr:colOff>285750</xdr:colOff>
                    <xdr:row>10</xdr:row>
                    <xdr:rowOff>171450</xdr:rowOff>
                  </to>
                </anchor>
              </controlPr>
            </control>
          </mc:Choice>
        </mc:AlternateContent>
        <mc:AlternateContent xmlns:mc="http://schemas.openxmlformats.org/markup-compatibility/2006">
          <mc:Choice Requires="x14">
            <control shapeId="59410" r:id="rId10" name="Check Box 18">
              <controlPr defaultSize="0" autoFill="0" autoLine="0" autoPict="0">
                <anchor moveWithCells="1">
                  <from>
                    <xdr:col>0</xdr:col>
                    <xdr:colOff>66675</xdr:colOff>
                    <xdr:row>11</xdr:row>
                    <xdr:rowOff>38100</xdr:rowOff>
                  </from>
                  <to>
                    <xdr:col>0</xdr:col>
                    <xdr:colOff>285750</xdr:colOff>
                    <xdr:row>11</xdr:row>
                    <xdr:rowOff>171450</xdr:rowOff>
                  </to>
                </anchor>
              </controlPr>
            </control>
          </mc:Choice>
        </mc:AlternateContent>
        <mc:AlternateContent xmlns:mc="http://schemas.openxmlformats.org/markup-compatibility/2006">
          <mc:Choice Requires="x14">
            <control shapeId="59411" r:id="rId11" name="Check Box 19">
              <controlPr defaultSize="0" autoFill="0" autoLine="0" autoPict="0">
                <anchor moveWithCells="1">
                  <from>
                    <xdr:col>0</xdr:col>
                    <xdr:colOff>66675</xdr:colOff>
                    <xdr:row>12</xdr:row>
                    <xdr:rowOff>38100</xdr:rowOff>
                  </from>
                  <to>
                    <xdr:col>0</xdr:col>
                    <xdr:colOff>285750</xdr:colOff>
                    <xdr:row>12</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8A19EECF-6445-447E-B2B8-357FE79FB6E2}">
            <xm:f>はじめに!$B$35&lt;&gt;"報告書"</xm:f>
            <x14:dxf>
              <fill>
                <patternFill>
                  <bgColor theme="0" tint="-0.14996795556505021"/>
                </patternFill>
              </fill>
            </x14:dxf>
          </x14:cfRule>
          <xm:sqref>A6:A13 A14:P15 A18:P19</xm:sqref>
        </x14:conditionalFormatting>
      </x14:conditionalFormatting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0">
    <pageSetUpPr fitToPage="1"/>
  </sheetPr>
  <dimension ref="A1:AB1000"/>
  <sheetViews>
    <sheetView showGridLines="0" zoomScaleNormal="100" workbookViewId="0">
      <selection activeCell="A6" sqref="A6:C6"/>
    </sheetView>
  </sheetViews>
  <sheetFormatPr defaultColWidth="9" defaultRowHeight="13.5"/>
  <cols>
    <col min="1" max="1" width="6.625" style="3" customWidth="1"/>
    <col min="2" max="2" width="10.375" style="3" customWidth="1"/>
    <col min="3" max="3" width="4.625" style="3" customWidth="1"/>
    <col min="4" max="4" width="6.625" style="3" customWidth="1"/>
    <col min="5" max="5" width="5.875" style="3" customWidth="1"/>
    <col min="6" max="6" width="4.75" style="3" customWidth="1"/>
    <col min="7" max="7" width="8.75" style="3" customWidth="1"/>
    <col min="8" max="8" width="6.125" style="3" customWidth="1"/>
    <col min="9" max="9" width="5.125" style="3" customWidth="1"/>
    <col min="10" max="10" width="5" style="3" customWidth="1"/>
    <col min="11" max="11" width="5.625" style="3" customWidth="1"/>
    <col min="12" max="12" width="6.125" style="3" customWidth="1"/>
    <col min="13" max="13" width="5.625" style="3" customWidth="1"/>
    <col min="14" max="14" width="6.125" style="3" customWidth="1"/>
    <col min="15" max="15" width="5.375" style="3" customWidth="1"/>
    <col min="16" max="16" width="44.125" style="3" customWidth="1"/>
    <col min="17" max="21" width="9" style="1242" hidden="1" customWidth="1"/>
    <col min="22" max="22" width="14.625" style="3" hidden="1" customWidth="1"/>
    <col min="23" max="26" width="14.625" style="3" customWidth="1"/>
    <col min="27" max="16384" width="9" style="3"/>
  </cols>
  <sheetData>
    <row r="1" spans="1:27">
      <c r="A1" s="1" t="s">
        <v>175</v>
      </c>
      <c r="B1" s="2"/>
      <c r="C1" s="2"/>
      <c r="D1" s="2"/>
      <c r="E1" s="2"/>
      <c r="F1" s="2"/>
      <c r="G1" s="2"/>
      <c r="H1" s="2"/>
      <c r="I1" s="2"/>
      <c r="J1" s="2"/>
      <c r="K1" s="2"/>
      <c r="L1" s="2"/>
      <c r="M1" s="2"/>
      <c r="N1" s="2"/>
      <c r="O1" s="2"/>
      <c r="P1" s="156" t="str">
        <f>"個別票"&amp;Q1</f>
        <v>個別票1</v>
      </c>
      <c r="Q1" s="1242">
        <v>1</v>
      </c>
      <c r="U1" s="1693" t="s">
        <v>164</v>
      </c>
      <c r="V1" s="156" t="s">
        <v>5694</v>
      </c>
      <c r="W1" s="156"/>
      <c r="X1" s="156"/>
      <c r="Y1" s="156"/>
    </row>
    <row r="2" spans="1:27">
      <c r="A2" s="2" t="s">
        <v>150</v>
      </c>
      <c r="B2" s="4"/>
      <c r="C2" s="4"/>
      <c r="D2" s="4"/>
      <c r="E2" s="4"/>
      <c r="F2" s="4"/>
      <c r="G2" s="4"/>
      <c r="H2" s="4"/>
      <c r="I2" s="4"/>
      <c r="J2" s="4"/>
      <c r="K2" s="4"/>
      <c r="L2" s="4"/>
      <c r="M2" s="4"/>
      <c r="N2" s="2"/>
      <c r="O2" s="2"/>
      <c r="P2" s="156"/>
      <c r="U2" s="1693" t="s">
        <v>165</v>
      </c>
      <c r="V2" s="156" t="s">
        <v>5693</v>
      </c>
      <c r="W2" s="156"/>
      <c r="X2" s="156"/>
      <c r="Y2" s="156"/>
    </row>
    <row r="3" spans="1:27" ht="17.25">
      <c r="A3" s="2983" t="s">
        <v>403</v>
      </c>
      <c r="B3" s="2983"/>
      <c r="C3" s="2983"/>
      <c r="D3" s="2983"/>
      <c r="E3" s="2983"/>
      <c r="F3" s="2983"/>
      <c r="G3" s="2983"/>
      <c r="H3" s="2983"/>
      <c r="I3" s="2983"/>
      <c r="J3" s="2983"/>
      <c r="K3" s="2983"/>
      <c r="L3" s="2983"/>
      <c r="M3" s="2983"/>
      <c r="N3" s="2983"/>
      <c r="O3" s="2983"/>
      <c r="P3" s="156"/>
      <c r="U3" s="1693" t="s">
        <v>183</v>
      </c>
      <c r="V3" s="156" t="s">
        <v>5693</v>
      </c>
      <c r="W3" s="156"/>
      <c r="X3" s="156"/>
      <c r="Y3" s="156"/>
    </row>
    <row r="4" spans="1:27" ht="31.5" customHeight="1">
      <c r="A4" s="38"/>
      <c r="B4" s="38"/>
      <c r="C4" s="38"/>
      <c r="D4" s="38"/>
      <c r="E4" s="38"/>
      <c r="F4" s="38"/>
      <c r="G4" s="38"/>
      <c r="H4" s="38"/>
      <c r="I4" s="38"/>
      <c r="J4" s="38"/>
      <c r="K4" s="38"/>
      <c r="L4" s="38"/>
      <c r="M4" s="38"/>
      <c r="N4" s="38"/>
      <c r="O4" s="38"/>
      <c r="P4" s="156"/>
      <c r="U4" s="1693" t="s">
        <v>166</v>
      </c>
      <c r="V4" s="156" t="s">
        <v>5694</v>
      </c>
      <c r="W4" s="156"/>
      <c r="X4" s="156"/>
      <c r="Y4" s="156"/>
    </row>
    <row r="5" spans="1:27" s="51" customFormat="1" ht="15.95" customHeight="1">
      <c r="A5" s="48" t="s">
        <v>151</v>
      </c>
      <c r="B5" s="80"/>
      <c r="C5" s="80"/>
      <c r="D5" s="80"/>
      <c r="E5" s="80"/>
      <c r="F5" s="80"/>
      <c r="G5" s="80"/>
      <c r="H5" s="80"/>
      <c r="I5" s="80"/>
      <c r="J5" s="80"/>
      <c r="K5" s="80"/>
      <c r="L5" s="80"/>
      <c r="M5" s="80"/>
      <c r="P5" s="324"/>
      <c r="Q5" s="1250"/>
      <c r="R5" s="1250"/>
      <c r="S5" s="1250"/>
      <c r="T5" s="1250"/>
      <c r="U5" s="1693" t="s">
        <v>167</v>
      </c>
      <c r="V5" s="156" t="s">
        <v>5694</v>
      </c>
      <c r="W5" s="324"/>
      <c r="X5" s="324"/>
      <c r="Y5" s="324"/>
    </row>
    <row r="6" spans="1:27" ht="39.950000000000003" customHeight="1">
      <c r="A6" s="2984" t="s">
        <v>152</v>
      </c>
      <c r="B6" s="2985"/>
      <c r="C6" s="2986"/>
      <c r="D6" s="2987" t="str">
        <f>参照元個別!I5</f>
        <v>事業所名を入力1</v>
      </c>
      <c r="E6" s="2988"/>
      <c r="F6" s="2988"/>
      <c r="G6" s="2988"/>
      <c r="H6" s="2988"/>
      <c r="I6" s="2988"/>
      <c r="J6" s="2988"/>
      <c r="K6" s="2988"/>
      <c r="L6" s="2988"/>
      <c r="M6" s="2988"/>
      <c r="N6" s="2988"/>
      <c r="O6" s="2989"/>
      <c r="P6" s="156"/>
      <c r="U6" s="1693" t="s">
        <v>168</v>
      </c>
      <c r="V6" s="156" t="s">
        <v>5695</v>
      </c>
      <c r="W6" s="156"/>
      <c r="X6" s="156"/>
      <c r="Y6" s="156"/>
    </row>
    <row r="7" spans="1:27" ht="39.950000000000003" customHeight="1">
      <c r="A7" s="2570" t="s">
        <v>153</v>
      </c>
      <c r="B7" s="2571"/>
      <c r="C7" s="2990"/>
      <c r="D7" s="2998"/>
      <c r="E7" s="2999"/>
      <c r="F7" s="2999"/>
      <c r="G7" s="2999"/>
      <c r="H7" s="2999"/>
      <c r="I7" s="2999"/>
      <c r="J7" s="2999"/>
      <c r="K7" s="2999"/>
      <c r="L7" s="2999"/>
      <c r="M7" s="2999"/>
      <c r="N7" s="2999"/>
      <c r="O7" s="3000"/>
      <c r="P7" s="156"/>
      <c r="R7" s="1242" t="s">
        <v>4784</v>
      </c>
      <c r="T7" s="1242" t="s">
        <v>4785</v>
      </c>
      <c r="U7" s="1693" t="s">
        <v>169</v>
      </c>
      <c r="V7" s="156" t="s">
        <v>5695</v>
      </c>
      <c r="W7" s="156"/>
      <c r="X7" s="156"/>
      <c r="Y7" s="156"/>
    </row>
    <row r="8" spans="1:27" ht="39.950000000000003" customHeight="1">
      <c r="A8" s="2536" t="s">
        <v>154</v>
      </c>
      <c r="B8" s="2978"/>
      <c r="C8" s="2979"/>
      <c r="D8" s="2980"/>
      <c r="E8" s="101" t="s">
        <v>180</v>
      </c>
      <c r="F8" s="2974" t="s">
        <v>404</v>
      </c>
      <c r="G8" s="2975"/>
      <c r="H8" s="2981" t="str">
        <f ca="1">参照元個別!$P$5</f>
        <v/>
      </c>
      <c r="I8" s="2982"/>
      <c r="J8" s="58" t="s">
        <v>176</v>
      </c>
      <c r="K8" s="2974" t="s">
        <v>405</v>
      </c>
      <c r="L8" s="2975"/>
      <c r="M8" s="2971"/>
      <c r="N8" s="2972"/>
      <c r="O8" s="2973"/>
      <c r="P8" s="156" t="str">
        <f>IFERROR(VLOOKUP(M8,$U$1:$V$16,2,0),"")</f>
        <v/>
      </c>
      <c r="R8" s="1693" t="s">
        <v>155</v>
      </c>
      <c r="S8" s="1242" t="s">
        <v>156</v>
      </c>
      <c r="T8" s="1693" t="s">
        <v>157</v>
      </c>
      <c r="U8" s="1694" t="s">
        <v>170</v>
      </c>
      <c r="V8" s="156" t="s">
        <v>5695</v>
      </c>
      <c r="W8" s="156"/>
      <c r="X8" s="156"/>
      <c r="Y8" s="156"/>
    </row>
    <row r="9" spans="1:27" ht="39.950000000000003" customHeight="1">
      <c r="A9" s="2974" t="s">
        <v>406</v>
      </c>
      <c r="B9" s="2975"/>
      <c r="C9" s="2976"/>
      <c r="D9" s="2896"/>
      <c r="E9" s="2897"/>
      <c r="F9" s="2974" t="s">
        <v>158</v>
      </c>
      <c r="G9" s="2975"/>
      <c r="H9" s="2976"/>
      <c r="I9" s="2896"/>
      <c r="J9" s="2897"/>
      <c r="K9" s="2580"/>
      <c r="L9" s="2977"/>
      <c r="M9" s="2977"/>
      <c r="N9" s="2977"/>
      <c r="O9" s="2977"/>
      <c r="P9" s="156"/>
      <c r="R9" s="1693" t="s">
        <v>159</v>
      </c>
      <c r="S9" s="1242" t="s">
        <v>160</v>
      </c>
      <c r="T9" s="1693" t="s">
        <v>161</v>
      </c>
      <c r="U9" s="1693" t="s">
        <v>171</v>
      </c>
      <c r="V9" s="156" t="s">
        <v>5695</v>
      </c>
      <c r="W9" s="156"/>
      <c r="X9" s="156"/>
      <c r="Y9" s="156"/>
    </row>
    <row r="10" spans="1:27" ht="18.75" customHeight="1">
      <c r="A10" s="39"/>
      <c r="B10" s="39"/>
      <c r="C10" s="40"/>
      <c r="D10" s="41"/>
      <c r="E10" s="40"/>
      <c r="F10" s="42"/>
      <c r="P10" s="156"/>
      <c r="R10" s="1693" t="s">
        <v>123</v>
      </c>
      <c r="S10" s="1242" t="s">
        <v>162</v>
      </c>
      <c r="T10" s="1693" t="s">
        <v>163</v>
      </c>
      <c r="U10" s="1693" t="s">
        <v>172</v>
      </c>
      <c r="V10" s="156" t="s">
        <v>5695</v>
      </c>
      <c r="W10" s="325"/>
      <c r="X10" s="156"/>
      <c r="Y10" s="156"/>
    </row>
    <row r="11" spans="1:27" ht="51.75" customHeight="1">
      <c r="A11" s="2950" t="s">
        <v>505</v>
      </c>
      <c r="B11" s="2951"/>
      <c r="C11" s="2951"/>
      <c r="D11" s="2951"/>
      <c r="E11" s="2951"/>
      <c r="F11" s="2951"/>
      <c r="G11" s="2951"/>
      <c r="H11" s="2951"/>
      <c r="I11" s="2951"/>
      <c r="J11" s="2951"/>
      <c r="K11" s="2951"/>
      <c r="L11" s="2951"/>
      <c r="M11" s="2951"/>
      <c r="N11" s="2951"/>
      <c r="O11" s="2951"/>
      <c r="P11" s="156"/>
      <c r="S11" s="1242" t="s">
        <v>123</v>
      </c>
      <c r="U11" s="1693" t="s">
        <v>173</v>
      </c>
      <c r="V11" s="156" t="s">
        <v>5695</v>
      </c>
      <c r="W11" s="325"/>
      <c r="X11" s="156"/>
      <c r="Y11" s="156"/>
    </row>
    <row r="12" spans="1:27" ht="57.75" customHeight="1">
      <c r="A12" s="39"/>
      <c r="B12" s="39"/>
      <c r="C12" s="40"/>
      <c r="D12" s="41"/>
      <c r="E12" s="40"/>
      <c r="F12" s="42"/>
      <c r="P12" s="156"/>
      <c r="Q12" s="1251"/>
      <c r="R12" s="1251"/>
      <c r="S12" s="1251"/>
      <c r="T12" s="1251"/>
      <c r="U12" s="1693" t="s">
        <v>553</v>
      </c>
      <c r="V12" s="156" t="s">
        <v>5695</v>
      </c>
      <c r="W12" s="325"/>
      <c r="X12" s="156"/>
      <c r="Y12" s="156"/>
      <c r="AA12" s="1734">
        <f>Q23</f>
        <v>0</v>
      </c>
    </row>
    <row r="13" spans="1:27" s="51" customFormat="1" ht="15.95" customHeight="1">
      <c r="A13" s="50" t="s">
        <v>509</v>
      </c>
      <c r="B13" s="52"/>
      <c r="C13" s="52"/>
      <c r="D13" s="52"/>
      <c r="E13" s="52"/>
      <c r="F13" s="52"/>
      <c r="G13" s="52"/>
      <c r="H13" s="52"/>
      <c r="I13" s="52"/>
      <c r="J13" s="52"/>
      <c r="K13" s="52"/>
      <c r="L13" s="50"/>
      <c r="M13" s="50"/>
      <c r="N13" s="50"/>
      <c r="O13" s="50"/>
      <c r="P13" s="324"/>
      <c r="Q13" s="1252"/>
      <c r="R13" s="1252"/>
      <c r="S13" s="1252"/>
      <c r="T13" s="1252"/>
      <c r="U13" s="1693" t="s">
        <v>552</v>
      </c>
      <c r="V13" s="156" t="s">
        <v>5695</v>
      </c>
      <c r="W13" s="326"/>
      <c r="X13" s="324"/>
      <c r="Y13" s="324"/>
    </row>
    <row r="14" spans="1:27" ht="36" customHeight="1">
      <c r="A14" s="2654"/>
      <c r="B14" s="2655"/>
      <c r="C14" s="2674" t="s">
        <v>504</v>
      </c>
      <c r="D14" s="2674"/>
      <c r="E14" s="2674"/>
      <c r="F14" s="2674"/>
      <c r="G14" s="2674"/>
      <c r="H14" s="2952"/>
      <c r="I14" s="2673" t="s">
        <v>407</v>
      </c>
      <c r="J14" s="2953"/>
      <c r="K14" s="2953"/>
      <c r="L14" s="2953"/>
      <c r="M14" s="2953"/>
      <c r="N14" s="2953"/>
      <c r="O14" s="2952"/>
      <c r="P14" s="156"/>
      <c r="U14" s="1693" t="s">
        <v>551</v>
      </c>
      <c r="V14" s="156" t="s">
        <v>5695</v>
      </c>
      <c r="W14" s="156"/>
      <c r="X14" s="156"/>
      <c r="Y14" s="156"/>
    </row>
    <row r="15" spans="1:27" ht="24" customHeight="1">
      <c r="A15" s="2633" t="s">
        <v>236</v>
      </c>
      <c r="B15" s="2954"/>
      <c r="C15" s="2955" t="str">
        <f ca="1">IF(報1!$L$23=1,"",参照元個別!E5)</f>
        <v/>
      </c>
      <c r="D15" s="2955"/>
      <c r="E15" s="2955"/>
      <c r="F15" s="2955"/>
      <c r="G15" s="3001"/>
      <c r="H15" s="2959" t="s">
        <v>414</v>
      </c>
      <c r="I15" s="2994" t="str">
        <f>IF(報1!$L$23=1,"",参照元個別!F5)</f>
        <v/>
      </c>
      <c r="J15" s="2995"/>
      <c r="K15" s="2995"/>
      <c r="L15" s="2995"/>
      <c r="M15" s="2965" t="s">
        <v>415</v>
      </c>
      <c r="N15" s="2967" t="str">
        <f>IF(報1!$L$23=1,"",参照元個別!G5)</f>
        <v/>
      </c>
      <c r="O15" s="2968"/>
      <c r="P15" s="165"/>
      <c r="U15" s="1693" t="s">
        <v>550</v>
      </c>
      <c r="V15" s="156" t="s">
        <v>5695</v>
      </c>
      <c r="W15" s="156"/>
      <c r="X15" s="156"/>
      <c r="Y15" s="156"/>
    </row>
    <row r="16" spans="1:27" ht="23.1" customHeight="1">
      <c r="A16" s="2637">
        <f>IF(報1!L28="","",報1!$L$28)</f>
        <v>2023</v>
      </c>
      <c r="B16" s="2638"/>
      <c r="C16" s="2957"/>
      <c r="D16" s="2957"/>
      <c r="E16" s="2957"/>
      <c r="F16" s="2957"/>
      <c r="G16" s="3002"/>
      <c r="H16" s="2960"/>
      <c r="I16" s="2996"/>
      <c r="J16" s="2997"/>
      <c r="K16" s="2997"/>
      <c r="L16" s="2997"/>
      <c r="M16" s="2966"/>
      <c r="N16" s="2969"/>
      <c r="O16" s="2970"/>
      <c r="P16" s="165"/>
      <c r="U16" s="1693" t="s">
        <v>123</v>
      </c>
      <c r="V16" s="156" t="s">
        <v>5695</v>
      </c>
      <c r="W16" s="156"/>
      <c r="X16" s="156"/>
      <c r="Y16" s="156"/>
    </row>
    <row r="17" spans="1:28" ht="25.15" customHeight="1">
      <c r="A17" s="2938" t="s">
        <v>277</v>
      </c>
      <c r="B17" s="2939"/>
      <c r="C17" s="2940"/>
      <c r="D17" s="2941"/>
      <c r="E17" s="2941"/>
      <c r="F17" s="2941"/>
      <c r="G17" s="2941"/>
      <c r="H17" s="2941"/>
      <c r="I17" s="2941"/>
      <c r="J17" s="2941"/>
      <c r="K17" s="2941"/>
      <c r="L17" s="2941"/>
      <c r="M17" s="2941"/>
      <c r="N17" s="2941"/>
      <c r="O17" s="2942"/>
      <c r="P17" s="156"/>
      <c r="Q17" s="1253">
        <v>1</v>
      </c>
      <c r="R17" s="1245"/>
      <c r="S17" s="1254"/>
      <c r="T17" s="1255"/>
      <c r="U17" s="1692"/>
      <c r="V17" s="156"/>
      <c r="W17" s="156"/>
      <c r="X17" s="327"/>
      <c r="Y17" s="328"/>
      <c r="Z17" s="99"/>
      <c r="AA17" s="43"/>
      <c r="AB17" s="44"/>
    </row>
    <row r="18" spans="1:28" ht="25.15" customHeight="1">
      <c r="A18" s="2938"/>
      <c r="B18" s="2939"/>
      <c r="C18" s="2941"/>
      <c r="D18" s="2941"/>
      <c r="E18" s="2941"/>
      <c r="F18" s="2941"/>
      <c r="G18" s="2941"/>
      <c r="H18" s="2941"/>
      <c r="I18" s="2941"/>
      <c r="J18" s="2941"/>
      <c r="K18" s="2941"/>
      <c r="L18" s="2941"/>
      <c r="M18" s="2941"/>
      <c r="N18" s="2941"/>
      <c r="O18" s="2942"/>
      <c r="P18" s="156"/>
      <c r="Q18" s="1257"/>
      <c r="U18" s="1692" t="s">
        <v>4783</v>
      </c>
      <c r="V18" s="156"/>
      <c r="W18" s="156"/>
      <c r="X18" s="156"/>
      <c r="Y18" s="156"/>
    </row>
    <row r="19" spans="1:28" ht="24.75" customHeight="1">
      <c r="A19" s="2938"/>
      <c r="B19" s="2939"/>
      <c r="C19" s="2941"/>
      <c r="D19" s="2941"/>
      <c r="E19" s="2941"/>
      <c r="F19" s="2941"/>
      <c r="G19" s="2941"/>
      <c r="H19" s="2941"/>
      <c r="I19" s="2941"/>
      <c r="J19" s="2941"/>
      <c r="K19" s="2941"/>
      <c r="L19" s="2941"/>
      <c r="M19" s="2941"/>
      <c r="N19" s="2941"/>
      <c r="O19" s="2942"/>
      <c r="P19" s="156"/>
      <c r="Q19" s="1257"/>
      <c r="R19" s="1256"/>
      <c r="S19" s="1256"/>
      <c r="T19" s="1256"/>
      <c r="U19" s="1256"/>
      <c r="V19" s="156"/>
      <c r="W19" s="156"/>
      <c r="X19" s="156"/>
      <c r="Y19" s="156"/>
    </row>
    <row r="20" spans="1:28" ht="10.15" customHeight="1">
      <c r="A20" s="2945"/>
      <c r="B20" s="2946"/>
      <c r="C20" s="2941"/>
      <c r="D20" s="2941"/>
      <c r="E20" s="2941"/>
      <c r="F20" s="2941"/>
      <c r="G20" s="2941"/>
      <c r="H20" s="2941"/>
      <c r="I20" s="2941"/>
      <c r="J20" s="2941"/>
      <c r="K20" s="2941"/>
      <c r="L20" s="2941"/>
      <c r="M20" s="2941"/>
      <c r="N20" s="2941"/>
      <c r="O20" s="2942"/>
      <c r="P20" s="156"/>
      <c r="Q20" s="1259"/>
      <c r="R20" s="1256"/>
      <c r="S20" s="1256"/>
      <c r="T20" s="1256"/>
      <c r="U20" s="1256"/>
      <c r="V20" s="156"/>
      <c r="W20" s="156"/>
      <c r="X20" s="156"/>
      <c r="Y20" s="156"/>
    </row>
    <row r="21" spans="1:28" ht="45" customHeight="1">
      <c r="A21" s="2947">
        <f>IF( 報1!$L$28="","", 報1!$L$28 )</f>
        <v>2023</v>
      </c>
      <c r="B21" s="2948"/>
      <c r="C21" s="2943"/>
      <c r="D21" s="2943"/>
      <c r="E21" s="2943"/>
      <c r="F21" s="2943"/>
      <c r="G21" s="2943"/>
      <c r="H21" s="2943"/>
      <c r="I21" s="2943"/>
      <c r="J21" s="2943"/>
      <c r="K21" s="2943"/>
      <c r="L21" s="2943"/>
      <c r="M21" s="2943"/>
      <c r="N21" s="2943"/>
      <c r="O21" s="2944"/>
      <c r="P21" s="156"/>
      <c r="Q21" s="1260"/>
      <c r="R21" s="1256"/>
      <c r="S21" s="1256"/>
      <c r="T21" s="1256"/>
      <c r="U21" s="1256"/>
      <c r="V21" s="156"/>
      <c r="W21" s="156"/>
      <c r="X21" s="156"/>
      <c r="Y21" s="156"/>
    </row>
    <row r="22" spans="1:28" ht="26.25" customHeight="1">
      <c r="A22" s="2949"/>
      <c r="B22" s="2949"/>
      <c r="C22" s="2949"/>
      <c r="D22" s="2949"/>
      <c r="E22" s="2949"/>
      <c r="F22" s="2949"/>
      <c r="G22" s="2949"/>
      <c r="H22" s="2949"/>
      <c r="I22" s="2949"/>
      <c r="J22" s="2949"/>
      <c r="K22" s="2949"/>
      <c r="L22" s="2949"/>
      <c r="M22" s="2949"/>
      <c r="N22" s="2949"/>
      <c r="O22" s="2949"/>
      <c r="P22" s="156"/>
      <c r="Q22" s="1692" t="s">
        <v>4782</v>
      </c>
      <c r="R22" s="1256"/>
      <c r="S22" s="1256"/>
      <c r="T22" s="1256"/>
      <c r="U22" s="1256"/>
      <c r="V22" s="156"/>
      <c r="W22" s="156"/>
      <c r="X22" s="156"/>
      <c r="Y22" s="156"/>
    </row>
    <row r="23" spans="1:28" ht="20.45" customHeight="1">
      <c r="A23" s="156"/>
      <c r="B23" s="156"/>
      <c r="C23" s="156"/>
      <c r="D23" s="156"/>
      <c r="E23" s="156"/>
      <c r="F23" s="156"/>
      <c r="G23" s="156"/>
      <c r="H23" s="156"/>
      <c r="I23" s="156"/>
      <c r="J23" s="156"/>
      <c r="K23" s="156"/>
      <c r="L23" s="156"/>
      <c r="M23" s="156"/>
      <c r="N23" s="156"/>
      <c r="O23" s="329"/>
      <c r="P23" s="156"/>
      <c r="Q23" s="1248"/>
      <c r="R23" s="1260"/>
      <c r="S23" s="1244"/>
      <c r="T23" s="1244"/>
      <c r="V23" s="156"/>
      <c r="W23" s="156"/>
      <c r="X23" s="156"/>
      <c r="Y23" s="156"/>
    </row>
    <row r="24" spans="1:28" ht="18" customHeight="1">
      <c r="A24" s="156"/>
      <c r="B24" s="156"/>
      <c r="C24" s="156"/>
      <c r="D24" s="156"/>
      <c r="E24" s="156"/>
      <c r="F24" s="156"/>
      <c r="G24" s="156"/>
      <c r="H24" s="156"/>
      <c r="I24" s="156"/>
      <c r="J24" s="156"/>
      <c r="K24" s="156"/>
      <c r="L24" s="156"/>
      <c r="M24" s="156"/>
      <c r="N24" s="156"/>
      <c r="O24" s="329"/>
      <c r="P24" s="156"/>
      <c r="Q24" s="1261"/>
      <c r="R24" s="1260"/>
      <c r="S24" s="1244"/>
      <c r="T24" s="1244"/>
      <c r="V24" s="156"/>
      <c r="W24" s="156"/>
      <c r="X24" s="156"/>
      <c r="Y24" s="156"/>
    </row>
    <row r="25" spans="1:28" ht="18" customHeight="1">
      <c r="A25" s="156"/>
      <c r="B25" s="156"/>
      <c r="C25" s="156"/>
      <c r="D25" s="156"/>
      <c r="E25" s="156"/>
      <c r="F25" s="156"/>
      <c r="G25" s="156"/>
      <c r="H25" s="156"/>
      <c r="I25" s="156"/>
      <c r="J25" s="156"/>
      <c r="K25" s="156"/>
      <c r="L25" s="156"/>
      <c r="M25" s="156"/>
      <c r="N25" s="156"/>
      <c r="O25" s="329"/>
      <c r="P25" s="156"/>
      <c r="Q25" s="1261"/>
      <c r="R25" s="1260"/>
      <c r="S25" s="1244"/>
      <c r="T25" s="1244"/>
      <c r="V25" s="156"/>
      <c r="W25" s="156"/>
      <c r="X25" s="156"/>
      <c r="Y25" s="156"/>
    </row>
    <row r="26" spans="1:28">
      <c r="A26" s="1" t="s">
        <v>175</v>
      </c>
      <c r="B26" s="2"/>
      <c r="C26" s="2"/>
      <c r="D26" s="2"/>
      <c r="E26" s="2"/>
      <c r="F26" s="2"/>
      <c r="G26" s="2"/>
      <c r="H26" s="2"/>
      <c r="I26" s="2"/>
      <c r="J26" s="2"/>
      <c r="K26" s="2"/>
      <c r="L26" s="2"/>
      <c r="M26" s="2"/>
      <c r="N26" s="2"/>
      <c r="O26" s="2"/>
      <c r="P26" s="156" t="str">
        <f>"個別票"&amp;Q26</f>
        <v>個別票2</v>
      </c>
      <c r="Q26" s="1242">
        <f>Q1+1</f>
        <v>2</v>
      </c>
      <c r="V26" s="156"/>
      <c r="W26" s="156"/>
      <c r="X26" s="156"/>
      <c r="Y26" s="156"/>
    </row>
    <row r="27" spans="1:28">
      <c r="A27" s="2" t="s">
        <v>150</v>
      </c>
      <c r="B27" s="4"/>
      <c r="C27" s="4"/>
      <c r="D27" s="4"/>
      <c r="E27" s="4"/>
      <c r="F27" s="4"/>
      <c r="G27" s="4"/>
      <c r="H27" s="4"/>
      <c r="I27" s="4"/>
      <c r="J27" s="4"/>
      <c r="K27" s="4"/>
      <c r="L27" s="4"/>
      <c r="M27" s="4"/>
      <c r="N27" s="2"/>
      <c r="O27" s="2"/>
      <c r="P27" s="156"/>
      <c r="V27" s="156"/>
      <c r="W27" s="156"/>
      <c r="X27" s="156"/>
      <c r="Y27" s="156"/>
    </row>
    <row r="28" spans="1:28" ht="17.25">
      <c r="A28" s="2983" t="s">
        <v>403</v>
      </c>
      <c r="B28" s="2983"/>
      <c r="C28" s="2983"/>
      <c r="D28" s="2983"/>
      <c r="E28" s="2983"/>
      <c r="F28" s="2983"/>
      <c r="G28" s="2983"/>
      <c r="H28" s="2983"/>
      <c r="I28" s="2983"/>
      <c r="J28" s="2983"/>
      <c r="K28" s="2983"/>
      <c r="L28" s="2983"/>
      <c r="M28" s="2983"/>
      <c r="N28" s="2983"/>
      <c r="O28" s="2983"/>
      <c r="P28" s="156"/>
      <c r="V28" s="156"/>
      <c r="W28" s="156"/>
      <c r="X28" s="156"/>
      <c r="Y28" s="156"/>
    </row>
    <row r="29" spans="1:28" ht="31.5" customHeight="1">
      <c r="A29" s="38"/>
      <c r="B29" s="38"/>
      <c r="C29" s="38"/>
      <c r="D29" s="38"/>
      <c r="E29" s="38"/>
      <c r="F29" s="38"/>
      <c r="G29" s="38"/>
      <c r="H29" s="38"/>
      <c r="I29" s="38"/>
      <c r="J29" s="38"/>
      <c r="K29" s="38"/>
      <c r="L29" s="38"/>
      <c r="M29" s="38"/>
      <c r="N29" s="38"/>
      <c r="O29" s="38"/>
      <c r="P29" s="156"/>
      <c r="Q29" s="1242" t="s">
        <v>4390</v>
      </c>
      <c r="V29" s="156"/>
      <c r="W29" s="156"/>
      <c r="X29" s="156"/>
      <c r="Y29" s="156"/>
    </row>
    <row r="30" spans="1:28" s="51" customFormat="1" ht="15.95" customHeight="1">
      <c r="A30" s="48" t="s">
        <v>151</v>
      </c>
      <c r="B30" s="80"/>
      <c r="C30" s="80"/>
      <c r="D30" s="80"/>
      <c r="E30" s="80"/>
      <c r="F30" s="80"/>
      <c r="G30" s="80"/>
      <c r="H30" s="80"/>
      <c r="I30" s="80"/>
      <c r="J30" s="80"/>
      <c r="K30" s="80"/>
      <c r="L30" s="80"/>
      <c r="M30" s="80"/>
      <c r="P30" s="324"/>
      <c r="Q30" s="1250"/>
      <c r="R30" s="1250"/>
      <c r="S30" s="1250"/>
      <c r="T30" s="1250"/>
      <c r="U30" s="1242"/>
      <c r="V30" s="324"/>
      <c r="W30" s="324"/>
      <c r="X30" s="324"/>
      <c r="Y30" s="324"/>
    </row>
    <row r="31" spans="1:28" ht="39.950000000000003" customHeight="1">
      <c r="A31" s="2984" t="s">
        <v>152</v>
      </c>
      <c r="B31" s="2985"/>
      <c r="C31" s="2986"/>
      <c r="D31" s="2987" t="str">
        <f>参照元個別!I6</f>
        <v>事業所名を入力2</v>
      </c>
      <c r="E31" s="2988"/>
      <c r="F31" s="2988"/>
      <c r="G31" s="2988"/>
      <c r="H31" s="2988"/>
      <c r="I31" s="2988"/>
      <c r="J31" s="2988"/>
      <c r="K31" s="2988"/>
      <c r="L31" s="2988"/>
      <c r="M31" s="2988"/>
      <c r="N31" s="2988"/>
      <c r="O31" s="2989"/>
      <c r="P31" s="156"/>
      <c r="V31" s="156"/>
      <c r="W31" s="156"/>
      <c r="X31" s="156"/>
      <c r="Y31" s="156"/>
    </row>
    <row r="32" spans="1:28" ht="39.950000000000003" customHeight="1">
      <c r="A32" s="2570" t="s">
        <v>153</v>
      </c>
      <c r="B32" s="2571"/>
      <c r="C32" s="2990"/>
      <c r="D32" s="2991"/>
      <c r="E32" s="2992"/>
      <c r="F32" s="2992"/>
      <c r="G32" s="2992"/>
      <c r="H32" s="2992"/>
      <c r="I32" s="2992"/>
      <c r="J32" s="2992"/>
      <c r="K32" s="2992"/>
      <c r="L32" s="2992"/>
      <c r="M32" s="2992"/>
      <c r="N32" s="2992"/>
      <c r="O32" s="2993"/>
      <c r="P32" s="156"/>
      <c r="V32" s="156"/>
      <c r="W32" s="156"/>
      <c r="X32" s="156"/>
      <c r="Y32" s="156"/>
    </row>
    <row r="33" spans="1:28" ht="39.950000000000003" customHeight="1">
      <c r="A33" s="2536" t="s">
        <v>154</v>
      </c>
      <c r="B33" s="2978"/>
      <c r="C33" s="2979"/>
      <c r="D33" s="2980"/>
      <c r="E33" s="101" t="s">
        <v>180</v>
      </c>
      <c r="F33" s="2974" t="s">
        <v>404</v>
      </c>
      <c r="G33" s="2975"/>
      <c r="H33" s="2981" t="str">
        <f ca="1">参照元個別!$P$6</f>
        <v/>
      </c>
      <c r="I33" s="2982"/>
      <c r="J33" s="58" t="s">
        <v>176</v>
      </c>
      <c r="K33" s="2974" t="s">
        <v>405</v>
      </c>
      <c r="L33" s="2975"/>
      <c r="M33" s="2971"/>
      <c r="N33" s="2972"/>
      <c r="O33" s="2973"/>
      <c r="P33" s="156" t="str">
        <f>IFERROR(VLOOKUP(M33,$U$1:$V$16,2,0),"")</f>
        <v/>
      </c>
      <c r="U33" s="1250"/>
      <c r="V33" s="156"/>
      <c r="W33" s="156"/>
      <c r="X33" s="156"/>
      <c r="Y33" s="156"/>
    </row>
    <row r="34" spans="1:28" ht="39.950000000000003" customHeight="1">
      <c r="A34" s="2974" t="s">
        <v>406</v>
      </c>
      <c r="B34" s="2975"/>
      <c r="C34" s="2976"/>
      <c r="D34" s="2896"/>
      <c r="E34" s="2897"/>
      <c r="F34" s="2974" t="s">
        <v>158</v>
      </c>
      <c r="G34" s="2975"/>
      <c r="H34" s="2976"/>
      <c r="I34" s="2896"/>
      <c r="J34" s="2897"/>
      <c r="K34" s="2580"/>
      <c r="L34" s="2977"/>
      <c r="M34" s="2977"/>
      <c r="N34" s="2977"/>
      <c r="O34" s="2977"/>
      <c r="P34" s="156"/>
      <c r="V34" s="156"/>
      <c r="W34" s="156"/>
      <c r="X34" s="156"/>
      <c r="Y34" s="156"/>
    </row>
    <row r="35" spans="1:28" ht="18.75" customHeight="1">
      <c r="A35" s="39"/>
      <c r="B35" s="39"/>
      <c r="C35" s="40"/>
      <c r="D35" s="41"/>
      <c r="E35" s="40"/>
      <c r="F35" s="42"/>
      <c r="P35" s="156"/>
      <c r="V35" s="325"/>
      <c r="W35" s="325"/>
      <c r="X35" s="156"/>
      <c r="Y35" s="156"/>
    </row>
    <row r="36" spans="1:28" ht="51.75" customHeight="1">
      <c r="A36" s="2950" t="s">
        <v>505</v>
      </c>
      <c r="B36" s="2951"/>
      <c r="C36" s="2951"/>
      <c r="D36" s="2951"/>
      <c r="E36" s="2951"/>
      <c r="F36" s="2951"/>
      <c r="G36" s="2951"/>
      <c r="H36" s="2951"/>
      <c r="I36" s="2951"/>
      <c r="J36" s="2951"/>
      <c r="K36" s="2951"/>
      <c r="L36" s="2951"/>
      <c r="M36" s="2951"/>
      <c r="N36" s="2951"/>
      <c r="O36" s="2951"/>
      <c r="P36" s="156"/>
      <c r="V36" s="325"/>
      <c r="W36" s="325"/>
      <c r="X36" s="156"/>
      <c r="Y36" s="156"/>
    </row>
    <row r="37" spans="1:28" ht="57.75" customHeight="1">
      <c r="A37" s="39"/>
      <c r="B37" s="39"/>
      <c r="C37" s="40"/>
      <c r="D37" s="41"/>
      <c r="E37" s="40"/>
      <c r="F37" s="42"/>
      <c r="P37" s="156"/>
      <c r="Q37" s="1251"/>
      <c r="R37" s="1251"/>
      <c r="S37" s="1251"/>
      <c r="T37" s="1251"/>
      <c r="V37" s="325"/>
      <c r="W37" s="325"/>
      <c r="X37" s="156"/>
      <c r="Y37" s="156"/>
    </row>
    <row r="38" spans="1:28" s="51" customFormat="1" ht="15.95" customHeight="1">
      <c r="A38" s="50" t="s">
        <v>509</v>
      </c>
      <c r="B38" s="52"/>
      <c r="C38" s="52"/>
      <c r="D38" s="52"/>
      <c r="E38" s="52"/>
      <c r="F38" s="52"/>
      <c r="G38" s="52"/>
      <c r="H38" s="52"/>
      <c r="I38" s="52"/>
      <c r="J38" s="52"/>
      <c r="K38" s="52"/>
      <c r="L38" s="50"/>
      <c r="M38" s="50"/>
      <c r="N38" s="50"/>
      <c r="O38" s="50"/>
      <c r="P38" s="324"/>
      <c r="Q38" s="1252"/>
      <c r="R38" s="1252"/>
      <c r="S38" s="1252"/>
      <c r="T38" s="1252"/>
      <c r="U38" s="1242"/>
      <c r="V38" s="326"/>
      <c r="W38" s="326"/>
      <c r="X38" s="324"/>
      <c r="Y38" s="324"/>
    </row>
    <row r="39" spans="1:28" ht="36" customHeight="1">
      <c r="A39" s="2654"/>
      <c r="B39" s="2655"/>
      <c r="C39" s="2674" t="s">
        <v>504</v>
      </c>
      <c r="D39" s="2674"/>
      <c r="E39" s="2674"/>
      <c r="F39" s="2674"/>
      <c r="G39" s="2674"/>
      <c r="H39" s="2952"/>
      <c r="I39" s="2673" t="s">
        <v>407</v>
      </c>
      <c r="J39" s="2953"/>
      <c r="K39" s="2953"/>
      <c r="L39" s="2953"/>
      <c r="M39" s="2953"/>
      <c r="N39" s="2953"/>
      <c r="O39" s="2952"/>
      <c r="P39" s="156"/>
      <c r="V39" s="156"/>
      <c r="W39" s="156"/>
      <c r="X39" s="156"/>
      <c r="Y39" s="156"/>
    </row>
    <row r="40" spans="1:28" ht="24" customHeight="1">
      <c r="A40" s="2633" t="s">
        <v>236</v>
      </c>
      <c r="B40" s="2954"/>
      <c r="C40" s="2955" t="str">
        <f ca="1">参照元個別!E6</f>
        <v/>
      </c>
      <c r="D40" s="2955"/>
      <c r="E40" s="2955"/>
      <c r="F40" s="2955"/>
      <c r="G40" s="2956"/>
      <c r="H40" s="2959" t="s">
        <v>414</v>
      </c>
      <c r="I40" s="2994" t="str">
        <f>参照元個別!F6</f>
        <v/>
      </c>
      <c r="J40" s="2995"/>
      <c r="K40" s="2995"/>
      <c r="L40" s="2995"/>
      <c r="M40" s="2965" t="s">
        <v>415</v>
      </c>
      <c r="N40" s="2967" t="str">
        <f>参照元個別!G6</f>
        <v/>
      </c>
      <c r="O40" s="2968"/>
      <c r="P40" s="165"/>
      <c r="V40" s="156"/>
      <c r="W40" s="156"/>
      <c r="X40" s="156"/>
      <c r="Y40" s="156"/>
    </row>
    <row r="41" spans="1:28" ht="23.1" customHeight="1">
      <c r="A41" s="2637">
        <f>IF( 報1!$L$28="","", 報1!$L$28 )</f>
        <v>2023</v>
      </c>
      <c r="B41" s="2638"/>
      <c r="C41" s="2957"/>
      <c r="D41" s="2957"/>
      <c r="E41" s="2957"/>
      <c r="F41" s="2957"/>
      <c r="G41" s="2958"/>
      <c r="H41" s="2960"/>
      <c r="I41" s="2996"/>
      <c r="J41" s="2997"/>
      <c r="K41" s="2997"/>
      <c r="L41" s="2997"/>
      <c r="M41" s="2966"/>
      <c r="N41" s="2969"/>
      <c r="O41" s="2970"/>
      <c r="P41" s="165"/>
      <c r="V41" s="156"/>
      <c r="W41" s="156"/>
      <c r="X41" s="156"/>
      <c r="Y41" s="156"/>
    </row>
    <row r="42" spans="1:28" ht="25.15" customHeight="1">
      <c r="A42" s="2938" t="s">
        <v>277</v>
      </c>
      <c r="B42" s="2939"/>
      <c r="C42" s="2940"/>
      <c r="D42" s="2941"/>
      <c r="E42" s="2941"/>
      <c r="F42" s="2941"/>
      <c r="G42" s="2941"/>
      <c r="H42" s="2941"/>
      <c r="I42" s="2941"/>
      <c r="J42" s="2941"/>
      <c r="K42" s="2941"/>
      <c r="L42" s="2941"/>
      <c r="M42" s="2941"/>
      <c r="N42" s="2941"/>
      <c r="O42" s="2942"/>
      <c r="P42" s="156"/>
      <c r="Q42" s="1253">
        <v>1</v>
      </c>
      <c r="R42" s="1245"/>
      <c r="S42" s="1254"/>
      <c r="T42" s="1255"/>
      <c r="U42" s="1256"/>
      <c r="V42" s="156"/>
      <c r="W42" s="156"/>
      <c r="X42" s="327"/>
      <c r="Y42" s="328"/>
      <c r="Z42" s="99"/>
      <c r="AA42" s="43"/>
      <c r="AB42" s="44"/>
    </row>
    <row r="43" spans="1:28" ht="25.15" customHeight="1">
      <c r="A43" s="2938"/>
      <c r="B43" s="2939"/>
      <c r="C43" s="2941"/>
      <c r="D43" s="2941"/>
      <c r="E43" s="2941"/>
      <c r="F43" s="2941"/>
      <c r="G43" s="2941"/>
      <c r="H43" s="2941"/>
      <c r="I43" s="2941"/>
      <c r="J43" s="2941"/>
      <c r="K43" s="2941"/>
      <c r="L43" s="2941"/>
      <c r="M43" s="2941"/>
      <c r="N43" s="2941"/>
      <c r="O43" s="2942"/>
      <c r="P43" s="156"/>
      <c r="Q43" s="1257"/>
      <c r="R43" s="1258"/>
      <c r="S43" s="1258"/>
      <c r="T43" s="1258"/>
      <c r="U43" s="1258"/>
      <c r="V43" s="156"/>
      <c r="W43" s="156"/>
      <c r="X43" s="156"/>
      <c r="Y43" s="156"/>
    </row>
    <row r="44" spans="1:28" ht="24.75" customHeight="1">
      <c r="A44" s="2938"/>
      <c r="B44" s="2939"/>
      <c r="C44" s="2941"/>
      <c r="D44" s="2941"/>
      <c r="E44" s="2941"/>
      <c r="F44" s="2941"/>
      <c r="G44" s="2941"/>
      <c r="H44" s="2941"/>
      <c r="I44" s="2941"/>
      <c r="J44" s="2941"/>
      <c r="K44" s="2941"/>
      <c r="L44" s="2941"/>
      <c r="M44" s="2941"/>
      <c r="N44" s="2941"/>
      <c r="O44" s="2942"/>
      <c r="P44" s="156"/>
      <c r="Q44" s="1257"/>
      <c r="R44" s="1256"/>
      <c r="S44" s="1256"/>
      <c r="T44" s="1256"/>
      <c r="U44" s="1256"/>
      <c r="V44" s="156"/>
      <c r="W44" s="156"/>
      <c r="X44" s="156"/>
      <c r="Y44" s="156"/>
    </row>
    <row r="45" spans="1:28" ht="10.15" customHeight="1">
      <c r="A45" s="2945"/>
      <c r="B45" s="2946"/>
      <c r="C45" s="2941"/>
      <c r="D45" s="2941"/>
      <c r="E45" s="2941"/>
      <c r="F45" s="2941"/>
      <c r="G45" s="2941"/>
      <c r="H45" s="2941"/>
      <c r="I45" s="2941"/>
      <c r="J45" s="2941"/>
      <c r="K45" s="2941"/>
      <c r="L45" s="2941"/>
      <c r="M45" s="2941"/>
      <c r="N45" s="2941"/>
      <c r="O45" s="2942"/>
      <c r="P45" s="156"/>
      <c r="Q45" s="1259"/>
      <c r="R45" s="1256"/>
      <c r="S45" s="1256"/>
      <c r="T45" s="1256"/>
      <c r="U45" s="1256"/>
      <c r="V45" s="156"/>
      <c r="W45" s="156"/>
      <c r="X45" s="156"/>
      <c r="Y45" s="156"/>
    </row>
    <row r="46" spans="1:28" ht="45" customHeight="1">
      <c r="A46" s="2947">
        <f>IF( 報1!$L$28="","", 報1!$L$28 )</f>
        <v>2023</v>
      </c>
      <c r="B46" s="2948"/>
      <c r="C46" s="2943"/>
      <c r="D46" s="2943"/>
      <c r="E46" s="2943"/>
      <c r="F46" s="2943"/>
      <c r="G46" s="2943"/>
      <c r="H46" s="2943"/>
      <c r="I46" s="2943"/>
      <c r="J46" s="2943"/>
      <c r="K46" s="2943"/>
      <c r="L46" s="2943"/>
      <c r="M46" s="2943"/>
      <c r="N46" s="2943"/>
      <c r="O46" s="2944"/>
      <c r="P46" s="156"/>
      <c r="Q46" s="1260"/>
      <c r="R46" s="1256"/>
      <c r="S46" s="1256"/>
      <c r="T46" s="1256"/>
      <c r="U46" s="1256"/>
      <c r="V46" s="156"/>
      <c r="W46" s="156"/>
      <c r="X46" s="156"/>
      <c r="Y46" s="156"/>
    </row>
    <row r="47" spans="1:28" ht="26.25" customHeight="1">
      <c r="A47" s="2949"/>
      <c r="B47" s="2949"/>
      <c r="C47" s="2949"/>
      <c r="D47" s="2949"/>
      <c r="E47" s="2949"/>
      <c r="F47" s="2949"/>
      <c r="G47" s="2949"/>
      <c r="H47" s="2949"/>
      <c r="I47" s="2949"/>
      <c r="J47" s="2949"/>
      <c r="K47" s="2949"/>
      <c r="L47" s="2949"/>
      <c r="M47" s="2949"/>
      <c r="N47" s="2949"/>
      <c r="O47" s="2949"/>
      <c r="P47" s="156"/>
      <c r="Q47" s="1259"/>
      <c r="R47" s="1256"/>
      <c r="S47" s="1256"/>
      <c r="T47" s="1256"/>
      <c r="U47" s="1256"/>
      <c r="V47" s="156"/>
      <c r="W47" s="156"/>
      <c r="X47" s="156"/>
      <c r="Y47" s="156"/>
    </row>
    <row r="48" spans="1:28" ht="30" customHeight="1">
      <c r="A48" s="156"/>
      <c r="B48" s="156"/>
      <c r="C48" s="156"/>
      <c r="D48" s="156"/>
      <c r="E48" s="156"/>
      <c r="F48" s="156"/>
      <c r="G48" s="156"/>
      <c r="H48" s="156"/>
      <c r="I48" s="156"/>
      <c r="J48" s="156"/>
      <c r="K48" s="156"/>
      <c r="L48" s="156"/>
      <c r="M48" s="156"/>
      <c r="N48" s="156"/>
      <c r="O48" s="329"/>
      <c r="P48" s="156"/>
      <c r="Q48" s="1248"/>
      <c r="R48" s="1260"/>
      <c r="S48" s="1244"/>
      <c r="T48" s="1244"/>
      <c r="V48" s="156"/>
      <c r="W48" s="156"/>
      <c r="X48" s="156"/>
      <c r="Y48" s="156"/>
    </row>
    <row r="49" spans="1:25" ht="18" customHeight="1">
      <c r="A49" s="156"/>
      <c r="B49" s="156"/>
      <c r="C49" s="156"/>
      <c r="D49" s="156"/>
      <c r="E49" s="156"/>
      <c r="F49" s="156"/>
      <c r="G49" s="156"/>
      <c r="H49" s="156"/>
      <c r="I49" s="156"/>
      <c r="J49" s="156"/>
      <c r="K49" s="156"/>
      <c r="L49" s="156"/>
      <c r="M49" s="156"/>
      <c r="N49" s="156"/>
      <c r="O49" s="329"/>
      <c r="P49" s="156"/>
      <c r="Q49" s="1261"/>
      <c r="R49" s="1260"/>
      <c r="S49" s="1244"/>
      <c r="T49" s="1244"/>
      <c r="V49" s="156"/>
      <c r="W49" s="156"/>
      <c r="X49" s="156"/>
      <c r="Y49" s="156"/>
    </row>
    <row r="50" spans="1:25" ht="18" customHeight="1">
      <c r="A50" s="156"/>
      <c r="B50" s="156"/>
      <c r="C50" s="156"/>
      <c r="D50" s="156"/>
      <c r="E50" s="156"/>
      <c r="F50" s="156"/>
      <c r="G50" s="156"/>
      <c r="H50" s="156"/>
      <c r="I50" s="156"/>
      <c r="J50" s="156"/>
      <c r="K50" s="156"/>
      <c r="L50" s="156"/>
      <c r="M50" s="156"/>
      <c r="N50" s="156"/>
      <c r="O50" s="329"/>
      <c r="P50" s="156"/>
      <c r="Q50" s="1261"/>
      <c r="R50" s="1260"/>
      <c r="S50" s="1244"/>
      <c r="T50" s="1244"/>
      <c r="V50" s="156"/>
      <c r="W50" s="156"/>
      <c r="X50" s="156"/>
      <c r="Y50" s="156"/>
    </row>
    <row r="51" spans="1:25">
      <c r="A51" s="1" t="s">
        <v>175</v>
      </c>
      <c r="B51" s="2"/>
      <c r="C51" s="2"/>
      <c r="D51" s="2"/>
      <c r="E51" s="2"/>
      <c r="F51" s="2"/>
      <c r="G51" s="2"/>
      <c r="H51" s="2"/>
      <c r="I51" s="2"/>
      <c r="J51" s="2"/>
      <c r="K51" s="2"/>
      <c r="L51" s="2"/>
      <c r="M51" s="2"/>
      <c r="N51" s="2"/>
      <c r="O51" s="2"/>
      <c r="P51" s="156" t="str">
        <f>"個別票"&amp;Q51</f>
        <v>個別票3</v>
      </c>
      <c r="Q51" s="1242">
        <f>Q26+1</f>
        <v>3</v>
      </c>
      <c r="V51" s="156"/>
      <c r="W51" s="156"/>
      <c r="X51" s="156"/>
      <c r="Y51" s="156"/>
    </row>
    <row r="52" spans="1:25">
      <c r="A52" s="2" t="s">
        <v>150</v>
      </c>
      <c r="B52" s="4"/>
      <c r="C52" s="4"/>
      <c r="D52" s="4"/>
      <c r="E52" s="4"/>
      <c r="F52" s="4"/>
      <c r="G52" s="4"/>
      <c r="H52" s="4"/>
      <c r="I52" s="4"/>
      <c r="J52" s="4"/>
      <c r="K52" s="4"/>
      <c r="L52" s="4"/>
      <c r="M52" s="4"/>
      <c r="N52" s="2"/>
      <c r="O52" s="2"/>
      <c r="P52" s="156"/>
      <c r="V52" s="156"/>
      <c r="W52" s="156"/>
      <c r="X52" s="156"/>
      <c r="Y52" s="156"/>
    </row>
    <row r="53" spans="1:25" ht="17.25">
      <c r="A53" s="2983" t="s">
        <v>403</v>
      </c>
      <c r="B53" s="2983"/>
      <c r="C53" s="2983"/>
      <c r="D53" s="2983"/>
      <c r="E53" s="2983"/>
      <c r="F53" s="2983"/>
      <c r="G53" s="2983"/>
      <c r="H53" s="2983"/>
      <c r="I53" s="2983"/>
      <c r="J53" s="2983"/>
      <c r="K53" s="2983"/>
      <c r="L53" s="2983"/>
      <c r="M53" s="2983"/>
      <c r="N53" s="2983"/>
      <c r="O53" s="2983"/>
      <c r="P53" s="156"/>
      <c r="V53" s="156"/>
      <c r="W53" s="156"/>
      <c r="X53" s="156"/>
      <c r="Y53" s="156"/>
    </row>
    <row r="54" spans="1:25" ht="31.5" customHeight="1">
      <c r="A54" s="38"/>
      <c r="B54" s="38"/>
      <c r="C54" s="38"/>
      <c r="D54" s="38"/>
      <c r="E54" s="38"/>
      <c r="F54" s="38"/>
      <c r="G54" s="38"/>
      <c r="H54" s="38"/>
      <c r="I54" s="38"/>
      <c r="J54" s="38"/>
      <c r="K54" s="38"/>
      <c r="L54" s="38"/>
      <c r="M54" s="38"/>
      <c r="N54" s="38"/>
      <c r="O54" s="38"/>
      <c r="P54" s="156"/>
      <c r="V54" s="156"/>
      <c r="W54" s="156"/>
      <c r="X54" s="156"/>
      <c r="Y54" s="156"/>
    </row>
    <row r="55" spans="1:25" s="51" customFormat="1" ht="15.95" customHeight="1">
      <c r="A55" s="48" t="s">
        <v>151</v>
      </c>
      <c r="B55" s="80"/>
      <c r="C55" s="80"/>
      <c r="D55" s="80"/>
      <c r="E55" s="80"/>
      <c r="F55" s="80"/>
      <c r="G55" s="80"/>
      <c r="H55" s="80"/>
      <c r="I55" s="80"/>
      <c r="J55" s="80"/>
      <c r="K55" s="80"/>
      <c r="L55" s="80"/>
      <c r="M55" s="80"/>
      <c r="P55" s="324"/>
      <c r="Q55" s="1250"/>
      <c r="R55" s="1250"/>
      <c r="S55" s="1250"/>
      <c r="T55" s="1250"/>
      <c r="U55" s="1242"/>
      <c r="V55" s="324"/>
      <c r="W55" s="324"/>
      <c r="X55" s="324"/>
      <c r="Y55" s="324"/>
    </row>
    <row r="56" spans="1:25" ht="39.950000000000003" customHeight="1">
      <c r="A56" s="2984" t="s">
        <v>152</v>
      </c>
      <c r="B56" s="2985"/>
      <c r="C56" s="2986"/>
      <c r="D56" s="2987" t="str">
        <f>参照元個別!I7</f>
        <v>事業所名を入力3</v>
      </c>
      <c r="E56" s="2988"/>
      <c r="F56" s="2988"/>
      <c r="G56" s="2988"/>
      <c r="H56" s="2988"/>
      <c r="I56" s="2988"/>
      <c r="J56" s="2988"/>
      <c r="K56" s="2988"/>
      <c r="L56" s="2988"/>
      <c r="M56" s="2988"/>
      <c r="N56" s="2988"/>
      <c r="O56" s="2989"/>
      <c r="P56" s="156"/>
      <c r="V56" s="156"/>
      <c r="W56" s="156"/>
      <c r="X56" s="156"/>
      <c r="Y56" s="156"/>
    </row>
    <row r="57" spans="1:25" ht="39.950000000000003" customHeight="1">
      <c r="A57" s="2570" t="s">
        <v>153</v>
      </c>
      <c r="B57" s="2571"/>
      <c r="C57" s="2990"/>
      <c r="D57" s="2991"/>
      <c r="E57" s="2992"/>
      <c r="F57" s="2992"/>
      <c r="G57" s="2992"/>
      <c r="H57" s="2992"/>
      <c r="I57" s="2992"/>
      <c r="J57" s="2992"/>
      <c r="K57" s="2992"/>
      <c r="L57" s="2992"/>
      <c r="M57" s="2992"/>
      <c r="N57" s="2992"/>
      <c r="O57" s="2993"/>
      <c r="P57" s="156"/>
      <c r="V57" s="156"/>
      <c r="W57" s="156"/>
      <c r="X57" s="156"/>
      <c r="Y57" s="156"/>
    </row>
    <row r="58" spans="1:25" ht="39.950000000000003" customHeight="1">
      <c r="A58" s="2536" t="s">
        <v>154</v>
      </c>
      <c r="B58" s="2978"/>
      <c r="C58" s="2979"/>
      <c r="D58" s="2980"/>
      <c r="E58" s="101" t="s">
        <v>180</v>
      </c>
      <c r="F58" s="2974" t="s">
        <v>404</v>
      </c>
      <c r="G58" s="2975"/>
      <c r="H58" s="2981" t="str">
        <f ca="1">参照元個別!$P$7</f>
        <v/>
      </c>
      <c r="I58" s="2982"/>
      <c r="J58" s="58" t="s">
        <v>176</v>
      </c>
      <c r="K58" s="2974" t="s">
        <v>405</v>
      </c>
      <c r="L58" s="2975"/>
      <c r="M58" s="2971"/>
      <c r="N58" s="2972"/>
      <c r="O58" s="2973"/>
      <c r="P58" s="156" t="str">
        <f>IFERROR(VLOOKUP(M58,$U$1:$V$16,2,0),"")</f>
        <v/>
      </c>
      <c r="U58" s="1250"/>
      <c r="V58" s="156"/>
      <c r="W58" s="156"/>
      <c r="X58" s="156"/>
      <c r="Y58" s="156"/>
    </row>
    <row r="59" spans="1:25" ht="39.950000000000003" customHeight="1">
      <c r="A59" s="2974" t="s">
        <v>406</v>
      </c>
      <c r="B59" s="2975"/>
      <c r="C59" s="2976"/>
      <c r="D59" s="2896"/>
      <c r="E59" s="2897"/>
      <c r="F59" s="2974" t="s">
        <v>158</v>
      </c>
      <c r="G59" s="2975"/>
      <c r="H59" s="2976"/>
      <c r="I59" s="2896"/>
      <c r="J59" s="2897"/>
      <c r="K59" s="2580"/>
      <c r="L59" s="2977"/>
      <c r="M59" s="2977"/>
      <c r="N59" s="2977"/>
      <c r="O59" s="2977"/>
      <c r="P59" s="156"/>
      <c r="V59" s="156"/>
      <c r="W59" s="156"/>
      <c r="X59" s="156"/>
      <c r="Y59" s="156"/>
    </row>
    <row r="60" spans="1:25" ht="18.75" customHeight="1">
      <c r="A60" s="39"/>
      <c r="B60" s="39"/>
      <c r="C60" s="40"/>
      <c r="D60" s="41"/>
      <c r="E60" s="40"/>
      <c r="F60" s="42"/>
      <c r="P60" s="156"/>
      <c r="V60" s="325"/>
      <c r="W60" s="325"/>
      <c r="X60" s="156"/>
      <c r="Y60" s="156"/>
    </row>
    <row r="61" spans="1:25" ht="51.75" customHeight="1">
      <c r="A61" s="2950" t="s">
        <v>505</v>
      </c>
      <c r="B61" s="2951"/>
      <c r="C61" s="2951"/>
      <c r="D61" s="2951"/>
      <c r="E61" s="2951"/>
      <c r="F61" s="2951"/>
      <c r="G61" s="2951"/>
      <c r="H61" s="2951"/>
      <c r="I61" s="2951"/>
      <c r="J61" s="2951"/>
      <c r="K61" s="2951"/>
      <c r="L61" s="2951"/>
      <c r="M61" s="2951"/>
      <c r="N61" s="2951"/>
      <c r="O61" s="2951"/>
      <c r="P61" s="156"/>
      <c r="V61" s="325"/>
      <c r="W61" s="325"/>
      <c r="X61" s="156"/>
      <c r="Y61" s="156"/>
    </row>
    <row r="62" spans="1:25" ht="57.75" customHeight="1">
      <c r="A62" s="39"/>
      <c r="B62" s="39"/>
      <c r="C62" s="40"/>
      <c r="D62" s="41"/>
      <c r="E62" s="40"/>
      <c r="F62" s="42"/>
      <c r="P62" s="156"/>
      <c r="Q62" s="1251"/>
      <c r="R62" s="1251"/>
      <c r="S62" s="1251"/>
      <c r="T62" s="1251"/>
      <c r="V62" s="325"/>
      <c r="W62" s="325"/>
      <c r="X62" s="156"/>
      <c r="Y62" s="156"/>
    </row>
    <row r="63" spans="1:25" s="51" customFormat="1" ht="15.95" customHeight="1">
      <c r="A63" s="50" t="s">
        <v>509</v>
      </c>
      <c r="B63" s="52"/>
      <c r="C63" s="52"/>
      <c r="D63" s="52"/>
      <c r="E63" s="52"/>
      <c r="F63" s="52"/>
      <c r="G63" s="52"/>
      <c r="H63" s="52"/>
      <c r="I63" s="52"/>
      <c r="J63" s="52"/>
      <c r="K63" s="52"/>
      <c r="L63" s="50"/>
      <c r="M63" s="50"/>
      <c r="N63" s="50"/>
      <c r="O63" s="50"/>
      <c r="P63" s="324"/>
      <c r="Q63" s="1252"/>
      <c r="R63" s="1252"/>
      <c r="S63" s="1252"/>
      <c r="T63" s="1252"/>
      <c r="U63" s="1242"/>
      <c r="V63" s="326"/>
      <c r="W63" s="326"/>
      <c r="X63" s="324"/>
      <c r="Y63" s="324"/>
    </row>
    <row r="64" spans="1:25" ht="36" customHeight="1">
      <c r="A64" s="2654"/>
      <c r="B64" s="2655"/>
      <c r="C64" s="2674" t="s">
        <v>504</v>
      </c>
      <c r="D64" s="2674"/>
      <c r="E64" s="2674"/>
      <c r="F64" s="2674"/>
      <c r="G64" s="2674"/>
      <c r="H64" s="2952"/>
      <c r="I64" s="2673" t="s">
        <v>407</v>
      </c>
      <c r="J64" s="2953"/>
      <c r="K64" s="2953"/>
      <c r="L64" s="2953"/>
      <c r="M64" s="2953"/>
      <c r="N64" s="2953"/>
      <c r="O64" s="2952"/>
      <c r="P64" s="156"/>
      <c r="V64" s="156"/>
      <c r="W64" s="156"/>
      <c r="X64" s="156"/>
      <c r="Y64" s="156"/>
    </row>
    <row r="65" spans="1:28" ht="24" customHeight="1">
      <c r="A65" s="2633" t="s">
        <v>236</v>
      </c>
      <c r="B65" s="2954"/>
      <c r="C65" s="2955" t="str">
        <f ca="1">参照元個別!E7</f>
        <v/>
      </c>
      <c r="D65" s="2955"/>
      <c r="E65" s="2955"/>
      <c r="F65" s="2955"/>
      <c r="G65" s="2956"/>
      <c r="H65" s="2959" t="s">
        <v>414</v>
      </c>
      <c r="I65" s="2961" t="str">
        <f>参照元個別!F7</f>
        <v/>
      </c>
      <c r="J65" s="2962"/>
      <c r="K65" s="2962"/>
      <c r="L65" s="2962"/>
      <c r="M65" s="2965" t="s">
        <v>415</v>
      </c>
      <c r="N65" s="2967" t="str">
        <f>参照元個別!G7</f>
        <v/>
      </c>
      <c r="O65" s="2968"/>
      <c r="P65" s="165"/>
      <c r="V65" s="156"/>
      <c r="W65" s="156"/>
      <c r="X65" s="156"/>
      <c r="Y65" s="156"/>
    </row>
    <row r="66" spans="1:28" ht="23.1" customHeight="1">
      <c r="A66" s="2637">
        <f>IF( 報1!$L$28="","", 報1!$L$28 )</f>
        <v>2023</v>
      </c>
      <c r="B66" s="2638"/>
      <c r="C66" s="2957"/>
      <c r="D66" s="2957"/>
      <c r="E66" s="2957"/>
      <c r="F66" s="2957"/>
      <c r="G66" s="2958"/>
      <c r="H66" s="2960"/>
      <c r="I66" s="2963"/>
      <c r="J66" s="2964"/>
      <c r="K66" s="2964"/>
      <c r="L66" s="2964"/>
      <c r="M66" s="2966"/>
      <c r="N66" s="2969"/>
      <c r="O66" s="2970"/>
      <c r="P66" s="165"/>
      <c r="V66" s="156"/>
      <c r="W66" s="156"/>
      <c r="X66" s="156"/>
      <c r="Y66" s="156"/>
    </row>
    <row r="67" spans="1:28" ht="25.15" customHeight="1">
      <c r="A67" s="2938" t="s">
        <v>277</v>
      </c>
      <c r="B67" s="2939"/>
      <c r="C67" s="2940"/>
      <c r="D67" s="2941"/>
      <c r="E67" s="2941"/>
      <c r="F67" s="2941"/>
      <c r="G67" s="2941"/>
      <c r="H67" s="2941"/>
      <c r="I67" s="2941"/>
      <c r="J67" s="2941"/>
      <c r="K67" s="2941"/>
      <c r="L67" s="2941"/>
      <c r="M67" s="2941"/>
      <c r="N67" s="2941"/>
      <c r="O67" s="2942"/>
      <c r="P67" s="156"/>
      <c r="Q67" s="1253">
        <v>1</v>
      </c>
      <c r="R67" s="1245"/>
      <c r="S67" s="1254"/>
      <c r="T67" s="1255"/>
      <c r="U67" s="1256"/>
      <c r="V67" s="156"/>
      <c r="W67" s="156"/>
      <c r="X67" s="327"/>
      <c r="Y67" s="328"/>
      <c r="Z67" s="99"/>
      <c r="AA67" s="43"/>
      <c r="AB67" s="44"/>
    </row>
    <row r="68" spans="1:28" ht="25.15" customHeight="1">
      <c r="A68" s="2938"/>
      <c r="B68" s="2939"/>
      <c r="C68" s="2941"/>
      <c r="D68" s="2941"/>
      <c r="E68" s="2941"/>
      <c r="F68" s="2941"/>
      <c r="G68" s="2941"/>
      <c r="H68" s="2941"/>
      <c r="I68" s="2941"/>
      <c r="J68" s="2941"/>
      <c r="K68" s="2941"/>
      <c r="L68" s="2941"/>
      <c r="M68" s="2941"/>
      <c r="N68" s="2941"/>
      <c r="O68" s="2942"/>
      <c r="P68" s="156"/>
      <c r="Q68" s="1257"/>
      <c r="R68" s="1258"/>
      <c r="S68" s="1258"/>
      <c r="T68" s="1258"/>
      <c r="U68" s="1258"/>
      <c r="V68" s="156"/>
      <c r="W68" s="156"/>
      <c r="X68" s="156"/>
      <c r="Y68" s="156"/>
    </row>
    <row r="69" spans="1:28" ht="24.75" customHeight="1">
      <c r="A69" s="2938"/>
      <c r="B69" s="2939"/>
      <c r="C69" s="2941"/>
      <c r="D69" s="2941"/>
      <c r="E69" s="2941"/>
      <c r="F69" s="2941"/>
      <c r="G69" s="2941"/>
      <c r="H69" s="2941"/>
      <c r="I69" s="2941"/>
      <c r="J69" s="2941"/>
      <c r="K69" s="2941"/>
      <c r="L69" s="2941"/>
      <c r="M69" s="2941"/>
      <c r="N69" s="2941"/>
      <c r="O69" s="2942"/>
      <c r="P69" s="156"/>
      <c r="Q69" s="1257"/>
      <c r="R69" s="1256"/>
      <c r="S69" s="1256"/>
      <c r="T69" s="1256"/>
      <c r="U69" s="1256"/>
      <c r="V69" s="156"/>
      <c r="W69" s="156"/>
      <c r="X69" s="156"/>
      <c r="Y69" s="156"/>
    </row>
    <row r="70" spans="1:28" ht="10.15" customHeight="1">
      <c r="A70" s="2945"/>
      <c r="B70" s="2946"/>
      <c r="C70" s="2941"/>
      <c r="D70" s="2941"/>
      <c r="E70" s="2941"/>
      <c r="F70" s="2941"/>
      <c r="G70" s="2941"/>
      <c r="H70" s="2941"/>
      <c r="I70" s="2941"/>
      <c r="J70" s="2941"/>
      <c r="K70" s="2941"/>
      <c r="L70" s="2941"/>
      <c r="M70" s="2941"/>
      <c r="N70" s="2941"/>
      <c r="O70" s="2942"/>
      <c r="P70" s="156"/>
      <c r="Q70" s="1259"/>
      <c r="R70" s="1256"/>
      <c r="S70" s="1256"/>
      <c r="T70" s="1256"/>
      <c r="U70" s="1256"/>
      <c r="V70" s="156"/>
      <c r="W70" s="156"/>
      <c r="X70" s="156"/>
      <c r="Y70" s="156"/>
    </row>
    <row r="71" spans="1:28" ht="45" customHeight="1">
      <c r="A71" s="2947">
        <f>IF( 報1!$L$28="","", 報1!$L$28 )</f>
        <v>2023</v>
      </c>
      <c r="B71" s="2948"/>
      <c r="C71" s="2943"/>
      <c r="D71" s="2943"/>
      <c r="E71" s="2943"/>
      <c r="F71" s="2943"/>
      <c r="G71" s="2943"/>
      <c r="H71" s="2943"/>
      <c r="I71" s="2943"/>
      <c r="J71" s="2943"/>
      <c r="K71" s="2943"/>
      <c r="L71" s="2943"/>
      <c r="M71" s="2943"/>
      <c r="N71" s="2943"/>
      <c r="O71" s="2944"/>
      <c r="P71" s="156"/>
      <c r="Q71" s="1260"/>
      <c r="R71" s="1256"/>
      <c r="S71" s="1256"/>
      <c r="T71" s="1256"/>
      <c r="U71" s="1256"/>
      <c r="V71" s="156"/>
      <c r="W71" s="156"/>
      <c r="X71" s="156"/>
      <c r="Y71" s="156"/>
    </row>
    <row r="72" spans="1:28" ht="26.25" customHeight="1">
      <c r="A72" s="2949"/>
      <c r="B72" s="2949"/>
      <c r="C72" s="2949"/>
      <c r="D72" s="2949"/>
      <c r="E72" s="2949"/>
      <c r="F72" s="2949"/>
      <c r="G72" s="2949"/>
      <c r="H72" s="2949"/>
      <c r="I72" s="2949"/>
      <c r="J72" s="2949"/>
      <c r="K72" s="2949"/>
      <c r="L72" s="2949"/>
      <c r="M72" s="2949"/>
      <c r="N72" s="2949"/>
      <c r="O72" s="2949"/>
      <c r="P72" s="156"/>
      <c r="Q72" s="1259"/>
      <c r="R72" s="1256"/>
      <c r="S72" s="1256"/>
      <c r="T72" s="1256"/>
      <c r="U72" s="1256"/>
      <c r="V72" s="156"/>
      <c r="W72" s="156"/>
      <c r="X72" s="156"/>
      <c r="Y72" s="156"/>
    </row>
    <row r="73" spans="1:28" ht="30" customHeight="1">
      <c r="A73" s="156"/>
      <c r="B73" s="156"/>
      <c r="C73" s="156"/>
      <c r="D73" s="156"/>
      <c r="E73" s="156"/>
      <c r="F73" s="156"/>
      <c r="G73" s="156"/>
      <c r="H73" s="156"/>
      <c r="I73" s="156"/>
      <c r="J73" s="156"/>
      <c r="K73" s="156"/>
      <c r="L73" s="156"/>
      <c r="M73" s="156"/>
      <c r="N73" s="156"/>
      <c r="O73" s="329"/>
      <c r="P73" s="156"/>
      <c r="Q73" s="1248"/>
      <c r="R73" s="1260"/>
      <c r="S73" s="1244"/>
      <c r="T73" s="1244"/>
      <c r="V73" s="156"/>
      <c r="W73" s="156"/>
      <c r="X73" s="156"/>
      <c r="Y73" s="156"/>
    </row>
    <row r="74" spans="1:28" ht="18" customHeight="1">
      <c r="A74" s="156"/>
      <c r="B74" s="156"/>
      <c r="C74" s="156"/>
      <c r="D74" s="156"/>
      <c r="E74" s="156"/>
      <c r="F74" s="156"/>
      <c r="G74" s="156"/>
      <c r="H74" s="156"/>
      <c r="I74" s="156"/>
      <c r="J74" s="156"/>
      <c r="K74" s="156"/>
      <c r="L74" s="156"/>
      <c r="M74" s="156"/>
      <c r="N74" s="156"/>
      <c r="O74" s="329"/>
      <c r="P74" s="156"/>
      <c r="Q74" s="1261"/>
      <c r="R74" s="1260"/>
      <c r="S74" s="1244"/>
      <c r="T74" s="1244"/>
      <c r="V74" s="156"/>
      <c r="W74" s="156"/>
      <c r="X74" s="156"/>
      <c r="Y74" s="156"/>
    </row>
    <row r="75" spans="1:28" ht="18" customHeight="1">
      <c r="A75" s="156"/>
      <c r="B75" s="156"/>
      <c r="C75" s="156"/>
      <c r="D75" s="156"/>
      <c r="E75" s="156"/>
      <c r="F75" s="156"/>
      <c r="G75" s="156"/>
      <c r="H75" s="156"/>
      <c r="I75" s="156"/>
      <c r="J75" s="156"/>
      <c r="K75" s="156"/>
      <c r="L75" s="156"/>
      <c r="M75" s="156"/>
      <c r="N75" s="156"/>
      <c r="O75" s="329"/>
      <c r="P75" s="156"/>
      <c r="Q75" s="1261"/>
      <c r="R75" s="1260"/>
      <c r="S75" s="1244"/>
      <c r="T75" s="1244"/>
      <c r="V75" s="156"/>
      <c r="W75" s="156"/>
      <c r="X75" s="156"/>
      <c r="Y75" s="156"/>
    </row>
    <row r="76" spans="1:28">
      <c r="A76" s="1" t="s">
        <v>175</v>
      </c>
      <c r="B76" s="2"/>
      <c r="C76" s="2"/>
      <c r="D76" s="2"/>
      <c r="E76" s="2"/>
      <c r="F76" s="2"/>
      <c r="G76" s="2"/>
      <c r="H76" s="2"/>
      <c r="I76" s="2"/>
      <c r="J76" s="2"/>
      <c r="K76" s="2"/>
      <c r="L76" s="2"/>
      <c r="M76" s="2"/>
      <c r="N76" s="2"/>
      <c r="O76" s="2"/>
      <c r="P76" s="156" t="str">
        <f>"個別票"&amp;Q76</f>
        <v>個別票4</v>
      </c>
      <c r="Q76" s="1242">
        <f>Q51+1</f>
        <v>4</v>
      </c>
      <c r="V76" s="156"/>
      <c r="W76" s="156"/>
      <c r="X76" s="156"/>
      <c r="Y76" s="156"/>
    </row>
    <row r="77" spans="1:28">
      <c r="A77" s="2" t="s">
        <v>150</v>
      </c>
      <c r="B77" s="4"/>
      <c r="C77" s="4"/>
      <c r="D77" s="4"/>
      <c r="E77" s="4"/>
      <c r="F77" s="4"/>
      <c r="G77" s="4"/>
      <c r="H77" s="4"/>
      <c r="I77" s="4"/>
      <c r="J77" s="4"/>
      <c r="K77" s="4"/>
      <c r="L77" s="4"/>
      <c r="M77" s="4"/>
      <c r="N77" s="2"/>
      <c r="O77" s="2"/>
      <c r="P77" s="156"/>
      <c r="V77" s="156"/>
      <c r="W77" s="156"/>
      <c r="X77" s="156"/>
      <c r="Y77" s="156"/>
    </row>
    <row r="78" spans="1:28" ht="17.25">
      <c r="A78" s="2983" t="s">
        <v>403</v>
      </c>
      <c r="B78" s="2983"/>
      <c r="C78" s="2983"/>
      <c r="D78" s="2983"/>
      <c r="E78" s="2983"/>
      <c r="F78" s="2983"/>
      <c r="G78" s="2983"/>
      <c r="H78" s="2983"/>
      <c r="I78" s="2983"/>
      <c r="J78" s="2983"/>
      <c r="K78" s="2983"/>
      <c r="L78" s="2983"/>
      <c r="M78" s="2983"/>
      <c r="N78" s="2983"/>
      <c r="O78" s="2983"/>
      <c r="P78" s="156"/>
      <c r="V78" s="156"/>
      <c r="W78" s="156"/>
      <c r="X78" s="156"/>
      <c r="Y78" s="156"/>
    </row>
    <row r="79" spans="1:28" ht="31.5" customHeight="1">
      <c r="A79" s="38"/>
      <c r="B79" s="38"/>
      <c r="C79" s="38"/>
      <c r="D79" s="38"/>
      <c r="E79" s="38"/>
      <c r="F79" s="38"/>
      <c r="G79" s="38"/>
      <c r="H79" s="38"/>
      <c r="I79" s="38"/>
      <c r="J79" s="38"/>
      <c r="K79" s="38"/>
      <c r="L79" s="38"/>
      <c r="M79" s="38"/>
      <c r="N79" s="38"/>
      <c r="O79" s="38"/>
      <c r="P79" s="156"/>
      <c r="V79" s="156"/>
      <c r="W79" s="156"/>
      <c r="X79" s="156"/>
      <c r="Y79" s="156"/>
    </row>
    <row r="80" spans="1:28" s="51" customFormat="1" ht="15.95" customHeight="1">
      <c r="A80" s="48" t="s">
        <v>151</v>
      </c>
      <c r="B80" s="80"/>
      <c r="C80" s="80"/>
      <c r="D80" s="80"/>
      <c r="E80" s="80"/>
      <c r="F80" s="80"/>
      <c r="G80" s="80"/>
      <c r="H80" s="80"/>
      <c r="I80" s="80"/>
      <c r="J80" s="80"/>
      <c r="K80" s="80"/>
      <c r="L80" s="80"/>
      <c r="M80" s="80"/>
      <c r="P80" s="324"/>
      <c r="Q80" s="1250"/>
      <c r="R80" s="1250"/>
      <c r="S80" s="1250"/>
      <c r="T80" s="1250"/>
      <c r="U80" s="1242"/>
      <c r="V80" s="324"/>
      <c r="W80" s="324"/>
      <c r="X80" s="324"/>
      <c r="Y80" s="324"/>
    </row>
    <row r="81" spans="1:28" ht="39.950000000000003" customHeight="1">
      <c r="A81" s="2984" t="s">
        <v>152</v>
      </c>
      <c r="B81" s="2985"/>
      <c r="C81" s="2986"/>
      <c r="D81" s="2987" t="str">
        <f>参照元個別!I8</f>
        <v>事業所名を入力4</v>
      </c>
      <c r="E81" s="2988"/>
      <c r="F81" s="2988"/>
      <c r="G81" s="2988"/>
      <c r="H81" s="2988"/>
      <c r="I81" s="2988"/>
      <c r="J81" s="2988"/>
      <c r="K81" s="2988"/>
      <c r="L81" s="2988"/>
      <c r="M81" s="2988"/>
      <c r="N81" s="2988"/>
      <c r="O81" s="2989"/>
      <c r="P81" s="156"/>
      <c r="V81" s="156"/>
      <c r="W81" s="156"/>
      <c r="X81" s="156"/>
      <c r="Y81" s="156"/>
    </row>
    <row r="82" spans="1:28" ht="39.950000000000003" customHeight="1">
      <c r="A82" s="2570" t="s">
        <v>153</v>
      </c>
      <c r="B82" s="2571"/>
      <c r="C82" s="2990"/>
      <c r="D82" s="2991"/>
      <c r="E82" s="2992"/>
      <c r="F82" s="2992"/>
      <c r="G82" s="2992"/>
      <c r="H82" s="2992"/>
      <c r="I82" s="2992"/>
      <c r="J82" s="2992"/>
      <c r="K82" s="2992"/>
      <c r="L82" s="2992"/>
      <c r="M82" s="2992"/>
      <c r="N82" s="2992"/>
      <c r="O82" s="2993"/>
      <c r="P82" s="156"/>
      <c r="V82" s="156"/>
      <c r="W82" s="156"/>
      <c r="X82" s="156"/>
      <c r="Y82" s="156"/>
    </row>
    <row r="83" spans="1:28" ht="39.950000000000003" customHeight="1">
      <c r="A83" s="2536" t="s">
        <v>154</v>
      </c>
      <c r="B83" s="2978"/>
      <c r="C83" s="2979"/>
      <c r="D83" s="2980"/>
      <c r="E83" s="101" t="s">
        <v>180</v>
      </c>
      <c r="F83" s="2974" t="s">
        <v>404</v>
      </c>
      <c r="G83" s="2975"/>
      <c r="H83" s="2981" t="str">
        <f ca="1">参照元個別!$P$8</f>
        <v/>
      </c>
      <c r="I83" s="2982"/>
      <c r="J83" s="58" t="s">
        <v>176</v>
      </c>
      <c r="K83" s="2974" t="s">
        <v>405</v>
      </c>
      <c r="L83" s="2975"/>
      <c r="M83" s="2971"/>
      <c r="N83" s="2972"/>
      <c r="O83" s="2973"/>
      <c r="P83" s="156" t="str">
        <f>IFERROR(VLOOKUP(M83,$U$1:$V$16,2,0),"")</f>
        <v/>
      </c>
      <c r="U83" s="1250"/>
      <c r="V83" s="156"/>
      <c r="W83" s="156"/>
      <c r="X83" s="156"/>
      <c r="Y83" s="156"/>
    </row>
    <row r="84" spans="1:28" ht="39.950000000000003" customHeight="1">
      <c r="A84" s="2974" t="s">
        <v>406</v>
      </c>
      <c r="B84" s="2975"/>
      <c r="C84" s="2976"/>
      <c r="D84" s="2896"/>
      <c r="E84" s="2897"/>
      <c r="F84" s="2974" t="s">
        <v>158</v>
      </c>
      <c r="G84" s="2975"/>
      <c r="H84" s="2976"/>
      <c r="I84" s="2896"/>
      <c r="J84" s="2897"/>
      <c r="K84" s="2580"/>
      <c r="L84" s="2977"/>
      <c r="M84" s="2977"/>
      <c r="N84" s="2977"/>
      <c r="O84" s="2977"/>
      <c r="P84" s="156"/>
      <c r="V84" s="156"/>
      <c r="W84" s="156"/>
      <c r="X84" s="156"/>
      <c r="Y84" s="156"/>
    </row>
    <row r="85" spans="1:28" ht="18.75" customHeight="1">
      <c r="A85" s="39"/>
      <c r="B85" s="39"/>
      <c r="C85" s="40"/>
      <c r="D85" s="41"/>
      <c r="E85" s="40"/>
      <c r="F85" s="42"/>
      <c r="P85" s="156"/>
      <c r="V85" s="325"/>
      <c r="W85" s="325"/>
      <c r="X85" s="156"/>
      <c r="Y85" s="156"/>
    </row>
    <row r="86" spans="1:28" ht="51.75" customHeight="1">
      <c r="A86" s="2950" t="s">
        <v>505</v>
      </c>
      <c r="B86" s="2951"/>
      <c r="C86" s="2951"/>
      <c r="D86" s="2951"/>
      <c r="E86" s="2951"/>
      <c r="F86" s="2951"/>
      <c r="G86" s="2951"/>
      <c r="H86" s="2951"/>
      <c r="I86" s="2951"/>
      <c r="J86" s="2951"/>
      <c r="K86" s="2951"/>
      <c r="L86" s="2951"/>
      <c r="M86" s="2951"/>
      <c r="N86" s="2951"/>
      <c r="O86" s="2951"/>
      <c r="P86" s="156"/>
      <c r="V86" s="325"/>
      <c r="W86" s="325"/>
      <c r="X86" s="156"/>
      <c r="Y86" s="156"/>
    </row>
    <row r="87" spans="1:28" ht="57.75" customHeight="1">
      <c r="A87" s="39"/>
      <c r="B87" s="39"/>
      <c r="C87" s="40"/>
      <c r="D87" s="41"/>
      <c r="E87" s="40"/>
      <c r="F87" s="42"/>
      <c r="P87" s="156"/>
      <c r="Q87" s="1251"/>
      <c r="R87" s="1251"/>
      <c r="S87" s="1251"/>
      <c r="T87" s="1251"/>
      <c r="V87" s="325"/>
      <c r="W87" s="325"/>
      <c r="X87" s="156"/>
      <c r="Y87" s="156"/>
    </row>
    <row r="88" spans="1:28" s="51" customFormat="1" ht="15.95" customHeight="1">
      <c r="A88" s="50" t="s">
        <v>509</v>
      </c>
      <c r="B88" s="52"/>
      <c r="C88" s="52"/>
      <c r="D88" s="52"/>
      <c r="E88" s="52"/>
      <c r="F88" s="52"/>
      <c r="G88" s="52"/>
      <c r="H88" s="52"/>
      <c r="I88" s="52"/>
      <c r="J88" s="52"/>
      <c r="K88" s="52"/>
      <c r="L88" s="50"/>
      <c r="M88" s="50"/>
      <c r="N88" s="50"/>
      <c r="O88" s="50"/>
      <c r="P88" s="324"/>
      <c r="Q88" s="1252"/>
      <c r="R88" s="1252"/>
      <c r="S88" s="1252"/>
      <c r="T88" s="1252"/>
      <c r="U88" s="1242"/>
      <c r="V88" s="326"/>
      <c r="W88" s="326"/>
      <c r="X88" s="324"/>
      <c r="Y88" s="324"/>
    </row>
    <row r="89" spans="1:28" ht="36" customHeight="1">
      <c r="A89" s="2654"/>
      <c r="B89" s="2655"/>
      <c r="C89" s="2674" t="s">
        <v>504</v>
      </c>
      <c r="D89" s="2674"/>
      <c r="E89" s="2674"/>
      <c r="F89" s="2674"/>
      <c r="G89" s="2674"/>
      <c r="H89" s="2952"/>
      <c r="I89" s="2673" t="s">
        <v>407</v>
      </c>
      <c r="J89" s="2953"/>
      <c r="K89" s="2953"/>
      <c r="L89" s="2953"/>
      <c r="M89" s="2953"/>
      <c r="N89" s="2953"/>
      <c r="O89" s="2952"/>
      <c r="P89" s="156"/>
      <c r="V89" s="156"/>
      <c r="W89" s="156"/>
      <c r="X89" s="156"/>
      <c r="Y89" s="156"/>
    </row>
    <row r="90" spans="1:28" ht="24" customHeight="1">
      <c r="A90" s="2633" t="s">
        <v>236</v>
      </c>
      <c r="B90" s="2954"/>
      <c r="C90" s="2955" t="str">
        <f ca="1">参照元個別!E8</f>
        <v/>
      </c>
      <c r="D90" s="2955"/>
      <c r="E90" s="2955"/>
      <c r="F90" s="2955"/>
      <c r="G90" s="2956"/>
      <c r="H90" s="2959" t="s">
        <v>414</v>
      </c>
      <c r="I90" s="2961" t="str">
        <f>参照元個別!F8</f>
        <v/>
      </c>
      <c r="J90" s="2962"/>
      <c r="K90" s="2962"/>
      <c r="L90" s="2962"/>
      <c r="M90" s="2965" t="s">
        <v>415</v>
      </c>
      <c r="N90" s="2967" t="str">
        <f>参照元個別!G8</f>
        <v/>
      </c>
      <c r="O90" s="2968"/>
      <c r="P90" s="165"/>
      <c r="V90" s="156"/>
      <c r="W90" s="156"/>
      <c r="X90" s="156"/>
      <c r="Y90" s="156"/>
    </row>
    <row r="91" spans="1:28" ht="23.1" customHeight="1">
      <c r="A91" s="2637">
        <f>IF( 報1!$L$28="","", 報1!$L$28 )</f>
        <v>2023</v>
      </c>
      <c r="B91" s="2638"/>
      <c r="C91" s="2957"/>
      <c r="D91" s="2957"/>
      <c r="E91" s="2957"/>
      <c r="F91" s="2957"/>
      <c r="G91" s="2958"/>
      <c r="H91" s="2960"/>
      <c r="I91" s="2963"/>
      <c r="J91" s="2964"/>
      <c r="K91" s="2964"/>
      <c r="L91" s="2964"/>
      <c r="M91" s="2966"/>
      <c r="N91" s="2969"/>
      <c r="O91" s="2970"/>
      <c r="P91" s="165"/>
      <c r="V91" s="156"/>
      <c r="W91" s="156"/>
      <c r="X91" s="156"/>
      <c r="Y91" s="156"/>
    </row>
    <row r="92" spans="1:28" ht="25.15" customHeight="1">
      <c r="A92" s="2938" t="s">
        <v>277</v>
      </c>
      <c r="B92" s="2939"/>
      <c r="C92" s="2940"/>
      <c r="D92" s="2941"/>
      <c r="E92" s="2941"/>
      <c r="F92" s="2941"/>
      <c r="G92" s="2941"/>
      <c r="H92" s="2941"/>
      <c r="I92" s="2941"/>
      <c r="J92" s="2941"/>
      <c r="K92" s="2941"/>
      <c r="L92" s="2941"/>
      <c r="M92" s="2941"/>
      <c r="N92" s="2941"/>
      <c r="O92" s="2942"/>
      <c r="P92" s="156"/>
      <c r="Q92" s="1253">
        <v>1</v>
      </c>
      <c r="R92" s="1245"/>
      <c r="S92" s="1254"/>
      <c r="T92" s="1255"/>
      <c r="U92" s="1256"/>
      <c r="V92" s="156"/>
      <c r="W92" s="156"/>
      <c r="X92" s="327"/>
      <c r="Y92" s="328"/>
      <c r="Z92" s="99"/>
      <c r="AA92" s="43"/>
      <c r="AB92" s="44"/>
    </row>
    <row r="93" spans="1:28" ht="25.15" customHeight="1">
      <c r="A93" s="2938"/>
      <c r="B93" s="2939"/>
      <c r="C93" s="2941"/>
      <c r="D93" s="2941"/>
      <c r="E93" s="2941"/>
      <c r="F93" s="2941"/>
      <c r="G93" s="2941"/>
      <c r="H93" s="2941"/>
      <c r="I93" s="2941"/>
      <c r="J93" s="2941"/>
      <c r="K93" s="2941"/>
      <c r="L93" s="2941"/>
      <c r="M93" s="2941"/>
      <c r="N93" s="2941"/>
      <c r="O93" s="2942"/>
      <c r="P93" s="156"/>
      <c r="Q93" s="1257"/>
      <c r="R93" s="1258"/>
      <c r="S93" s="1258"/>
      <c r="T93" s="1258"/>
      <c r="U93" s="1258"/>
      <c r="V93" s="156"/>
      <c r="W93" s="156"/>
      <c r="X93" s="156"/>
      <c r="Y93" s="156"/>
    </row>
    <row r="94" spans="1:28" ht="24.75" customHeight="1">
      <c r="A94" s="2938"/>
      <c r="B94" s="2939"/>
      <c r="C94" s="2941"/>
      <c r="D94" s="2941"/>
      <c r="E94" s="2941"/>
      <c r="F94" s="2941"/>
      <c r="G94" s="2941"/>
      <c r="H94" s="2941"/>
      <c r="I94" s="2941"/>
      <c r="J94" s="2941"/>
      <c r="K94" s="2941"/>
      <c r="L94" s="2941"/>
      <c r="M94" s="2941"/>
      <c r="N94" s="2941"/>
      <c r="O94" s="2942"/>
      <c r="P94" s="156"/>
      <c r="Q94" s="1257"/>
      <c r="R94" s="1256"/>
      <c r="S94" s="1256"/>
      <c r="T94" s="1256"/>
      <c r="U94" s="1256"/>
      <c r="V94" s="156"/>
      <c r="W94" s="156"/>
      <c r="X94" s="156"/>
      <c r="Y94" s="156"/>
    </row>
    <row r="95" spans="1:28" ht="10.15" customHeight="1">
      <c r="A95" s="2945"/>
      <c r="B95" s="2946"/>
      <c r="C95" s="2941"/>
      <c r="D95" s="2941"/>
      <c r="E95" s="2941"/>
      <c r="F95" s="2941"/>
      <c r="G95" s="2941"/>
      <c r="H95" s="2941"/>
      <c r="I95" s="2941"/>
      <c r="J95" s="2941"/>
      <c r="K95" s="2941"/>
      <c r="L95" s="2941"/>
      <c r="M95" s="2941"/>
      <c r="N95" s="2941"/>
      <c r="O95" s="2942"/>
      <c r="P95" s="156"/>
      <c r="Q95" s="1259"/>
      <c r="R95" s="1256"/>
      <c r="S95" s="1256"/>
      <c r="T95" s="1256"/>
      <c r="U95" s="1256"/>
      <c r="V95" s="156"/>
      <c r="W95" s="156"/>
      <c r="X95" s="156"/>
      <c r="Y95" s="156"/>
    </row>
    <row r="96" spans="1:28" ht="45" customHeight="1">
      <c r="A96" s="2947">
        <f>IF( 報1!$L$28="","", 報1!$L$28 )</f>
        <v>2023</v>
      </c>
      <c r="B96" s="2948"/>
      <c r="C96" s="2943"/>
      <c r="D96" s="2943"/>
      <c r="E96" s="2943"/>
      <c r="F96" s="2943"/>
      <c r="G96" s="2943"/>
      <c r="H96" s="2943"/>
      <c r="I96" s="2943"/>
      <c r="J96" s="2943"/>
      <c r="K96" s="2943"/>
      <c r="L96" s="2943"/>
      <c r="M96" s="2943"/>
      <c r="N96" s="2943"/>
      <c r="O96" s="2944"/>
      <c r="P96" s="156"/>
      <c r="Q96" s="1260"/>
      <c r="R96" s="1256"/>
      <c r="S96" s="1256"/>
      <c r="T96" s="1256"/>
      <c r="U96" s="1256"/>
      <c r="V96" s="156"/>
      <c r="W96" s="156"/>
      <c r="X96" s="156"/>
      <c r="Y96" s="156"/>
    </row>
    <row r="97" spans="1:25" ht="26.25" customHeight="1">
      <c r="A97" s="2949"/>
      <c r="B97" s="2949"/>
      <c r="C97" s="2949"/>
      <c r="D97" s="2949"/>
      <c r="E97" s="2949"/>
      <c r="F97" s="2949"/>
      <c r="G97" s="2949"/>
      <c r="H97" s="2949"/>
      <c r="I97" s="2949"/>
      <c r="J97" s="2949"/>
      <c r="K97" s="2949"/>
      <c r="L97" s="2949"/>
      <c r="M97" s="2949"/>
      <c r="N97" s="2949"/>
      <c r="O97" s="2949"/>
      <c r="P97" s="156"/>
      <c r="Q97" s="1259"/>
      <c r="R97" s="1256"/>
      <c r="S97" s="1256"/>
      <c r="T97" s="1256"/>
      <c r="U97" s="1256"/>
      <c r="V97" s="156"/>
      <c r="W97" s="156"/>
      <c r="X97" s="156"/>
      <c r="Y97" s="156"/>
    </row>
    <row r="98" spans="1:25" ht="30" customHeight="1">
      <c r="A98" s="156"/>
      <c r="B98" s="156"/>
      <c r="C98" s="156"/>
      <c r="D98" s="156"/>
      <c r="E98" s="156"/>
      <c r="F98" s="156"/>
      <c r="G98" s="156"/>
      <c r="H98" s="156"/>
      <c r="I98" s="156"/>
      <c r="J98" s="156"/>
      <c r="K98" s="156"/>
      <c r="L98" s="156"/>
      <c r="M98" s="156"/>
      <c r="N98" s="156"/>
      <c r="O98" s="329"/>
      <c r="P98" s="156"/>
      <c r="Q98" s="1248"/>
      <c r="R98" s="1260"/>
      <c r="S98" s="1244"/>
      <c r="T98" s="1244"/>
      <c r="V98" s="156"/>
      <c r="W98" s="156"/>
      <c r="X98" s="156"/>
      <c r="Y98" s="156"/>
    </row>
    <row r="99" spans="1:25" ht="18" customHeight="1">
      <c r="A99" s="156"/>
      <c r="B99" s="156"/>
      <c r="C99" s="156"/>
      <c r="D99" s="156"/>
      <c r="E99" s="156"/>
      <c r="F99" s="156"/>
      <c r="G99" s="156"/>
      <c r="H99" s="156"/>
      <c r="I99" s="156"/>
      <c r="J99" s="156"/>
      <c r="K99" s="156"/>
      <c r="L99" s="156"/>
      <c r="M99" s="156"/>
      <c r="N99" s="156"/>
      <c r="O99" s="329"/>
      <c r="P99" s="156"/>
      <c r="Q99" s="1261"/>
      <c r="R99" s="1260"/>
      <c r="S99" s="1244"/>
      <c r="T99" s="1244"/>
      <c r="V99" s="156"/>
      <c r="W99" s="156"/>
      <c r="X99" s="156"/>
      <c r="Y99" s="156"/>
    </row>
    <row r="100" spans="1:25" ht="18" customHeight="1">
      <c r="A100" s="156"/>
      <c r="B100" s="156"/>
      <c r="C100" s="156"/>
      <c r="D100" s="156"/>
      <c r="E100" s="156"/>
      <c r="F100" s="156"/>
      <c r="G100" s="156"/>
      <c r="H100" s="156"/>
      <c r="I100" s="156"/>
      <c r="J100" s="156"/>
      <c r="K100" s="156"/>
      <c r="L100" s="156"/>
      <c r="M100" s="156"/>
      <c r="N100" s="156"/>
      <c r="O100" s="329"/>
      <c r="P100" s="156"/>
      <c r="Q100" s="1261"/>
      <c r="R100" s="1260"/>
      <c r="S100" s="1244"/>
      <c r="T100" s="1244"/>
      <c r="V100" s="156"/>
      <c r="W100" s="156"/>
      <c r="X100" s="156"/>
      <c r="Y100" s="156"/>
    </row>
    <row r="101" spans="1:25">
      <c r="A101" s="1" t="s">
        <v>175</v>
      </c>
      <c r="B101" s="2"/>
      <c r="C101" s="2"/>
      <c r="D101" s="2"/>
      <c r="E101" s="2"/>
      <c r="F101" s="2"/>
      <c r="G101" s="2"/>
      <c r="H101" s="2"/>
      <c r="I101" s="2"/>
      <c r="J101" s="2"/>
      <c r="K101" s="2"/>
      <c r="L101" s="2"/>
      <c r="M101" s="2"/>
      <c r="N101" s="2"/>
      <c r="O101" s="2"/>
      <c r="P101" s="156" t="str">
        <f>"個別票"&amp;Q101</f>
        <v>個別票5</v>
      </c>
      <c r="Q101" s="1242">
        <f>Q76+1</f>
        <v>5</v>
      </c>
      <c r="V101" s="156"/>
      <c r="W101" s="156"/>
      <c r="X101" s="156"/>
      <c r="Y101" s="156"/>
    </row>
    <row r="102" spans="1:25">
      <c r="A102" s="2" t="s">
        <v>150</v>
      </c>
      <c r="B102" s="4"/>
      <c r="C102" s="4"/>
      <c r="D102" s="4"/>
      <c r="E102" s="4"/>
      <c r="F102" s="4"/>
      <c r="G102" s="4"/>
      <c r="H102" s="4"/>
      <c r="I102" s="4"/>
      <c r="J102" s="4"/>
      <c r="K102" s="4"/>
      <c r="L102" s="4"/>
      <c r="M102" s="4"/>
      <c r="N102" s="2"/>
      <c r="O102" s="2"/>
      <c r="P102" s="156"/>
      <c r="V102" s="156"/>
      <c r="W102" s="156"/>
      <c r="X102" s="156"/>
      <c r="Y102" s="156"/>
    </row>
    <row r="103" spans="1:25" ht="17.25">
      <c r="A103" s="2983" t="s">
        <v>403</v>
      </c>
      <c r="B103" s="2983"/>
      <c r="C103" s="2983"/>
      <c r="D103" s="2983"/>
      <c r="E103" s="2983"/>
      <c r="F103" s="2983"/>
      <c r="G103" s="2983"/>
      <c r="H103" s="2983"/>
      <c r="I103" s="2983"/>
      <c r="J103" s="2983"/>
      <c r="K103" s="2983"/>
      <c r="L103" s="2983"/>
      <c r="M103" s="2983"/>
      <c r="N103" s="2983"/>
      <c r="O103" s="2983"/>
      <c r="P103" s="156"/>
      <c r="V103" s="156"/>
      <c r="W103" s="156"/>
      <c r="X103" s="156"/>
      <c r="Y103" s="156"/>
    </row>
    <row r="104" spans="1:25" ht="31.5" customHeight="1">
      <c r="A104" s="38"/>
      <c r="B104" s="38"/>
      <c r="C104" s="38"/>
      <c r="D104" s="38"/>
      <c r="E104" s="38"/>
      <c r="F104" s="38"/>
      <c r="G104" s="38"/>
      <c r="H104" s="38"/>
      <c r="I104" s="38"/>
      <c r="J104" s="38"/>
      <c r="K104" s="38"/>
      <c r="L104" s="38"/>
      <c r="M104" s="38"/>
      <c r="N104" s="38"/>
      <c r="O104" s="38"/>
      <c r="P104" s="156"/>
      <c r="V104" s="156"/>
      <c r="W104" s="156"/>
      <c r="X104" s="156"/>
      <c r="Y104" s="156"/>
    </row>
    <row r="105" spans="1:25" s="51" customFormat="1" ht="15.95" customHeight="1">
      <c r="A105" s="48" t="s">
        <v>151</v>
      </c>
      <c r="B105" s="80"/>
      <c r="C105" s="80"/>
      <c r="D105" s="80"/>
      <c r="E105" s="80"/>
      <c r="F105" s="80"/>
      <c r="G105" s="80"/>
      <c r="H105" s="80"/>
      <c r="I105" s="80"/>
      <c r="J105" s="80"/>
      <c r="K105" s="80"/>
      <c r="L105" s="80"/>
      <c r="M105" s="80"/>
      <c r="P105" s="324"/>
      <c r="Q105" s="1250"/>
      <c r="R105" s="1250"/>
      <c r="S105" s="1250"/>
      <c r="T105" s="1250"/>
      <c r="U105" s="1242"/>
      <c r="V105" s="324"/>
      <c r="W105" s="324"/>
      <c r="X105" s="324"/>
      <c r="Y105" s="324"/>
    </row>
    <row r="106" spans="1:25" ht="39.950000000000003" customHeight="1">
      <c r="A106" s="2984" t="s">
        <v>152</v>
      </c>
      <c r="B106" s="2985"/>
      <c r="C106" s="2986"/>
      <c r="D106" s="2987" t="str">
        <f>参照元個別!I9</f>
        <v>事業所名を入力5</v>
      </c>
      <c r="E106" s="2988"/>
      <c r="F106" s="2988"/>
      <c r="G106" s="2988"/>
      <c r="H106" s="2988"/>
      <c r="I106" s="2988"/>
      <c r="J106" s="2988"/>
      <c r="K106" s="2988"/>
      <c r="L106" s="2988"/>
      <c r="M106" s="2988"/>
      <c r="N106" s="2988"/>
      <c r="O106" s="2989"/>
      <c r="P106" s="156"/>
      <c r="V106" s="156"/>
      <c r="W106" s="156"/>
      <c r="X106" s="156"/>
      <c r="Y106" s="156"/>
    </row>
    <row r="107" spans="1:25" ht="39.950000000000003" customHeight="1">
      <c r="A107" s="2570" t="s">
        <v>153</v>
      </c>
      <c r="B107" s="2571"/>
      <c r="C107" s="2990"/>
      <c r="D107" s="2991"/>
      <c r="E107" s="2992"/>
      <c r="F107" s="2992"/>
      <c r="G107" s="2992"/>
      <c r="H107" s="2992"/>
      <c r="I107" s="2992"/>
      <c r="J107" s="2992"/>
      <c r="K107" s="2992"/>
      <c r="L107" s="2992"/>
      <c r="M107" s="2992"/>
      <c r="N107" s="2992"/>
      <c r="O107" s="2993"/>
      <c r="P107" s="156"/>
      <c r="V107" s="156"/>
      <c r="W107" s="156"/>
      <c r="X107" s="156"/>
      <c r="Y107" s="156"/>
    </row>
    <row r="108" spans="1:25" ht="39.950000000000003" customHeight="1">
      <c r="A108" s="2536" t="s">
        <v>154</v>
      </c>
      <c r="B108" s="2978"/>
      <c r="C108" s="2979"/>
      <c r="D108" s="2980"/>
      <c r="E108" s="101" t="s">
        <v>180</v>
      </c>
      <c r="F108" s="2974" t="s">
        <v>404</v>
      </c>
      <c r="G108" s="2975"/>
      <c r="H108" s="2981" t="str">
        <f ca="1">参照元個別!$P$9</f>
        <v/>
      </c>
      <c r="I108" s="2982"/>
      <c r="J108" s="58" t="s">
        <v>176</v>
      </c>
      <c r="K108" s="2974" t="s">
        <v>405</v>
      </c>
      <c r="L108" s="2975"/>
      <c r="M108" s="2971"/>
      <c r="N108" s="2972"/>
      <c r="O108" s="2973"/>
      <c r="P108" s="156" t="str">
        <f>IFERROR(VLOOKUP(M108,$U$1:$V$16,2,0),"")</f>
        <v/>
      </c>
      <c r="U108" s="1250"/>
      <c r="V108" s="156"/>
      <c r="W108" s="156"/>
      <c r="X108" s="156"/>
      <c r="Y108" s="156"/>
    </row>
    <row r="109" spans="1:25" ht="39.950000000000003" customHeight="1">
      <c r="A109" s="2974" t="s">
        <v>406</v>
      </c>
      <c r="B109" s="2975"/>
      <c r="C109" s="2976"/>
      <c r="D109" s="2896"/>
      <c r="E109" s="2897"/>
      <c r="F109" s="2974" t="s">
        <v>158</v>
      </c>
      <c r="G109" s="2975"/>
      <c r="H109" s="2976"/>
      <c r="I109" s="2896"/>
      <c r="J109" s="2897"/>
      <c r="K109" s="2580"/>
      <c r="L109" s="2977"/>
      <c r="M109" s="2977"/>
      <c r="N109" s="2977"/>
      <c r="O109" s="2977"/>
      <c r="P109" s="156"/>
      <c r="V109" s="156"/>
      <c r="W109" s="156"/>
      <c r="X109" s="156"/>
      <c r="Y109" s="156"/>
    </row>
    <row r="110" spans="1:25" ht="18.75" customHeight="1">
      <c r="A110" s="39"/>
      <c r="B110" s="39"/>
      <c r="C110" s="40"/>
      <c r="D110" s="41"/>
      <c r="E110" s="40"/>
      <c r="F110" s="42"/>
      <c r="P110" s="156"/>
      <c r="V110" s="325"/>
      <c r="W110" s="325"/>
      <c r="X110" s="156"/>
      <c r="Y110" s="156"/>
    </row>
    <row r="111" spans="1:25" ht="51.75" customHeight="1">
      <c r="A111" s="2950" t="s">
        <v>505</v>
      </c>
      <c r="B111" s="2951"/>
      <c r="C111" s="2951"/>
      <c r="D111" s="2951"/>
      <c r="E111" s="2951"/>
      <c r="F111" s="2951"/>
      <c r="G111" s="2951"/>
      <c r="H111" s="2951"/>
      <c r="I111" s="2951"/>
      <c r="J111" s="2951"/>
      <c r="K111" s="2951"/>
      <c r="L111" s="2951"/>
      <c r="M111" s="2951"/>
      <c r="N111" s="2951"/>
      <c r="O111" s="2951"/>
      <c r="P111" s="156"/>
      <c r="V111" s="325"/>
      <c r="W111" s="325"/>
      <c r="X111" s="156"/>
      <c r="Y111" s="156"/>
    </row>
    <row r="112" spans="1:25" ht="57.75" customHeight="1">
      <c r="A112" s="39"/>
      <c r="B112" s="39"/>
      <c r="C112" s="40"/>
      <c r="D112" s="41"/>
      <c r="E112" s="40"/>
      <c r="F112" s="42"/>
      <c r="P112" s="156"/>
      <c r="Q112" s="1251"/>
      <c r="R112" s="1251"/>
      <c r="S112" s="1251"/>
      <c r="T112" s="1251"/>
      <c r="V112" s="325"/>
      <c r="W112" s="325"/>
      <c r="X112" s="156"/>
      <c r="Y112" s="156"/>
    </row>
    <row r="113" spans="1:28" s="51" customFormat="1" ht="15.95" customHeight="1">
      <c r="A113" s="50" t="s">
        <v>509</v>
      </c>
      <c r="B113" s="52"/>
      <c r="C113" s="52"/>
      <c r="D113" s="52"/>
      <c r="E113" s="52"/>
      <c r="F113" s="52"/>
      <c r="G113" s="52"/>
      <c r="H113" s="52"/>
      <c r="I113" s="52"/>
      <c r="J113" s="52"/>
      <c r="K113" s="52"/>
      <c r="L113" s="50"/>
      <c r="M113" s="50"/>
      <c r="N113" s="50"/>
      <c r="O113" s="50"/>
      <c r="P113" s="324"/>
      <c r="Q113" s="1252"/>
      <c r="R113" s="1252"/>
      <c r="S113" s="1252"/>
      <c r="T113" s="1252"/>
      <c r="U113" s="1242"/>
      <c r="V113" s="326"/>
      <c r="W113" s="326"/>
      <c r="X113" s="324"/>
      <c r="Y113" s="324"/>
    </row>
    <row r="114" spans="1:28" ht="36" customHeight="1">
      <c r="A114" s="2654"/>
      <c r="B114" s="2655"/>
      <c r="C114" s="2674" t="s">
        <v>504</v>
      </c>
      <c r="D114" s="2674"/>
      <c r="E114" s="2674"/>
      <c r="F114" s="2674"/>
      <c r="G114" s="2674"/>
      <c r="H114" s="2952"/>
      <c r="I114" s="2673" t="s">
        <v>407</v>
      </c>
      <c r="J114" s="2953"/>
      <c r="K114" s="2953"/>
      <c r="L114" s="2953"/>
      <c r="M114" s="2953"/>
      <c r="N114" s="2953"/>
      <c r="O114" s="2952"/>
      <c r="P114" s="156"/>
      <c r="V114" s="156"/>
      <c r="W114" s="156"/>
      <c r="X114" s="156"/>
      <c r="Y114" s="156"/>
    </row>
    <row r="115" spans="1:28" ht="24" customHeight="1">
      <c r="A115" s="2633" t="s">
        <v>236</v>
      </c>
      <c r="B115" s="2954"/>
      <c r="C115" s="2955" t="str">
        <f ca="1">参照元個別!E9</f>
        <v/>
      </c>
      <c r="D115" s="2955"/>
      <c r="E115" s="2955"/>
      <c r="F115" s="2955"/>
      <c r="G115" s="2956"/>
      <c r="H115" s="2959" t="s">
        <v>414</v>
      </c>
      <c r="I115" s="2961" t="str">
        <f>参照元個別!F9</f>
        <v/>
      </c>
      <c r="J115" s="2962"/>
      <c r="K115" s="2962"/>
      <c r="L115" s="2962"/>
      <c r="M115" s="2965" t="s">
        <v>415</v>
      </c>
      <c r="N115" s="2967" t="str">
        <f>参照元個別!G9</f>
        <v/>
      </c>
      <c r="O115" s="2968"/>
      <c r="P115" s="165"/>
      <c r="V115" s="156"/>
      <c r="W115" s="156"/>
      <c r="X115" s="156"/>
      <c r="Y115" s="156"/>
    </row>
    <row r="116" spans="1:28" ht="23.1" customHeight="1">
      <c r="A116" s="2637">
        <f>IF( 報1!$L$28="","", 報1!$L$28 )</f>
        <v>2023</v>
      </c>
      <c r="B116" s="2638"/>
      <c r="C116" s="2957"/>
      <c r="D116" s="2957"/>
      <c r="E116" s="2957"/>
      <c r="F116" s="2957"/>
      <c r="G116" s="2958"/>
      <c r="H116" s="2960"/>
      <c r="I116" s="2963"/>
      <c r="J116" s="2964"/>
      <c r="K116" s="2964"/>
      <c r="L116" s="2964"/>
      <c r="M116" s="2966"/>
      <c r="N116" s="2969"/>
      <c r="O116" s="2970"/>
      <c r="P116" s="165"/>
      <c r="V116" s="156"/>
      <c r="W116" s="156"/>
      <c r="X116" s="156"/>
      <c r="Y116" s="156"/>
    </row>
    <row r="117" spans="1:28" ht="25.15" customHeight="1">
      <c r="A117" s="2938" t="s">
        <v>277</v>
      </c>
      <c r="B117" s="2939"/>
      <c r="C117" s="2940"/>
      <c r="D117" s="2941"/>
      <c r="E117" s="2941"/>
      <c r="F117" s="2941"/>
      <c r="G117" s="2941"/>
      <c r="H117" s="2941"/>
      <c r="I117" s="2941"/>
      <c r="J117" s="2941"/>
      <c r="K117" s="2941"/>
      <c r="L117" s="2941"/>
      <c r="M117" s="2941"/>
      <c r="N117" s="2941"/>
      <c r="O117" s="2942"/>
      <c r="P117" s="156"/>
      <c r="Q117" s="1253">
        <v>1</v>
      </c>
      <c r="R117" s="1245"/>
      <c r="S117" s="1254"/>
      <c r="T117" s="1255"/>
      <c r="U117" s="1256"/>
      <c r="V117" s="156"/>
      <c r="W117" s="156"/>
      <c r="X117" s="327"/>
      <c r="Y117" s="328"/>
      <c r="Z117" s="99"/>
      <c r="AA117" s="43"/>
      <c r="AB117" s="44"/>
    </row>
    <row r="118" spans="1:28" ht="25.15" customHeight="1">
      <c r="A118" s="2938"/>
      <c r="B118" s="2939"/>
      <c r="C118" s="2941"/>
      <c r="D118" s="2941"/>
      <c r="E118" s="2941"/>
      <c r="F118" s="2941"/>
      <c r="G118" s="2941"/>
      <c r="H118" s="2941"/>
      <c r="I118" s="2941"/>
      <c r="J118" s="2941"/>
      <c r="K118" s="2941"/>
      <c r="L118" s="2941"/>
      <c r="M118" s="2941"/>
      <c r="N118" s="2941"/>
      <c r="O118" s="2942"/>
      <c r="P118" s="156"/>
      <c r="Q118" s="1257"/>
      <c r="R118" s="1258"/>
      <c r="S118" s="1258"/>
      <c r="T118" s="1258"/>
      <c r="U118" s="1258"/>
      <c r="V118" s="156"/>
      <c r="W118" s="156"/>
      <c r="X118" s="156"/>
      <c r="Y118" s="156"/>
    </row>
    <row r="119" spans="1:28" ht="24.75" customHeight="1">
      <c r="A119" s="2938"/>
      <c r="B119" s="2939"/>
      <c r="C119" s="2941"/>
      <c r="D119" s="2941"/>
      <c r="E119" s="2941"/>
      <c r="F119" s="2941"/>
      <c r="G119" s="2941"/>
      <c r="H119" s="2941"/>
      <c r="I119" s="2941"/>
      <c r="J119" s="2941"/>
      <c r="K119" s="2941"/>
      <c r="L119" s="2941"/>
      <c r="M119" s="2941"/>
      <c r="N119" s="2941"/>
      <c r="O119" s="2942"/>
      <c r="P119" s="156"/>
      <c r="Q119" s="1257"/>
      <c r="R119" s="1256"/>
      <c r="S119" s="1256"/>
      <c r="T119" s="1256"/>
      <c r="U119" s="1256"/>
      <c r="V119" s="156"/>
      <c r="W119" s="156"/>
      <c r="X119" s="156"/>
      <c r="Y119" s="156"/>
    </row>
    <row r="120" spans="1:28" ht="10.15" customHeight="1">
      <c r="A120" s="2945"/>
      <c r="B120" s="2946"/>
      <c r="C120" s="2941"/>
      <c r="D120" s="2941"/>
      <c r="E120" s="2941"/>
      <c r="F120" s="2941"/>
      <c r="G120" s="2941"/>
      <c r="H120" s="2941"/>
      <c r="I120" s="2941"/>
      <c r="J120" s="2941"/>
      <c r="K120" s="2941"/>
      <c r="L120" s="2941"/>
      <c r="M120" s="2941"/>
      <c r="N120" s="2941"/>
      <c r="O120" s="2942"/>
      <c r="P120" s="156"/>
      <c r="Q120" s="1259"/>
      <c r="R120" s="1256"/>
      <c r="S120" s="1256"/>
      <c r="T120" s="1256"/>
      <c r="U120" s="1256"/>
      <c r="V120" s="156"/>
      <c r="W120" s="156"/>
      <c r="X120" s="156"/>
      <c r="Y120" s="156"/>
    </row>
    <row r="121" spans="1:28" ht="45" customHeight="1">
      <c r="A121" s="2947">
        <f>IF( 報1!$L$28="","", 報1!$L$28 )</f>
        <v>2023</v>
      </c>
      <c r="B121" s="2948"/>
      <c r="C121" s="2943"/>
      <c r="D121" s="2943"/>
      <c r="E121" s="2943"/>
      <c r="F121" s="2943"/>
      <c r="G121" s="2943"/>
      <c r="H121" s="2943"/>
      <c r="I121" s="2943"/>
      <c r="J121" s="2943"/>
      <c r="K121" s="2943"/>
      <c r="L121" s="2943"/>
      <c r="M121" s="2943"/>
      <c r="N121" s="2943"/>
      <c r="O121" s="2944"/>
      <c r="P121" s="156"/>
      <c r="Q121" s="1260"/>
      <c r="R121" s="1256"/>
      <c r="S121" s="1256"/>
      <c r="T121" s="1256"/>
      <c r="U121" s="1256"/>
      <c r="V121" s="156"/>
      <c r="W121" s="156"/>
      <c r="X121" s="156"/>
      <c r="Y121" s="156"/>
    </row>
    <row r="122" spans="1:28" ht="26.25" customHeight="1">
      <c r="A122" s="2949"/>
      <c r="B122" s="2949"/>
      <c r="C122" s="2949"/>
      <c r="D122" s="2949"/>
      <c r="E122" s="2949"/>
      <c r="F122" s="2949"/>
      <c r="G122" s="2949"/>
      <c r="H122" s="2949"/>
      <c r="I122" s="2949"/>
      <c r="J122" s="2949"/>
      <c r="K122" s="2949"/>
      <c r="L122" s="2949"/>
      <c r="M122" s="2949"/>
      <c r="N122" s="2949"/>
      <c r="O122" s="2949"/>
      <c r="P122" s="156"/>
      <c r="Q122" s="1259"/>
      <c r="R122" s="1256"/>
      <c r="S122" s="1256"/>
      <c r="T122" s="1256"/>
      <c r="U122" s="1256"/>
      <c r="V122" s="156"/>
      <c r="W122" s="156"/>
      <c r="X122" s="156"/>
      <c r="Y122" s="156"/>
    </row>
    <row r="123" spans="1:28" ht="30" customHeight="1">
      <c r="A123" s="156"/>
      <c r="B123" s="156"/>
      <c r="C123" s="156"/>
      <c r="D123" s="156"/>
      <c r="E123" s="156"/>
      <c r="F123" s="156"/>
      <c r="G123" s="156"/>
      <c r="H123" s="156"/>
      <c r="I123" s="156"/>
      <c r="J123" s="156"/>
      <c r="K123" s="156"/>
      <c r="L123" s="156"/>
      <c r="M123" s="156"/>
      <c r="N123" s="156"/>
      <c r="O123" s="329"/>
      <c r="P123" s="156"/>
      <c r="Q123" s="1248"/>
      <c r="R123" s="1260"/>
      <c r="S123" s="1244"/>
      <c r="T123" s="1244"/>
      <c r="V123" s="156"/>
      <c r="W123" s="156"/>
      <c r="X123" s="156"/>
      <c r="Y123" s="156"/>
    </row>
    <row r="124" spans="1:28" ht="18" customHeight="1">
      <c r="A124" s="156"/>
      <c r="B124" s="156"/>
      <c r="C124" s="156"/>
      <c r="D124" s="156"/>
      <c r="E124" s="156"/>
      <c r="F124" s="156"/>
      <c r="G124" s="156"/>
      <c r="H124" s="156"/>
      <c r="I124" s="156"/>
      <c r="J124" s="156"/>
      <c r="K124" s="156"/>
      <c r="L124" s="156"/>
      <c r="M124" s="156"/>
      <c r="N124" s="156"/>
      <c r="O124" s="329"/>
      <c r="P124" s="156"/>
      <c r="Q124" s="1261"/>
      <c r="R124" s="1260"/>
      <c r="S124" s="1244"/>
      <c r="T124" s="1244"/>
      <c r="V124" s="156"/>
      <c r="W124" s="156"/>
      <c r="X124" s="156"/>
      <c r="Y124" s="156"/>
    </row>
    <row r="125" spans="1:28" ht="18" customHeight="1">
      <c r="A125" s="156"/>
      <c r="B125" s="156"/>
      <c r="C125" s="156"/>
      <c r="D125" s="156"/>
      <c r="E125" s="156"/>
      <c r="F125" s="156"/>
      <c r="G125" s="156"/>
      <c r="H125" s="156"/>
      <c r="I125" s="156"/>
      <c r="J125" s="156"/>
      <c r="K125" s="156"/>
      <c r="L125" s="156"/>
      <c r="M125" s="156"/>
      <c r="N125" s="156"/>
      <c r="O125" s="329"/>
      <c r="P125" s="156"/>
      <c r="Q125" s="1261"/>
      <c r="R125" s="1260"/>
      <c r="S125" s="1244"/>
      <c r="T125" s="1244"/>
      <c r="V125" s="156"/>
      <c r="W125" s="156"/>
      <c r="X125" s="156"/>
      <c r="Y125" s="156"/>
    </row>
    <row r="126" spans="1:28">
      <c r="A126" s="1" t="s">
        <v>175</v>
      </c>
      <c r="B126" s="2"/>
      <c r="C126" s="2"/>
      <c r="D126" s="2"/>
      <c r="E126" s="2"/>
      <c r="F126" s="2"/>
      <c r="G126" s="2"/>
      <c r="H126" s="2"/>
      <c r="I126" s="2"/>
      <c r="J126" s="2"/>
      <c r="K126" s="2"/>
      <c r="L126" s="2"/>
      <c r="M126" s="2"/>
      <c r="N126" s="2"/>
      <c r="O126" s="2"/>
      <c r="P126" s="156" t="str">
        <f>"個別票"&amp;Q126</f>
        <v>個別票6</v>
      </c>
      <c r="Q126" s="1242">
        <f>Q101+1</f>
        <v>6</v>
      </c>
      <c r="V126" s="156"/>
      <c r="W126" s="156"/>
      <c r="X126" s="156"/>
      <c r="Y126" s="156"/>
    </row>
    <row r="127" spans="1:28">
      <c r="A127" s="2" t="s">
        <v>150</v>
      </c>
      <c r="B127" s="4"/>
      <c r="C127" s="4"/>
      <c r="D127" s="4"/>
      <c r="E127" s="4"/>
      <c r="F127" s="4"/>
      <c r="G127" s="4"/>
      <c r="H127" s="4"/>
      <c r="I127" s="4"/>
      <c r="J127" s="4"/>
      <c r="K127" s="4"/>
      <c r="L127" s="4"/>
      <c r="M127" s="4"/>
      <c r="N127" s="2"/>
      <c r="O127" s="2"/>
      <c r="P127" s="156"/>
      <c r="V127" s="156"/>
      <c r="W127" s="156"/>
      <c r="X127" s="156"/>
      <c r="Y127" s="156"/>
    </row>
    <row r="128" spans="1:28" ht="17.25">
      <c r="A128" s="2983" t="s">
        <v>403</v>
      </c>
      <c r="B128" s="2983"/>
      <c r="C128" s="2983"/>
      <c r="D128" s="2983"/>
      <c r="E128" s="2983"/>
      <c r="F128" s="2983"/>
      <c r="G128" s="2983"/>
      <c r="H128" s="2983"/>
      <c r="I128" s="2983"/>
      <c r="J128" s="2983"/>
      <c r="K128" s="2983"/>
      <c r="L128" s="2983"/>
      <c r="M128" s="2983"/>
      <c r="N128" s="2983"/>
      <c r="O128" s="2983"/>
      <c r="P128" s="156"/>
      <c r="V128" s="156"/>
      <c r="W128" s="156"/>
      <c r="X128" s="156"/>
      <c r="Y128" s="156"/>
    </row>
    <row r="129" spans="1:28" ht="31.5" customHeight="1">
      <c r="A129" s="38"/>
      <c r="B129" s="38"/>
      <c r="C129" s="38"/>
      <c r="D129" s="38"/>
      <c r="E129" s="38"/>
      <c r="F129" s="38"/>
      <c r="G129" s="38"/>
      <c r="H129" s="38"/>
      <c r="I129" s="38"/>
      <c r="J129" s="38"/>
      <c r="K129" s="38"/>
      <c r="L129" s="38"/>
      <c r="M129" s="38"/>
      <c r="N129" s="38"/>
      <c r="O129" s="38"/>
      <c r="P129" s="156"/>
      <c r="V129" s="156"/>
      <c r="W129" s="156"/>
      <c r="X129" s="156"/>
      <c r="Y129" s="156"/>
    </row>
    <row r="130" spans="1:28" s="51" customFormat="1" ht="15.95" customHeight="1">
      <c r="A130" s="48" t="s">
        <v>151</v>
      </c>
      <c r="B130" s="80"/>
      <c r="C130" s="80"/>
      <c r="D130" s="80"/>
      <c r="E130" s="80"/>
      <c r="F130" s="80"/>
      <c r="G130" s="80"/>
      <c r="H130" s="80"/>
      <c r="I130" s="80"/>
      <c r="J130" s="80"/>
      <c r="K130" s="80"/>
      <c r="L130" s="80"/>
      <c r="M130" s="80"/>
      <c r="P130" s="324"/>
      <c r="Q130" s="1250"/>
      <c r="R130" s="1250"/>
      <c r="S130" s="1250"/>
      <c r="T130" s="1250"/>
      <c r="U130" s="1242"/>
      <c r="V130" s="324"/>
      <c r="W130" s="324"/>
      <c r="X130" s="324"/>
      <c r="Y130" s="324"/>
    </row>
    <row r="131" spans="1:28" ht="39.950000000000003" customHeight="1">
      <c r="A131" s="2984" t="s">
        <v>152</v>
      </c>
      <c r="B131" s="2985"/>
      <c r="C131" s="2986"/>
      <c r="D131" s="2987" t="str">
        <f>参照元個別!I10</f>
        <v>事業所名を入力6</v>
      </c>
      <c r="E131" s="2988"/>
      <c r="F131" s="2988"/>
      <c r="G131" s="2988"/>
      <c r="H131" s="2988"/>
      <c r="I131" s="2988"/>
      <c r="J131" s="2988"/>
      <c r="K131" s="2988"/>
      <c r="L131" s="2988"/>
      <c r="M131" s="2988"/>
      <c r="N131" s="2988"/>
      <c r="O131" s="2989"/>
      <c r="P131" s="156"/>
      <c r="V131" s="156"/>
      <c r="W131" s="156"/>
      <c r="X131" s="156"/>
      <c r="Y131" s="156"/>
    </row>
    <row r="132" spans="1:28" ht="39.950000000000003" customHeight="1">
      <c r="A132" s="2570" t="s">
        <v>153</v>
      </c>
      <c r="B132" s="2571"/>
      <c r="C132" s="2990"/>
      <c r="D132" s="2991"/>
      <c r="E132" s="2992"/>
      <c r="F132" s="2992"/>
      <c r="G132" s="2992"/>
      <c r="H132" s="2992"/>
      <c r="I132" s="2992"/>
      <c r="J132" s="2992"/>
      <c r="K132" s="2992"/>
      <c r="L132" s="2992"/>
      <c r="M132" s="2992"/>
      <c r="N132" s="2992"/>
      <c r="O132" s="2993"/>
      <c r="P132" s="156"/>
      <c r="V132" s="156"/>
      <c r="W132" s="156"/>
      <c r="X132" s="156"/>
      <c r="Y132" s="156"/>
    </row>
    <row r="133" spans="1:28" ht="39.950000000000003" customHeight="1">
      <c r="A133" s="2536" t="s">
        <v>154</v>
      </c>
      <c r="B133" s="2978"/>
      <c r="C133" s="2979"/>
      <c r="D133" s="2980"/>
      <c r="E133" s="101" t="s">
        <v>180</v>
      </c>
      <c r="F133" s="2974" t="s">
        <v>404</v>
      </c>
      <c r="G133" s="2975"/>
      <c r="H133" s="2981" t="str">
        <f ca="1">参照元個別!$P$10</f>
        <v/>
      </c>
      <c r="I133" s="2982"/>
      <c r="J133" s="58" t="s">
        <v>176</v>
      </c>
      <c r="K133" s="2974" t="s">
        <v>405</v>
      </c>
      <c r="L133" s="2975"/>
      <c r="M133" s="2971"/>
      <c r="N133" s="2972"/>
      <c r="O133" s="2973"/>
      <c r="P133" s="156" t="str">
        <f>IFERROR(VLOOKUP(M133,$U$1:$V$16,2,0),"")</f>
        <v/>
      </c>
      <c r="U133" s="1250"/>
      <c r="V133" s="156"/>
      <c r="W133" s="156"/>
      <c r="X133" s="156"/>
      <c r="Y133" s="156"/>
    </row>
    <row r="134" spans="1:28" ht="39.950000000000003" customHeight="1">
      <c r="A134" s="2974" t="s">
        <v>406</v>
      </c>
      <c r="B134" s="2975"/>
      <c r="C134" s="2976"/>
      <c r="D134" s="2896"/>
      <c r="E134" s="2897"/>
      <c r="F134" s="2974" t="s">
        <v>158</v>
      </c>
      <c r="G134" s="2975"/>
      <c r="H134" s="2976"/>
      <c r="I134" s="2896"/>
      <c r="J134" s="2897"/>
      <c r="K134" s="2580"/>
      <c r="L134" s="2977"/>
      <c r="M134" s="2977"/>
      <c r="N134" s="2977"/>
      <c r="O134" s="2977"/>
      <c r="P134" s="156"/>
      <c r="V134" s="156"/>
      <c r="W134" s="156"/>
      <c r="X134" s="156"/>
      <c r="Y134" s="156"/>
    </row>
    <row r="135" spans="1:28" ht="18.75" customHeight="1">
      <c r="A135" s="39"/>
      <c r="B135" s="39"/>
      <c r="C135" s="40"/>
      <c r="D135" s="41"/>
      <c r="E135" s="40"/>
      <c r="F135" s="42"/>
      <c r="P135" s="156"/>
      <c r="V135" s="325"/>
      <c r="W135" s="325"/>
      <c r="X135" s="156"/>
      <c r="Y135" s="156"/>
    </row>
    <row r="136" spans="1:28" ht="51.75" customHeight="1">
      <c r="A136" s="2950" t="s">
        <v>505</v>
      </c>
      <c r="B136" s="2951"/>
      <c r="C136" s="2951"/>
      <c r="D136" s="2951"/>
      <c r="E136" s="2951"/>
      <c r="F136" s="2951"/>
      <c r="G136" s="2951"/>
      <c r="H136" s="2951"/>
      <c r="I136" s="2951"/>
      <c r="J136" s="2951"/>
      <c r="K136" s="2951"/>
      <c r="L136" s="2951"/>
      <c r="M136" s="2951"/>
      <c r="N136" s="2951"/>
      <c r="O136" s="2951"/>
      <c r="P136" s="156"/>
      <c r="V136" s="325"/>
      <c r="W136" s="325"/>
      <c r="X136" s="156"/>
      <c r="Y136" s="156"/>
    </row>
    <row r="137" spans="1:28" ht="57.75" customHeight="1">
      <c r="A137" s="39"/>
      <c r="B137" s="39"/>
      <c r="C137" s="40"/>
      <c r="D137" s="41"/>
      <c r="E137" s="40"/>
      <c r="F137" s="42"/>
      <c r="P137" s="156"/>
      <c r="Q137" s="1251"/>
      <c r="R137" s="1251"/>
      <c r="S137" s="1251"/>
      <c r="T137" s="1251"/>
      <c r="V137" s="325"/>
      <c r="W137" s="325"/>
      <c r="X137" s="156"/>
      <c r="Y137" s="156"/>
    </row>
    <row r="138" spans="1:28" s="51" customFormat="1" ht="15.95" customHeight="1">
      <c r="A138" s="50" t="s">
        <v>509</v>
      </c>
      <c r="B138" s="52"/>
      <c r="C138" s="52"/>
      <c r="D138" s="52"/>
      <c r="E138" s="52"/>
      <c r="F138" s="52"/>
      <c r="G138" s="52"/>
      <c r="H138" s="52"/>
      <c r="I138" s="52"/>
      <c r="J138" s="52"/>
      <c r="K138" s="52"/>
      <c r="L138" s="50"/>
      <c r="M138" s="50"/>
      <c r="N138" s="50"/>
      <c r="O138" s="50"/>
      <c r="P138" s="324"/>
      <c r="Q138" s="1252"/>
      <c r="R138" s="1252"/>
      <c r="S138" s="1252"/>
      <c r="T138" s="1252"/>
      <c r="U138" s="1242"/>
      <c r="V138" s="326"/>
      <c r="W138" s="326"/>
      <c r="X138" s="324"/>
      <c r="Y138" s="324"/>
    </row>
    <row r="139" spans="1:28" ht="36" customHeight="1">
      <c r="A139" s="2654"/>
      <c r="B139" s="2655"/>
      <c r="C139" s="2674" t="s">
        <v>504</v>
      </c>
      <c r="D139" s="2674"/>
      <c r="E139" s="2674"/>
      <c r="F139" s="2674"/>
      <c r="G139" s="2674"/>
      <c r="H139" s="2952"/>
      <c r="I139" s="2673" t="s">
        <v>407</v>
      </c>
      <c r="J139" s="2953"/>
      <c r="K139" s="2953"/>
      <c r="L139" s="2953"/>
      <c r="M139" s="2953"/>
      <c r="N139" s="2953"/>
      <c r="O139" s="2952"/>
      <c r="P139" s="156"/>
      <c r="V139" s="156"/>
      <c r="W139" s="156"/>
      <c r="X139" s="156"/>
      <c r="Y139" s="156"/>
    </row>
    <row r="140" spans="1:28" ht="24" customHeight="1">
      <c r="A140" s="2633" t="s">
        <v>236</v>
      </c>
      <c r="B140" s="2954"/>
      <c r="C140" s="2955" t="str">
        <f ca="1">参照元個別!E10</f>
        <v/>
      </c>
      <c r="D140" s="2955"/>
      <c r="E140" s="2955"/>
      <c r="F140" s="2955"/>
      <c r="G140" s="2956"/>
      <c r="H140" s="2959" t="s">
        <v>414</v>
      </c>
      <c r="I140" s="2961" t="str">
        <f>参照元個別!F10</f>
        <v/>
      </c>
      <c r="J140" s="2962"/>
      <c r="K140" s="2962"/>
      <c r="L140" s="2962"/>
      <c r="M140" s="2965" t="s">
        <v>415</v>
      </c>
      <c r="N140" s="2967" t="str">
        <f>参照元個別!G10</f>
        <v/>
      </c>
      <c r="O140" s="2968"/>
      <c r="P140" s="165"/>
      <c r="V140" s="156"/>
      <c r="W140" s="156"/>
      <c r="X140" s="156"/>
      <c r="Y140" s="156"/>
    </row>
    <row r="141" spans="1:28" ht="23.1" customHeight="1">
      <c r="A141" s="2637">
        <f>IF( 報1!$L$28="","", 報1!$L$28 )</f>
        <v>2023</v>
      </c>
      <c r="B141" s="2638"/>
      <c r="C141" s="2957"/>
      <c r="D141" s="2957"/>
      <c r="E141" s="2957"/>
      <c r="F141" s="2957"/>
      <c r="G141" s="2958"/>
      <c r="H141" s="2960"/>
      <c r="I141" s="2963"/>
      <c r="J141" s="2964"/>
      <c r="K141" s="2964"/>
      <c r="L141" s="2964"/>
      <c r="M141" s="2966"/>
      <c r="N141" s="2969"/>
      <c r="O141" s="2970"/>
      <c r="P141" s="165"/>
      <c r="V141" s="156"/>
      <c r="W141" s="156"/>
      <c r="X141" s="156"/>
      <c r="Y141" s="156"/>
    </row>
    <row r="142" spans="1:28" ht="25.15" customHeight="1">
      <c r="A142" s="2938" t="s">
        <v>277</v>
      </c>
      <c r="B142" s="2939"/>
      <c r="C142" s="2940"/>
      <c r="D142" s="2941"/>
      <c r="E142" s="2941"/>
      <c r="F142" s="2941"/>
      <c r="G142" s="2941"/>
      <c r="H142" s="2941"/>
      <c r="I142" s="2941"/>
      <c r="J142" s="2941"/>
      <c r="K142" s="2941"/>
      <c r="L142" s="2941"/>
      <c r="M142" s="2941"/>
      <c r="N142" s="2941"/>
      <c r="O142" s="2942"/>
      <c r="P142" s="156"/>
      <c r="Q142" s="1253">
        <v>1</v>
      </c>
      <c r="R142" s="1245"/>
      <c r="S142" s="1254"/>
      <c r="T142" s="1255"/>
      <c r="U142" s="1256"/>
      <c r="V142" s="156"/>
      <c r="W142" s="156"/>
      <c r="X142" s="327"/>
      <c r="Y142" s="328"/>
      <c r="Z142" s="99"/>
      <c r="AA142" s="43"/>
      <c r="AB142" s="44"/>
    </row>
    <row r="143" spans="1:28" ht="25.15" customHeight="1">
      <c r="A143" s="2938"/>
      <c r="B143" s="2939"/>
      <c r="C143" s="2941"/>
      <c r="D143" s="2941"/>
      <c r="E143" s="2941"/>
      <c r="F143" s="2941"/>
      <c r="G143" s="2941"/>
      <c r="H143" s="2941"/>
      <c r="I143" s="2941"/>
      <c r="J143" s="2941"/>
      <c r="K143" s="2941"/>
      <c r="L143" s="2941"/>
      <c r="M143" s="2941"/>
      <c r="N143" s="2941"/>
      <c r="O143" s="2942"/>
      <c r="P143" s="156"/>
      <c r="Q143" s="1257"/>
      <c r="R143" s="1258"/>
      <c r="S143" s="1258"/>
      <c r="T143" s="1258"/>
      <c r="U143" s="1258"/>
      <c r="V143" s="156"/>
      <c r="W143" s="156"/>
      <c r="X143" s="156"/>
      <c r="Y143" s="156"/>
    </row>
    <row r="144" spans="1:28" ht="24.75" customHeight="1">
      <c r="A144" s="2938"/>
      <c r="B144" s="2939"/>
      <c r="C144" s="2941"/>
      <c r="D144" s="2941"/>
      <c r="E144" s="2941"/>
      <c r="F144" s="2941"/>
      <c r="G144" s="2941"/>
      <c r="H144" s="2941"/>
      <c r="I144" s="2941"/>
      <c r="J144" s="2941"/>
      <c r="K144" s="2941"/>
      <c r="L144" s="2941"/>
      <c r="M144" s="2941"/>
      <c r="N144" s="2941"/>
      <c r="O144" s="2942"/>
      <c r="P144" s="156"/>
      <c r="Q144" s="1257"/>
      <c r="R144" s="1256"/>
      <c r="S144" s="1256"/>
      <c r="T144" s="1256"/>
      <c r="U144" s="1256"/>
      <c r="V144" s="156"/>
      <c r="W144" s="156"/>
      <c r="X144" s="156"/>
      <c r="Y144" s="156"/>
    </row>
    <row r="145" spans="1:25" ht="10.15" customHeight="1">
      <c r="A145" s="2945"/>
      <c r="B145" s="2946"/>
      <c r="C145" s="2941"/>
      <c r="D145" s="2941"/>
      <c r="E145" s="2941"/>
      <c r="F145" s="2941"/>
      <c r="G145" s="2941"/>
      <c r="H145" s="2941"/>
      <c r="I145" s="2941"/>
      <c r="J145" s="2941"/>
      <c r="K145" s="2941"/>
      <c r="L145" s="2941"/>
      <c r="M145" s="2941"/>
      <c r="N145" s="2941"/>
      <c r="O145" s="2942"/>
      <c r="P145" s="156"/>
      <c r="Q145" s="1259"/>
      <c r="R145" s="1256"/>
      <c r="S145" s="1256"/>
      <c r="T145" s="1256"/>
      <c r="U145" s="1256"/>
      <c r="V145" s="156"/>
      <c r="W145" s="156"/>
      <c r="X145" s="156"/>
      <c r="Y145" s="156"/>
    </row>
    <row r="146" spans="1:25" ht="45" customHeight="1">
      <c r="A146" s="2947">
        <f>IF( 報1!$L$28="","", 報1!$L$28 )</f>
        <v>2023</v>
      </c>
      <c r="B146" s="2948"/>
      <c r="C146" s="2943"/>
      <c r="D146" s="2943"/>
      <c r="E146" s="2943"/>
      <c r="F146" s="2943"/>
      <c r="G146" s="2943"/>
      <c r="H146" s="2943"/>
      <c r="I146" s="2943"/>
      <c r="J146" s="2943"/>
      <c r="K146" s="2943"/>
      <c r="L146" s="2943"/>
      <c r="M146" s="2943"/>
      <c r="N146" s="2943"/>
      <c r="O146" s="2944"/>
      <c r="P146" s="156"/>
      <c r="Q146" s="1260"/>
      <c r="R146" s="1256"/>
      <c r="S146" s="1256"/>
      <c r="T146" s="1256"/>
      <c r="U146" s="1256"/>
      <c r="V146" s="156"/>
      <c r="W146" s="156"/>
      <c r="X146" s="156"/>
      <c r="Y146" s="156"/>
    </row>
    <row r="147" spans="1:25" ht="26.25" customHeight="1">
      <c r="A147" s="2949"/>
      <c r="B147" s="2949"/>
      <c r="C147" s="2949"/>
      <c r="D147" s="2949"/>
      <c r="E147" s="2949"/>
      <c r="F147" s="2949"/>
      <c r="G147" s="2949"/>
      <c r="H147" s="2949"/>
      <c r="I147" s="2949"/>
      <c r="J147" s="2949"/>
      <c r="K147" s="2949"/>
      <c r="L147" s="2949"/>
      <c r="M147" s="2949"/>
      <c r="N147" s="2949"/>
      <c r="O147" s="2949"/>
      <c r="P147" s="156"/>
      <c r="Q147" s="1259"/>
      <c r="R147" s="1256"/>
      <c r="S147" s="1256"/>
      <c r="T147" s="1256"/>
      <c r="U147" s="1256"/>
      <c r="V147" s="156"/>
      <c r="W147" s="156"/>
      <c r="X147" s="156"/>
      <c r="Y147" s="156"/>
    </row>
    <row r="148" spans="1:25" ht="30" customHeight="1">
      <c r="A148" s="156"/>
      <c r="B148" s="156"/>
      <c r="C148" s="156"/>
      <c r="D148" s="156"/>
      <c r="E148" s="156"/>
      <c r="F148" s="156"/>
      <c r="G148" s="156"/>
      <c r="H148" s="156"/>
      <c r="I148" s="156"/>
      <c r="J148" s="156"/>
      <c r="K148" s="156"/>
      <c r="L148" s="156"/>
      <c r="M148" s="156"/>
      <c r="N148" s="156"/>
      <c r="O148" s="329"/>
      <c r="P148" s="156"/>
      <c r="Q148" s="1248"/>
      <c r="R148" s="1260"/>
      <c r="S148" s="1244"/>
      <c r="T148" s="1244"/>
      <c r="V148" s="156"/>
      <c r="W148" s="156"/>
      <c r="X148" s="156"/>
      <c r="Y148" s="156"/>
    </row>
    <row r="149" spans="1:25" ht="18" customHeight="1">
      <c r="A149" s="156"/>
      <c r="B149" s="156"/>
      <c r="C149" s="156"/>
      <c r="D149" s="156"/>
      <c r="E149" s="156"/>
      <c r="F149" s="156"/>
      <c r="G149" s="156"/>
      <c r="H149" s="156"/>
      <c r="I149" s="156"/>
      <c r="J149" s="156"/>
      <c r="K149" s="156"/>
      <c r="L149" s="156"/>
      <c r="M149" s="156"/>
      <c r="N149" s="156"/>
      <c r="O149" s="329"/>
      <c r="P149" s="156"/>
      <c r="Q149" s="1261"/>
      <c r="R149" s="1260"/>
      <c r="S149" s="1244"/>
      <c r="T149" s="1244"/>
      <c r="V149" s="156"/>
      <c r="W149" s="156"/>
      <c r="X149" s="156"/>
      <c r="Y149" s="156"/>
    </row>
    <row r="150" spans="1:25" ht="18" customHeight="1">
      <c r="A150" s="156"/>
      <c r="B150" s="156"/>
      <c r="C150" s="156"/>
      <c r="D150" s="156"/>
      <c r="E150" s="156"/>
      <c r="F150" s="156"/>
      <c r="G150" s="156"/>
      <c r="H150" s="156"/>
      <c r="I150" s="156"/>
      <c r="J150" s="156"/>
      <c r="K150" s="156"/>
      <c r="L150" s="156"/>
      <c r="M150" s="156"/>
      <c r="N150" s="156"/>
      <c r="O150" s="329"/>
      <c r="P150" s="156"/>
      <c r="Q150" s="1261"/>
      <c r="R150" s="1260"/>
      <c r="S150" s="1244"/>
      <c r="T150" s="1244"/>
      <c r="V150" s="156"/>
      <c r="W150" s="156"/>
      <c r="X150" s="156"/>
      <c r="Y150" s="156"/>
    </row>
    <row r="151" spans="1:25">
      <c r="A151" s="1" t="s">
        <v>175</v>
      </c>
      <c r="B151" s="2"/>
      <c r="C151" s="2"/>
      <c r="D151" s="2"/>
      <c r="E151" s="2"/>
      <c r="F151" s="2"/>
      <c r="G151" s="2"/>
      <c r="H151" s="2"/>
      <c r="I151" s="2"/>
      <c r="J151" s="2"/>
      <c r="K151" s="2"/>
      <c r="L151" s="2"/>
      <c r="M151" s="2"/>
      <c r="N151" s="2"/>
      <c r="O151" s="2"/>
      <c r="P151" s="156" t="str">
        <f>"個別票"&amp;Q151</f>
        <v>個別票7</v>
      </c>
      <c r="Q151" s="1242">
        <f>Q126+1</f>
        <v>7</v>
      </c>
      <c r="V151" s="156"/>
      <c r="W151" s="156"/>
      <c r="X151" s="156"/>
      <c r="Y151" s="156"/>
    </row>
    <row r="152" spans="1:25">
      <c r="A152" s="2" t="s">
        <v>150</v>
      </c>
      <c r="B152" s="4"/>
      <c r="C152" s="4"/>
      <c r="D152" s="4"/>
      <c r="E152" s="4"/>
      <c r="F152" s="4"/>
      <c r="G152" s="4"/>
      <c r="H152" s="4"/>
      <c r="I152" s="4"/>
      <c r="J152" s="4"/>
      <c r="K152" s="4"/>
      <c r="L152" s="4"/>
      <c r="M152" s="4"/>
      <c r="N152" s="2"/>
      <c r="O152" s="2"/>
      <c r="P152" s="156"/>
      <c r="V152" s="156"/>
      <c r="W152" s="156"/>
      <c r="X152" s="156"/>
      <c r="Y152" s="156"/>
    </row>
    <row r="153" spans="1:25" ht="17.25">
      <c r="A153" s="2983" t="s">
        <v>403</v>
      </c>
      <c r="B153" s="2983"/>
      <c r="C153" s="2983"/>
      <c r="D153" s="2983"/>
      <c r="E153" s="2983"/>
      <c r="F153" s="2983"/>
      <c r="G153" s="2983"/>
      <c r="H153" s="2983"/>
      <c r="I153" s="2983"/>
      <c r="J153" s="2983"/>
      <c r="K153" s="2983"/>
      <c r="L153" s="2983"/>
      <c r="M153" s="2983"/>
      <c r="N153" s="2983"/>
      <c r="O153" s="2983"/>
      <c r="P153" s="156"/>
      <c r="V153" s="156"/>
      <c r="W153" s="156"/>
      <c r="X153" s="156"/>
      <c r="Y153" s="156"/>
    </row>
    <row r="154" spans="1:25" ht="31.5" customHeight="1">
      <c r="A154" s="38"/>
      <c r="B154" s="38"/>
      <c r="C154" s="38"/>
      <c r="D154" s="38"/>
      <c r="E154" s="38"/>
      <c r="F154" s="38"/>
      <c r="G154" s="38"/>
      <c r="H154" s="38"/>
      <c r="I154" s="38"/>
      <c r="J154" s="38"/>
      <c r="K154" s="38"/>
      <c r="L154" s="38"/>
      <c r="M154" s="38"/>
      <c r="N154" s="38"/>
      <c r="O154" s="38"/>
      <c r="P154" s="156"/>
      <c r="V154" s="156"/>
      <c r="W154" s="156"/>
      <c r="X154" s="156"/>
      <c r="Y154" s="156"/>
    </row>
    <row r="155" spans="1:25" s="51" customFormat="1" ht="15.95" customHeight="1">
      <c r="A155" s="48" t="s">
        <v>151</v>
      </c>
      <c r="B155" s="80"/>
      <c r="C155" s="80"/>
      <c r="D155" s="80"/>
      <c r="E155" s="80"/>
      <c r="F155" s="80"/>
      <c r="G155" s="80"/>
      <c r="H155" s="80"/>
      <c r="I155" s="80"/>
      <c r="J155" s="80"/>
      <c r="K155" s="80"/>
      <c r="L155" s="80"/>
      <c r="M155" s="80"/>
      <c r="P155" s="324"/>
      <c r="Q155" s="1250"/>
      <c r="R155" s="1250"/>
      <c r="S155" s="1250"/>
      <c r="T155" s="1250"/>
      <c r="U155" s="1242"/>
      <c r="V155" s="324"/>
      <c r="W155" s="324"/>
      <c r="X155" s="324"/>
      <c r="Y155" s="324"/>
    </row>
    <row r="156" spans="1:25" ht="39.950000000000003" customHeight="1">
      <c r="A156" s="2984" t="s">
        <v>152</v>
      </c>
      <c r="B156" s="2985"/>
      <c r="C156" s="2986"/>
      <c r="D156" s="2987" t="str">
        <f>参照元個別!I11</f>
        <v>事業所名を入力7</v>
      </c>
      <c r="E156" s="2988"/>
      <c r="F156" s="2988"/>
      <c r="G156" s="2988"/>
      <c r="H156" s="2988"/>
      <c r="I156" s="2988"/>
      <c r="J156" s="2988"/>
      <c r="K156" s="2988"/>
      <c r="L156" s="2988"/>
      <c r="M156" s="2988"/>
      <c r="N156" s="2988"/>
      <c r="O156" s="2989"/>
      <c r="P156" s="156"/>
      <c r="V156" s="156"/>
      <c r="W156" s="156"/>
      <c r="X156" s="156"/>
      <c r="Y156" s="156"/>
    </row>
    <row r="157" spans="1:25" ht="39.950000000000003" customHeight="1">
      <c r="A157" s="2570" t="s">
        <v>153</v>
      </c>
      <c r="B157" s="2571"/>
      <c r="C157" s="2990"/>
      <c r="D157" s="2991"/>
      <c r="E157" s="2992"/>
      <c r="F157" s="2992"/>
      <c r="G157" s="2992"/>
      <c r="H157" s="2992"/>
      <c r="I157" s="2992"/>
      <c r="J157" s="2992"/>
      <c r="K157" s="2992"/>
      <c r="L157" s="2992"/>
      <c r="M157" s="2992"/>
      <c r="N157" s="2992"/>
      <c r="O157" s="2993"/>
      <c r="P157" s="156"/>
      <c r="V157" s="156"/>
      <c r="W157" s="156"/>
      <c r="X157" s="156"/>
      <c r="Y157" s="156"/>
    </row>
    <row r="158" spans="1:25" ht="39.950000000000003" customHeight="1">
      <c r="A158" s="2536" t="s">
        <v>154</v>
      </c>
      <c r="B158" s="2978"/>
      <c r="C158" s="2979"/>
      <c r="D158" s="2980"/>
      <c r="E158" s="101" t="s">
        <v>180</v>
      </c>
      <c r="F158" s="2974" t="s">
        <v>404</v>
      </c>
      <c r="G158" s="2975"/>
      <c r="H158" s="2981" t="str">
        <f ca="1">参照元個別!$P$11</f>
        <v/>
      </c>
      <c r="I158" s="2982"/>
      <c r="J158" s="58" t="s">
        <v>176</v>
      </c>
      <c r="K158" s="2974" t="s">
        <v>405</v>
      </c>
      <c r="L158" s="2975"/>
      <c r="M158" s="2971"/>
      <c r="N158" s="2972"/>
      <c r="O158" s="2973"/>
      <c r="P158" s="156" t="str">
        <f>IFERROR(VLOOKUP(M158,$U$1:$V$16,2,0),"")</f>
        <v/>
      </c>
      <c r="U158" s="1250"/>
      <c r="V158" s="156"/>
      <c r="W158" s="156"/>
      <c r="X158" s="156"/>
      <c r="Y158" s="156"/>
    </row>
    <row r="159" spans="1:25" ht="39.950000000000003" customHeight="1">
      <c r="A159" s="2974" t="s">
        <v>406</v>
      </c>
      <c r="B159" s="2975"/>
      <c r="C159" s="2976"/>
      <c r="D159" s="2896"/>
      <c r="E159" s="2897"/>
      <c r="F159" s="2974" t="s">
        <v>158</v>
      </c>
      <c r="G159" s="2975"/>
      <c r="H159" s="2976"/>
      <c r="I159" s="2896"/>
      <c r="J159" s="2897"/>
      <c r="K159" s="2580"/>
      <c r="L159" s="2977"/>
      <c r="M159" s="2977"/>
      <c r="N159" s="2977"/>
      <c r="O159" s="2977"/>
      <c r="P159" s="156"/>
      <c r="V159" s="156"/>
      <c r="W159" s="156"/>
      <c r="X159" s="156"/>
      <c r="Y159" s="156"/>
    </row>
    <row r="160" spans="1:25" ht="18.75" customHeight="1">
      <c r="A160" s="39"/>
      <c r="B160" s="39"/>
      <c r="C160" s="40"/>
      <c r="D160" s="41"/>
      <c r="E160" s="40"/>
      <c r="F160" s="42"/>
      <c r="P160" s="156"/>
      <c r="V160" s="325"/>
      <c r="W160" s="325"/>
      <c r="X160" s="156"/>
      <c r="Y160" s="156"/>
    </row>
    <row r="161" spans="1:28" ht="51.75" customHeight="1">
      <c r="A161" s="2950" t="s">
        <v>505</v>
      </c>
      <c r="B161" s="2951"/>
      <c r="C161" s="2951"/>
      <c r="D161" s="2951"/>
      <c r="E161" s="2951"/>
      <c r="F161" s="2951"/>
      <c r="G161" s="2951"/>
      <c r="H161" s="2951"/>
      <c r="I161" s="2951"/>
      <c r="J161" s="2951"/>
      <c r="K161" s="2951"/>
      <c r="L161" s="2951"/>
      <c r="M161" s="2951"/>
      <c r="N161" s="2951"/>
      <c r="O161" s="2951"/>
      <c r="P161" s="156"/>
      <c r="V161" s="325"/>
      <c r="W161" s="325"/>
      <c r="X161" s="156"/>
      <c r="Y161" s="156"/>
    </row>
    <row r="162" spans="1:28" ht="57.75" customHeight="1">
      <c r="A162" s="39"/>
      <c r="B162" s="39"/>
      <c r="C162" s="40"/>
      <c r="D162" s="41"/>
      <c r="E162" s="40"/>
      <c r="F162" s="42"/>
      <c r="P162" s="156"/>
      <c r="Q162" s="1251"/>
      <c r="R162" s="1251"/>
      <c r="S162" s="1251"/>
      <c r="T162" s="1251"/>
      <c r="V162" s="325"/>
      <c r="W162" s="325"/>
      <c r="X162" s="156"/>
      <c r="Y162" s="156"/>
    </row>
    <row r="163" spans="1:28" s="51" customFormat="1" ht="15.95" customHeight="1">
      <c r="A163" s="50" t="s">
        <v>509</v>
      </c>
      <c r="B163" s="52"/>
      <c r="C163" s="52"/>
      <c r="D163" s="52"/>
      <c r="E163" s="52"/>
      <c r="F163" s="52"/>
      <c r="G163" s="52"/>
      <c r="H163" s="52"/>
      <c r="I163" s="52"/>
      <c r="J163" s="52"/>
      <c r="K163" s="52"/>
      <c r="L163" s="50"/>
      <c r="M163" s="50"/>
      <c r="N163" s="50"/>
      <c r="O163" s="50"/>
      <c r="P163" s="324"/>
      <c r="Q163" s="1252"/>
      <c r="R163" s="1252"/>
      <c r="S163" s="1252"/>
      <c r="T163" s="1252"/>
      <c r="U163" s="1242"/>
      <c r="V163" s="326"/>
      <c r="W163" s="326"/>
      <c r="X163" s="324"/>
      <c r="Y163" s="324"/>
    </row>
    <row r="164" spans="1:28" ht="36" customHeight="1">
      <c r="A164" s="2654"/>
      <c r="B164" s="2655"/>
      <c r="C164" s="2674" t="s">
        <v>504</v>
      </c>
      <c r="D164" s="2674"/>
      <c r="E164" s="2674"/>
      <c r="F164" s="2674"/>
      <c r="G164" s="2674"/>
      <c r="H164" s="2952"/>
      <c r="I164" s="2673" t="s">
        <v>407</v>
      </c>
      <c r="J164" s="2953"/>
      <c r="K164" s="2953"/>
      <c r="L164" s="2953"/>
      <c r="M164" s="2953"/>
      <c r="N164" s="2953"/>
      <c r="O164" s="2952"/>
      <c r="P164" s="156"/>
      <c r="V164" s="156"/>
      <c r="W164" s="156"/>
      <c r="X164" s="156"/>
      <c r="Y164" s="156"/>
    </row>
    <row r="165" spans="1:28" ht="24" customHeight="1">
      <c r="A165" s="2633" t="s">
        <v>236</v>
      </c>
      <c r="B165" s="2954"/>
      <c r="C165" s="2955" t="str">
        <f ca="1">参照元個別!E11</f>
        <v/>
      </c>
      <c r="D165" s="2955"/>
      <c r="E165" s="2955"/>
      <c r="F165" s="2955"/>
      <c r="G165" s="2956"/>
      <c r="H165" s="2959" t="s">
        <v>414</v>
      </c>
      <c r="I165" s="2961" t="str">
        <f>参照元個別!F11</f>
        <v/>
      </c>
      <c r="J165" s="2962"/>
      <c r="K165" s="2962"/>
      <c r="L165" s="2962"/>
      <c r="M165" s="2965" t="s">
        <v>415</v>
      </c>
      <c r="N165" s="2967" t="str">
        <f>参照元個別!G11</f>
        <v/>
      </c>
      <c r="O165" s="2968"/>
      <c r="P165" s="165"/>
      <c r="V165" s="156"/>
      <c r="W165" s="156"/>
      <c r="X165" s="156"/>
      <c r="Y165" s="156"/>
    </row>
    <row r="166" spans="1:28" ht="23.1" customHeight="1">
      <c r="A166" s="2637">
        <f>IF( 報1!$L$28="","", 報1!$L$28 )</f>
        <v>2023</v>
      </c>
      <c r="B166" s="2638"/>
      <c r="C166" s="2957"/>
      <c r="D166" s="2957"/>
      <c r="E166" s="2957"/>
      <c r="F166" s="2957"/>
      <c r="G166" s="2958"/>
      <c r="H166" s="2960"/>
      <c r="I166" s="2963"/>
      <c r="J166" s="2964"/>
      <c r="K166" s="2964"/>
      <c r="L166" s="2964"/>
      <c r="M166" s="2966"/>
      <c r="N166" s="2969"/>
      <c r="O166" s="2970"/>
      <c r="P166" s="165"/>
      <c r="V166" s="156"/>
      <c r="W166" s="156"/>
      <c r="X166" s="156"/>
      <c r="Y166" s="156"/>
    </row>
    <row r="167" spans="1:28" ht="25.15" customHeight="1">
      <c r="A167" s="2938" t="s">
        <v>277</v>
      </c>
      <c r="B167" s="2939"/>
      <c r="C167" s="2940"/>
      <c r="D167" s="2941"/>
      <c r="E167" s="2941"/>
      <c r="F167" s="2941"/>
      <c r="G167" s="2941"/>
      <c r="H167" s="2941"/>
      <c r="I167" s="2941"/>
      <c r="J167" s="2941"/>
      <c r="K167" s="2941"/>
      <c r="L167" s="2941"/>
      <c r="M167" s="2941"/>
      <c r="N167" s="2941"/>
      <c r="O167" s="2942"/>
      <c r="P167" s="156"/>
      <c r="Q167" s="1253">
        <v>1</v>
      </c>
      <c r="R167" s="1245"/>
      <c r="S167" s="1254"/>
      <c r="T167" s="1255"/>
      <c r="U167" s="1256"/>
      <c r="V167" s="156"/>
      <c r="W167" s="156"/>
      <c r="X167" s="327"/>
      <c r="Y167" s="328"/>
      <c r="Z167" s="99"/>
      <c r="AA167" s="43"/>
      <c r="AB167" s="44"/>
    </row>
    <row r="168" spans="1:28" ht="25.15" customHeight="1">
      <c r="A168" s="2938"/>
      <c r="B168" s="2939"/>
      <c r="C168" s="2941"/>
      <c r="D168" s="2941"/>
      <c r="E168" s="2941"/>
      <c r="F168" s="2941"/>
      <c r="G168" s="2941"/>
      <c r="H168" s="2941"/>
      <c r="I168" s="2941"/>
      <c r="J168" s="2941"/>
      <c r="K168" s="2941"/>
      <c r="L168" s="2941"/>
      <c r="M168" s="2941"/>
      <c r="N168" s="2941"/>
      <c r="O168" s="2942"/>
      <c r="P168" s="156"/>
      <c r="Q168" s="1257"/>
      <c r="R168" s="1258"/>
      <c r="S168" s="1258"/>
      <c r="T168" s="1258"/>
      <c r="U168" s="1258"/>
      <c r="V168" s="156"/>
      <c r="W168" s="156"/>
      <c r="X168" s="156"/>
      <c r="Y168" s="156"/>
    </row>
    <row r="169" spans="1:28" ht="24.75" customHeight="1">
      <c r="A169" s="2938"/>
      <c r="B169" s="2939"/>
      <c r="C169" s="2941"/>
      <c r="D169" s="2941"/>
      <c r="E169" s="2941"/>
      <c r="F169" s="2941"/>
      <c r="G169" s="2941"/>
      <c r="H169" s="2941"/>
      <c r="I169" s="2941"/>
      <c r="J169" s="2941"/>
      <c r="K169" s="2941"/>
      <c r="L169" s="2941"/>
      <c r="M169" s="2941"/>
      <c r="N169" s="2941"/>
      <c r="O169" s="2942"/>
      <c r="P169" s="156"/>
      <c r="Q169" s="1257"/>
      <c r="R169" s="1256"/>
      <c r="S169" s="1256"/>
      <c r="T169" s="1256"/>
      <c r="U169" s="1256"/>
      <c r="V169" s="156"/>
      <c r="W169" s="156"/>
      <c r="X169" s="156"/>
      <c r="Y169" s="156"/>
    </row>
    <row r="170" spans="1:28" ht="10.15" customHeight="1">
      <c r="A170" s="2945"/>
      <c r="B170" s="2946"/>
      <c r="C170" s="2941"/>
      <c r="D170" s="2941"/>
      <c r="E170" s="2941"/>
      <c r="F170" s="2941"/>
      <c r="G170" s="2941"/>
      <c r="H170" s="2941"/>
      <c r="I170" s="2941"/>
      <c r="J170" s="2941"/>
      <c r="K170" s="2941"/>
      <c r="L170" s="2941"/>
      <c r="M170" s="2941"/>
      <c r="N170" s="2941"/>
      <c r="O170" s="2942"/>
      <c r="P170" s="156"/>
      <c r="Q170" s="1259"/>
      <c r="R170" s="1256"/>
      <c r="S170" s="1256"/>
      <c r="T170" s="1256"/>
      <c r="U170" s="1256"/>
      <c r="V170" s="156"/>
      <c r="W170" s="156"/>
      <c r="X170" s="156"/>
      <c r="Y170" s="156"/>
    </row>
    <row r="171" spans="1:28" ht="45" customHeight="1">
      <c r="A171" s="2947">
        <f>IF( 報1!$L$28="","", 報1!$L$28 )</f>
        <v>2023</v>
      </c>
      <c r="B171" s="2948"/>
      <c r="C171" s="2943"/>
      <c r="D171" s="2943"/>
      <c r="E171" s="2943"/>
      <c r="F171" s="2943"/>
      <c r="G171" s="2943"/>
      <c r="H171" s="2943"/>
      <c r="I171" s="2943"/>
      <c r="J171" s="2943"/>
      <c r="K171" s="2943"/>
      <c r="L171" s="2943"/>
      <c r="M171" s="2943"/>
      <c r="N171" s="2943"/>
      <c r="O171" s="2944"/>
      <c r="P171" s="156"/>
      <c r="Q171" s="1260"/>
      <c r="R171" s="1256"/>
      <c r="S171" s="1256"/>
      <c r="T171" s="1256"/>
      <c r="U171" s="1256"/>
      <c r="V171" s="156"/>
      <c r="W171" s="156"/>
      <c r="X171" s="156"/>
      <c r="Y171" s="156"/>
    </row>
    <row r="172" spans="1:28" ht="26.25" customHeight="1">
      <c r="A172" s="2949"/>
      <c r="B172" s="2949"/>
      <c r="C172" s="2949"/>
      <c r="D172" s="2949"/>
      <c r="E172" s="2949"/>
      <c r="F172" s="2949"/>
      <c r="G172" s="2949"/>
      <c r="H172" s="2949"/>
      <c r="I172" s="2949"/>
      <c r="J172" s="2949"/>
      <c r="K172" s="2949"/>
      <c r="L172" s="2949"/>
      <c r="M172" s="2949"/>
      <c r="N172" s="2949"/>
      <c r="O172" s="2949"/>
      <c r="P172" s="156"/>
      <c r="Q172" s="1259"/>
      <c r="R172" s="1256"/>
      <c r="S172" s="1256"/>
      <c r="T172" s="1256"/>
      <c r="U172" s="1256"/>
      <c r="V172" s="156"/>
      <c r="W172" s="156"/>
      <c r="X172" s="156"/>
      <c r="Y172" s="156"/>
    </row>
    <row r="173" spans="1:28" ht="30" customHeight="1">
      <c r="A173" s="156"/>
      <c r="B173" s="156"/>
      <c r="C173" s="156"/>
      <c r="D173" s="156"/>
      <c r="E173" s="156"/>
      <c r="F173" s="156"/>
      <c r="G173" s="156"/>
      <c r="H173" s="156"/>
      <c r="I173" s="156"/>
      <c r="J173" s="156"/>
      <c r="K173" s="156"/>
      <c r="L173" s="156"/>
      <c r="M173" s="156"/>
      <c r="N173" s="156"/>
      <c r="O173" s="329"/>
      <c r="P173" s="156"/>
      <c r="Q173" s="1248"/>
      <c r="R173" s="1260"/>
      <c r="S173" s="1244"/>
      <c r="T173" s="1244"/>
      <c r="V173" s="156"/>
      <c r="W173" s="156"/>
      <c r="X173" s="156"/>
      <c r="Y173" s="156"/>
    </row>
    <row r="174" spans="1:28" ht="18" customHeight="1">
      <c r="A174" s="156"/>
      <c r="B174" s="156"/>
      <c r="C174" s="156"/>
      <c r="D174" s="156"/>
      <c r="E174" s="156"/>
      <c r="F174" s="156"/>
      <c r="G174" s="156"/>
      <c r="H174" s="156"/>
      <c r="I174" s="156"/>
      <c r="J174" s="156"/>
      <c r="K174" s="156"/>
      <c r="L174" s="156"/>
      <c r="M174" s="156"/>
      <c r="N174" s="156"/>
      <c r="O174" s="329"/>
      <c r="P174" s="156"/>
      <c r="Q174" s="1261"/>
      <c r="R174" s="1260"/>
      <c r="S174" s="1244"/>
      <c r="T174" s="1244"/>
      <c r="V174" s="156"/>
      <c r="W174" s="156"/>
      <c r="X174" s="156"/>
      <c r="Y174" s="156"/>
    </row>
    <row r="175" spans="1:28" ht="18" customHeight="1">
      <c r="A175" s="156"/>
      <c r="B175" s="156"/>
      <c r="C175" s="156"/>
      <c r="D175" s="156"/>
      <c r="E175" s="156"/>
      <c r="F175" s="156"/>
      <c r="G175" s="156"/>
      <c r="H175" s="156"/>
      <c r="I175" s="156"/>
      <c r="J175" s="156"/>
      <c r="K175" s="156"/>
      <c r="L175" s="156"/>
      <c r="M175" s="156"/>
      <c r="N175" s="156"/>
      <c r="O175" s="329"/>
      <c r="P175" s="156"/>
      <c r="Q175" s="1261"/>
      <c r="R175" s="1260"/>
      <c r="S175" s="1244"/>
      <c r="T175" s="1244"/>
      <c r="V175" s="156"/>
      <c r="W175" s="156"/>
      <c r="X175" s="156"/>
      <c r="Y175" s="156"/>
    </row>
    <row r="176" spans="1:28">
      <c r="A176" s="1" t="s">
        <v>175</v>
      </c>
      <c r="B176" s="2"/>
      <c r="C176" s="2"/>
      <c r="D176" s="2"/>
      <c r="E176" s="2"/>
      <c r="F176" s="2"/>
      <c r="G176" s="2"/>
      <c r="H176" s="2"/>
      <c r="I176" s="2"/>
      <c r="J176" s="2"/>
      <c r="K176" s="2"/>
      <c r="L176" s="2"/>
      <c r="M176" s="2"/>
      <c r="N176" s="2"/>
      <c r="O176" s="2"/>
      <c r="P176" s="156" t="str">
        <f>"個別票"&amp;Q176</f>
        <v>個別票8</v>
      </c>
      <c r="Q176" s="1242">
        <f>Q151+1</f>
        <v>8</v>
      </c>
      <c r="V176" s="156"/>
      <c r="W176" s="156"/>
      <c r="X176" s="156"/>
      <c r="Y176" s="156"/>
    </row>
    <row r="177" spans="1:28">
      <c r="A177" s="2" t="s">
        <v>150</v>
      </c>
      <c r="B177" s="4"/>
      <c r="C177" s="4"/>
      <c r="D177" s="4"/>
      <c r="E177" s="4"/>
      <c r="F177" s="4"/>
      <c r="G177" s="4"/>
      <c r="H177" s="4"/>
      <c r="I177" s="4"/>
      <c r="J177" s="4"/>
      <c r="K177" s="4"/>
      <c r="L177" s="4"/>
      <c r="M177" s="4"/>
      <c r="N177" s="2"/>
      <c r="O177" s="2"/>
      <c r="P177" s="156"/>
      <c r="V177" s="156"/>
      <c r="W177" s="156"/>
      <c r="X177" s="156"/>
      <c r="Y177" s="156"/>
    </row>
    <row r="178" spans="1:28" ht="17.25">
      <c r="A178" s="2983" t="s">
        <v>403</v>
      </c>
      <c r="B178" s="2983"/>
      <c r="C178" s="2983"/>
      <c r="D178" s="2983"/>
      <c r="E178" s="2983"/>
      <c r="F178" s="2983"/>
      <c r="G178" s="2983"/>
      <c r="H178" s="2983"/>
      <c r="I178" s="2983"/>
      <c r="J178" s="2983"/>
      <c r="K178" s="2983"/>
      <c r="L178" s="2983"/>
      <c r="M178" s="2983"/>
      <c r="N178" s="2983"/>
      <c r="O178" s="2983"/>
      <c r="P178" s="156"/>
      <c r="V178" s="156"/>
      <c r="W178" s="156"/>
      <c r="X178" s="156"/>
      <c r="Y178" s="156"/>
    </row>
    <row r="179" spans="1:28" ht="31.5" customHeight="1">
      <c r="A179" s="38"/>
      <c r="B179" s="38"/>
      <c r="C179" s="38"/>
      <c r="D179" s="38"/>
      <c r="E179" s="38"/>
      <c r="F179" s="38"/>
      <c r="G179" s="38"/>
      <c r="H179" s="38"/>
      <c r="I179" s="38"/>
      <c r="J179" s="38"/>
      <c r="K179" s="38"/>
      <c r="L179" s="38"/>
      <c r="M179" s="38"/>
      <c r="N179" s="38"/>
      <c r="O179" s="38"/>
      <c r="P179" s="156"/>
      <c r="V179" s="156"/>
      <c r="W179" s="156"/>
      <c r="X179" s="156"/>
      <c r="Y179" s="156"/>
    </row>
    <row r="180" spans="1:28" s="51" customFormat="1" ht="15.95" customHeight="1">
      <c r="A180" s="48" t="s">
        <v>151</v>
      </c>
      <c r="B180" s="80"/>
      <c r="C180" s="80"/>
      <c r="D180" s="80"/>
      <c r="E180" s="80"/>
      <c r="F180" s="80"/>
      <c r="G180" s="80"/>
      <c r="H180" s="80"/>
      <c r="I180" s="80"/>
      <c r="J180" s="80"/>
      <c r="K180" s="80"/>
      <c r="L180" s="80"/>
      <c r="M180" s="80"/>
      <c r="P180" s="324"/>
      <c r="Q180" s="1250"/>
      <c r="R180" s="1250"/>
      <c r="S180" s="1250"/>
      <c r="T180" s="1250"/>
      <c r="U180" s="1242"/>
      <c r="V180" s="324"/>
      <c r="W180" s="324"/>
      <c r="X180" s="324"/>
      <c r="Y180" s="324"/>
    </row>
    <row r="181" spans="1:28" ht="39.950000000000003" customHeight="1">
      <c r="A181" s="2984" t="s">
        <v>152</v>
      </c>
      <c r="B181" s="2985"/>
      <c r="C181" s="2986"/>
      <c r="D181" s="2987" t="str">
        <f>参照元個別!I12</f>
        <v>事業所名を入力8</v>
      </c>
      <c r="E181" s="2988"/>
      <c r="F181" s="2988"/>
      <c r="G181" s="2988"/>
      <c r="H181" s="2988"/>
      <c r="I181" s="2988"/>
      <c r="J181" s="2988"/>
      <c r="K181" s="2988"/>
      <c r="L181" s="2988"/>
      <c r="M181" s="2988"/>
      <c r="N181" s="2988"/>
      <c r="O181" s="2989"/>
      <c r="P181" s="156"/>
      <c r="V181" s="156"/>
      <c r="W181" s="156"/>
      <c r="X181" s="156"/>
      <c r="Y181" s="156"/>
    </row>
    <row r="182" spans="1:28" ht="39.950000000000003" customHeight="1">
      <c r="A182" s="2570" t="s">
        <v>153</v>
      </c>
      <c r="B182" s="2571"/>
      <c r="C182" s="2990"/>
      <c r="D182" s="2991"/>
      <c r="E182" s="2992"/>
      <c r="F182" s="2992"/>
      <c r="G182" s="2992"/>
      <c r="H182" s="2992"/>
      <c r="I182" s="2992"/>
      <c r="J182" s="2992"/>
      <c r="K182" s="2992"/>
      <c r="L182" s="2992"/>
      <c r="M182" s="2992"/>
      <c r="N182" s="2992"/>
      <c r="O182" s="2993"/>
      <c r="P182" s="156"/>
      <c r="V182" s="156"/>
      <c r="W182" s="156"/>
      <c r="X182" s="156"/>
      <c r="Y182" s="156"/>
    </row>
    <row r="183" spans="1:28" ht="39.950000000000003" customHeight="1">
      <c r="A183" s="2536" t="s">
        <v>154</v>
      </c>
      <c r="B183" s="2978"/>
      <c r="C183" s="2979"/>
      <c r="D183" s="2980"/>
      <c r="E183" s="101" t="s">
        <v>180</v>
      </c>
      <c r="F183" s="2974" t="s">
        <v>404</v>
      </c>
      <c r="G183" s="2975"/>
      <c r="H183" s="2981" t="str">
        <f ca="1">参照元個別!$P$12</f>
        <v/>
      </c>
      <c r="I183" s="2982"/>
      <c r="J183" s="58" t="s">
        <v>176</v>
      </c>
      <c r="K183" s="2974" t="s">
        <v>405</v>
      </c>
      <c r="L183" s="2975"/>
      <c r="M183" s="2971"/>
      <c r="N183" s="2972"/>
      <c r="O183" s="2973"/>
      <c r="P183" s="156" t="str">
        <f>IFERROR(VLOOKUP(M183,$U$1:$V$16,2,0),"")</f>
        <v/>
      </c>
      <c r="U183" s="1250"/>
      <c r="V183" s="156"/>
      <c r="W183" s="156"/>
      <c r="X183" s="156"/>
      <c r="Y183" s="156"/>
    </row>
    <row r="184" spans="1:28" ht="39.950000000000003" customHeight="1">
      <c r="A184" s="2974" t="s">
        <v>406</v>
      </c>
      <c r="B184" s="2975"/>
      <c r="C184" s="2976"/>
      <c r="D184" s="2896"/>
      <c r="E184" s="2897"/>
      <c r="F184" s="2974" t="s">
        <v>158</v>
      </c>
      <c r="G184" s="2975"/>
      <c r="H184" s="2976"/>
      <c r="I184" s="2896"/>
      <c r="J184" s="2897"/>
      <c r="K184" s="2580"/>
      <c r="L184" s="2977"/>
      <c r="M184" s="2977"/>
      <c r="N184" s="2977"/>
      <c r="O184" s="2977"/>
      <c r="P184" s="156"/>
      <c r="V184" s="156"/>
      <c r="W184" s="156"/>
      <c r="X184" s="156"/>
      <c r="Y184" s="156"/>
    </row>
    <row r="185" spans="1:28" ht="18.75" customHeight="1">
      <c r="A185" s="39"/>
      <c r="B185" s="39"/>
      <c r="C185" s="40"/>
      <c r="D185" s="41"/>
      <c r="E185" s="40"/>
      <c r="F185" s="42"/>
      <c r="P185" s="156"/>
      <c r="V185" s="325"/>
      <c r="W185" s="325"/>
      <c r="X185" s="156"/>
      <c r="Y185" s="156"/>
    </row>
    <row r="186" spans="1:28" ht="51.75" customHeight="1">
      <c r="A186" s="2950" t="s">
        <v>505</v>
      </c>
      <c r="B186" s="2951"/>
      <c r="C186" s="2951"/>
      <c r="D186" s="2951"/>
      <c r="E186" s="2951"/>
      <c r="F186" s="2951"/>
      <c r="G186" s="2951"/>
      <c r="H186" s="2951"/>
      <c r="I186" s="2951"/>
      <c r="J186" s="2951"/>
      <c r="K186" s="2951"/>
      <c r="L186" s="2951"/>
      <c r="M186" s="2951"/>
      <c r="N186" s="2951"/>
      <c r="O186" s="2951"/>
      <c r="P186" s="156"/>
      <c r="V186" s="325"/>
      <c r="W186" s="325"/>
      <c r="X186" s="156"/>
      <c r="Y186" s="156"/>
    </row>
    <row r="187" spans="1:28" ht="57.75" customHeight="1">
      <c r="A187" s="39"/>
      <c r="B187" s="39"/>
      <c r="C187" s="40"/>
      <c r="D187" s="41"/>
      <c r="E187" s="40"/>
      <c r="F187" s="42"/>
      <c r="P187" s="156"/>
      <c r="Q187" s="1251"/>
      <c r="R187" s="1251"/>
      <c r="S187" s="1251"/>
      <c r="T187" s="1251"/>
      <c r="V187" s="325"/>
      <c r="W187" s="325"/>
      <c r="X187" s="156"/>
      <c r="Y187" s="156"/>
    </row>
    <row r="188" spans="1:28" s="51" customFormat="1" ht="15.95" customHeight="1">
      <c r="A188" s="50" t="s">
        <v>509</v>
      </c>
      <c r="B188" s="52"/>
      <c r="C188" s="52"/>
      <c r="D188" s="52"/>
      <c r="E188" s="52"/>
      <c r="F188" s="52"/>
      <c r="G188" s="52"/>
      <c r="H188" s="52"/>
      <c r="I188" s="52"/>
      <c r="J188" s="52"/>
      <c r="K188" s="52"/>
      <c r="L188" s="50"/>
      <c r="M188" s="50"/>
      <c r="N188" s="50"/>
      <c r="O188" s="50"/>
      <c r="P188" s="324"/>
      <c r="Q188" s="1252"/>
      <c r="R188" s="1252"/>
      <c r="S188" s="1252"/>
      <c r="T188" s="1252"/>
      <c r="U188" s="1242"/>
      <c r="V188" s="326"/>
      <c r="W188" s="326"/>
      <c r="X188" s="324"/>
      <c r="Y188" s="324"/>
    </row>
    <row r="189" spans="1:28" ht="36" customHeight="1">
      <c r="A189" s="2654"/>
      <c r="B189" s="2655"/>
      <c r="C189" s="2674" t="s">
        <v>504</v>
      </c>
      <c r="D189" s="2674"/>
      <c r="E189" s="2674"/>
      <c r="F189" s="2674"/>
      <c r="G189" s="2674"/>
      <c r="H189" s="2952"/>
      <c r="I189" s="2673" t="s">
        <v>407</v>
      </c>
      <c r="J189" s="2953"/>
      <c r="K189" s="2953"/>
      <c r="L189" s="2953"/>
      <c r="M189" s="2953"/>
      <c r="N189" s="2953"/>
      <c r="O189" s="2952"/>
      <c r="P189" s="156"/>
      <c r="V189" s="156"/>
      <c r="W189" s="156"/>
      <c r="X189" s="156"/>
      <c r="Y189" s="156"/>
    </row>
    <row r="190" spans="1:28" ht="24" customHeight="1">
      <c r="A190" s="2633" t="s">
        <v>236</v>
      </c>
      <c r="B190" s="2954"/>
      <c r="C190" s="2955" t="str">
        <f ca="1">参照元個別!E12</f>
        <v/>
      </c>
      <c r="D190" s="2955"/>
      <c r="E190" s="2955"/>
      <c r="F190" s="2955"/>
      <c r="G190" s="2956"/>
      <c r="H190" s="2959" t="s">
        <v>414</v>
      </c>
      <c r="I190" s="2961" t="str">
        <f>参照元個別!F12</f>
        <v/>
      </c>
      <c r="J190" s="2962"/>
      <c r="K190" s="2962"/>
      <c r="L190" s="2962"/>
      <c r="M190" s="2965" t="s">
        <v>415</v>
      </c>
      <c r="N190" s="2967" t="str">
        <f>参照元個別!G12</f>
        <v/>
      </c>
      <c r="O190" s="2968"/>
      <c r="P190" s="165"/>
      <c r="V190" s="156"/>
      <c r="W190" s="156"/>
      <c r="X190" s="156"/>
      <c r="Y190" s="156"/>
    </row>
    <row r="191" spans="1:28" ht="23.1" customHeight="1">
      <c r="A191" s="2637">
        <f>IF( 報1!$L$28="","", 報1!$L$28 )</f>
        <v>2023</v>
      </c>
      <c r="B191" s="2638"/>
      <c r="C191" s="2957"/>
      <c r="D191" s="2957"/>
      <c r="E191" s="2957"/>
      <c r="F191" s="2957"/>
      <c r="G191" s="2958"/>
      <c r="H191" s="2960"/>
      <c r="I191" s="2963"/>
      <c r="J191" s="2964"/>
      <c r="K191" s="2964"/>
      <c r="L191" s="2964"/>
      <c r="M191" s="2966"/>
      <c r="N191" s="2969"/>
      <c r="O191" s="2970"/>
      <c r="P191" s="165"/>
      <c r="V191" s="156"/>
      <c r="W191" s="156"/>
      <c r="X191" s="156"/>
      <c r="Y191" s="156"/>
    </row>
    <row r="192" spans="1:28" ht="25.15" customHeight="1">
      <c r="A192" s="2938" t="s">
        <v>277</v>
      </c>
      <c r="B192" s="2939"/>
      <c r="C192" s="2940"/>
      <c r="D192" s="2941"/>
      <c r="E192" s="2941"/>
      <c r="F192" s="2941"/>
      <c r="G192" s="2941"/>
      <c r="H192" s="2941"/>
      <c r="I192" s="2941"/>
      <c r="J192" s="2941"/>
      <c r="K192" s="2941"/>
      <c r="L192" s="2941"/>
      <c r="M192" s="2941"/>
      <c r="N192" s="2941"/>
      <c r="O192" s="2942"/>
      <c r="P192" s="156"/>
      <c r="Q192" s="1253">
        <v>1</v>
      </c>
      <c r="R192" s="1245"/>
      <c r="S192" s="1254"/>
      <c r="T192" s="1255"/>
      <c r="U192" s="1256"/>
      <c r="V192" s="156"/>
      <c r="W192" s="156"/>
      <c r="X192" s="327"/>
      <c r="Y192" s="328"/>
      <c r="Z192" s="99"/>
      <c r="AA192" s="43"/>
      <c r="AB192" s="44"/>
    </row>
    <row r="193" spans="1:25" ht="25.15" customHeight="1">
      <c r="A193" s="2938"/>
      <c r="B193" s="2939"/>
      <c r="C193" s="2941"/>
      <c r="D193" s="2941"/>
      <c r="E193" s="2941"/>
      <c r="F193" s="2941"/>
      <c r="G193" s="2941"/>
      <c r="H193" s="2941"/>
      <c r="I193" s="2941"/>
      <c r="J193" s="2941"/>
      <c r="K193" s="2941"/>
      <c r="L193" s="2941"/>
      <c r="M193" s="2941"/>
      <c r="N193" s="2941"/>
      <c r="O193" s="2942"/>
      <c r="P193" s="156"/>
      <c r="Q193" s="1257"/>
      <c r="R193" s="1258"/>
      <c r="S193" s="1258"/>
      <c r="T193" s="1258"/>
      <c r="U193" s="1258"/>
      <c r="V193" s="156"/>
      <c r="W193" s="156"/>
      <c r="X193" s="156"/>
      <c r="Y193" s="156"/>
    </row>
    <row r="194" spans="1:25" ht="24.75" customHeight="1">
      <c r="A194" s="2938"/>
      <c r="B194" s="2939"/>
      <c r="C194" s="2941"/>
      <c r="D194" s="2941"/>
      <c r="E194" s="2941"/>
      <c r="F194" s="2941"/>
      <c r="G194" s="2941"/>
      <c r="H194" s="2941"/>
      <c r="I194" s="2941"/>
      <c r="J194" s="2941"/>
      <c r="K194" s="2941"/>
      <c r="L194" s="2941"/>
      <c r="M194" s="2941"/>
      <c r="N194" s="2941"/>
      <c r="O194" s="2942"/>
      <c r="P194" s="156"/>
      <c r="Q194" s="1257"/>
      <c r="R194" s="1256"/>
      <c r="S194" s="1256"/>
      <c r="T194" s="1256"/>
      <c r="U194" s="1256"/>
      <c r="V194" s="156"/>
      <c r="W194" s="156"/>
      <c r="X194" s="156"/>
      <c r="Y194" s="156"/>
    </row>
    <row r="195" spans="1:25" ht="10.15" customHeight="1">
      <c r="A195" s="2945"/>
      <c r="B195" s="2946"/>
      <c r="C195" s="2941"/>
      <c r="D195" s="2941"/>
      <c r="E195" s="2941"/>
      <c r="F195" s="2941"/>
      <c r="G195" s="2941"/>
      <c r="H195" s="2941"/>
      <c r="I195" s="2941"/>
      <c r="J195" s="2941"/>
      <c r="K195" s="2941"/>
      <c r="L195" s="2941"/>
      <c r="M195" s="2941"/>
      <c r="N195" s="2941"/>
      <c r="O195" s="2942"/>
      <c r="P195" s="156"/>
      <c r="Q195" s="1259"/>
      <c r="R195" s="1256"/>
      <c r="S195" s="1256"/>
      <c r="T195" s="1256"/>
      <c r="U195" s="1256"/>
      <c r="V195" s="156"/>
      <c r="W195" s="156"/>
      <c r="X195" s="156"/>
      <c r="Y195" s="156"/>
    </row>
    <row r="196" spans="1:25" ht="45" customHeight="1">
      <c r="A196" s="2947">
        <f>IF( 報1!$L$28="","", 報1!$L$28 )</f>
        <v>2023</v>
      </c>
      <c r="B196" s="2948"/>
      <c r="C196" s="2943"/>
      <c r="D196" s="2943"/>
      <c r="E196" s="2943"/>
      <c r="F196" s="2943"/>
      <c r="G196" s="2943"/>
      <c r="H196" s="2943"/>
      <c r="I196" s="2943"/>
      <c r="J196" s="2943"/>
      <c r="K196" s="2943"/>
      <c r="L196" s="2943"/>
      <c r="M196" s="2943"/>
      <c r="N196" s="2943"/>
      <c r="O196" s="2944"/>
      <c r="P196" s="156"/>
      <c r="Q196" s="1260"/>
      <c r="R196" s="1256"/>
      <c r="S196" s="1256"/>
      <c r="T196" s="1256"/>
      <c r="U196" s="1256"/>
      <c r="V196" s="156"/>
      <c r="W196" s="156"/>
      <c r="X196" s="156"/>
      <c r="Y196" s="156"/>
    </row>
    <row r="197" spans="1:25" ht="26.25" customHeight="1">
      <c r="A197" s="2949"/>
      <c r="B197" s="2949"/>
      <c r="C197" s="2949"/>
      <c r="D197" s="2949"/>
      <c r="E197" s="2949"/>
      <c r="F197" s="2949"/>
      <c r="G197" s="2949"/>
      <c r="H197" s="2949"/>
      <c r="I197" s="2949"/>
      <c r="J197" s="2949"/>
      <c r="K197" s="2949"/>
      <c r="L197" s="2949"/>
      <c r="M197" s="2949"/>
      <c r="N197" s="2949"/>
      <c r="O197" s="2949"/>
      <c r="P197" s="156"/>
      <c r="Q197" s="1259"/>
      <c r="R197" s="1256"/>
      <c r="S197" s="1256"/>
      <c r="T197" s="1256"/>
      <c r="U197" s="1256"/>
      <c r="V197" s="156"/>
      <c r="W197" s="156"/>
      <c r="X197" s="156"/>
      <c r="Y197" s="156"/>
    </row>
    <row r="198" spans="1:25" ht="30" customHeight="1">
      <c r="A198" s="156"/>
      <c r="B198" s="156"/>
      <c r="C198" s="156"/>
      <c r="D198" s="156"/>
      <c r="E198" s="156"/>
      <c r="F198" s="156"/>
      <c r="G198" s="156"/>
      <c r="H198" s="156"/>
      <c r="I198" s="156"/>
      <c r="J198" s="156"/>
      <c r="K198" s="156"/>
      <c r="L198" s="156"/>
      <c r="M198" s="156"/>
      <c r="N198" s="156"/>
      <c r="O198" s="329"/>
      <c r="P198" s="156"/>
      <c r="Q198" s="1248"/>
      <c r="R198" s="1260"/>
      <c r="S198" s="1244"/>
      <c r="T198" s="1244"/>
      <c r="V198" s="156"/>
      <c r="W198" s="156"/>
      <c r="X198" s="156"/>
      <c r="Y198" s="156"/>
    </row>
    <row r="199" spans="1:25" ht="18" customHeight="1">
      <c r="A199" s="156"/>
      <c r="B199" s="156"/>
      <c r="C199" s="156"/>
      <c r="D199" s="156"/>
      <c r="E199" s="156"/>
      <c r="F199" s="156"/>
      <c r="G199" s="156"/>
      <c r="H199" s="156"/>
      <c r="I199" s="156"/>
      <c r="J199" s="156"/>
      <c r="K199" s="156"/>
      <c r="L199" s="156"/>
      <c r="M199" s="156"/>
      <c r="N199" s="156"/>
      <c r="O199" s="329"/>
      <c r="P199" s="156"/>
      <c r="Q199" s="1261"/>
      <c r="R199" s="1260"/>
      <c r="S199" s="1244"/>
      <c r="T199" s="1244"/>
      <c r="V199" s="156"/>
      <c r="W199" s="156"/>
      <c r="X199" s="156"/>
      <c r="Y199" s="156"/>
    </row>
    <row r="200" spans="1:25" ht="18" customHeight="1">
      <c r="A200" s="156"/>
      <c r="B200" s="156"/>
      <c r="C200" s="156"/>
      <c r="D200" s="156"/>
      <c r="E200" s="156"/>
      <c r="F200" s="156"/>
      <c r="G200" s="156"/>
      <c r="H200" s="156"/>
      <c r="I200" s="156"/>
      <c r="J200" s="156"/>
      <c r="K200" s="156"/>
      <c r="L200" s="156"/>
      <c r="M200" s="156"/>
      <c r="N200" s="156"/>
      <c r="O200" s="329"/>
      <c r="P200" s="156"/>
      <c r="Q200" s="1261"/>
      <c r="R200" s="1260"/>
      <c r="S200" s="1244"/>
      <c r="T200" s="1244"/>
      <c r="V200" s="156"/>
      <c r="W200" s="156"/>
      <c r="X200" s="156"/>
      <c r="Y200" s="156"/>
    </row>
    <row r="201" spans="1:25">
      <c r="A201" s="1" t="s">
        <v>175</v>
      </c>
      <c r="B201" s="2"/>
      <c r="C201" s="2"/>
      <c r="D201" s="2"/>
      <c r="E201" s="2"/>
      <c r="F201" s="2"/>
      <c r="G201" s="2"/>
      <c r="H201" s="2"/>
      <c r="I201" s="2"/>
      <c r="J201" s="2"/>
      <c r="K201" s="2"/>
      <c r="L201" s="2"/>
      <c r="M201" s="2"/>
      <c r="N201" s="2"/>
      <c r="O201" s="2"/>
      <c r="P201" s="156" t="str">
        <f>"個別票"&amp;Q201</f>
        <v>個別票9</v>
      </c>
      <c r="Q201" s="1242">
        <f>Q176+1</f>
        <v>9</v>
      </c>
      <c r="V201" s="156"/>
      <c r="W201" s="156"/>
      <c r="X201" s="156"/>
      <c r="Y201" s="156"/>
    </row>
    <row r="202" spans="1:25">
      <c r="A202" s="2" t="s">
        <v>150</v>
      </c>
      <c r="B202" s="4"/>
      <c r="C202" s="4"/>
      <c r="D202" s="4"/>
      <c r="E202" s="4"/>
      <c r="F202" s="4"/>
      <c r="G202" s="4"/>
      <c r="H202" s="4"/>
      <c r="I202" s="4"/>
      <c r="J202" s="4"/>
      <c r="K202" s="4"/>
      <c r="L202" s="4"/>
      <c r="M202" s="4"/>
      <c r="N202" s="2"/>
      <c r="O202" s="2"/>
      <c r="P202" s="156"/>
      <c r="V202" s="156"/>
      <c r="W202" s="156"/>
      <c r="X202" s="156"/>
      <c r="Y202" s="156"/>
    </row>
    <row r="203" spans="1:25" ht="17.25">
      <c r="A203" s="2983" t="s">
        <v>403</v>
      </c>
      <c r="B203" s="2983"/>
      <c r="C203" s="2983"/>
      <c r="D203" s="2983"/>
      <c r="E203" s="2983"/>
      <c r="F203" s="2983"/>
      <c r="G203" s="2983"/>
      <c r="H203" s="2983"/>
      <c r="I203" s="2983"/>
      <c r="J203" s="2983"/>
      <c r="K203" s="2983"/>
      <c r="L203" s="2983"/>
      <c r="M203" s="2983"/>
      <c r="N203" s="2983"/>
      <c r="O203" s="2983"/>
      <c r="P203" s="156"/>
      <c r="V203" s="156"/>
      <c r="W203" s="156"/>
      <c r="X203" s="156"/>
      <c r="Y203" s="156"/>
    </row>
    <row r="204" spans="1:25" ht="31.5" customHeight="1">
      <c r="A204" s="38"/>
      <c r="B204" s="38"/>
      <c r="C204" s="38"/>
      <c r="D204" s="38"/>
      <c r="E204" s="38"/>
      <c r="F204" s="38"/>
      <c r="G204" s="38"/>
      <c r="H204" s="38"/>
      <c r="I204" s="38"/>
      <c r="J204" s="38"/>
      <c r="K204" s="38"/>
      <c r="L204" s="38"/>
      <c r="M204" s="38"/>
      <c r="N204" s="38"/>
      <c r="O204" s="38"/>
      <c r="P204" s="156"/>
      <c r="V204" s="156"/>
      <c r="W204" s="156"/>
      <c r="X204" s="156"/>
      <c r="Y204" s="156"/>
    </row>
    <row r="205" spans="1:25" s="51" customFormat="1" ht="15.95" customHeight="1">
      <c r="A205" s="48" t="s">
        <v>151</v>
      </c>
      <c r="B205" s="80"/>
      <c r="C205" s="80"/>
      <c r="D205" s="80"/>
      <c r="E205" s="80"/>
      <c r="F205" s="80"/>
      <c r="G205" s="80"/>
      <c r="H205" s="80"/>
      <c r="I205" s="80"/>
      <c r="J205" s="80"/>
      <c r="K205" s="80"/>
      <c r="L205" s="80"/>
      <c r="M205" s="80"/>
      <c r="P205" s="324"/>
      <c r="Q205" s="1250"/>
      <c r="R205" s="1250"/>
      <c r="S205" s="1250"/>
      <c r="T205" s="1250"/>
      <c r="U205" s="1242"/>
      <c r="V205" s="324"/>
      <c r="W205" s="324"/>
      <c r="X205" s="324"/>
      <c r="Y205" s="324"/>
    </row>
    <row r="206" spans="1:25" ht="39.950000000000003" customHeight="1">
      <c r="A206" s="2984" t="s">
        <v>152</v>
      </c>
      <c r="B206" s="2985"/>
      <c r="C206" s="2986"/>
      <c r="D206" s="2987" t="str">
        <f>参照元個別!I13</f>
        <v>事業所名を入力9</v>
      </c>
      <c r="E206" s="2988"/>
      <c r="F206" s="2988"/>
      <c r="G206" s="2988"/>
      <c r="H206" s="2988"/>
      <c r="I206" s="2988"/>
      <c r="J206" s="2988"/>
      <c r="K206" s="2988"/>
      <c r="L206" s="2988"/>
      <c r="M206" s="2988"/>
      <c r="N206" s="2988"/>
      <c r="O206" s="2989"/>
      <c r="P206" s="156"/>
      <c r="V206" s="156"/>
      <c r="W206" s="156"/>
      <c r="X206" s="156"/>
      <c r="Y206" s="156"/>
    </row>
    <row r="207" spans="1:25" ht="39.950000000000003" customHeight="1">
      <c r="A207" s="2570" t="s">
        <v>153</v>
      </c>
      <c r="B207" s="2571"/>
      <c r="C207" s="2990"/>
      <c r="D207" s="2991"/>
      <c r="E207" s="2992"/>
      <c r="F207" s="2992"/>
      <c r="G207" s="2992"/>
      <c r="H207" s="2992"/>
      <c r="I207" s="2992"/>
      <c r="J207" s="2992"/>
      <c r="K207" s="2992"/>
      <c r="L207" s="2992"/>
      <c r="M207" s="2992"/>
      <c r="N207" s="2992"/>
      <c r="O207" s="2993"/>
      <c r="P207" s="156"/>
      <c r="V207" s="156"/>
      <c r="W207" s="156"/>
      <c r="X207" s="156"/>
      <c r="Y207" s="156"/>
    </row>
    <row r="208" spans="1:25" ht="39.950000000000003" customHeight="1">
      <c r="A208" s="2536" t="s">
        <v>154</v>
      </c>
      <c r="B208" s="2978"/>
      <c r="C208" s="2979"/>
      <c r="D208" s="2980"/>
      <c r="E208" s="101" t="s">
        <v>180</v>
      </c>
      <c r="F208" s="2974" t="s">
        <v>404</v>
      </c>
      <c r="G208" s="2975"/>
      <c r="H208" s="2981" t="str">
        <f ca="1">参照元個別!$P$13</f>
        <v/>
      </c>
      <c r="I208" s="2982"/>
      <c r="J208" s="58" t="s">
        <v>176</v>
      </c>
      <c r="K208" s="2974" t="s">
        <v>405</v>
      </c>
      <c r="L208" s="2975"/>
      <c r="M208" s="2971"/>
      <c r="N208" s="2972"/>
      <c r="O208" s="2973"/>
      <c r="P208" s="156" t="str">
        <f>IFERROR(VLOOKUP(M208,$U$1:$V$16,2,0),"")</f>
        <v/>
      </c>
      <c r="U208" s="1250"/>
      <c r="V208" s="156"/>
      <c r="W208" s="156"/>
      <c r="X208" s="156"/>
      <c r="Y208" s="156"/>
    </row>
    <row r="209" spans="1:28" ht="39.950000000000003" customHeight="1">
      <c r="A209" s="2974" t="s">
        <v>406</v>
      </c>
      <c r="B209" s="2975"/>
      <c r="C209" s="2976"/>
      <c r="D209" s="2896"/>
      <c r="E209" s="2897"/>
      <c r="F209" s="2974" t="s">
        <v>158</v>
      </c>
      <c r="G209" s="2975"/>
      <c r="H209" s="2976"/>
      <c r="I209" s="2896"/>
      <c r="J209" s="2897"/>
      <c r="K209" s="2580"/>
      <c r="L209" s="2977"/>
      <c r="M209" s="2977"/>
      <c r="N209" s="2977"/>
      <c r="O209" s="2977"/>
      <c r="P209" s="156"/>
      <c r="V209" s="156"/>
      <c r="W209" s="156"/>
      <c r="X209" s="156"/>
      <c r="Y209" s="156"/>
    </row>
    <row r="210" spans="1:28" ht="18.75" customHeight="1">
      <c r="A210" s="39"/>
      <c r="B210" s="39"/>
      <c r="C210" s="40"/>
      <c r="D210" s="41"/>
      <c r="E210" s="40"/>
      <c r="F210" s="42"/>
      <c r="P210" s="156"/>
      <c r="V210" s="325"/>
      <c r="W210" s="325"/>
      <c r="X210" s="156"/>
      <c r="Y210" s="156"/>
    </row>
    <row r="211" spans="1:28" ht="51.75" customHeight="1">
      <c r="A211" s="2950" t="s">
        <v>505</v>
      </c>
      <c r="B211" s="2951"/>
      <c r="C211" s="2951"/>
      <c r="D211" s="2951"/>
      <c r="E211" s="2951"/>
      <c r="F211" s="2951"/>
      <c r="G211" s="2951"/>
      <c r="H211" s="2951"/>
      <c r="I211" s="2951"/>
      <c r="J211" s="2951"/>
      <c r="K211" s="2951"/>
      <c r="L211" s="2951"/>
      <c r="M211" s="2951"/>
      <c r="N211" s="2951"/>
      <c r="O211" s="2951"/>
      <c r="P211" s="156"/>
      <c r="V211" s="325"/>
      <c r="W211" s="325"/>
      <c r="X211" s="156"/>
      <c r="Y211" s="156"/>
    </row>
    <row r="212" spans="1:28" ht="57.75" customHeight="1">
      <c r="A212" s="39"/>
      <c r="B212" s="39"/>
      <c r="C212" s="40"/>
      <c r="D212" s="41"/>
      <c r="E212" s="40"/>
      <c r="F212" s="42"/>
      <c r="P212" s="156"/>
      <c r="Q212" s="1251"/>
      <c r="R212" s="1251"/>
      <c r="S212" s="1251"/>
      <c r="T212" s="1251"/>
      <c r="V212" s="325"/>
      <c r="W212" s="325"/>
      <c r="X212" s="156"/>
      <c r="Y212" s="156"/>
    </row>
    <row r="213" spans="1:28" s="51" customFormat="1" ht="15.95" customHeight="1">
      <c r="A213" s="50" t="s">
        <v>509</v>
      </c>
      <c r="B213" s="52"/>
      <c r="C213" s="52"/>
      <c r="D213" s="52"/>
      <c r="E213" s="52"/>
      <c r="F213" s="52"/>
      <c r="G213" s="52"/>
      <c r="H213" s="52"/>
      <c r="I213" s="52"/>
      <c r="J213" s="52"/>
      <c r="K213" s="52"/>
      <c r="L213" s="50"/>
      <c r="M213" s="50"/>
      <c r="N213" s="50"/>
      <c r="O213" s="50"/>
      <c r="P213" s="324"/>
      <c r="Q213" s="1252"/>
      <c r="R213" s="1252"/>
      <c r="S213" s="1252"/>
      <c r="T213" s="1252"/>
      <c r="U213" s="1242"/>
      <c r="V213" s="326"/>
      <c r="W213" s="326"/>
      <c r="X213" s="324"/>
      <c r="Y213" s="324"/>
    </row>
    <row r="214" spans="1:28" ht="36" customHeight="1">
      <c r="A214" s="2654"/>
      <c r="B214" s="2655"/>
      <c r="C214" s="2674" t="s">
        <v>504</v>
      </c>
      <c r="D214" s="2674"/>
      <c r="E214" s="2674"/>
      <c r="F214" s="2674"/>
      <c r="G214" s="2674"/>
      <c r="H214" s="2952"/>
      <c r="I214" s="2673" t="s">
        <v>407</v>
      </c>
      <c r="J214" s="2953"/>
      <c r="K214" s="2953"/>
      <c r="L214" s="2953"/>
      <c r="M214" s="2953"/>
      <c r="N214" s="2953"/>
      <c r="O214" s="2952"/>
      <c r="P214" s="156"/>
      <c r="V214" s="156"/>
      <c r="W214" s="156"/>
      <c r="X214" s="156"/>
      <c r="Y214" s="156"/>
    </row>
    <row r="215" spans="1:28" ht="24" customHeight="1">
      <c r="A215" s="2633" t="s">
        <v>236</v>
      </c>
      <c r="B215" s="2954"/>
      <c r="C215" s="2955" t="str">
        <f ca="1">参照元個別!E13</f>
        <v/>
      </c>
      <c r="D215" s="2955"/>
      <c r="E215" s="2955"/>
      <c r="F215" s="2955"/>
      <c r="G215" s="2956"/>
      <c r="H215" s="2959" t="s">
        <v>414</v>
      </c>
      <c r="I215" s="2961" t="str">
        <f>参照元個別!F13</f>
        <v/>
      </c>
      <c r="J215" s="2962"/>
      <c r="K215" s="2962"/>
      <c r="L215" s="2962"/>
      <c r="M215" s="2965" t="s">
        <v>415</v>
      </c>
      <c r="N215" s="2967" t="str">
        <f>参照元個別!G13</f>
        <v/>
      </c>
      <c r="O215" s="2968"/>
      <c r="P215" s="165"/>
      <c r="V215" s="156"/>
      <c r="W215" s="156"/>
      <c r="X215" s="156"/>
      <c r="Y215" s="156"/>
    </row>
    <row r="216" spans="1:28" ht="23.1" customHeight="1">
      <c r="A216" s="2637">
        <f>IF( 報1!$L$28="","", 報1!$L$28 )</f>
        <v>2023</v>
      </c>
      <c r="B216" s="2638"/>
      <c r="C216" s="2957"/>
      <c r="D216" s="2957"/>
      <c r="E216" s="2957"/>
      <c r="F216" s="2957"/>
      <c r="G216" s="2958"/>
      <c r="H216" s="2960"/>
      <c r="I216" s="2963"/>
      <c r="J216" s="2964"/>
      <c r="K216" s="2964"/>
      <c r="L216" s="2964"/>
      <c r="M216" s="2966"/>
      <c r="N216" s="2969"/>
      <c r="O216" s="2970"/>
      <c r="P216" s="165"/>
      <c r="V216" s="156"/>
      <c r="W216" s="156"/>
      <c r="X216" s="156"/>
      <c r="Y216" s="156"/>
    </row>
    <row r="217" spans="1:28" ht="25.15" customHeight="1">
      <c r="A217" s="2938" t="s">
        <v>277</v>
      </c>
      <c r="B217" s="2939"/>
      <c r="C217" s="2940"/>
      <c r="D217" s="2941"/>
      <c r="E217" s="2941"/>
      <c r="F217" s="2941"/>
      <c r="G217" s="2941"/>
      <c r="H217" s="2941"/>
      <c r="I217" s="2941"/>
      <c r="J217" s="2941"/>
      <c r="K217" s="2941"/>
      <c r="L217" s="2941"/>
      <c r="M217" s="2941"/>
      <c r="N217" s="2941"/>
      <c r="O217" s="2942"/>
      <c r="P217" s="156"/>
      <c r="Q217" s="1253">
        <v>1</v>
      </c>
      <c r="R217" s="1245"/>
      <c r="S217" s="1254"/>
      <c r="T217" s="1255"/>
      <c r="U217" s="1256"/>
      <c r="V217" s="156"/>
      <c r="W217" s="156"/>
      <c r="X217" s="327"/>
      <c r="Y217" s="328"/>
      <c r="Z217" s="99"/>
      <c r="AA217" s="43"/>
      <c r="AB217" s="44"/>
    </row>
    <row r="218" spans="1:28" ht="25.15" customHeight="1">
      <c r="A218" s="2938"/>
      <c r="B218" s="2939"/>
      <c r="C218" s="2941"/>
      <c r="D218" s="2941"/>
      <c r="E218" s="2941"/>
      <c r="F218" s="2941"/>
      <c r="G218" s="2941"/>
      <c r="H218" s="2941"/>
      <c r="I218" s="2941"/>
      <c r="J218" s="2941"/>
      <c r="K218" s="2941"/>
      <c r="L218" s="2941"/>
      <c r="M218" s="2941"/>
      <c r="N218" s="2941"/>
      <c r="O218" s="2942"/>
      <c r="P218" s="156"/>
      <c r="Q218" s="1257"/>
      <c r="R218" s="1258"/>
      <c r="S218" s="1258"/>
      <c r="T218" s="1258"/>
      <c r="U218" s="1258"/>
      <c r="V218" s="156"/>
      <c r="W218" s="156"/>
      <c r="X218" s="156"/>
      <c r="Y218" s="156"/>
    </row>
    <row r="219" spans="1:28" ht="24.75" customHeight="1">
      <c r="A219" s="2938"/>
      <c r="B219" s="2939"/>
      <c r="C219" s="2941"/>
      <c r="D219" s="2941"/>
      <c r="E219" s="2941"/>
      <c r="F219" s="2941"/>
      <c r="G219" s="2941"/>
      <c r="H219" s="2941"/>
      <c r="I219" s="2941"/>
      <c r="J219" s="2941"/>
      <c r="K219" s="2941"/>
      <c r="L219" s="2941"/>
      <c r="M219" s="2941"/>
      <c r="N219" s="2941"/>
      <c r="O219" s="2942"/>
      <c r="P219" s="156"/>
      <c r="Q219" s="1257"/>
      <c r="R219" s="1256"/>
      <c r="S219" s="1256"/>
      <c r="T219" s="1256"/>
      <c r="U219" s="1256"/>
      <c r="V219" s="156"/>
      <c r="W219" s="156"/>
      <c r="X219" s="156"/>
      <c r="Y219" s="156"/>
    </row>
    <row r="220" spans="1:28" ht="10.15" customHeight="1">
      <c r="A220" s="2945"/>
      <c r="B220" s="2946"/>
      <c r="C220" s="2941"/>
      <c r="D220" s="2941"/>
      <c r="E220" s="2941"/>
      <c r="F220" s="2941"/>
      <c r="G220" s="2941"/>
      <c r="H220" s="2941"/>
      <c r="I220" s="2941"/>
      <c r="J220" s="2941"/>
      <c r="K220" s="2941"/>
      <c r="L220" s="2941"/>
      <c r="M220" s="2941"/>
      <c r="N220" s="2941"/>
      <c r="O220" s="2942"/>
      <c r="P220" s="156"/>
      <c r="Q220" s="1259"/>
      <c r="R220" s="1256"/>
      <c r="S220" s="1256"/>
      <c r="T220" s="1256"/>
      <c r="U220" s="1256"/>
      <c r="V220" s="156"/>
      <c r="W220" s="156"/>
      <c r="X220" s="156"/>
      <c r="Y220" s="156"/>
    </row>
    <row r="221" spans="1:28" ht="45" customHeight="1">
      <c r="A221" s="2947">
        <f>IF( 報1!$L$28="","", 報1!$L$28 )</f>
        <v>2023</v>
      </c>
      <c r="B221" s="2948"/>
      <c r="C221" s="2943"/>
      <c r="D221" s="2943"/>
      <c r="E221" s="2943"/>
      <c r="F221" s="2943"/>
      <c r="G221" s="2943"/>
      <c r="H221" s="2943"/>
      <c r="I221" s="2943"/>
      <c r="J221" s="2943"/>
      <c r="K221" s="2943"/>
      <c r="L221" s="2943"/>
      <c r="M221" s="2943"/>
      <c r="N221" s="2943"/>
      <c r="O221" s="2944"/>
      <c r="P221" s="156"/>
      <c r="Q221" s="1260"/>
      <c r="R221" s="1256"/>
      <c r="S221" s="1256"/>
      <c r="T221" s="1256"/>
      <c r="U221" s="1256"/>
      <c r="V221" s="156"/>
      <c r="W221" s="156"/>
      <c r="X221" s="156"/>
      <c r="Y221" s="156"/>
    </row>
    <row r="222" spans="1:28" ht="26.25" customHeight="1">
      <c r="A222" s="2949"/>
      <c r="B222" s="2949"/>
      <c r="C222" s="2949"/>
      <c r="D222" s="2949"/>
      <c r="E222" s="2949"/>
      <c r="F222" s="2949"/>
      <c r="G222" s="2949"/>
      <c r="H222" s="2949"/>
      <c r="I222" s="2949"/>
      <c r="J222" s="2949"/>
      <c r="K222" s="2949"/>
      <c r="L222" s="2949"/>
      <c r="M222" s="2949"/>
      <c r="N222" s="2949"/>
      <c r="O222" s="2949"/>
      <c r="P222" s="156"/>
      <c r="Q222" s="1259"/>
      <c r="R222" s="1256"/>
      <c r="S222" s="1256"/>
      <c r="T222" s="1256"/>
      <c r="U222" s="1256"/>
      <c r="V222" s="156"/>
      <c r="W222" s="156"/>
      <c r="X222" s="156"/>
      <c r="Y222" s="156"/>
    </row>
    <row r="223" spans="1:28" ht="30" customHeight="1">
      <c r="A223" s="156"/>
      <c r="B223" s="156"/>
      <c r="C223" s="156"/>
      <c r="D223" s="156"/>
      <c r="E223" s="156"/>
      <c r="F223" s="156"/>
      <c r="G223" s="156"/>
      <c r="H223" s="156"/>
      <c r="I223" s="156"/>
      <c r="J223" s="156"/>
      <c r="K223" s="156"/>
      <c r="L223" s="156"/>
      <c r="M223" s="156"/>
      <c r="N223" s="156"/>
      <c r="O223" s="329"/>
      <c r="P223" s="156"/>
      <c r="Q223" s="1248"/>
      <c r="R223" s="1260"/>
      <c r="S223" s="1244"/>
      <c r="T223" s="1244"/>
      <c r="V223" s="156"/>
      <c r="W223" s="156"/>
      <c r="X223" s="156"/>
      <c r="Y223" s="156"/>
    </row>
    <row r="224" spans="1:28" ht="18" customHeight="1">
      <c r="A224" s="156"/>
      <c r="B224" s="156"/>
      <c r="C224" s="156"/>
      <c r="D224" s="156"/>
      <c r="E224" s="156"/>
      <c r="F224" s="156"/>
      <c r="G224" s="156"/>
      <c r="H224" s="156"/>
      <c r="I224" s="156"/>
      <c r="J224" s="156"/>
      <c r="K224" s="156"/>
      <c r="L224" s="156"/>
      <c r="M224" s="156"/>
      <c r="N224" s="156"/>
      <c r="O224" s="329"/>
      <c r="P224" s="156"/>
      <c r="Q224" s="1261"/>
      <c r="R224" s="1260"/>
      <c r="S224" s="1244"/>
      <c r="T224" s="1244"/>
      <c r="V224" s="156"/>
      <c r="W224" s="156"/>
      <c r="X224" s="156"/>
      <c r="Y224" s="156"/>
    </row>
    <row r="225" spans="1:25" ht="18" customHeight="1">
      <c r="A225" s="156"/>
      <c r="B225" s="156"/>
      <c r="C225" s="156"/>
      <c r="D225" s="156"/>
      <c r="E225" s="156"/>
      <c r="F225" s="156"/>
      <c r="G225" s="156"/>
      <c r="H225" s="156"/>
      <c r="I225" s="156"/>
      <c r="J225" s="156"/>
      <c r="K225" s="156"/>
      <c r="L225" s="156"/>
      <c r="M225" s="156"/>
      <c r="N225" s="156"/>
      <c r="O225" s="329"/>
      <c r="P225" s="156"/>
      <c r="Q225" s="1261"/>
      <c r="R225" s="1260"/>
      <c r="S225" s="1244"/>
      <c r="T225" s="1244"/>
      <c r="V225" s="156"/>
      <c r="W225" s="156"/>
      <c r="X225" s="156"/>
      <c r="Y225" s="156"/>
    </row>
    <row r="226" spans="1:25">
      <c r="A226" s="1" t="s">
        <v>175</v>
      </c>
      <c r="B226" s="2"/>
      <c r="C226" s="2"/>
      <c r="D226" s="2"/>
      <c r="E226" s="2"/>
      <c r="F226" s="2"/>
      <c r="G226" s="2"/>
      <c r="H226" s="2"/>
      <c r="I226" s="2"/>
      <c r="J226" s="2"/>
      <c r="K226" s="2"/>
      <c r="L226" s="2"/>
      <c r="M226" s="2"/>
      <c r="N226" s="2"/>
      <c r="O226" s="2"/>
      <c r="P226" s="156" t="str">
        <f>"個別票"&amp;Q226</f>
        <v>個別票10</v>
      </c>
      <c r="Q226" s="1242">
        <f>Q201+1</f>
        <v>10</v>
      </c>
      <c r="V226" s="156"/>
      <c r="W226" s="156"/>
      <c r="X226" s="156"/>
      <c r="Y226" s="156"/>
    </row>
    <row r="227" spans="1:25">
      <c r="A227" s="2" t="s">
        <v>150</v>
      </c>
      <c r="B227" s="4"/>
      <c r="C227" s="4"/>
      <c r="D227" s="4"/>
      <c r="E227" s="4"/>
      <c r="F227" s="4"/>
      <c r="G227" s="4"/>
      <c r="H227" s="4"/>
      <c r="I227" s="4"/>
      <c r="J227" s="4"/>
      <c r="K227" s="4"/>
      <c r="L227" s="4"/>
      <c r="M227" s="4"/>
      <c r="N227" s="2"/>
      <c r="O227" s="2"/>
      <c r="P227" s="156"/>
      <c r="V227" s="156"/>
      <c r="W227" s="156"/>
      <c r="X227" s="156"/>
      <c r="Y227" s="156"/>
    </row>
    <row r="228" spans="1:25" ht="17.25">
      <c r="A228" s="2983" t="s">
        <v>403</v>
      </c>
      <c r="B228" s="2983"/>
      <c r="C228" s="2983"/>
      <c r="D228" s="2983"/>
      <c r="E228" s="2983"/>
      <c r="F228" s="2983"/>
      <c r="G228" s="2983"/>
      <c r="H228" s="2983"/>
      <c r="I228" s="2983"/>
      <c r="J228" s="2983"/>
      <c r="K228" s="2983"/>
      <c r="L228" s="2983"/>
      <c r="M228" s="2983"/>
      <c r="N228" s="2983"/>
      <c r="O228" s="2983"/>
      <c r="P228" s="156"/>
      <c r="V228" s="156"/>
      <c r="W228" s="156"/>
      <c r="X228" s="156"/>
      <c r="Y228" s="156"/>
    </row>
    <row r="229" spans="1:25" ht="31.5" customHeight="1">
      <c r="A229" s="38"/>
      <c r="B229" s="38"/>
      <c r="C229" s="38"/>
      <c r="D229" s="38"/>
      <c r="E229" s="38"/>
      <c r="F229" s="38"/>
      <c r="G229" s="38"/>
      <c r="H229" s="38"/>
      <c r="I229" s="38"/>
      <c r="J229" s="38"/>
      <c r="K229" s="38"/>
      <c r="L229" s="38"/>
      <c r="M229" s="38"/>
      <c r="N229" s="38"/>
      <c r="O229" s="38"/>
      <c r="P229" s="156"/>
      <c r="V229" s="156"/>
      <c r="W229" s="156"/>
      <c r="X229" s="156"/>
      <c r="Y229" s="156"/>
    </row>
    <row r="230" spans="1:25" s="51" customFormat="1" ht="15.95" customHeight="1">
      <c r="A230" s="48" t="s">
        <v>151</v>
      </c>
      <c r="B230" s="80"/>
      <c r="C230" s="80"/>
      <c r="D230" s="80"/>
      <c r="E230" s="80"/>
      <c r="F230" s="80"/>
      <c r="G230" s="80"/>
      <c r="H230" s="80"/>
      <c r="I230" s="80"/>
      <c r="J230" s="80"/>
      <c r="K230" s="80"/>
      <c r="L230" s="80"/>
      <c r="M230" s="80"/>
      <c r="P230" s="324"/>
      <c r="Q230" s="1250"/>
      <c r="R230" s="1250"/>
      <c r="S230" s="1250"/>
      <c r="T230" s="1250"/>
      <c r="U230" s="1242"/>
      <c r="V230" s="324"/>
      <c r="W230" s="324"/>
      <c r="X230" s="324"/>
      <c r="Y230" s="324"/>
    </row>
    <row r="231" spans="1:25" ht="39.950000000000003" customHeight="1">
      <c r="A231" s="2984" t="s">
        <v>152</v>
      </c>
      <c r="B231" s="2985"/>
      <c r="C231" s="2986"/>
      <c r="D231" s="2987" t="str">
        <f>参照元個別!I14</f>
        <v>事業所名を入力10</v>
      </c>
      <c r="E231" s="2988"/>
      <c r="F231" s="2988"/>
      <c r="G231" s="2988"/>
      <c r="H231" s="2988"/>
      <c r="I231" s="2988"/>
      <c r="J231" s="2988"/>
      <c r="K231" s="2988"/>
      <c r="L231" s="2988"/>
      <c r="M231" s="2988"/>
      <c r="N231" s="2988"/>
      <c r="O231" s="2989"/>
      <c r="P231" s="156"/>
      <c r="V231" s="156"/>
      <c r="W231" s="156"/>
      <c r="X231" s="156"/>
      <c r="Y231" s="156"/>
    </row>
    <row r="232" spans="1:25" ht="39.950000000000003" customHeight="1">
      <c r="A232" s="2570" t="s">
        <v>153</v>
      </c>
      <c r="B232" s="2571"/>
      <c r="C232" s="2990"/>
      <c r="D232" s="2991"/>
      <c r="E232" s="2992"/>
      <c r="F232" s="2992"/>
      <c r="G232" s="2992"/>
      <c r="H232" s="2992"/>
      <c r="I232" s="2992"/>
      <c r="J232" s="2992"/>
      <c r="K232" s="2992"/>
      <c r="L232" s="2992"/>
      <c r="M232" s="2992"/>
      <c r="N232" s="2992"/>
      <c r="O232" s="2993"/>
      <c r="P232" s="156"/>
      <c r="V232" s="156"/>
      <c r="W232" s="156"/>
      <c r="X232" s="156"/>
      <c r="Y232" s="156"/>
    </row>
    <row r="233" spans="1:25" ht="39.950000000000003" customHeight="1">
      <c r="A233" s="2536" t="s">
        <v>154</v>
      </c>
      <c r="B233" s="2978"/>
      <c r="C233" s="2979"/>
      <c r="D233" s="2980"/>
      <c r="E233" s="101" t="s">
        <v>180</v>
      </c>
      <c r="F233" s="2974" t="s">
        <v>404</v>
      </c>
      <c r="G233" s="2975"/>
      <c r="H233" s="2981" t="str">
        <f ca="1">参照元個別!$P$14</f>
        <v/>
      </c>
      <c r="I233" s="2982"/>
      <c r="J233" s="58" t="s">
        <v>176</v>
      </c>
      <c r="K233" s="2974" t="s">
        <v>405</v>
      </c>
      <c r="L233" s="2975"/>
      <c r="M233" s="2971"/>
      <c r="N233" s="2972"/>
      <c r="O233" s="2973"/>
      <c r="P233" s="156" t="str">
        <f>IFERROR(VLOOKUP(M233,$U$1:$V$16,2,0),"")</f>
        <v/>
      </c>
      <c r="U233" s="1250"/>
      <c r="V233" s="156"/>
      <c r="W233" s="156"/>
      <c r="X233" s="156"/>
      <c r="Y233" s="156"/>
    </row>
    <row r="234" spans="1:25" ht="39.950000000000003" customHeight="1">
      <c r="A234" s="2974" t="s">
        <v>406</v>
      </c>
      <c r="B234" s="2975"/>
      <c r="C234" s="2976"/>
      <c r="D234" s="2896"/>
      <c r="E234" s="2897"/>
      <c r="F234" s="2974" t="s">
        <v>158</v>
      </c>
      <c r="G234" s="2975"/>
      <c r="H234" s="2976"/>
      <c r="I234" s="2896"/>
      <c r="J234" s="2897"/>
      <c r="K234" s="2580"/>
      <c r="L234" s="2977"/>
      <c r="M234" s="2977"/>
      <c r="N234" s="2977"/>
      <c r="O234" s="2977"/>
      <c r="P234" s="156"/>
      <c r="V234" s="156"/>
      <c r="W234" s="156"/>
      <c r="X234" s="156"/>
      <c r="Y234" s="156"/>
    </row>
    <row r="235" spans="1:25" ht="18.75" customHeight="1">
      <c r="A235" s="39"/>
      <c r="B235" s="39"/>
      <c r="C235" s="40"/>
      <c r="D235" s="41"/>
      <c r="E235" s="40"/>
      <c r="F235" s="42"/>
      <c r="P235" s="156"/>
      <c r="V235" s="325"/>
      <c r="W235" s="325"/>
      <c r="X235" s="156"/>
      <c r="Y235" s="156"/>
    </row>
    <row r="236" spans="1:25" ht="51.75" customHeight="1">
      <c r="A236" s="2950" t="s">
        <v>505</v>
      </c>
      <c r="B236" s="2951"/>
      <c r="C236" s="2951"/>
      <c r="D236" s="2951"/>
      <c r="E236" s="2951"/>
      <c r="F236" s="2951"/>
      <c r="G236" s="2951"/>
      <c r="H236" s="2951"/>
      <c r="I236" s="2951"/>
      <c r="J236" s="2951"/>
      <c r="K236" s="2951"/>
      <c r="L236" s="2951"/>
      <c r="M236" s="2951"/>
      <c r="N236" s="2951"/>
      <c r="O236" s="2951"/>
      <c r="P236" s="156"/>
      <c r="V236" s="325"/>
      <c r="W236" s="325"/>
      <c r="X236" s="156"/>
      <c r="Y236" s="156"/>
    </row>
    <row r="237" spans="1:25" ht="57.75" customHeight="1">
      <c r="A237" s="39"/>
      <c r="B237" s="39"/>
      <c r="C237" s="40"/>
      <c r="D237" s="41"/>
      <c r="E237" s="40"/>
      <c r="F237" s="42"/>
      <c r="P237" s="156"/>
      <c r="Q237" s="1251"/>
      <c r="R237" s="1251"/>
      <c r="S237" s="1251"/>
      <c r="T237" s="1251"/>
      <c r="V237" s="325"/>
      <c r="W237" s="325"/>
      <c r="X237" s="156"/>
      <c r="Y237" s="156"/>
    </row>
    <row r="238" spans="1:25" s="51" customFormat="1" ht="15.95" customHeight="1">
      <c r="A238" s="50" t="s">
        <v>509</v>
      </c>
      <c r="B238" s="52"/>
      <c r="C238" s="52"/>
      <c r="D238" s="52"/>
      <c r="E238" s="52"/>
      <c r="F238" s="52"/>
      <c r="G238" s="52"/>
      <c r="H238" s="52"/>
      <c r="I238" s="52"/>
      <c r="J238" s="52"/>
      <c r="K238" s="52"/>
      <c r="L238" s="50"/>
      <c r="M238" s="50"/>
      <c r="N238" s="50"/>
      <c r="O238" s="50"/>
      <c r="P238" s="324"/>
      <c r="Q238" s="1252"/>
      <c r="R238" s="1252"/>
      <c r="S238" s="1252"/>
      <c r="T238" s="1252"/>
      <c r="U238" s="1242"/>
      <c r="V238" s="326"/>
      <c r="W238" s="326"/>
      <c r="X238" s="324"/>
      <c r="Y238" s="324"/>
    </row>
    <row r="239" spans="1:25" ht="36" customHeight="1">
      <c r="A239" s="2654"/>
      <c r="B239" s="2655"/>
      <c r="C239" s="2674" t="s">
        <v>504</v>
      </c>
      <c r="D239" s="2674"/>
      <c r="E239" s="2674"/>
      <c r="F239" s="2674"/>
      <c r="G239" s="2674"/>
      <c r="H239" s="2952"/>
      <c r="I239" s="2673" t="s">
        <v>407</v>
      </c>
      <c r="J239" s="2953"/>
      <c r="K239" s="2953"/>
      <c r="L239" s="2953"/>
      <c r="M239" s="2953"/>
      <c r="N239" s="2953"/>
      <c r="O239" s="2952"/>
      <c r="P239" s="156"/>
      <c r="V239" s="156"/>
      <c r="W239" s="156"/>
      <c r="X239" s="156"/>
      <c r="Y239" s="156"/>
    </row>
    <row r="240" spans="1:25" ht="24" customHeight="1">
      <c r="A240" s="2633" t="s">
        <v>236</v>
      </c>
      <c r="B240" s="2954"/>
      <c r="C240" s="2955" t="str">
        <f ca="1">参照元個別!E14</f>
        <v/>
      </c>
      <c r="D240" s="2955"/>
      <c r="E240" s="2955"/>
      <c r="F240" s="2955"/>
      <c r="G240" s="2956"/>
      <c r="H240" s="2959" t="s">
        <v>414</v>
      </c>
      <c r="I240" s="2961" t="str">
        <f>参照元個別!F14</f>
        <v/>
      </c>
      <c r="J240" s="2962"/>
      <c r="K240" s="2962"/>
      <c r="L240" s="2962"/>
      <c r="M240" s="2965" t="s">
        <v>415</v>
      </c>
      <c r="N240" s="2967" t="str">
        <f>参照元個別!G14</f>
        <v/>
      </c>
      <c r="O240" s="2968"/>
      <c r="P240" s="165"/>
      <c r="V240" s="156"/>
      <c r="W240" s="156"/>
      <c r="X240" s="156"/>
      <c r="Y240" s="156"/>
    </row>
    <row r="241" spans="1:28" ht="23.1" customHeight="1">
      <c r="A241" s="2637">
        <f>IF( 報1!$L$28="","", 報1!$L$28 )</f>
        <v>2023</v>
      </c>
      <c r="B241" s="2638"/>
      <c r="C241" s="2957"/>
      <c r="D241" s="2957"/>
      <c r="E241" s="2957"/>
      <c r="F241" s="2957"/>
      <c r="G241" s="2958"/>
      <c r="H241" s="2960"/>
      <c r="I241" s="2963"/>
      <c r="J241" s="2964"/>
      <c r="K241" s="2964"/>
      <c r="L241" s="2964"/>
      <c r="M241" s="2966"/>
      <c r="N241" s="2969"/>
      <c r="O241" s="2970"/>
      <c r="P241" s="165"/>
      <c r="V241" s="156"/>
      <c r="W241" s="156"/>
      <c r="X241" s="156"/>
      <c r="Y241" s="156"/>
    </row>
    <row r="242" spans="1:28" ht="25.15" customHeight="1">
      <c r="A242" s="2938" t="s">
        <v>277</v>
      </c>
      <c r="B242" s="2939"/>
      <c r="C242" s="2940"/>
      <c r="D242" s="2941"/>
      <c r="E242" s="2941"/>
      <c r="F242" s="2941"/>
      <c r="G242" s="2941"/>
      <c r="H242" s="2941"/>
      <c r="I242" s="2941"/>
      <c r="J242" s="2941"/>
      <c r="K242" s="2941"/>
      <c r="L242" s="2941"/>
      <c r="M242" s="2941"/>
      <c r="N242" s="2941"/>
      <c r="O242" s="2942"/>
      <c r="P242" s="156"/>
      <c r="Q242" s="1253">
        <v>1</v>
      </c>
      <c r="R242" s="1245"/>
      <c r="S242" s="1254"/>
      <c r="T242" s="1255"/>
      <c r="U242" s="1256"/>
      <c r="V242" s="156"/>
      <c r="W242" s="156"/>
      <c r="X242" s="327"/>
      <c r="Y242" s="328"/>
      <c r="Z242" s="99"/>
      <c r="AA242" s="43"/>
      <c r="AB242" s="44"/>
    </row>
    <row r="243" spans="1:28" ht="25.15" customHeight="1">
      <c r="A243" s="2938"/>
      <c r="B243" s="2939"/>
      <c r="C243" s="2941"/>
      <c r="D243" s="2941"/>
      <c r="E243" s="2941"/>
      <c r="F243" s="2941"/>
      <c r="G243" s="2941"/>
      <c r="H243" s="2941"/>
      <c r="I243" s="2941"/>
      <c r="J243" s="2941"/>
      <c r="K243" s="2941"/>
      <c r="L243" s="2941"/>
      <c r="M243" s="2941"/>
      <c r="N243" s="2941"/>
      <c r="O243" s="2942"/>
      <c r="P243" s="156"/>
      <c r="Q243" s="1257"/>
      <c r="R243" s="1258"/>
      <c r="S243" s="1258"/>
      <c r="T243" s="1258"/>
      <c r="U243" s="1258"/>
      <c r="V243" s="156"/>
      <c r="W243" s="156"/>
      <c r="X243" s="156"/>
      <c r="Y243" s="156"/>
    </row>
    <row r="244" spans="1:28" ht="24.75" customHeight="1">
      <c r="A244" s="2938"/>
      <c r="B244" s="2939"/>
      <c r="C244" s="2941"/>
      <c r="D244" s="2941"/>
      <c r="E244" s="2941"/>
      <c r="F244" s="2941"/>
      <c r="G244" s="2941"/>
      <c r="H244" s="2941"/>
      <c r="I244" s="2941"/>
      <c r="J244" s="2941"/>
      <c r="K244" s="2941"/>
      <c r="L244" s="2941"/>
      <c r="M244" s="2941"/>
      <c r="N244" s="2941"/>
      <c r="O244" s="2942"/>
      <c r="P244" s="156"/>
      <c r="Q244" s="1257"/>
      <c r="R244" s="1256"/>
      <c r="S244" s="1256"/>
      <c r="T244" s="1256"/>
      <c r="U244" s="1256"/>
      <c r="V244" s="156"/>
      <c r="W244" s="156"/>
      <c r="X244" s="156"/>
      <c r="Y244" s="156"/>
    </row>
    <row r="245" spans="1:28" ht="10.15" customHeight="1">
      <c r="A245" s="2945"/>
      <c r="B245" s="2946"/>
      <c r="C245" s="2941"/>
      <c r="D245" s="2941"/>
      <c r="E245" s="2941"/>
      <c r="F245" s="2941"/>
      <c r="G245" s="2941"/>
      <c r="H245" s="2941"/>
      <c r="I245" s="2941"/>
      <c r="J245" s="2941"/>
      <c r="K245" s="2941"/>
      <c r="L245" s="2941"/>
      <c r="M245" s="2941"/>
      <c r="N245" s="2941"/>
      <c r="O245" s="2942"/>
      <c r="P245" s="156"/>
      <c r="Q245" s="1259"/>
      <c r="R245" s="1256"/>
      <c r="S245" s="1256"/>
      <c r="T245" s="1256"/>
      <c r="U245" s="1256"/>
      <c r="V245" s="156"/>
      <c r="W245" s="156"/>
      <c r="X245" s="156"/>
      <c r="Y245" s="156"/>
    </row>
    <row r="246" spans="1:28" ht="45" customHeight="1">
      <c r="A246" s="2947">
        <f>IF( 報1!$L$28="","", 報1!$L$28 )</f>
        <v>2023</v>
      </c>
      <c r="B246" s="2948"/>
      <c r="C246" s="2943"/>
      <c r="D246" s="2943"/>
      <c r="E246" s="2943"/>
      <c r="F246" s="2943"/>
      <c r="G246" s="2943"/>
      <c r="H246" s="2943"/>
      <c r="I246" s="2943"/>
      <c r="J246" s="2943"/>
      <c r="K246" s="2943"/>
      <c r="L246" s="2943"/>
      <c r="M246" s="2943"/>
      <c r="N246" s="2943"/>
      <c r="O246" s="2944"/>
      <c r="P246" s="156"/>
      <c r="Q246" s="1260"/>
      <c r="R246" s="1256"/>
      <c r="S246" s="1256"/>
      <c r="T246" s="1256"/>
      <c r="U246" s="1256"/>
      <c r="V246" s="156"/>
      <c r="W246" s="156"/>
      <c r="X246" s="156"/>
      <c r="Y246" s="156"/>
    </row>
    <row r="247" spans="1:28" ht="26.25" customHeight="1">
      <c r="A247" s="2949"/>
      <c r="B247" s="2949"/>
      <c r="C247" s="2949"/>
      <c r="D247" s="2949"/>
      <c r="E247" s="2949"/>
      <c r="F247" s="2949"/>
      <c r="G247" s="2949"/>
      <c r="H247" s="2949"/>
      <c r="I247" s="2949"/>
      <c r="J247" s="2949"/>
      <c r="K247" s="2949"/>
      <c r="L247" s="2949"/>
      <c r="M247" s="2949"/>
      <c r="N247" s="2949"/>
      <c r="O247" s="2949"/>
      <c r="P247" s="156"/>
      <c r="Q247" s="1259"/>
      <c r="R247" s="1256"/>
      <c r="S247" s="1256"/>
      <c r="T247" s="1256"/>
      <c r="U247" s="1256"/>
      <c r="V247" s="156"/>
      <c r="W247" s="156"/>
      <c r="X247" s="156"/>
      <c r="Y247" s="156"/>
    </row>
    <row r="248" spans="1:28" ht="30" customHeight="1">
      <c r="A248" s="156"/>
      <c r="B248" s="156"/>
      <c r="C248" s="156"/>
      <c r="D248" s="156"/>
      <c r="E248" s="156"/>
      <c r="F248" s="156"/>
      <c r="G248" s="156"/>
      <c r="H248" s="156"/>
      <c r="I248" s="156"/>
      <c r="J248" s="156"/>
      <c r="K248" s="156"/>
      <c r="L248" s="156"/>
      <c r="M248" s="156"/>
      <c r="N248" s="156"/>
      <c r="O248" s="329"/>
      <c r="P248" s="156"/>
      <c r="Q248" s="1248"/>
      <c r="R248" s="1260"/>
      <c r="S248" s="1244"/>
      <c r="T248" s="1244"/>
      <c r="V248" s="156"/>
      <c r="W248" s="156"/>
      <c r="X248" s="156"/>
      <c r="Y248" s="156"/>
    </row>
    <row r="249" spans="1:28" ht="18" customHeight="1">
      <c r="A249" s="156"/>
      <c r="B249" s="156"/>
      <c r="C249" s="156"/>
      <c r="D249" s="156"/>
      <c r="E249" s="156"/>
      <c r="F249" s="156"/>
      <c r="G249" s="156"/>
      <c r="H249" s="156"/>
      <c r="I249" s="156"/>
      <c r="J249" s="156"/>
      <c r="K249" s="156"/>
      <c r="L249" s="156"/>
      <c r="M249" s="156"/>
      <c r="N249" s="156"/>
      <c r="O249" s="329"/>
      <c r="P249" s="156"/>
      <c r="Q249" s="1261"/>
      <c r="R249" s="1260"/>
      <c r="S249" s="1244"/>
      <c r="T249" s="1244"/>
      <c r="V249" s="156"/>
      <c r="W249" s="156"/>
      <c r="X249" s="156"/>
      <c r="Y249" s="156"/>
    </row>
    <row r="250" spans="1:28" ht="18" customHeight="1">
      <c r="A250" s="156"/>
      <c r="B250" s="156"/>
      <c r="C250" s="156"/>
      <c r="D250" s="156"/>
      <c r="E250" s="156"/>
      <c r="F250" s="156"/>
      <c r="G250" s="156"/>
      <c r="H250" s="156"/>
      <c r="I250" s="156"/>
      <c r="J250" s="156"/>
      <c r="K250" s="156"/>
      <c r="L250" s="156"/>
      <c r="M250" s="156"/>
      <c r="N250" s="156"/>
      <c r="O250" s="329"/>
      <c r="P250" s="156"/>
      <c r="Q250" s="1261"/>
      <c r="R250" s="1260"/>
      <c r="S250" s="1244"/>
      <c r="T250" s="1244"/>
      <c r="V250" s="156"/>
      <c r="W250" s="156"/>
      <c r="X250" s="156"/>
      <c r="Y250" s="156"/>
    </row>
    <row r="251" spans="1:28">
      <c r="A251" s="1" t="s">
        <v>175</v>
      </c>
      <c r="B251" s="2"/>
      <c r="C251" s="2"/>
      <c r="D251" s="2"/>
      <c r="E251" s="2"/>
      <c r="F251" s="2"/>
      <c r="G251" s="2"/>
      <c r="H251" s="2"/>
      <c r="I251" s="2"/>
      <c r="J251" s="2"/>
      <c r="K251" s="2"/>
      <c r="L251" s="2"/>
      <c r="M251" s="2"/>
      <c r="N251" s="2"/>
      <c r="O251" s="2"/>
      <c r="P251" s="156" t="str">
        <f>"個別票"&amp;Q251</f>
        <v>個別票11</v>
      </c>
      <c r="Q251" s="1242">
        <f>Q226+1</f>
        <v>11</v>
      </c>
      <c r="V251" s="156"/>
      <c r="W251" s="156"/>
      <c r="X251" s="156"/>
      <c r="Y251" s="156"/>
    </row>
    <row r="252" spans="1:28">
      <c r="A252" s="2" t="s">
        <v>150</v>
      </c>
      <c r="B252" s="4"/>
      <c r="C252" s="4"/>
      <c r="D252" s="4"/>
      <c r="E252" s="4"/>
      <c r="F252" s="4"/>
      <c r="G252" s="4"/>
      <c r="H252" s="4"/>
      <c r="I252" s="4"/>
      <c r="J252" s="4"/>
      <c r="K252" s="4"/>
      <c r="L252" s="4"/>
      <c r="M252" s="4"/>
      <c r="N252" s="2"/>
      <c r="O252" s="2"/>
      <c r="P252" s="156"/>
      <c r="V252" s="156"/>
      <c r="W252" s="156"/>
      <c r="X252" s="156"/>
      <c r="Y252" s="156"/>
    </row>
    <row r="253" spans="1:28" ht="17.25">
      <c r="A253" s="2983" t="s">
        <v>403</v>
      </c>
      <c r="B253" s="2983"/>
      <c r="C253" s="2983"/>
      <c r="D253" s="2983"/>
      <c r="E253" s="2983"/>
      <c r="F253" s="2983"/>
      <c r="G253" s="2983"/>
      <c r="H253" s="2983"/>
      <c r="I253" s="2983"/>
      <c r="J253" s="2983"/>
      <c r="K253" s="2983"/>
      <c r="L253" s="2983"/>
      <c r="M253" s="2983"/>
      <c r="N253" s="2983"/>
      <c r="O253" s="2983"/>
      <c r="P253" s="156"/>
      <c r="V253" s="156"/>
      <c r="W253" s="156"/>
      <c r="X253" s="156"/>
      <c r="Y253" s="156"/>
    </row>
    <row r="254" spans="1:28" ht="31.5" customHeight="1">
      <c r="A254" s="38"/>
      <c r="B254" s="38"/>
      <c r="C254" s="38"/>
      <c r="D254" s="38"/>
      <c r="E254" s="38"/>
      <c r="F254" s="38"/>
      <c r="G254" s="38"/>
      <c r="H254" s="38"/>
      <c r="I254" s="38"/>
      <c r="J254" s="38"/>
      <c r="K254" s="38"/>
      <c r="L254" s="38"/>
      <c r="M254" s="38"/>
      <c r="N254" s="38"/>
      <c r="O254" s="38"/>
      <c r="P254" s="156"/>
      <c r="V254" s="156"/>
      <c r="W254" s="156"/>
      <c r="X254" s="156"/>
      <c r="Y254" s="156"/>
    </row>
    <row r="255" spans="1:28" s="51" customFormat="1" ht="15.95" customHeight="1">
      <c r="A255" s="48" t="s">
        <v>151</v>
      </c>
      <c r="B255" s="80"/>
      <c r="C255" s="80"/>
      <c r="D255" s="80"/>
      <c r="E255" s="80"/>
      <c r="F255" s="80"/>
      <c r="G255" s="80"/>
      <c r="H255" s="80"/>
      <c r="I255" s="80"/>
      <c r="J255" s="80"/>
      <c r="K255" s="80"/>
      <c r="L255" s="80"/>
      <c r="M255" s="80"/>
      <c r="P255" s="324"/>
      <c r="Q255" s="1250"/>
      <c r="R255" s="1250"/>
      <c r="S255" s="1250"/>
      <c r="T255" s="1250"/>
      <c r="U255" s="1242"/>
      <c r="V255" s="324"/>
      <c r="W255" s="324"/>
      <c r="X255" s="324"/>
      <c r="Y255" s="324"/>
    </row>
    <row r="256" spans="1:28" ht="39.950000000000003" customHeight="1">
      <c r="A256" s="2984" t="s">
        <v>152</v>
      </c>
      <c r="B256" s="2985"/>
      <c r="C256" s="2986"/>
      <c r="D256" s="2987" t="str">
        <f>参照元個別!I15</f>
        <v>事業所名を入力11</v>
      </c>
      <c r="E256" s="2988"/>
      <c r="F256" s="2988"/>
      <c r="G256" s="2988"/>
      <c r="H256" s="2988"/>
      <c r="I256" s="2988"/>
      <c r="J256" s="2988"/>
      <c r="K256" s="2988"/>
      <c r="L256" s="2988"/>
      <c r="M256" s="2988"/>
      <c r="N256" s="2988"/>
      <c r="O256" s="2989"/>
      <c r="P256" s="156"/>
      <c r="V256" s="156"/>
      <c r="W256" s="156"/>
      <c r="X256" s="156"/>
      <c r="Y256" s="156"/>
    </row>
    <row r="257" spans="1:28" ht="39.950000000000003" customHeight="1">
      <c r="A257" s="2570" t="s">
        <v>153</v>
      </c>
      <c r="B257" s="2571"/>
      <c r="C257" s="2990"/>
      <c r="D257" s="2991"/>
      <c r="E257" s="2992"/>
      <c r="F257" s="2992"/>
      <c r="G257" s="2992"/>
      <c r="H257" s="2992"/>
      <c r="I257" s="2992"/>
      <c r="J257" s="2992"/>
      <c r="K257" s="2992"/>
      <c r="L257" s="2992"/>
      <c r="M257" s="2992"/>
      <c r="N257" s="2992"/>
      <c r="O257" s="2993"/>
      <c r="P257" s="156"/>
      <c r="V257" s="156"/>
      <c r="W257" s="156"/>
      <c r="X257" s="156"/>
      <c r="Y257" s="156"/>
    </row>
    <row r="258" spans="1:28" ht="39.950000000000003" customHeight="1">
      <c r="A258" s="2536" t="s">
        <v>154</v>
      </c>
      <c r="B258" s="2978"/>
      <c r="C258" s="2979"/>
      <c r="D258" s="2980"/>
      <c r="E258" s="101" t="s">
        <v>180</v>
      </c>
      <c r="F258" s="2974" t="s">
        <v>404</v>
      </c>
      <c r="G258" s="2975"/>
      <c r="H258" s="2981" t="str">
        <f ca="1">参照元個別!$P$15</f>
        <v/>
      </c>
      <c r="I258" s="2982"/>
      <c r="J258" s="58" t="s">
        <v>176</v>
      </c>
      <c r="K258" s="2974" t="s">
        <v>405</v>
      </c>
      <c r="L258" s="2975"/>
      <c r="M258" s="2971"/>
      <c r="N258" s="2972"/>
      <c r="O258" s="2973"/>
      <c r="P258" s="156" t="str">
        <f>IFERROR(VLOOKUP(M258,$U$1:$V$16,2,0),"")</f>
        <v/>
      </c>
      <c r="U258" s="1250"/>
      <c r="V258" s="156"/>
      <c r="W258" s="156"/>
      <c r="X258" s="156"/>
      <c r="Y258" s="156"/>
    </row>
    <row r="259" spans="1:28" ht="39.950000000000003" customHeight="1">
      <c r="A259" s="2974" t="s">
        <v>406</v>
      </c>
      <c r="B259" s="2975"/>
      <c r="C259" s="2976"/>
      <c r="D259" s="2896"/>
      <c r="E259" s="2897"/>
      <c r="F259" s="2974" t="s">
        <v>158</v>
      </c>
      <c r="G259" s="2975"/>
      <c r="H259" s="2976"/>
      <c r="I259" s="2896"/>
      <c r="J259" s="2897"/>
      <c r="K259" s="2580"/>
      <c r="L259" s="2977"/>
      <c r="M259" s="2977"/>
      <c r="N259" s="2977"/>
      <c r="O259" s="2977"/>
      <c r="P259" s="156"/>
      <c r="V259" s="156"/>
      <c r="W259" s="156"/>
      <c r="X259" s="156"/>
      <c r="Y259" s="156"/>
    </row>
    <row r="260" spans="1:28" ht="18.75" customHeight="1">
      <c r="A260" s="39"/>
      <c r="B260" s="39"/>
      <c r="C260" s="40"/>
      <c r="D260" s="41"/>
      <c r="E260" s="40"/>
      <c r="F260" s="42"/>
      <c r="P260" s="156"/>
      <c r="V260" s="325"/>
      <c r="W260" s="325"/>
      <c r="X260" s="156"/>
      <c r="Y260" s="156"/>
    </row>
    <row r="261" spans="1:28" ht="51.75" customHeight="1">
      <c r="A261" s="2950" t="s">
        <v>505</v>
      </c>
      <c r="B261" s="2951"/>
      <c r="C261" s="2951"/>
      <c r="D261" s="2951"/>
      <c r="E261" s="2951"/>
      <c r="F261" s="2951"/>
      <c r="G261" s="2951"/>
      <c r="H261" s="2951"/>
      <c r="I261" s="2951"/>
      <c r="J261" s="2951"/>
      <c r="K261" s="2951"/>
      <c r="L261" s="2951"/>
      <c r="M261" s="2951"/>
      <c r="N261" s="2951"/>
      <c r="O261" s="2951"/>
      <c r="P261" s="156"/>
      <c r="V261" s="325"/>
      <c r="W261" s="325"/>
      <c r="X261" s="156"/>
      <c r="Y261" s="156"/>
    </row>
    <row r="262" spans="1:28" ht="57.75" customHeight="1">
      <c r="A262" s="39"/>
      <c r="B262" s="39"/>
      <c r="C262" s="40"/>
      <c r="D262" s="41"/>
      <c r="E262" s="40"/>
      <c r="F262" s="42"/>
      <c r="P262" s="156"/>
      <c r="Q262" s="1251"/>
      <c r="R262" s="1251"/>
      <c r="S262" s="1251"/>
      <c r="T262" s="1251"/>
      <c r="V262" s="325"/>
      <c r="W262" s="325"/>
      <c r="X262" s="156"/>
      <c r="Y262" s="156"/>
    </row>
    <row r="263" spans="1:28" s="51" customFormat="1" ht="15.95" customHeight="1">
      <c r="A263" s="50" t="s">
        <v>509</v>
      </c>
      <c r="B263" s="52"/>
      <c r="C263" s="52"/>
      <c r="D263" s="52"/>
      <c r="E263" s="52"/>
      <c r="F263" s="52"/>
      <c r="G263" s="52"/>
      <c r="H263" s="52"/>
      <c r="I263" s="52"/>
      <c r="J263" s="52"/>
      <c r="K263" s="52"/>
      <c r="L263" s="50"/>
      <c r="M263" s="50"/>
      <c r="N263" s="50"/>
      <c r="O263" s="50"/>
      <c r="P263" s="324"/>
      <c r="Q263" s="1252"/>
      <c r="R263" s="1252"/>
      <c r="S263" s="1252"/>
      <c r="T263" s="1252"/>
      <c r="U263" s="1242"/>
      <c r="V263" s="326"/>
      <c r="W263" s="326"/>
      <c r="X263" s="324"/>
      <c r="Y263" s="324"/>
    </row>
    <row r="264" spans="1:28" ht="36" customHeight="1">
      <c r="A264" s="2654"/>
      <c r="B264" s="2655"/>
      <c r="C264" s="2674" t="s">
        <v>504</v>
      </c>
      <c r="D264" s="2674"/>
      <c r="E264" s="2674"/>
      <c r="F264" s="2674"/>
      <c r="G264" s="2674"/>
      <c r="H264" s="2952"/>
      <c r="I264" s="2673" t="s">
        <v>407</v>
      </c>
      <c r="J264" s="2953"/>
      <c r="K264" s="2953"/>
      <c r="L264" s="2953"/>
      <c r="M264" s="2953"/>
      <c r="N264" s="2953"/>
      <c r="O264" s="2952"/>
      <c r="P264" s="156"/>
      <c r="V264" s="156"/>
      <c r="W264" s="156"/>
      <c r="X264" s="156"/>
      <c r="Y264" s="156"/>
    </row>
    <row r="265" spans="1:28" ht="24" customHeight="1">
      <c r="A265" s="2633" t="s">
        <v>236</v>
      </c>
      <c r="B265" s="2954"/>
      <c r="C265" s="2955" t="str">
        <f ca="1">参照元個別!E15</f>
        <v/>
      </c>
      <c r="D265" s="2955"/>
      <c r="E265" s="2955"/>
      <c r="F265" s="2955"/>
      <c r="G265" s="2956"/>
      <c r="H265" s="2959" t="s">
        <v>414</v>
      </c>
      <c r="I265" s="2961" t="str">
        <f>参照元個別!F15</f>
        <v/>
      </c>
      <c r="J265" s="2962"/>
      <c r="K265" s="2962"/>
      <c r="L265" s="2962"/>
      <c r="M265" s="2965" t="s">
        <v>415</v>
      </c>
      <c r="N265" s="2967" t="str">
        <f>参照元個別!G15</f>
        <v/>
      </c>
      <c r="O265" s="2968"/>
      <c r="P265" s="165"/>
      <c r="V265" s="156"/>
      <c r="W265" s="156"/>
      <c r="X265" s="156"/>
      <c r="Y265" s="156"/>
    </row>
    <row r="266" spans="1:28" ht="23.1" customHeight="1">
      <c r="A266" s="2637">
        <f>IF( 報1!$L$28="","", 報1!$L$28 )</f>
        <v>2023</v>
      </c>
      <c r="B266" s="2638"/>
      <c r="C266" s="2957"/>
      <c r="D266" s="2957"/>
      <c r="E266" s="2957"/>
      <c r="F266" s="2957"/>
      <c r="G266" s="2958"/>
      <c r="H266" s="2960"/>
      <c r="I266" s="2963"/>
      <c r="J266" s="2964"/>
      <c r="K266" s="2964"/>
      <c r="L266" s="2964"/>
      <c r="M266" s="2966"/>
      <c r="N266" s="2969"/>
      <c r="O266" s="2970"/>
      <c r="P266" s="165"/>
      <c r="V266" s="156"/>
      <c r="W266" s="156"/>
      <c r="X266" s="156"/>
      <c r="Y266" s="156"/>
    </row>
    <row r="267" spans="1:28" ht="25.15" customHeight="1">
      <c r="A267" s="2938" t="s">
        <v>277</v>
      </c>
      <c r="B267" s="2939"/>
      <c r="C267" s="2940"/>
      <c r="D267" s="2941"/>
      <c r="E267" s="2941"/>
      <c r="F267" s="2941"/>
      <c r="G267" s="2941"/>
      <c r="H267" s="2941"/>
      <c r="I267" s="2941"/>
      <c r="J267" s="2941"/>
      <c r="K267" s="2941"/>
      <c r="L267" s="2941"/>
      <c r="M267" s="2941"/>
      <c r="N267" s="2941"/>
      <c r="O267" s="2942"/>
      <c r="P267" s="156"/>
      <c r="Q267" s="1253">
        <v>1</v>
      </c>
      <c r="R267" s="1245"/>
      <c r="S267" s="1254"/>
      <c r="T267" s="1255"/>
      <c r="U267" s="1256"/>
      <c r="V267" s="156"/>
      <c r="W267" s="156"/>
      <c r="X267" s="327"/>
      <c r="Y267" s="328"/>
      <c r="Z267" s="99"/>
      <c r="AA267" s="43"/>
      <c r="AB267" s="44"/>
    </row>
    <row r="268" spans="1:28" ht="25.15" customHeight="1">
      <c r="A268" s="2938"/>
      <c r="B268" s="2939"/>
      <c r="C268" s="2941"/>
      <c r="D268" s="2941"/>
      <c r="E268" s="2941"/>
      <c r="F268" s="2941"/>
      <c r="G268" s="2941"/>
      <c r="H268" s="2941"/>
      <c r="I268" s="2941"/>
      <c r="J268" s="2941"/>
      <c r="K268" s="2941"/>
      <c r="L268" s="2941"/>
      <c r="M268" s="2941"/>
      <c r="N268" s="2941"/>
      <c r="O268" s="2942"/>
      <c r="P268" s="156"/>
      <c r="Q268" s="1257"/>
      <c r="R268" s="1258"/>
      <c r="S268" s="1258"/>
      <c r="T268" s="1258"/>
      <c r="U268" s="1258"/>
      <c r="V268" s="156"/>
      <c r="W268" s="156"/>
      <c r="X268" s="156"/>
      <c r="Y268" s="156"/>
    </row>
    <row r="269" spans="1:28" ht="24.75" customHeight="1">
      <c r="A269" s="2938"/>
      <c r="B269" s="2939"/>
      <c r="C269" s="2941"/>
      <c r="D269" s="2941"/>
      <c r="E269" s="2941"/>
      <c r="F269" s="2941"/>
      <c r="G269" s="2941"/>
      <c r="H269" s="2941"/>
      <c r="I269" s="2941"/>
      <c r="J269" s="2941"/>
      <c r="K269" s="2941"/>
      <c r="L269" s="2941"/>
      <c r="M269" s="2941"/>
      <c r="N269" s="2941"/>
      <c r="O269" s="2942"/>
      <c r="P269" s="156"/>
      <c r="Q269" s="1257"/>
      <c r="R269" s="1256"/>
      <c r="S269" s="1256"/>
      <c r="T269" s="1256"/>
      <c r="U269" s="1256"/>
      <c r="V269" s="156"/>
      <c r="W269" s="156"/>
      <c r="X269" s="156"/>
      <c r="Y269" s="156"/>
    </row>
    <row r="270" spans="1:28" ht="10.15" customHeight="1">
      <c r="A270" s="2945"/>
      <c r="B270" s="2946"/>
      <c r="C270" s="2941"/>
      <c r="D270" s="2941"/>
      <c r="E270" s="2941"/>
      <c r="F270" s="2941"/>
      <c r="G270" s="2941"/>
      <c r="H270" s="2941"/>
      <c r="I270" s="2941"/>
      <c r="J270" s="2941"/>
      <c r="K270" s="2941"/>
      <c r="L270" s="2941"/>
      <c r="M270" s="2941"/>
      <c r="N270" s="2941"/>
      <c r="O270" s="2942"/>
      <c r="P270" s="156"/>
      <c r="Q270" s="1259"/>
      <c r="R270" s="1256"/>
      <c r="S270" s="1256"/>
      <c r="T270" s="1256"/>
      <c r="U270" s="1256"/>
      <c r="V270" s="156"/>
      <c r="W270" s="156"/>
      <c r="X270" s="156"/>
      <c r="Y270" s="156"/>
    </row>
    <row r="271" spans="1:28" ht="45" customHeight="1">
      <c r="A271" s="2947">
        <f>IF( 報1!$L$28="","", 報1!$L$28 )</f>
        <v>2023</v>
      </c>
      <c r="B271" s="2948"/>
      <c r="C271" s="2943"/>
      <c r="D271" s="2943"/>
      <c r="E271" s="2943"/>
      <c r="F271" s="2943"/>
      <c r="G271" s="2943"/>
      <c r="H271" s="2943"/>
      <c r="I271" s="2943"/>
      <c r="J271" s="2943"/>
      <c r="K271" s="2943"/>
      <c r="L271" s="2943"/>
      <c r="M271" s="2943"/>
      <c r="N271" s="2943"/>
      <c r="O271" s="2944"/>
      <c r="P271" s="156"/>
      <c r="Q271" s="1260"/>
      <c r="R271" s="1256"/>
      <c r="S271" s="1256"/>
      <c r="T271" s="1256"/>
      <c r="U271" s="1256"/>
      <c r="V271" s="156"/>
      <c r="W271" s="156"/>
      <c r="X271" s="156"/>
      <c r="Y271" s="156"/>
    </row>
    <row r="272" spans="1:28" ht="26.25" customHeight="1">
      <c r="A272" s="2949"/>
      <c r="B272" s="2949"/>
      <c r="C272" s="2949"/>
      <c r="D272" s="2949"/>
      <c r="E272" s="2949"/>
      <c r="F272" s="2949"/>
      <c r="G272" s="2949"/>
      <c r="H272" s="2949"/>
      <c r="I272" s="2949"/>
      <c r="J272" s="2949"/>
      <c r="K272" s="2949"/>
      <c r="L272" s="2949"/>
      <c r="M272" s="2949"/>
      <c r="N272" s="2949"/>
      <c r="O272" s="2949"/>
      <c r="P272" s="156"/>
      <c r="Q272" s="1259"/>
      <c r="R272" s="1256"/>
      <c r="S272" s="1256"/>
      <c r="T272" s="1256"/>
      <c r="U272" s="1256"/>
      <c r="V272" s="156"/>
      <c r="W272" s="156"/>
      <c r="X272" s="156"/>
      <c r="Y272" s="156"/>
    </row>
    <row r="273" spans="1:25" ht="30" customHeight="1">
      <c r="A273" s="156"/>
      <c r="B273" s="156"/>
      <c r="C273" s="156"/>
      <c r="D273" s="156"/>
      <c r="E273" s="156"/>
      <c r="F273" s="156"/>
      <c r="G273" s="156"/>
      <c r="H273" s="156"/>
      <c r="I273" s="156"/>
      <c r="J273" s="156"/>
      <c r="K273" s="156"/>
      <c r="L273" s="156"/>
      <c r="M273" s="156"/>
      <c r="N273" s="156"/>
      <c r="O273" s="329"/>
      <c r="P273" s="156"/>
      <c r="Q273" s="1248"/>
      <c r="R273" s="1260"/>
      <c r="S273" s="1244"/>
      <c r="T273" s="1244"/>
      <c r="V273" s="156"/>
      <c r="W273" s="156"/>
      <c r="X273" s="156"/>
      <c r="Y273" s="156"/>
    </row>
    <row r="274" spans="1:25" ht="18" customHeight="1">
      <c r="A274" s="156"/>
      <c r="B274" s="156"/>
      <c r="C274" s="156"/>
      <c r="D274" s="156"/>
      <c r="E274" s="156"/>
      <c r="F274" s="156"/>
      <c r="G274" s="156"/>
      <c r="H274" s="156"/>
      <c r="I274" s="156"/>
      <c r="J274" s="156"/>
      <c r="K274" s="156"/>
      <c r="L274" s="156"/>
      <c r="M274" s="156"/>
      <c r="N274" s="156"/>
      <c r="O274" s="329"/>
      <c r="P274" s="156"/>
      <c r="Q274" s="1261"/>
      <c r="R274" s="1260"/>
      <c r="S274" s="1244"/>
      <c r="T274" s="1244"/>
      <c r="V274" s="156"/>
      <c r="W274" s="156"/>
      <c r="X274" s="156"/>
      <c r="Y274" s="156"/>
    </row>
    <row r="275" spans="1:25" ht="18" customHeight="1">
      <c r="A275" s="156"/>
      <c r="B275" s="156"/>
      <c r="C275" s="156"/>
      <c r="D275" s="156"/>
      <c r="E275" s="156"/>
      <c r="F275" s="156"/>
      <c r="G275" s="156"/>
      <c r="H275" s="156"/>
      <c r="I275" s="156"/>
      <c r="J275" s="156"/>
      <c r="K275" s="156"/>
      <c r="L275" s="156"/>
      <c r="M275" s="156"/>
      <c r="N275" s="156"/>
      <c r="O275" s="329"/>
      <c r="P275" s="156"/>
      <c r="Q275" s="1261"/>
      <c r="R275" s="1260"/>
      <c r="S275" s="1244"/>
      <c r="T275" s="1244"/>
      <c r="V275" s="156"/>
      <c r="W275" s="156"/>
      <c r="X275" s="156"/>
      <c r="Y275" s="156"/>
    </row>
    <row r="276" spans="1:25">
      <c r="A276" s="1" t="s">
        <v>175</v>
      </c>
      <c r="B276" s="2"/>
      <c r="C276" s="2"/>
      <c r="D276" s="2"/>
      <c r="E276" s="2"/>
      <c r="F276" s="2"/>
      <c r="G276" s="2"/>
      <c r="H276" s="2"/>
      <c r="I276" s="2"/>
      <c r="J276" s="2"/>
      <c r="K276" s="2"/>
      <c r="L276" s="2"/>
      <c r="M276" s="2"/>
      <c r="N276" s="2"/>
      <c r="O276" s="2"/>
      <c r="P276" s="156" t="str">
        <f>"個別票"&amp;Q276</f>
        <v>個別票12</v>
      </c>
      <c r="Q276" s="1242">
        <f>Q251+1</f>
        <v>12</v>
      </c>
      <c r="V276" s="156"/>
      <c r="W276" s="156"/>
      <c r="X276" s="156"/>
      <c r="Y276" s="156"/>
    </row>
    <row r="277" spans="1:25">
      <c r="A277" s="2" t="s">
        <v>150</v>
      </c>
      <c r="B277" s="4"/>
      <c r="C277" s="4"/>
      <c r="D277" s="4"/>
      <c r="E277" s="4"/>
      <c r="F277" s="4"/>
      <c r="G277" s="4"/>
      <c r="H277" s="4"/>
      <c r="I277" s="4"/>
      <c r="J277" s="4"/>
      <c r="K277" s="4"/>
      <c r="L277" s="4"/>
      <c r="M277" s="4"/>
      <c r="N277" s="2"/>
      <c r="O277" s="2"/>
      <c r="P277" s="156"/>
      <c r="V277" s="156"/>
      <c r="W277" s="156"/>
      <c r="X277" s="156"/>
      <c r="Y277" s="156"/>
    </row>
    <row r="278" spans="1:25" ht="17.25">
      <c r="A278" s="2983" t="s">
        <v>403</v>
      </c>
      <c r="B278" s="2983"/>
      <c r="C278" s="2983"/>
      <c r="D278" s="2983"/>
      <c r="E278" s="2983"/>
      <c r="F278" s="2983"/>
      <c r="G278" s="2983"/>
      <c r="H278" s="2983"/>
      <c r="I278" s="2983"/>
      <c r="J278" s="2983"/>
      <c r="K278" s="2983"/>
      <c r="L278" s="2983"/>
      <c r="M278" s="2983"/>
      <c r="N278" s="2983"/>
      <c r="O278" s="2983"/>
      <c r="P278" s="156"/>
      <c r="V278" s="156"/>
      <c r="W278" s="156"/>
      <c r="X278" s="156"/>
      <c r="Y278" s="156"/>
    </row>
    <row r="279" spans="1:25" ht="31.5" customHeight="1">
      <c r="A279" s="38"/>
      <c r="B279" s="38"/>
      <c r="C279" s="38"/>
      <c r="D279" s="38"/>
      <c r="E279" s="38"/>
      <c r="F279" s="38"/>
      <c r="G279" s="38"/>
      <c r="H279" s="38"/>
      <c r="I279" s="38"/>
      <c r="J279" s="38"/>
      <c r="K279" s="38"/>
      <c r="L279" s="38"/>
      <c r="M279" s="38"/>
      <c r="N279" s="38"/>
      <c r="O279" s="38"/>
      <c r="P279" s="156"/>
      <c r="V279" s="156"/>
      <c r="W279" s="156"/>
      <c r="X279" s="156"/>
      <c r="Y279" s="156"/>
    </row>
    <row r="280" spans="1:25" s="51" customFormat="1" ht="15.95" customHeight="1">
      <c r="A280" s="48" t="s">
        <v>151</v>
      </c>
      <c r="B280" s="80"/>
      <c r="C280" s="80"/>
      <c r="D280" s="80"/>
      <c r="E280" s="80"/>
      <c r="F280" s="80"/>
      <c r="G280" s="80"/>
      <c r="H280" s="80"/>
      <c r="I280" s="80"/>
      <c r="J280" s="80"/>
      <c r="K280" s="80"/>
      <c r="L280" s="80"/>
      <c r="M280" s="80"/>
      <c r="P280" s="324"/>
      <c r="Q280" s="1250"/>
      <c r="R280" s="1250"/>
      <c r="S280" s="1250"/>
      <c r="T280" s="1250"/>
      <c r="U280" s="1242"/>
      <c r="V280" s="324"/>
      <c r="W280" s="324"/>
      <c r="X280" s="324"/>
      <c r="Y280" s="324"/>
    </row>
    <row r="281" spans="1:25" ht="39.950000000000003" customHeight="1">
      <c r="A281" s="2984" t="s">
        <v>152</v>
      </c>
      <c r="B281" s="2985"/>
      <c r="C281" s="2986"/>
      <c r="D281" s="2987" t="str">
        <f>参照元個別!I16</f>
        <v>事業所名を入力12</v>
      </c>
      <c r="E281" s="2988"/>
      <c r="F281" s="2988"/>
      <c r="G281" s="2988"/>
      <c r="H281" s="2988"/>
      <c r="I281" s="2988"/>
      <c r="J281" s="2988"/>
      <c r="K281" s="2988"/>
      <c r="L281" s="2988"/>
      <c r="M281" s="2988"/>
      <c r="N281" s="2988"/>
      <c r="O281" s="2989"/>
      <c r="P281" s="156"/>
      <c r="V281" s="156"/>
      <c r="W281" s="156"/>
      <c r="X281" s="156"/>
      <c r="Y281" s="156"/>
    </row>
    <row r="282" spans="1:25" ht="39.950000000000003" customHeight="1">
      <c r="A282" s="2570" t="s">
        <v>153</v>
      </c>
      <c r="B282" s="2571"/>
      <c r="C282" s="2990"/>
      <c r="D282" s="2991"/>
      <c r="E282" s="2992"/>
      <c r="F282" s="2992"/>
      <c r="G282" s="2992"/>
      <c r="H282" s="2992"/>
      <c r="I282" s="2992"/>
      <c r="J282" s="2992"/>
      <c r="K282" s="2992"/>
      <c r="L282" s="2992"/>
      <c r="M282" s="2992"/>
      <c r="N282" s="2992"/>
      <c r="O282" s="2993"/>
      <c r="P282" s="156"/>
      <c r="V282" s="156"/>
      <c r="W282" s="156"/>
      <c r="X282" s="156"/>
      <c r="Y282" s="156"/>
    </row>
    <row r="283" spans="1:25" ht="39.950000000000003" customHeight="1">
      <c r="A283" s="2536" t="s">
        <v>154</v>
      </c>
      <c r="B283" s="2978"/>
      <c r="C283" s="2979"/>
      <c r="D283" s="2980"/>
      <c r="E283" s="101" t="s">
        <v>180</v>
      </c>
      <c r="F283" s="2974" t="s">
        <v>404</v>
      </c>
      <c r="G283" s="2975"/>
      <c r="H283" s="2981" t="str">
        <f ca="1">参照元個別!$P$16</f>
        <v/>
      </c>
      <c r="I283" s="2982"/>
      <c r="J283" s="58" t="s">
        <v>176</v>
      </c>
      <c r="K283" s="2974" t="s">
        <v>405</v>
      </c>
      <c r="L283" s="2975"/>
      <c r="M283" s="2971"/>
      <c r="N283" s="2972"/>
      <c r="O283" s="2973"/>
      <c r="P283" s="156" t="str">
        <f>IFERROR(VLOOKUP(M283,$U$1:$V$16,2,0),"")</f>
        <v/>
      </c>
      <c r="U283" s="1250"/>
      <c r="V283" s="156"/>
      <c r="W283" s="156"/>
      <c r="X283" s="156"/>
      <c r="Y283" s="156"/>
    </row>
    <row r="284" spans="1:25" ht="39.950000000000003" customHeight="1">
      <c r="A284" s="2974" t="s">
        <v>406</v>
      </c>
      <c r="B284" s="2975"/>
      <c r="C284" s="2976"/>
      <c r="D284" s="2896"/>
      <c r="E284" s="2897"/>
      <c r="F284" s="2974" t="s">
        <v>158</v>
      </c>
      <c r="G284" s="2975"/>
      <c r="H284" s="2976"/>
      <c r="I284" s="2896"/>
      <c r="J284" s="2897"/>
      <c r="K284" s="2580"/>
      <c r="L284" s="2977"/>
      <c r="M284" s="2977"/>
      <c r="N284" s="2977"/>
      <c r="O284" s="2977"/>
      <c r="P284" s="156"/>
      <c r="V284" s="156"/>
      <c r="W284" s="156"/>
      <c r="X284" s="156"/>
      <c r="Y284" s="156"/>
    </row>
    <row r="285" spans="1:25" ht="18.75" customHeight="1">
      <c r="A285" s="39"/>
      <c r="B285" s="39"/>
      <c r="C285" s="40"/>
      <c r="D285" s="41"/>
      <c r="E285" s="40"/>
      <c r="F285" s="42"/>
      <c r="P285" s="156"/>
      <c r="V285" s="325"/>
      <c r="W285" s="325"/>
      <c r="X285" s="156"/>
      <c r="Y285" s="156"/>
    </row>
    <row r="286" spans="1:25" ht="51.75" customHeight="1">
      <c r="A286" s="2950" t="s">
        <v>505</v>
      </c>
      <c r="B286" s="2951"/>
      <c r="C286" s="2951"/>
      <c r="D286" s="2951"/>
      <c r="E286" s="2951"/>
      <c r="F286" s="2951"/>
      <c r="G286" s="2951"/>
      <c r="H286" s="2951"/>
      <c r="I286" s="2951"/>
      <c r="J286" s="2951"/>
      <c r="K286" s="2951"/>
      <c r="L286" s="2951"/>
      <c r="M286" s="2951"/>
      <c r="N286" s="2951"/>
      <c r="O286" s="2951"/>
      <c r="P286" s="156"/>
      <c r="V286" s="325"/>
      <c r="W286" s="325"/>
      <c r="X286" s="156"/>
      <c r="Y286" s="156"/>
    </row>
    <row r="287" spans="1:25" ht="57.75" customHeight="1">
      <c r="A287" s="39"/>
      <c r="B287" s="39"/>
      <c r="C287" s="40"/>
      <c r="D287" s="41"/>
      <c r="E287" s="40"/>
      <c r="F287" s="42"/>
      <c r="P287" s="156"/>
      <c r="Q287" s="1251"/>
      <c r="R287" s="1251"/>
      <c r="S287" s="1251"/>
      <c r="T287" s="1251"/>
      <c r="V287" s="325"/>
      <c r="W287" s="325"/>
      <c r="X287" s="156"/>
      <c r="Y287" s="156"/>
    </row>
    <row r="288" spans="1:25" s="51" customFormat="1" ht="15.95" customHeight="1">
      <c r="A288" s="50" t="s">
        <v>509</v>
      </c>
      <c r="B288" s="52"/>
      <c r="C288" s="52"/>
      <c r="D288" s="52"/>
      <c r="E288" s="52"/>
      <c r="F288" s="52"/>
      <c r="G288" s="52"/>
      <c r="H288" s="52"/>
      <c r="I288" s="52"/>
      <c r="J288" s="52"/>
      <c r="K288" s="52"/>
      <c r="L288" s="50"/>
      <c r="M288" s="50"/>
      <c r="N288" s="50"/>
      <c r="O288" s="50"/>
      <c r="P288" s="324"/>
      <c r="Q288" s="1252"/>
      <c r="R288" s="1252"/>
      <c r="S288" s="1252"/>
      <c r="T288" s="1252"/>
      <c r="U288" s="1242"/>
      <c r="V288" s="326"/>
      <c r="W288" s="326"/>
      <c r="X288" s="324"/>
      <c r="Y288" s="324"/>
    </row>
    <row r="289" spans="1:28" ht="36" customHeight="1">
      <c r="A289" s="2654"/>
      <c r="B289" s="2655"/>
      <c r="C289" s="2674" t="s">
        <v>504</v>
      </c>
      <c r="D289" s="2674"/>
      <c r="E289" s="2674"/>
      <c r="F289" s="2674"/>
      <c r="G289" s="2674"/>
      <c r="H289" s="2952"/>
      <c r="I289" s="2673" t="s">
        <v>407</v>
      </c>
      <c r="J289" s="2953"/>
      <c r="K289" s="2953"/>
      <c r="L289" s="2953"/>
      <c r="M289" s="2953"/>
      <c r="N289" s="2953"/>
      <c r="O289" s="2952"/>
      <c r="P289" s="156"/>
      <c r="V289" s="156"/>
      <c r="W289" s="156"/>
      <c r="X289" s="156"/>
      <c r="Y289" s="156"/>
    </row>
    <row r="290" spans="1:28" ht="24" customHeight="1">
      <c r="A290" s="2633" t="s">
        <v>236</v>
      </c>
      <c r="B290" s="2954"/>
      <c r="C290" s="2955" t="str">
        <f ca="1">参照元個別!E16</f>
        <v/>
      </c>
      <c r="D290" s="2955"/>
      <c r="E290" s="2955"/>
      <c r="F290" s="2955"/>
      <c r="G290" s="2956"/>
      <c r="H290" s="2959" t="s">
        <v>414</v>
      </c>
      <c r="I290" s="2961" t="str">
        <f>参照元個別!F16</f>
        <v/>
      </c>
      <c r="J290" s="2962"/>
      <c r="K290" s="2962"/>
      <c r="L290" s="2962"/>
      <c r="M290" s="2965" t="s">
        <v>415</v>
      </c>
      <c r="N290" s="2967" t="str">
        <f>参照元個別!G16</f>
        <v/>
      </c>
      <c r="O290" s="2968"/>
      <c r="P290" s="165"/>
      <c r="V290" s="156"/>
      <c r="W290" s="156"/>
      <c r="X290" s="156"/>
      <c r="Y290" s="156"/>
    </row>
    <row r="291" spans="1:28" ht="23.1" customHeight="1">
      <c r="A291" s="2637">
        <f>IF( 報1!$L$28="","", 報1!$L$28 )</f>
        <v>2023</v>
      </c>
      <c r="B291" s="2638"/>
      <c r="C291" s="2957"/>
      <c r="D291" s="2957"/>
      <c r="E291" s="2957"/>
      <c r="F291" s="2957"/>
      <c r="G291" s="2958"/>
      <c r="H291" s="2960"/>
      <c r="I291" s="2963"/>
      <c r="J291" s="2964"/>
      <c r="K291" s="2964"/>
      <c r="L291" s="2964"/>
      <c r="M291" s="2966"/>
      <c r="N291" s="2969"/>
      <c r="O291" s="2970"/>
      <c r="P291" s="165"/>
      <c r="V291" s="156"/>
      <c r="W291" s="156"/>
      <c r="X291" s="156"/>
      <c r="Y291" s="156"/>
    </row>
    <row r="292" spans="1:28" ht="25.15" customHeight="1">
      <c r="A292" s="2938" t="s">
        <v>277</v>
      </c>
      <c r="B292" s="2939"/>
      <c r="C292" s="2940"/>
      <c r="D292" s="2941"/>
      <c r="E292" s="2941"/>
      <c r="F292" s="2941"/>
      <c r="G292" s="2941"/>
      <c r="H292" s="2941"/>
      <c r="I292" s="2941"/>
      <c r="J292" s="2941"/>
      <c r="K292" s="2941"/>
      <c r="L292" s="2941"/>
      <c r="M292" s="2941"/>
      <c r="N292" s="2941"/>
      <c r="O292" s="2942"/>
      <c r="P292" s="156"/>
      <c r="Q292" s="1253">
        <v>1</v>
      </c>
      <c r="R292" s="1245"/>
      <c r="S292" s="1254"/>
      <c r="T292" s="1255"/>
      <c r="U292" s="1256"/>
      <c r="V292" s="156"/>
      <c r="W292" s="156"/>
      <c r="X292" s="327"/>
      <c r="Y292" s="328"/>
      <c r="Z292" s="99"/>
      <c r="AA292" s="43"/>
      <c r="AB292" s="44"/>
    </row>
    <row r="293" spans="1:28" ht="25.15" customHeight="1">
      <c r="A293" s="2938"/>
      <c r="B293" s="2939"/>
      <c r="C293" s="2941"/>
      <c r="D293" s="2941"/>
      <c r="E293" s="2941"/>
      <c r="F293" s="2941"/>
      <c r="G293" s="2941"/>
      <c r="H293" s="2941"/>
      <c r="I293" s="2941"/>
      <c r="J293" s="2941"/>
      <c r="K293" s="2941"/>
      <c r="L293" s="2941"/>
      <c r="M293" s="2941"/>
      <c r="N293" s="2941"/>
      <c r="O293" s="2942"/>
      <c r="P293" s="156"/>
      <c r="Q293" s="1257"/>
      <c r="R293" s="1258"/>
      <c r="S293" s="1258"/>
      <c r="T293" s="1258"/>
      <c r="U293" s="1258"/>
      <c r="V293" s="156"/>
      <c r="W293" s="156"/>
      <c r="X293" s="156"/>
      <c r="Y293" s="156"/>
    </row>
    <row r="294" spans="1:28" ht="24.75" customHeight="1">
      <c r="A294" s="2938"/>
      <c r="B294" s="2939"/>
      <c r="C294" s="2941"/>
      <c r="D294" s="2941"/>
      <c r="E294" s="2941"/>
      <c r="F294" s="2941"/>
      <c r="G294" s="2941"/>
      <c r="H294" s="2941"/>
      <c r="I294" s="2941"/>
      <c r="J294" s="2941"/>
      <c r="K294" s="2941"/>
      <c r="L294" s="2941"/>
      <c r="M294" s="2941"/>
      <c r="N294" s="2941"/>
      <c r="O294" s="2942"/>
      <c r="P294" s="156"/>
      <c r="Q294" s="1257"/>
      <c r="R294" s="1256"/>
      <c r="S294" s="1256"/>
      <c r="T294" s="1256"/>
      <c r="U294" s="1256"/>
      <c r="V294" s="156"/>
      <c r="W294" s="156"/>
      <c r="X294" s="156"/>
      <c r="Y294" s="156"/>
    </row>
    <row r="295" spans="1:28" ht="10.15" customHeight="1">
      <c r="A295" s="2945"/>
      <c r="B295" s="2946"/>
      <c r="C295" s="2941"/>
      <c r="D295" s="2941"/>
      <c r="E295" s="2941"/>
      <c r="F295" s="2941"/>
      <c r="G295" s="2941"/>
      <c r="H295" s="2941"/>
      <c r="I295" s="2941"/>
      <c r="J295" s="2941"/>
      <c r="K295" s="2941"/>
      <c r="L295" s="2941"/>
      <c r="M295" s="2941"/>
      <c r="N295" s="2941"/>
      <c r="O295" s="2942"/>
      <c r="P295" s="156"/>
      <c r="Q295" s="1259"/>
      <c r="R295" s="1256"/>
      <c r="S295" s="1256"/>
      <c r="T295" s="1256"/>
      <c r="U295" s="1256"/>
      <c r="V295" s="156"/>
      <c r="W295" s="156"/>
      <c r="X295" s="156"/>
      <c r="Y295" s="156"/>
    </row>
    <row r="296" spans="1:28" ht="45" customHeight="1">
      <c r="A296" s="2947">
        <f>IF( 報1!$L$28="","", 報1!$L$28 )</f>
        <v>2023</v>
      </c>
      <c r="B296" s="2948"/>
      <c r="C296" s="2943"/>
      <c r="D296" s="2943"/>
      <c r="E296" s="2943"/>
      <c r="F296" s="2943"/>
      <c r="G296" s="2943"/>
      <c r="H296" s="2943"/>
      <c r="I296" s="2943"/>
      <c r="J296" s="2943"/>
      <c r="K296" s="2943"/>
      <c r="L296" s="2943"/>
      <c r="M296" s="2943"/>
      <c r="N296" s="2943"/>
      <c r="O296" s="2944"/>
      <c r="P296" s="156"/>
      <c r="Q296" s="1260"/>
      <c r="R296" s="1256"/>
      <c r="S296" s="1256"/>
      <c r="T296" s="1256"/>
      <c r="U296" s="1256"/>
      <c r="V296" s="156"/>
      <c r="W296" s="156"/>
      <c r="X296" s="156"/>
      <c r="Y296" s="156"/>
    </row>
    <row r="297" spans="1:28" ht="26.25" customHeight="1">
      <c r="A297" s="2949"/>
      <c r="B297" s="2949"/>
      <c r="C297" s="2949"/>
      <c r="D297" s="2949"/>
      <c r="E297" s="2949"/>
      <c r="F297" s="2949"/>
      <c r="G297" s="2949"/>
      <c r="H297" s="2949"/>
      <c r="I297" s="2949"/>
      <c r="J297" s="2949"/>
      <c r="K297" s="2949"/>
      <c r="L297" s="2949"/>
      <c r="M297" s="2949"/>
      <c r="N297" s="2949"/>
      <c r="O297" s="2949"/>
      <c r="P297" s="156"/>
      <c r="Q297" s="1259"/>
      <c r="R297" s="1256"/>
      <c r="S297" s="1256"/>
      <c r="T297" s="1256"/>
      <c r="U297" s="1256"/>
      <c r="V297" s="156"/>
      <c r="W297" s="156"/>
      <c r="X297" s="156"/>
      <c r="Y297" s="156"/>
    </row>
    <row r="298" spans="1:28" ht="30" customHeight="1">
      <c r="A298" s="156"/>
      <c r="B298" s="156"/>
      <c r="C298" s="156"/>
      <c r="D298" s="156"/>
      <c r="E298" s="156"/>
      <c r="F298" s="156"/>
      <c r="G298" s="156"/>
      <c r="H298" s="156"/>
      <c r="I298" s="156"/>
      <c r="J298" s="156"/>
      <c r="K298" s="156"/>
      <c r="L298" s="156"/>
      <c r="M298" s="156"/>
      <c r="N298" s="156"/>
      <c r="O298" s="329"/>
      <c r="P298" s="156"/>
      <c r="Q298" s="1248"/>
      <c r="R298" s="1260"/>
      <c r="S298" s="1244"/>
      <c r="T298" s="1244"/>
      <c r="V298" s="156"/>
      <c r="W298" s="156"/>
      <c r="X298" s="156"/>
      <c r="Y298" s="156"/>
    </row>
    <row r="299" spans="1:28" ht="18" customHeight="1">
      <c r="A299" s="156"/>
      <c r="B299" s="156"/>
      <c r="C299" s="156"/>
      <c r="D299" s="156"/>
      <c r="E299" s="156"/>
      <c r="F299" s="156"/>
      <c r="G299" s="156"/>
      <c r="H299" s="156"/>
      <c r="I299" s="156"/>
      <c r="J299" s="156"/>
      <c r="K299" s="156"/>
      <c r="L299" s="156"/>
      <c r="M299" s="156"/>
      <c r="N299" s="156"/>
      <c r="O299" s="329"/>
      <c r="P299" s="156"/>
      <c r="Q299" s="1261"/>
      <c r="R299" s="1260"/>
      <c r="S299" s="1244"/>
      <c r="T299" s="1244"/>
      <c r="V299" s="156"/>
      <c r="W299" s="156"/>
      <c r="X299" s="156"/>
      <c r="Y299" s="156"/>
    </row>
    <row r="300" spans="1:28" ht="18" customHeight="1">
      <c r="A300" s="156"/>
      <c r="B300" s="156"/>
      <c r="C300" s="156"/>
      <c r="D300" s="156"/>
      <c r="E300" s="156"/>
      <c r="F300" s="156"/>
      <c r="G300" s="156"/>
      <c r="H300" s="156"/>
      <c r="I300" s="156"/>
      <c r="J300" s="156"/>
      <c r="K300" s="156"/>
      <c r="L300" s="156"/>
      <c r="M300" s="156"/>
      <c r="N300" s="156"/>
      <c r="O300" s="329"/>
      <c r="P300" s="156"/>
      <c r="Q300" s="1261"/>
      <c r="R300" s="1260"/>
      <c r="S300" s="1244"/>
      <c r="T300" s="1244"/>
      <c r="V300" s="156"/>
      <c r="W300" s="156"/>
      <c r="X300" s="156"/>
      <c r="Y300" s="156"/>
    </row>
    <row r="301" spans="1:28">
      <c r="A301" s="1" t="s">
        <v>175</v>
      </c>
      <c r="B301" s="2"/>
      <c r="C301" s="2"/>
      <c r="D301" s="2"/>
      <c r="E301" s="2"/>
      <c r="F301" s="2"/>
      <c r="G301" s="2"/>
      <c r="H301" s="2"/>
      <c r="I301" s="2"/>
      <c r="J301" s="2"/>
      <c r="K301" s="2"/>
      <c r="L301" s="2"/>
      <c r="M301" s="2"/>
      <c r="N301" s="2"/>
      <c r="O301" s="2"/>
      <c r="P301" s="156" t="str">
        <f>"個別票"&amp;Q301</f>
        <v>個別票13</v>
      </c>
      <c r="Q301" s="1242">
        <f>Q276+1</f>
        <v>13</v>
      </c>
      <c r="V301" s="156"/>
      <c r="W301" s="156"/>
      <c r="X301" s="156"/>
      <c r="Y301" s="156"/>
    </row>
    <row r="302" spans="1:28">
      <c r="A302" s="2" t="s">
        <v>150</v>
      </c>
      <c r="B302" s="4"/>
      <c r="C302" s="4"/>
      <c r="D302" s="4"/>
      <c r="E302" s="4"/>
      <c r="F302" s="4"/>
      <c r="G302" s="4"/>
      <c r="H302" s="4"/>
      <c r="I302" s="4"/>
      <c r="J302" s="4"/>
      <c r="K302" s="4"/>
      <c r="L302" s="4"/>
      <c r="M302" s="4"/>
      <c r="N302" s="2"/>
      <c r="O302" s="2"/>
      <c r="P302" s="156"/>
      <c r="V302" s="156"/>
      <c r="W302" s="156"/>
      <c r="X302" s="156"/>
      <c r="Y302" s="156"/>
    </row>
    <row r="303" spans="1:28" ht="17.25">
      <c r="A303" s="2983" t="s">
        <v>403</v>
      </c>
      <c r="B303" s="2983"/>
      <c r="C303" s="2983"/>
      <c r="D303" s="2983"/>
      <c r="E303" s="2983"/>
      <c r="F303" s="2983"/>
      <c r="G303" s="2983"/>
      <c r="H303" s="2983"/>
      <c r="I303" s="2983"/>
      <c r="J303" s="2983"/>
      <c r="K303" s="2983"/>
      <c r="L303" s="2983"/>
      <c r="M303" s="2983"/>
      <c r="N303" s="2983"/>
      <c r="O303" s="2983"/>
      <c r="P303" s="156"/>
      <c r="V303" s="156"/>
      <c r="W303" s="156"/>
      <c r="X303" s="156"/>
      <c r="Y303" s="156"/>
    </row>
    <row r="304" spans="1:28" ht="31.5" customHeight="1">
      <c r="A304" s="38"/>
      <c r="B304" s="38"/>
      <c r="C304" s="38"/>
      <c r="D304" s="38"/>
      <c r="E304" s="38"/>
      <c r="F304" s="38"/>
      <c r="G304" s="38"/>
      <c r="H304" s="38"/>
      <c r="I304" s="38"/>
      <c r="J304" s="38"/>
      <c r="K304" s="38"/>
      <c r="L304" s="38"/>
      <c r="M304" s="38"/>
      <c r="N304" s="38"/>
      <c r="O304" s="38"/>
      <c r="P304" s="156"/>
      <c r="V304" s="156"/>
      <c r="W304" s="156"/>
      <c r="X304" s="156"/>
      <c r="Y304" s="156"/>
    </row>
    <row r="305" spans="1:28" s="51" customFormat="1" ht="15.95" customHeight="1">
      <c r="A305" s="48" t="s">
        <v>151</v>
      </c>
      <c r="B305" s="80"/>
      <c r="C305" s="80"/>
      <c r="D305" s="80"/>
      <c r="E305" s="80"/>
      <c r="F305" s="80"/>
      <c r="G305" s="80"/>
      <c r="H305" s="80"/>
      <c r="I305" s="80"/>
      <c r="J305" s="80"/>
      <c r="K305" s="80"/>
      <c r="L305" s="80"/>
      <c r="M305" s="80"/>
      <c r="P305" s="324"/>
      <c r="Q305" s="1250"/>
      <c r="R305" s="1250"/>
      <c r="S305" s="1250"/>
      <c r="T305" s="1250"/>
      <c r="U305" s="1242"/>
      <c r="V305" s="324"/>
      <c r="W305" s="324"/>
      <c r="X305" s="324"/>
      <c r="Y305" s="324"/>
    </row>
    <row r="306" spans="1:28" ht="39.950000000000003" customHeight="1">
      <c r="A306" s="2984" t="s">
        <v>152</v>
      </c>
      <c r="B306" s="2985"/>
      <c r="C306" s="2986"/>
      <c r="D306" s="2987" t="str">
        <f>参照元個別!I17</f>
        <v>事業所名を入力13</v>
      </c>
      <c r="E306" s="2988"/>
      <c r="F306" s="2988"/>
      <c r="G306" s="2988"/>
      <c r="H306" s="2988"/>
      <c r="I306" s="2988"/>
      <c r="J306" s="2988"/>
      <c r="K306" s="2988"/>
      <c r="L306" s="2988"/>
      <c r="M306" s="2988"/>
      <c r="N306" s="2988"/>
      <c r="O306" s="2989"/>
      <c r="P306" s="156"/>
      <c r="V306" s="156"/>
      <c r="W306" s="156"/>
      <c r="X306" s="156"/>
      <c r="Y306" s="156"/>
    </row>
    <row r="307" spans="1:28" ht="39.950000000000003" customHeight="1">
      <c r="A307" s="2570" t="s">
        <v>153</v>
      </c>
      <c r="B307" s="2571"/>
      <c r="C307" s="2990"/>
      <c r="D307" s="2991"/>
      <c r="E307" s="2992"/>
      <c r="F307" s="2992"/>
      <c r="G307" s="2992"/>
      <c r="H307" s="2992"/>
      <c r="I307" s="2992"/>
      <c r="J307" s="2992"/>
      <c r="K307" s="2992"/>
      <c r="L307" s="2992"/>
      <c r="M307" s="2992"/>
      <c r="N307" s="2992"/>
      <c r="O307" s="2993"/>
      <c r="P307" s="156"/>
      <c r="V307" s="156"/>
      <c r="W307" s="156"/>
      <c r="X307" s="156"/>
      <c r="Y307" s="156"/>
    </row>
    <row r="308" spans="1:28" ht="39.950000000000003" customHeight="1">
      <c r="A308" s="2536" t="s">
        <v>154</v>
      </c>
      <c r="B308" s="2978"/>
      <c r="C308" s="2979"/>
      <c r="D308" s="2980"/>
      <c r="E308" s="101" t="s">
        <v>180</v>
      </c>
      <c r="F308" s="2974" t="s">
        <v>404</v>
      </c>
      <c r="G308" s="2975"/>
      <c r="H308" s="2981" t="str">
        <f ca="1">参照元個別!$P$17</f>
        <v/>
      </c>
      <c r="I308" s="2982"/>
      <c r="J308" s="58" t="s">
        <v>176</v>
      </c>
      <c r="K308" s="2974" t="s">
        <v>405</v>
      </c>
      <c r="L308" s="2975"/>
      <c r="M308" s="2971"/>
      <c r="N308" s="2972"/>
      <c r="O308" s="2973"/>
      <c r="P308" s="156" t="str">
        <f>IFERROR(VLOOKUP(M308,$U$1:$V$16,2,0),"")</f>
        <v/>
      </c>
      <c r="U308" s="1250"/>
      <c r="V308" s="156"/>
      <c r="W308" s="156"/>
      <c r="X308" s="156"/>
      <c r="Y308" s="156"/>
    </row>
    <row r="309" spans="1:28" ht="39.950000000000003" customHeight="1">
      <c r="A309" s="2974" t="s">
        <v>406</v>
      </c>
      <c r="B309" s="2975"/>
      <c r="C309" s="2976"/>
      <c r="D309" s="2896"/>
      <c r="E309" s="2897"/>
      <c r="F309" s="2974" t="s">
        <v>158</v>
      </c>
      <c r="G309" s="2975"/>
      <c r="H309" s="2976"/>
      <c r="I309" s="2896"/>
      <c r="J309" s="2897"/>
      <c r="K309" s="2580"/>
      <c r="L309" s="2977"/>
      <c r="M309" s="2977"/>
      <c r="N309" s="2977"/>
      <c r="O309" s="2977"/>
      <c r="P309" s="156"/>
      <c r="V309" s="156"/>
      <c r="W309" s="156"/>
      <c r="X309" s="156"/>
      <c r="Y309" s="156"/>
    </row>
    <row r="310" spans="1:28" ht="18.75" customHeight="1">
      <c r="A310" s="39"/>
      <c r="B310" s="39"/>
      <c r="C310" s="40"/>
      <c r="D310" s="41"/>
      <c r="E310" s="40"/>
      <c r="F310" s="42"/>
      <c r="P310" s="156"/>
      <c r="V310" s="325"/>
      <c r="W310" s="325"/>
      <c r="X310" s="156"/>
      <c r="Y310" s="156"/>
    </row>
    <row r="311" spans="1:28" ht="51.75" customHeight="1">
      <c r="A311" s="2950" t="s">
        <v>505</v>
      </c>
      <c r="B311" s="2951"/>
      <c r="C311" s="2951"/>
      <c r="D311" s="2951"/>
      <c r="E311" s="2951"/>
      <c r="F311" s="2951"/>
      <c r="G311" s="2951"/>
      <c r="H311" s="2951"/>
      <c r="I311" s="2951"/>
      <c r="J311" s="2951"/>
      <c r="K311" s="2951"/>
      <c r="L311" s="2951"/>
      <c r="M311" s="2951"/>
      <c r="N311" s="2951"/>
      <c r="O311" s="2951"/>
      <c r="P311" s="156"/>
      <c r="V311" s="325"/>
      <c r="W311" s="325"/>
      <c r="X311" s="156"/>
      <c r="Y311" s="156"/>
    </row>
    <row r="312" spans="1:28" ht="57.75" customHeight="1">
      <c r="A312" s="39"/>
      <c r="B312" s="39"/>
      <c r="C312" s="40"/>
      <c r="D312" s="41"/>
      <c r="E312" s="40"/>
      <c r="F312" s="42"/>
      <c r="P312" s="156"/>
      <c r="Q312" s="1251"/>
      <c r="R312" s="1251"/>
      <c r="S312" s="1251"/>
      <c r="T312" s="1251"/>
      <c r="V312" s="325"/>
      <c r="W312" s="325"/>
      <c r="X312" s="156"/>
      <c r="Y312" s="156"/>
    </row>
    <row r="313" spans="1:28" s="51" customFormat="1" ht="15.95" customHeight="1">
      <c r="A313" s="50" t="s">
        <v>509</v>
      </c>
      <c r="B313" s="52"/>
      <c r="C313" s="52"/>
      <c r="D313" s="52"/>
      <c r="E313" s="52"/>
      <c r="F313" s="52"/>
      <c r="G313" s="52"/>
      <c r="H313" s="52"/>
      <c r="I313" s="52"/>
      <c r="J313" s="52"/>
      <c r="K313" s="52"/>
      <c r="L313" s="50"/>
      <c r="M313" s="50"/>
      <c r="N313" s="50"/>
      <c r="O313" s="50"/>
      <c r="P313" s="324"/>
      <c r="Q313" s="1252"/>
      <c r="R313" s="1252"/>
      <c r="S313" s="1252"/>
      <c r="T313" s="1252"/>
      <c r="U313" s="1242"/>
      <c r="V313" s="326"/>
      <c r="W313" s="326"/>
      <c r="X313" s="324"/>
      <c r="Y313" s="324"/>
    </row>
    <row r="314" spans="1:28" ht="36" customHeight="1">
      <c r="A314" s="2654"/>
      <c r="B314" s="2655"/>
      <c r="C314" s="2674" t="s">
        <v>504</v>
      </c>
      <c r="D314" s="2674"/>
      <c r="E314" s="2674"/>
      <c r="F314" s="2674"/>
      <c r="G314" s="2674"/>
      <c r="H314" s="2952"/>
      <c r="I314" s="2673" t="s">
        <v>407</v>
      </c>
      <c r="J314" s="2953"/>
      <c r="K314" s="2953"/>
      <c r="L314" s="2953"/>
      <c r="M314" s="2953"/>
      <c r="N314" s="2953"/>
      <c r="O314" s="2952"/>
      <c r="P314" s="156"/>
      <c r="V314" s="156"/>
      <c r="W314" s="156"/>
      <c r="X314" s="156"/>
      <c r="Y314" s="156"/>
    </row>
    <row r="315" spans="1:28" ht="24" customHeight="1">
      <c r="A315" s="2633" t="s">
        <v>236</v>
      </c>
      <c r="B315" s="2954"/>
      <c r="C315" s="2955" t="str">
        <f ca="1">参照元個別!E17</f>
        <v/>
      </c>
      <c r="D315" s="2955"/>
      <c r="E315" s="2955"/>
      <c r="F315" s="2955"/>
      <c r="G315" s="2956"/>
      <c r="H315" s="2959" t="s">
        <v>414</v>
      </c>
      <c r="I315" s="2961" t="str">
        <f>参照元個別!F17</f>
        <v/>
      </c>
      <c r="J315" s="2962"/>
      <c r="K315" s="2962"/>
      <c r="L315" s="2962"/>
      <c r="M315" s="2965" t="s">
        <v>415</v>
      </c>
      <c r="N315" s="2967" t="str">
        <f>参照元個別!G17</f>
        <v/>
      </c>
      <c r="O315" s="2968"/>
      <c r="P315" s="165"/>
      <c r="V315" s="156"/>
      <c r="W315" s="156"/>
      <c r="X315" s="156"/>
      <c r="Y315" s="156"/>
    </row>
    <row r="316" spans="1:28" ht="23.1" customHeight="1">
      <c r="A316" s="2637">
        <f>IF( 報1!$L$28="","", 報1!$L$28 )</f>
        <v>2023</v>
      </c>
      <c r="B316" s="2638"/>
      <c r="C316" s="2957"/>
      <c r="D316" s="2957"/>
      <c r="E316" s="2957"/>
      <c r="F316" s="2957"/>
      <c r="G316" s="2958"/>
      <c r="H316" s="2960"/>
      <c r="I316" s="2963"/>
      <c r="J316" s="2964"/>
      <c r="K316" s="2964"/>
      <c r="L316" s="2964"/>
      <c r="M316" s="2966"/>
      <c r="N316" s="2969"/>
      <c r="O316" s="2970"/>
      <c r="P316" s="165"/>
      <c r="V316" s="156"/>
      <c r="W316" s="156"/>
      <c r="X316" s="156"/>
      <c r="Y316" s="156"/>
    </row>
    <row r="317" spans="1:28" ht="25.15" customHeight="1">
      <c r="A317" s="2938" t="s">
        <v>277</v>
      </c>
      <c r="B317" s="2939"/>
      <c r="C317" s="2940"/>
      <c r="D317" s="2941"/>
      <c r="E317" s="2941"/>
      <c r="F317" s="2941"/>
      <c r="G317" s="2941"/>
      <c r="H317" s="2941"/>
      <c r="I317" s="2941"/>
      <c r="J317" s="2941"/>
      <c r="K317" s="2941"/>
      <c r="L317" s="2941"/>
      <c r="M317" s="2941"/>
      <c r="N317" s="2941"/>
      <c r="O317" s="2942"/>
      <c r="P317" s="156"/>
      <c r="Q317" s="1253">
        <v>1</v>
      </c>
      <c r="R317" s="1245"/>
      <c r="S317" s="1254"/>
      <c r="T317" s="1255"/>
      <c r="U317" s="1256"/>
      <c r="V317" s="156"/>
      <c r="W317" s="156"/>
      <c r="X317" s="327"/>
      <c r="Y317" s="328"/>
      <c r="Z317" s="99"/>
      <c r="AA317" s="43"/>
      <c r="AB317" s="44"/>
    </row>
    <row r="318" spans="1:28" ht="25.15" customHeight="1">
      <c r="A318" s="2938"/>
      <c r="B318" s="2939"/>
      <c r="C318" s="2941"/>
      <c r="D318" s="2941"/>
      <c r="E318" s="2941"/>
      <c r="F318" s="2941"/>
      <c r="G318" s="2941"/>
      <c r="H318" s="2941"/>
      <c r="I318" s="2941"/>
      <c r="J318" s="2941"/>
      <c r="K318" s="2941"/>
      <c r="L318" s="2941"/>
      <c r="M318" s="2941"/>
      <c r="N318" s="2941"/>
      <c r="O318" s="2942"/>
      <c r="P318" s="156"/>
      <c r="Q318" s="1257"/>
      <c r="R318" s="1258"/>
      <c r="S318" s="1258"/>
      <c r="T318" s="1258"/>
      <c r="U318" s="1258"/>
      <c r="V318" s="156"/>
      <c r="W318" s="156"/>
      <c r="X318" s="156"/>
      <c r="Y318" s="156"/>
    </row>
    <row r="319" spans="1:28" ht="24.75" customHeight="1">
      <c r="A319" s="2938"/>
      <c r="B319" s="2939"/>
      <c r="C319" s="2941"/>
      <c r="D319" s="2941"/>
      <c r="E319" s="2941"/>
      <c r="F319" s="2941"/>
      <c r="G319" s="2941"/>
      <c r="H319" s="2941"/>
      <c r="I319" s="2941"/>
      <c r="J319" s="2941"/>
      <c r="K319" s="2941"/>
      <c r="L319" s="2941"/>
      <c r="M319" s="2941"/>
      <c r="N319" s="2941"/>
      <c r="O319" s="2942"/>
      <c r="P319" s="156"/>
      <c r="Q319" s="1257"/>
      <c r="R319" s="1256"/>
      <c r="S319" s="1256"/>
      <c r="T319" s="1256"/>
      <c r="U319" s="1256"/>
      <c r="V319" s="156"/>
      <c r="W319" s="156"/>
      <c r="X319" s="156"/>
      <c r="Y319" s="156"/>
    </row>
    <row r="320" spans="1:28" ht="10.15" customHeight="1">
      <c r="A320" s="2945"/>
      <c r="B320" s="2946"/>
      <c r="C320" s="2941"/>
      <c r="D320" s="2941"/>
      <c r="E320" s="2941"/>
      <c r="F320" s="2941"/>
      <c r="G320" s="2941"/>
      <c r="H320" s="2941"/>
      <c r="I320" s="2941"/>
      <c r="J320" s="2941"/>
      <c r="K320" s="2941"/>
      <c r="L320" s="2941"/>
      <c r="M320" s="2941"/>
      <c r="N320" s="2941"/>
      <c r="O320" s="2942"/>
      <c r="P320" s="156"/>
      <c r="Q320" s="1259"/>
      <c r="R320" s="1256"/>
      <c r="S320" s="1256"/>
      <c r="T320" s="1256"/>
      <c r="U320" s="1256"/>
      <c r="V320" s="156"/>
      <c r="W320" s="156"/>
      <c r="X320" s="156"/>
      <c r="Y320" s="156"/>
    </row>
    <row r="321" spans="1:25" ht="45" customHeight="1">
      <c r="A321" s="2947">
        <f>IF( 報1!$L$28="","", 報1!$L$28 )</f>
        <v>2023</v>
      </c>
      <c r="B321" s="2948"/>
      <c r="C321" s="2943"/>
      <c r="D321" s="2943"/>
      <c r="E321" s="2943"/>
      <c r="F321" s="2943"/>
      <c r="G321" s="2943"/>
      <c r="H321" s="2943"/>
      <c r="I321" s="2943"/>
      <c r="J321" s="2943"/>
      <c r="K321" s="2943"/>
      <c r="L321" s="2943"/>
      <c r="M321" s="2943"/>
      <c r="N321" s="2943"/>
      <c r="O321" s="2944"/>
      <c r="P321" s="156"/>
      <c r="Q321" s="1260"/>
      <c r="R321" s="1256"/>
      <c r="S321" s="1256"/>
      <c r="T321" s="1256"/>
      <c r="U321" s="1256"/>
      <c r="V321" s="156"/>
      <c r="W321" s="156"/>
      <c r="X321" s="156"/>
      <c r="Y321" s="156"/>
    </row>
    <row r="322" spans="1:25" ht="26.25" customHeight="1">
      <c r="A322" s="2949"/>
      <c r="B322" s="2949"/>
      <c r="C322" s="2949"/>
      <c r="D322" s="2949"/>
      <c r="E322" s="2949"/>
      <c r="F322" s="2949"/>
      <c r="G322" s="2949"/>
      <c r="H322" s="2949"/>
      <c r="I322" s="2949"/>
      <c r="J322" s="2949"/>
      <c r="K322" s="2949"/>
      <c r="L322" s="2949"/>
      <c r="M322" s="2949"/>
      <c r="N322" s="2949"/>
      <c r="O322" s="2949"/>
      <c r="P322" s="156"/>
      <c r="Q322" s="1259"/>
      <c r="R322" s="1256"/>
      <c r="S322" s="1256"/>
      <c r="T322" s="1256"/>
      <c r="U322" s="1256"/>
      <c r="V322" s="156"/>
      <c r="W322" s="156"/>
      <c r="X322" s="156"/>
      <c r="Y322" s="156"/>
    </row>
    <row r="323" spans="1:25" ht="30" customHeight="1">
      <c r="A323" s="156"/>
      <c r="B323" s="156"/>
      <c r="C323" s="156"/>
      <c r="D323" s="156"/>
      <c r="E323" s="156"/>
      <c r="F323" s="156"/>
      <c r="G323" s="156"/>
      <c r="H323" s="156"/>
      <c r="I323" s="156"/>
      <c r="J323" s="156"/>
      <c r="K323" s="156"/>
      <c r="L323" s="156"/>
      <c r="M323" s="156"/>
      <c r="N323" s="156"/>
      <c r="O323" s="329"/>
      <c r="P323" s="156"/>
      <c r="Q323" s="1248"/>
      <c r="R323" s="1260"/>
      <c r="S323" s="1244"/>
      <c r="T323" s="1244"/>
      <c r="V323" s="156"/>
      <c r="W323" s="156"/>
      <c r="X323" s="156"/>
      <c r="Y323" s="156"/>
    </row>
    <row r="324" spans="1:25" ht="18" customHeight="1">
      <c r="A324" s="156"/>
      <c r="B324" s="156"/>
      <c r="C324" s="156"/>
      <c r="D324" s="156"/>
      <c r="E324" s="156"/>
      <c r="F324" s="156"/>
      <c r="G324" s="156"/>
      <c r="H324" s="156"/>
      <c r="I324" s="156"/>
      <c r="J324" s="156"/>
      <c r="K324" s="156"/>
      <c r="L324" s="156"/>
      <c r="M324" s="156"/>
      <c r="N324" s="156"/>
      <c r="O324" s="329"/>
      <c r="P324" s="156"/>
      <c r="Q324" s="1261"/>
      <c r="R324" s="1260"/>
      <c r="S324" s="1244"/>
      <c r="T324" s="1244"/>
      <c r="V324" s="156"/>
      <c r="W324" s="156"/>
      <c r="X324" s="156"/>
      <c r="Y324" s="156"/>
    </row>
    <row r="325" spans="1:25" ht="18" customHeight="1">
      <c r="A325" s="156"/>
      <c r="B325" s="156"/>
      <c r="C325" s="156"/>
      <c r="D325" s="156"/>
      <c r="E325" s="156"/>
      <c r="F325" s="156"/>
      <c r="G325" s="156"/>
      <c r="H325" s="156"/>
      <c r="I325" s="156"/>
      <c r="J325" s="156"/>
      <c r="K325" s="156"/>
      <c r="L325" s="156"/>
      <c r="M325" s="156"/>
      <c r="N325" s="156"/>
      <c r="O325" s="329"/>
      <c r="P325" s="156"/>
      <c r="Q325" s="1261"/>
      <c r="R325" s="1260"/>
      <c r="S325" s="1244"/>
      <c r="T325" s="1244"/>
      <c r="V325" s="156"/>
      <c r="W325" s="156"/>
      <c r="X325" s="156"/>
      <c r="Y325" s="156"/>
    </row>
    <row r="326" spans="1:25">
      <c r="A326" s="1" t="s">
        <v>175</v>
      </c>
      <c r="B326" s="2"/>
      <c r="C326" s="2"/>
      <c r="D326" s="2"/>
      <c r="E326" s="2"/>
      <c r="F326" s="2"/>
      <c r="G326" s="2"/>
      <c r="H326" s="2"/>
      <c r="I326" s="2"/>
      <c r="J326" s="2"/>
      <c r="K326" s="2"/>
      <c r="L326" s="2"/>
      <c r="M326" s="2"/>
      <c r="N326" s="2"/>
      <c r="O326" s="2"/>
      <c r="P326" s="156" t="str">
        <f>"個別票"&amp;Q326</f>
        <v>個別票14</v>
      </c>
      <c r="Q326" s="1242">
        <f>Q301+1</f>
        <v>14</v>
      </c>
      <c r="V326" s="156"/>
      <c r="W326" s="156"/>
      <c r="X326" s="156"/>
      <c r="Y326" s="156"/>
    </row>
    <row r="327" spans="1:25">
      <c r="A327" s="2" t="s">
        <v>150</v>
      </c>
      <c r="B327" s="4"/>
      <c r="C327" s="4"/>
      <c r="D327" s="4"/>
      <c r="E327" s="4"/>
      <c r="F327" s="4"/>
      <c r="G327" s="4"/>
      <c r="H327" s="4"/>
      <c r="I327" s="4"/>
      <c r="J327" s="4"/>
      <c r="K327" s="4"/>
      <c r="L327" s="4"/>
      <c r="M327" s="4"/>
      <c r="N327" s="2"/>
      <c r="O327" s="2"/>
      <c r="P327" s="156"/>
      <c r="V327" s="156"/>
      <c r="W327" s="156"/>
      <c r="X327" s="156"/>
      <c r="Y327" s="156"/>
    </row>
    <row r="328" spans="1:25" ht="17.25">
      <c r="A328" s="2983" t="s">
        <v>403</v>
      </c>
      <c r="B328" s="2983"/>
      <c r="C328" s="2983"/>
      <c r="D328" s="2983"/>
      <c r="E328" s="2983"/>
      <c r="F328" s="2983"/>
      <c r="G328" s="2983"/>
      <c r="H328" s="2983"/>
      <c r="I328" s="2983"/>
      <c r="J328" s="2983"/>
      <c r="K328" s="2983"/>
      <c r="L328" s="2983"/>
      <c r="M328" s="2983"/>
      <c r="N328" s="2983"/>
      <c r="O328" s="2983"/>
      <c r="P328" s="156"/>
      <c r="V328" s="156"/>
      <c r="W328" s="156"/>
      <c r="X328" s="156"/>
      <c r="Y328" s="156"/>
    </row>
    <row r="329" spans="1:25" ht="31.5" customHeight="1">
      <c r="A329" s="38"/>
      <c r="B329" s="38"/>
      <c r="C329" s="38"/>
      <c r="D329" s="38"/>
      <c r="E329" s="38"/>
      <c r="F329" s="38"/>
      <c r="G329" s="38"/>
      <c r="H329" s="38"/>
      <c r="I329" s="38"/>
      <c r="J329" s="38"/>
      <c r="K329" s="38"/>
      <c r="L329" s="38"/>
      <c r="M329" s="38"/>
      <c r="N329" s="38"/>
      <c r="O329" s="38"/>
      <c r="P329" s="156"/>
      <c r="V329" s="156"/>
      <c r="W329" s="156"/>
      <c r="X329" s="156"/>
      <c r="Y329" s="156"/>
    </row>
    <row r="330" spans="1:25" s="51" customFormat="1" ht="15.95" customHeight="1">
      <c r="A330" s="48" t="s">
        <v>151</v>
      </c>
      <c r="B330" s="80"/>
      <c r="C330" s="80"/>
      <c r="D330" s="80"/>
      <c r="E330" s="80"/>
      <c r="F330" s="80"/>
      <c r="G330" s="80"/>
      <c r="H330" s="80"/>
      <c r="I330" s="80"/>
      <c r="J330" s="80"/>
      <c r="K330" s="80"/>
      <c r="L330" s="80"/>
      <c r="M330" s="80"/>
      <c r="P330" s="324"/>
      <c r="Q330" s="1250"/>
      <c r="R330" s="1250"/>
      <c r="S330" s="1250"/>
      <c r="T330" s="1250"/>
      <c r="U330" s="1242"/>
      <c r="V330" s="324"/>
      <c r="W330" s="324"/>
      <c r="X330" s="324"/>
      <c r="Y330" s="324"/>
    </row>
    <row r="331" spans="1:25" ht="39.950000000000003" customHeight="1">
      <c r="A331" s="2984" t="s">
        <v>152</v>
      </c>
      <c r="B331" s="2985"/>
      <c r="C331" s="2986"/>
      <c r="D331" s="2987" t="str">
        <f>参照元個別!I18</f>
        <v>事業所名を入力14</v>
      </c>
      <c r="E331" s="2988"/>
      <c r="F331" s="2988"/>
      <c r="G331" s="2988"/>
      <c r="H331" s="2988"/>
      <c r="I331" s="2988"/>
      <c r="J331" s="2988"/>
      <c r="K331" s="2988"/>
      <c r="L331" s="2988"/>
      <c r="M331" s="2988"/>
      <c r="N331" s="2988"/>
      <c r="O331" s="2989"/>
      <c r="P331" s="156"/>
      <c r="V331" s="156"/>
      <c r="W331" s="156"/>
      <c r="X331" s="156"/>
      <c r="Y331" s="156"/>
    </row>
    <row r="332" spans="1:25" ht="39.950000000000003" customHeight="1">
      <c r="A332" s="2570" t="s">
        <v>153</v>
      </c>
      <c r="B332" s="2571"/>
      <c r="C332" s="2990"/>
      <c r="D332" s="2991"/>
      <c r="E332" s="2992"/>
      <c r="F332" s="2992"/>
      <c r="G332" s="2992"/>
      <c r="H332" s="2992"/>
      <c r="I332" s="2992"/>
      <c r="J332" s="2992"/>
      <c r="K332" s="2992"/>
      <c r="L332" s="2992"/>
      <c r="M332" s="2992"/>
      <c r="N332" s="2992"/>
      <c r="O332" s="2993"/>
      <c r="P332" s="156"/>
      <c r="V332" s="156"/>
      <c r="W332" s="156"/>
      <c r="X332" s="156"/>
      <c r="Y332" s="156"/>
    </row>
    <row r="333" spans="1:25" ht="39.950000000000003" customHeight="1">
      <c r="A333" s="2536" t="s">
        <v>154</v>
      </c>
      <c r="B333" s="2978"/>
      <c r="C333" s="2979"/>
      <c r="D333" s="2980"/>
      <c r="E333" s="101" t="s">
        <v>180</v>
      </c>
      <c r="F333" s="2974" t="s">
        <v>404</v>
      </c>
      <c r="G333" s="2975"/>
      <c r="H333" s="2981" t="str">
        <f ca="1">参照元個別!$P$18</f>
        <v/>
      </c>
      <c r="I333" s="2982"/>
      <c r="J333" s="58" t="s">
        <v>176</v>
      </c>
      <c r="K333" s="2974" t="s">
        <v>405</v>
      </c>
      <c r="L333" s="2975"/>
      <c r="M333" s="2971"/>
      <c r="N333" s="2972"/>
      <c r="O333" s="2973"/>
      <c r="P333" s="156" t="str">
        <f>IFERROR(VLOOKUP(M333,$U$1:$V$16,2,0),"")</f>
        <v/>
      </c>
      <c r="U333" s="1250"/>
      <c r="V333" s="156"/>
      <c r="W333" s="156"/>
      <c r="X333" s="156"/>
      <c r="Y333" s="156"/>
    </row>
    <row r="334" spans="1:25" ht="39.950000000000003" customHeight="1">
      <c r="A334" s="2974" t="s">
        <v>406</v>
      </c>
      <c r="B334" s="2975"/>
      <c r="C334" s="2976"/>
      <c r="D334" s="2896"/>
      <c r="E334" s="2897"/>
      <c r="F334" s="2974" t="s">
        <v>158</v>
      </c>
      <c r="G334" s="2975"/>
      <c r="H334" s="2976"/>
      <c r="I334" s="2896"/>
      <c r="J334" s="2897"/>
      <c r="K334" s="2580"/>
      <c r="L334" s="2977"/>
      <c r="M334" s="2977"/>
      <c r="N334" s="2977"/>
      <c r="O334" s="2977"/>
      <c r="P334" s="156"/>
      <c r="V334" s="156"/>
      <c r="W334" s="156"/>
      <c r="X334" s="156"/>
      <c r="Y334" s="156"/>
    </row>
    <row r="335" spans="1:25" ht="18.75" customHeight="1">
      <c r="A335" s="39"/>
      <c r="B335" s="39"/>
      <c r="C335" s="40"/>
      <c r="D335" s="41"/>
      <c r="E335" s="40"/>
      <c r="F335" s="42"/>
      <c r="P335" s="156"/>
      <c r="V335" s="325"/>
      <c r="W335" s="325"/>
      <c r="X335" s="156"/>
      <c r="Y335" s="156"/>
    </row>
    <row r="336" spans="1:25" ht="51.75" customHeight="1">
      <c r="A336" s="2950" t="s">
        <v>505</v>
      </c>
      <c r="B336" s="2951"/>
      <c r="C336" s="2951"/>
      <c r="D336" s="2951"/>
      <c r="E336" s="2951"/>
      <c r="F336" s="2951"/>
      <c r="G336" s="2951"/>
      <c r="H336" s="2951"/>
      <c r="I336" s="2951"/>
      <c r="J336" s="2951"/>
      <c r="K336" s="2951"/>
      <c r="L336" s="2951"/>
      <c r="M336" s="2951"/>
      <c r="N336" s="2951"/>
      <c r="O336" s="2951"/>
      <c r="P336" s="156"/>
      <c r="V336" s="325"/>
      <c r="W336" s="325"/>
      <c r="X336" s="156"/>
      <c r="Y336" s="156"/>
    </row>
    <row r="337" spans="1:28" ht="57.75" customHeight="1">
      <c r="A337" s="39"/>
      <c r="B337" s="39"/>
      <c r="C337" s="40"/>
      <c r="D337" s="41"/>
      <c r="E337" s="40"/>
      <c r="F337" s="42"/>
      <c r="P337" s="156"/>
      <c r="Q337" s="1251"/>
      <c r="R337" s="1251"/>
      <c r="S337" s="1251"/>
      <c r="T337" s="1251"/>
      <c r="V337" s="325"/>
      <c r="W337" s="325"/>
      <c r="X337" s="156"/>
      <c r="Y337" s="156"/>
    </row>
    <row r="338" spans="1:28" s="51" customFormat="1" ht="15.95" customHeight="1">
      <c r="A338" s="50" t="s">
        <v>509</v>
      </c>
      <c r="B338" s="52"/>
      <c r="C338" s="52"/>
      <c r="D338" s="52"/>
      <c r="E338" s="52"/>
      <c r="F338" s="52"/>
      <c r="G338" s="52"/>
      <c r="H338" s="52"/>
      <c r="I338" s="52"/>
      <c r="J338" s="52"/>
      <c r="K338" s="52"/>
      <c r="L338" s="50"/>
      <c r="M338" s="50"/>
      <c r="N338" s="50"/>
      <c r="O338" s="50"/>
      <c r="P338" s="324"/>
      <c r="Q338" s="1252"/>
      <c r="R338" s="1252"/>
      <c r="S338" s="1252"/>
      <c r="T338" s="1252"/>
      <c r="U338" s="1242"/>
      <c r="V338" s="326"/>
      <c r="W338" s="326"/>
      <c r="X338" s="324"/>
      <c r="Y338" s="324"/>
    </row>
    <row r="339" spans="1:28" ht="36" customHeight="1">
      <c r="A339" s="2654"/>
      <c r="B339" s="2655"/>
      <c r="C339" s="2674" t="s">
        <v>504</v>
      </c>
      <c r="D339" s="2674"/>
      <c r="E339" s="2674"/>
      <c r="F339" s="2674"/>
      <c r="G339" s="2674"/>
      <c r="H339" s="2952"/>
      <c r="I339" s="2673" t="s">
        <v>407</v>
      </c>
      <c r="J339" s="2953"/>
      <c r="K339" s="2953"/>
      <c r="L339" s="2953"/>
      <c r="M339" s="2953"/>
      <c r="N339" s="2953"/>
      <c r="O339" s="2952"/>
      <c r="P339" s="156"/>
      <c r="V339" s="156"/>
      <c r="W339" s="156"/>
      <c r="X339" s="156"/>
      <c r="Y339" s="156"/>
    </row>
    <row r="340" spans="1:28" ht="24" customHeight="1">
      <c r="A340" s="2633" t="s">
        <v>236</v>
      </c>
      <c r="B340" s="2954"/>
      <c r="C340" s="2955" t="str">
        <f ca="1">参照元個別!E18</f>
        <v/>
      </c>
      <c r="D340" s="2955"/>
      <c r="E340" s="2955"/>
      <c r="F340" s="2955"/>
      <c r="G340" s="2956"/>
      <c r="H340" s="2959" t="s">
        <v>414</v>
      </c>
      <c r="I340" s="2961" t="str">
        <f>参照元個別!F18</f>
        <v/>
      </c>
      <c r="J340" s="2962"/>
      <c r="K340" s="2962"/>
      <c r="L340" s="2962"/>
      <c r="M340" s="2965" t="s">
        <v>415</v>
      </c>
      <c r="N340" s="2967" t="str">
        <f>参照元個別!G18</f>
        <v/>
      </c>
      <c r="O340" s="2968"/>
      <c r="P340" s="165"/>
      <c r="V340" s="156"/>
      <c r="W340" s="156"/>
      <c r="X340" s="156"/>
      <c r="Y340" s="156"/>
    </row>
    <row r="341" spans="1:28" ht="23.1" customHeight="1">
      <c r="A341" s="2637">
        <f>IF( 報1!$L$28="","", 報1!$L$28 )</f>
        <v>2023</v>
      </c>
      <c r="B341" s="2638"/>
      <c r="C341" s="2957"/>
      <c r="D341" s="2957"/>
      <c r="E341" s="2957"/>
      <c r="F341" s="2957"/>
      <c r="G341" s="2958"/>
      <c r="H341" s="2960"/>
      <c r="I341" s="2963"/>
      <c r="J341" s="2964"/>
      <c r="K341" s="2964"/>
      <c r="L341" s="2964"/>
      <c r="M341" s="2966"/>
      <c r="N341" s="2969"/>
      <c r="O341" s="2970"/>
      <c r="P341" s="165"/>
      <c r="V341" s="156"/>
      <c r="W341" s="156"/>
      <c r="X341" s="156"/>
      <c r="Y341" s="156"/>
    </row>
    <row r="342" spans="1:28" ht="25.15" customHeight="1">
      <c r="A342" s="2938" t="s">
        <v>277</v>
      </c>
      <c r="B342" s="2939"/>
      <c r="C342" s="2940"/>
      <c r="D342" s="2941"/>
      <c r="E342" s="2941"/>
      <c r="F342" s="2941"/>
      <c r="G342" s="2941"/>
      <c r="H342" s="2941"/>
      <c r="I342" s="2941"/>
      <c r="J342" s="2941"/>
      <c r="K342" s="2941"/>
      <c r="L342" s="2941"/>
      <c r="M342" s="2941"/>
      <c r="N342" s="2941"/>
      <c r="O342" s="2942"/>
      <c r="P342" s="156"/>
      <c r="Q342" s="1253">
        <v>1</v>
      </c>
      <c r="R342" s="1245"/>
      <c r="S342" s="1254"/>
      <c r="T342" s="1255"/>
      <c r="U342" s="1256"/>
      <c r="V342" s="156"/>
      <c r="W342" s="156"/>
      <c r="X342" s="327"/>
      <c r="Y342" s="328"/>
      <c r="Z342" s="99"/>
      <c r="AA342" s="43"/>
      <c r="AB342" s="44"/>
    </row>
    <row r="343" spans="1:28" ht="25.15" customHeight="1">
      <c r="A343" s="2938"/>
      <c r="B343" s="2939"/>
      <c r="C343" s="2941"/>
      <c r="D343" s="2941"/>
      <c r="E343" s="2941"/>
      <c r="F343" s="2941"/>
      <c r="G343" s="2941"/>
      <c r="H343" s="2941"/>
      <c r="I343" s="2941"/>
      <c r="J343" s="2941"/>
      <c r="K343" s="2941"/>
      <c r="L343" s="2941"/>
      <c r="M343" s="2941"/>
      <c r="N343" s="2941"/>
      <c r="O343" s="2942"/>
      <c r="P343" s="156"/>
      <c r="Q343" s="1257"/>
      <c r="R343" s="1258"/>
      <c r="S343" s="1258"/>
      <c r="T343" s="1258"/>
      <c r="U343" s="1258"/>
      <c r="V343" s="156"/>
      <c r="W343" s="156"/>
      <c r="X343" s="156"/>
      <c r="Y343" s="156"/>
    </row>
    <row r="344" spans="1:28" ht="24.75" customHeight="1">
      <c r="A344" s="2938"/>
      <c r="B344" s="2939"/>
      <c r="C344" s="2941"/>
      <c r="D344" s="2941"/>
      <c r="E344" s="2941"/>
      <c r="F344" s="2941"/>
      <c r="G344" s="2941"/>
      <c r="H344" s="2941"/>
      <c r="I344" s="2941"/>
      <c r="J344" s="2941"/>
      <c r="K344" s="2941"/>
      <c r="L344" s="2941"/>
      <c r="M344" s="2941"/>
      <c r="N344" s="2941"/>
      <c r="O344" s="2942"/>
      <c r="P344" s="156"/>
      <c r="Q344" s="1257"/>
      <c r="R344" s="1256"/>
      <c r="S344" s="1256"/>
      <c r="T344" s="1256"/>
      <c r="U344" s="1256"/>
      <c r="V344" s="156"/>
      <c r="W344" s="156"/>
      <c r="X344" s="156"/>
      <c r="Y344" s="156"/>
    </row>
    <row r="345" spans="1:28" ht="10.15" customHeight="1">
      <c r="A345" s="2945"/>
      <c r="B345" s="2946"/>
      <c r="C345" s="2941"/>
      <c r="D345" s="2941"/>
      <c r="E345" s="2941"/>
      <c r="F345" s="2941"/>
      <c r="G345" s="2941"/>
      <c r="H345" s="2941"/>
      <c r="I345" s="2941"/>
      <c r="J345" s="2941"/>
      <c r="K345" s="2941"/>
      <c r="L345" s="2941"/>
      <c r="M345" s="2941"/>
      <c r="N345" s="2941"/>
      <c r="O345" s="2942"/>
      <c r="P345" s="156"/>
      <c r="Q345" s="1259"/>
      <c r="R345" s="1256"/>
      <c r="S345" s="1256"/>
      <c r="T345" s="1256"/>
      <c r="U345" s="1256"/>
      <c r="V345" s="156"/>
      <c r="W345" s="156"/>
      <c r="X345" s="156"/>
      <c r="Y345" s="156"/>
    </row>
    <row r="346" spans="1:28" ht="45" customHeight="1">
      <c r="A346" s="2947">
        <f>IF( 報1!$L$28="","", 報1!$L$28 )</f>
        <v>2023</v>
      </c>
      <c r="B346" s="2948"/>
      <c r="C346" s="2943"/>
      <c r="D346" s="2943"/>
      <c r="E346" s="2943"/>
      <c r="F346" s="2943"/>
      <c r="G346" s="2943"/>
      <c r="H346" s="2943"/>
      <c r="I346" s="2943"/>
      <c r="J346" s="2943"/>
      <c r="K346" s="2943"/>
      <c r="L346" s="2943"/>
      <c r="M346" s="2943"/>
      <c r="N346" s="2943"/>
      <c r="O346" s="2944"/>
      <c r="P346" s="156"/>
      <c r="Q346" s="1260"/>
      <c r="R346" s="1256"/>
      <c r="S346" s="1256"/>
      <c r="T346" s="1256"/>
      <c r="U346" s="1256"/>
      <c r="V346" s="156"/>
      <c r="W346" s="156"/>
      <c r="X346" s="156"/>
      <c r="Y346" s="156"/>
    </row>
    <row r="347" spans="1:28" ht="26.25" customHeight="1">
      <c r="A347" s="2949"/>
      <c r="B347" s="2949"/>
      <c r="C347" s="2949"/>
      <c r="D347" s="2949"/>
      <c r="E347" s="2949"/>
      <c r="F347" s="2949"/>
      <c r="G347" s="2949"/>
      <c r="H347" s="2949"/>
      <c r="I347" s="2949"/>
      <c r="J347" s="2949"/>
      <c r="K347" s="2949"/>
      <c r="L347" s="2949"/>
      <c r="M347" s="2949"/>
      <c r="N347" s="2949"/>
      <c r="O347" s="2949"/>
      <c r="P347" s="156"/>
      <c r="Q347" s="1259"/>
      <c r="R347" s="1256"/>
      <c r="S347" s="1256"/>
      <c r="T347" s="1256"/>
      <c r="U347" s="1256"/>
      <c r="V347" s="156"/>
      <c r="W347" s="156"/>
      <c r="X347" s="156"/>
      <c r="Y347" s="156"/>
    </row>
    <row r="348" spans="1:28" ht="30" customHeight="1">
      <c r="A348" s="156"/>
      <c r="B348" s="156"/>
      <c r="C348" s="156"/>
      <c r="D348" s="156"/>
      <c r="E348" s="156"/>
      <c r="F348" s="156"/>
      <c r="G348" s="156"/>
      <c r="H348" s="156"/>
      <c r="I348" s="156"/>
      <c r="J348" s="156"/>
      <c r="K348" s="156"/>
      <c r="L348" s="156"/>
      <c r="M348" s="156"/>
      <c r="N348" s="156"/>
      <c r="O348" s="329"/>
      <c r="P348" s="156"/>
      <c r="Q348" s="1248"/>
      <c r="R348" s="1260"/>
      <c r="S348" s="1244"/>
      <c r="T348" s="1244"/>
      <c r="V348" s="156"/>
      <c r="W348" s="156"/>
      <c r="X348" s="156"/>
      <c r="Y348" s="156"/>
    </row>
    <row r="349" spans="1:28" ht="18" customHeight="1">
      <c r="A349" s="156"/>
      <c r="B349" s="156"/>
      <c r="C349" s="156"/>
      <c r="D349" s="156"/>
      <c r="E349" s="156"/>
      <c r="F349" s="156"/>
      <c r="G349" s="156"/>
      <c r="H349" s="156"/>
      <c r="I349" s="156"/>
      <c r="J349" s="156"/>
      <c r="K349" s="156"/>
      <c r="L349" s="156"/>
      <c r="M349" s="156"/>
      <c r="N349" s="156"/>
      <c r="O349" s="329"/>
      <c r="P349" s="156"/>
      <c r="Q349" s="1261"/>
      <c r="R349" s="1260"/>
      <c r="S349" s="1244"/>
      <c r="T349" s="1244"/>
      <c r="V349" s="156"/>
      <c r="W349" s="156"/>
      <c r="X349" s="156"/>
      <c r="Y349" s="156"/>
    </row>
    <row r="350" spans="1:28" ht="18" customHeight="1">
      <c r="A350" s="156"/>
      <c r="B350" s="156"/>
      <c r="C350" s="156"/>
      <c r="D350" s="156"/>
      <c r="E350" s="156"/>
      <c r="F350" s="156"/>
      <c r="G350" s="156"/>
      <c r="H350" s="156"/>
      <c r="I350" s="156"/>
      <c r="J350" s="156"/>
      <c r="K350" s="156"/>
      <c r="L350" s="156"/>
      <c r="M350" s="156"/>
      <c r="N350" s="156"/>
      <c r="O350" s="329"/>
      <c r="P350" s="156"/>
      <c r="Q350" s="1261"/>
      <c r="R350" s="1260"/>
      <c r="S350" s="1244"/>
      <c r="T350" s="1244"/>
      <c r="V350" s="156"/>
      <c r="W350" s="156"/>
      <c r="X350" s="156"/>
      <c r="Y350" s="156"/>
    </row>
    <row r="351" spans="1:28">
      <c r="A351" s="1" t="s">
        <v>175</v>
      </c>
      <c r="B351" s="2"/>
      <c r="C351" s="2"/>
      <c r="D351" s="2"/>
      <c r="E351" s="2"/>
      <c r="F351" s="2"/>
      <c r="G351" s="2"/>
      <c r="H351" s="2"/>
      <c r="I351" s="2"/>
      <c r="J351" s="2"/>
      <c r="K351" s="2"/>
      <c r="L351" s="2"/>
      <c r="M351" s="2"/>
      <c r="N351" s="2"/>
      <c r="O351" s="2"/>
      <c r="P351" s="156" t="str">
        <f>"個別票"&amp;Q351</f>
        <v>個別票15</v>
      </c>
      <c r="Q351" s="1242">
        <f>Q326+1</f>
        <v>15</v>
      </c>
      <c r="V351" s="156"/>
      <c r="W351" s="156"/>
      <c r="X351" s="156"/>
      <c r="Y351" s="156"/>
    </row>
    <row r="352" spans="1:28">
      <c r="A352" s="2" t="s">
        <v>150</v>
      </c>
      <c r="B352" s="4"/>
      <c r="C352" s="4"/>
      <c r="D352" s="4"/>
      <c r="E352" s="4"/>
      <c r="F352" s="4"/>
      <c r="G352" s="4"/>
      <c r="H352" s="4"/>
      <c r="I352" s="4"/>
      <c r="J352" s="4"/>
      <c r="K352" s="4"/>
      <c r="L352" s="4"/>
      <c r="M352" s="4"/>
      <c r="N352" s="2"/>
      <c r="O352" s="2"/>
      <c r="P352" s="156"/>
      <c r="V352" s="156"/>
      <c r="W352" s="156"/>
      <c r="X352" s="156"/>
      <c r="Y352" s="156"/>
    </row>
    <row r="353" spans="1:28" ht="17.25">
      <c r="A353" s="2983" t="s">
        <v>403</v>
      </c>
      <c r="B353" s="2983"/>
      <c r="C353" s="2983"/>
      <c r="D353" s="2983"/>
      <c r="E353" s="2983"/>
      <c r="F353" s="2983"/>
      <c r="G353" s="2983"/>
      <c r="H353" s="2983"/>
      <c r="I353" s="2983"/>
      <c r="J353" s="2983"/>
      <c r="K353" s="2983"/>
      <c r="L353" s="2983"/>
      <c r="M353" s="2983"/>
      <c r="N353" s="2983"/>
      <c r="O353" s="2983"/>
      <c r="P353" s="156"/>
      <c r="V353" s="156"/>
      <c r="W353" s="156"/>
      <c r="X353" s="156"/>
      <c r="Y353" s="156"/>
    </row>
    <row r="354" spans="1:28" ht="31.5" customHeight="1">
      <c r="A354" s="38"/>
      <c r="B354" s="38"/>
      <c r="C354" s="38"/>
      <c r="D354" s="38"/>
      <c r="E354" s="38"/>
      <c r="F354" s="38"/>
      <c r="G354" s="38"/>
      <c r="H354" s="38"/>
      <c r="I354" s="38"/>
      <c r="J354" s="38"/>
      <c r="K354" s="38"/>
      <c r="L354" s="38"/>
      <c r="M354" s="38"/>
      <c r="N354" s="38"/>
      <c r="O354" s="38"/>
      <c r="P354" s="156"/>
      <c r="V354" s="156"/>
      <c r="W354" s="156"/>
      <c r="X354" s="156"/>
      <c r="Y354" s="156"/>
    </row>
    <row r="355" spans="1:28" s="51" customFormat="1" ht="15.95" customHeight="1">
      <c r="A355" s="48" t="s">
        <v>151</v>
      </c>
      <c r="B355" s="80"/>
      <c r="C355" s="80"/>
      <c r="D355" s="80"/>
      <c r="E355" s="80"/>
      <c r="F355" s="80"/>
      <c r="G355" s="80"/>
      <c r="H355" s="80"/>
      <c r="I355" s="80"/>
      <c r="J355" s="80"/>
      <c r="K355" s="80"/>
      <c r="L355" s="80"/>
      <c r="M355" s="80"/>
      <c r="P355" s="324"/>
      <c r="Q355" s="1250"/>
      <c r="R355" s="1250"/>
      <c r="S355" s="1250"/>
      <c r="T355" s="1250"/>
      <c r="U355" s="1242"/>
      <c r="V355" s="324"/>
      <c r="W355" s="324"/>
      <c r="X355" s="324"/>
      <c r="Y355" s="324"/>
    </row>
    <row r="356" spans="1:28" ht="39.950000000000003" customHeight="1">
      <c r="A356" s="2984" t="s">
        <v>152</v>
      </c>
      <c r="B356" s="2985"/>
      <c r="C356" s="2986"/>
      <c r="D356" s="2987" t="str">
        <f>参照元個別!I19</f>
        <v>事業所名を入力15</v>
      </c>
      <c r="E356" s="2988"/>
      <c r="F356" s="2988"/>
      <c r="G356" s="2988"/>
      <c r="H356" s="2988"/>
      <c r="I356" s="2988"/>
      <c r="J356" s="2988"/>
      <c r="K356" s="2988"/>
      <c r="L356" s="2988"/>
      <c r="M356" s="2988"/>
      <c r="N356" s="2988"/>
      <c r="O356" s="2989"/>
      <c r="P356" s="156"/>
      <c r="V356" s="156"/>
      <c r="W356" s="156"/>
      <c r="X356" s="156"/>
      <c r="Y356" s="156"/>
    </row>
    <row r="357" spans="1:28" ht="39.950000000000003" customHeight="1">
      <c r="A357" s="2570" t="s">
        <v>153</v>
      </c>
      <c r="B357" s="2571"/>
      <c r="C357" s="2990"/>
      <c r="D357" s="2991"/>
      <c r="E357" s="2992"/>
      <c r="F357" s="2992"/>
      <c r="G357" s="2992"/>
      <c r="H357" s="2992"/>
      <c r="I357" s="2992"/>
      <c r="J357" s="2992"/>
      <c r="K357" s="2992"/>
      <c r="L357" s="2992"/>
      <c r="M357" s="2992"/>
      <c r="N357" s="2992"/>
      <c r="O357" s="2993"/>
      <c r="P357" s="156"/>
      <c r="V357" s="156"/>
      <c r="W357" s="156"/>
      <c r="X357" s="156"/>
      <c r="Y357" s="156"/>
    </row>
    <row r="358" spans="1:28" ht="39.950000000000003" customHeight="1">
      <c r="A358" s="2536" t="s">
        <v>154</v>
      </c>
      <c r="B358" s="2978"/>
      <c r="C358" s="2979"/>
      <c r="D358" s="2980"/>
      <c r="E358" s="101" t="s">
        <v>180</v>
      </c>
      <c r="F358" s="2974" t="s">
        <v>404</v>
      </c>
      <c r="G358" s="2975"/>
      <c r="H358" s="2981" t="str">
        <f ca="1">参照元個別!$P$19</f>
        <v/>
      </c>
      <c r="I358" s="2982"/>
      <c r="J358" s="58" t="s">
        <v>176</v>
      </c>
      <c r="K358" s="2974" t="s">
        <v>405</v>
      </c>
      <c r="L358" s="2975"/>
      <c r="M358" s="2971"/>
      <c r="N358" s="2972"/>
      <c r="O358" s="2973"/>
      <c r="P358" s="156" t="str">
        <f>IFERROR(VLOOKUP(M358,$U$1:$V$16,2,0),"")</f>
        <v/>
      </c>
      <c r="U358" s="1250"/>
      <c r="V358" s="156"/>
      <c r="W358" s="156"/>
      <c r="X358" s="156"/>
      <c r="Y358" s="156"/>
    </row>
    <row r="359" spans="1:28" ht="39.950000000000003" customHeight="1">
      <c r="A359" s="2974" t="s">
        <v>406</v>
      </c>
      <c r="B359" s="2975"/>
      <c r="C359" s="2976"/>
      <c r="D359" s="2896"/>
      <c r="E359" s="2897"/>
      <c r="F359" s="2974" t="s">
        <v>158</v>
      </c>
      <c r="G359" s="2975"/>
      <c r="H359" s="2976"/>
      <c r="I359" s="2896"/>
      <c r="J359" s="2897"/>
      <c r="K359" s="2580"/>
      <c r="L359" s="2977"/>
      <c r="M359" s="2977"/>
      <c r="N359" s="2977"/>
      <c r="O359" s="2977"/>
      <c r="P359" s="156"/>
      <c r="V359" s="156"/>
      <c r="W359" s="156"/>
      <c r="X359" s="156"/>
      <c r="Y359" s="156"/>
    </row>
    <row r="360" spans="1:28" ht="18.75" customHeight="1">
      <c r="A360" s="39"/>
      <c r="B360" s="39"/>
      <c r="C360" s="40"/>
      <c r="D360" s="41"/>
      <c r="E360" s="40"/>
      <c r="F360" s="42"/>
      <c r="P360" s="156"/>
      <c r="V360" s="325"/>
      <c r="W360" s="325"/>
      <c r="X360" s="156"/>
      <c r="Y360" s="156"/>
    </row>
    <row r="361" spans="1:28" ht="51.75" customHeight="1">
      <c r="A361" s="2950" t="s">
        <v>505</v>
      </c>
      <c r="B361" s="2951"/>
      <c r="C361" s="2951"/>
      <c r="D361" s="2951"/>
      <c r="E361" s="2951"/>
      <c r="F361" s="2951"/>
      <c r="G361" s="2951"/>
      <c r="H361" s="2951"/>
      <c r="I361" s="2951"/>
      <c r="J361" s="2951"/>
      <c r="K361" s="2951"/>
      <c r="L361" s="2951"/>
      <c r="M361" s="2951"/>
      <c r="N361" s="2951"/>
      <c r="O361" s="2951"/>
      <c r="P361" s="156"/>
      <c r="V361" s="325"/>
      <c r="W361" s="325"/>
      <c r="X361" s="156"/>
      <c r="Y361" s="156"/>
    </row>
    <row r="362" spans="1:28" ht="57.75" customHeight="1">
      <c r="A362" s="39"/>
      <c r="B362" s="39"/>
      <c r="C362" s="40"/>
      <c r="D362" s="41"/>
      <c r="E362" s="40"/>
      <c r="F362" s="42"/>
      <c r="P362" s="156"/>
      <c r="Q362" s="1251"/>
      <c r="R362" s="1251"/>
      <c r="S362" s="1251"/>
      <c r="T362" s="1251"/>
      <c r="V362" s="325"/>
      <c r="W362" s="325"/>
      <c r="X362" s="156"/>
      <c r="Y362" s="156"/>
    </row>
    <row r="363" spans="1:28" s="51" customFormat="1" ht="15.95" customHeight="1">
      <c r="A363" s="50" t="s">
        <v>509</v>
      </c>
      <c r="B363" s="52"/>
      <c r="C363" s="52"/>
      <c r="D363" s="52"/>
      <c r="E363" s="52"/>
      <c r="F363" s="52"/>
      <c r="G363" s="52"/>
      <c r="H363" s="52"/>
      <c r="I363" s="52"/>
      <c r="J363" s="52"/>
      <c r="K363" s="52"/>
      <c r="L363" s="50"/>
      <c r="M363" s="50"/>
      <c r="N363" s="50"/>
      <c r="O363" s="50"/>
      <c r="P363" s="324"/>
      <c r="Q363" s="1252"/>
      <c r="R363" s="1252"/>
      <c r="S363" s="1252"/>
      <c r="T363" s="1252"/>
      <c r="U363" s="1242"/>
      <c r="V363" s="326"/>
      <c r="W363" s="326"/>
      <c r="X363" s="324"/>
      <c r="Y363" s="324"/>
    </row>
    <row r="364" spans="1:28" ht="36" customHeight="1">
      <c r="A364" s="2654"/>
      <c r="B364" s="2655"/>
      <c r="C364" s="2674" t="s">
        <v>504</v>
      </c>
      <c r="D364" s="2674"/>
      <c r="E364" s="2674"/>
      <c r="F364" s="2674"/>
      <c r="G364" s="2674"/>
      <c r="H364" s="2952"/>
      <c r="I364" s="2673" t="s">
        <v>407</v>
      </c>
      <c r="J364" s="2953"/>
      <c r="K364" s="2953"/>
      <c r="L364" s="2953"/>
      <c r="M364" s="2953"/>
      <c r="N364" s="2953"/>
      <c r="O364" s="2952"/>
      <c r="P364" s="156"/>
      <c r="V364" s="156"/>
      <c r="W364" s="156"/>
      <c r="X364" s="156"/>
      <c r="Y364" s="156"/>
    </row>
    <row r="365" spans="1:28" ht="24" customHeight="1">
      <c r="A365" s="2633" t="s">
        <v>236</v>
      </c>
      <c r="B365" s="2954"/>
      <c r="C365" s="2955" t="str">
        <f ca="1">参照元個別!E19</f>
        <v/>
      </c>
      <c r="D365" s="2955"/>
      <c r="E365" s="2955"/>
      <c r="F365" s="2955"/>
      <c r="G365" s="2956"/>
      <c r="H365" s="2959" t="s">
        <v>414</v>
      </c>
      <c r="I365" s="2961" t="str">
        <f>参照元個別!F19</f>
        <v/>
      </c>
      <c r="J365" s="2962"/>
      <c r="K365" s="2962"/>
      <c r="L365" s="2962"/>
      <c r="M365" s="2965" t="s">
        <v>415</v>
      </c>
      <c r="N365" s="2967" t="str">
        <f>参照元個別!G19</f>
        <v/>
      </c>
      <c r="O365" s="2968"/>
      <c r="P365" s="165"/>
      <c r="V365" s="156"/>
      <c r="W365" s="156"/>
      <c r="X365" s="156"/>
      <c r="Y365" s="156"/>
    </row>
    <row r="366" spans="1:28" ht="23.1" customHeight="1">
      <c r="A366" s="2637">
        <f>IF( 報1!$L$28="","", 報1!$L$28 )</f>
        <v>2023</v>
      </c>
      <c r="B366" s="2638"/>
      <c r="C366" s="2957"/>
      <c r="D366" s="2957"/>
      <c r="E366" s="2957"/>
      <c r="F366" s="2957"/>
      <c r="G366" s="2958"/>
      <c r="H366" s="2960"/>
      <c r="I366" s="2963"/>
      <c r="J366" s="2964"/>
      <c r="K366" s="2964"/>
      <c r="L366" s="2964"/>
      <c r="M366" s="2966"/>
      <c r="N366" s="2969"/>
      <c r="O366" s="2970"/>
      <c r="P366" s="165"/>
      <c r="V366" s="156"/>
      <c r="W366" s="156"/>
      <c r="X366" s="156"/>
      <c r="Y366" s="156"/>
    </row>
    <row r="367" spans="1:28" ht="25.15" customHeight="1">
      <c r="A367" s="2938" t="s">
        <v>277</v>
      </c>
      <c r="B367" s="2939"/>
      <c r="C367" s="2940"/>
      <c r="D367" s="2941"/>
      <c r="E367" s="2941"/>
      <c r="F367" s="2941"/>
      <c r="G367" s="2941"/>
      <c r="H367" s="2941"/>
      <c r="I367" s="2941"/>
      <c r="J367" s="2941"/>
      <c r="K367" s="2941"/>
      <c r="L367" s="2941"/>
      <c r="M367" s="2941"/>
      <c r="N367" s="2941"/>
      <c r="O367" s="2942"/>
      <c r="P367" s="156"/>
      <c r="Q367" s="1253">
        <v>1</v>
      </c>
      <c r="R367" s="1245"/>
      <c r="S367" s="1254"/>
      <c r="T367" s="1255"/>
      <c r="U367" s="1256"/>
      <c r="V367" s="156"/>
      <c r="W367" s="156"/>
      <c r="X367" s="327"/>
      <c r="Y367" s="328"/>
      <c r="Z367" s="99"/>
      <c r="AA367" s="43"/>
      <c r="AB367" s="44"/>
    </row>
    <row r="368" spans="1:28" ht="25.15" customHeight="1">
      <c r="A368" s="2938"/>
      <c r="B368" s="2939"/>
      <c r="C368" s="2941"/>
      <c r="D368" s="2941"/>
      <c r="E368" s="2941"/>
      <c r="F368" s="2941"/>
      <c r="G368" s="2941"/>
      <c r="H368" s="2941"/>
      <c r="I368" s="2941"/>
      <c r="J368" s="2941"/>
      <c r="K368" s="2941"/>
      <c r="L368" s="2941"/>
      <c r="M368" s="2941"/>
      <c r="N368" s="2941"/>
      <c r="O368" s="2942"/>
      <c r="P368" s="156"/>
      <c r="Q368" s="1257"/>
      <c r="R368" s="1258"/>
      <c r="S368" s="1258"/>
      <c r="T368" s="1258"/>
      <c r="U368" s="1258"/>
      <c r="V368" s="156"/>
      <c r="W368" s="156"/>
      <c r="X368" s="156"/>
      <c r="Y368" s="156"/>
    </row>
    <row r="369" spans="1:25" ht="24.75" customHeight="1">
      <c r="A369" s="2938"/>
      <c r="B369" s="2939"/>
      <c r="C369" s="2941"/>
      <c r="D369" s="2941"/>
      <c r="E369" s="2941"/>
      <c r="F369" s="2941"/>
      <c r="G369" s="2941"/>
      <c r="H369" s="2941"/>
      <c r="I369" s="2941"/>
      <c r="J369" s="2941"/>
      <c r="K369" s="2941"/>
      <c r="L369" s="2941"/>
      <c r="M369" s="2941"/>
      <c r="N369" s="2941"/>
      <c r="O369" s="2942"/>
      <c r="P369" s="156"/>
      <c r="Q369" s="1257"/>
      <c r="R369" s="1256"/>
      <c r="S369" s="1256"/>
      <c r="T369" s="1256"/>
      <c r="U369" s="1256"/>
      <c r="V369" s="156"/>
      <c r="W369" s="156"/>
      <c r="X369" s="156"/>
      <c r="Y369" s="156"/>
    </row>
    <row r="370" spans="1:25" ht="10.15" customHeight="1">
      <c r="A370" s="2945"/>
      <c r="B370" s="2946"/>
      <c r="C370" s="2941"/>
      <c r="D370" s="2941"/>
      <c r="E370" s="2941"/>
      <c r="F370" s="2941"/>
      <c r="G370" s="2941"/>
      <c r="H370" s="2941"/>
      <c r="I370" s="2941"/>
      <c r="J370" s="2941"/>
      <c r="K370" s="2941"/>
      <c r="L370" s="2941"/>
      <c r="M370" s="2941"/>
      <c r="N370" s="2941"/>
      <c r="O370" s="2942"/>
      <c r="P370" s="156"/>
      <c r="Q370" s="1259"/>
      <c r="R370" s="1256"/>
      <c r="S370" s="1256"/>
      <c r="T370" s="1256"/>
      <c r="U370" s="1256"/>
      <c r="V370" s="156"/>
      <c r="W370" s="156"/>
      <c r="X370" s="156"/>
      <c r="Y370" s="156"/>
    </row>
    <row r="371" spans="1:25" ht="45" customHeight="1">
      <c r="A371" s="2947">
        <f>IF( 報1!$L$28="","", 報1!$L$28 )</f>
        <v>2023</v>
      </c>
      <c r="B371" s="2948"/>
      <c r="C371" s="2943"/>
      <c r="D371" s="2943"/>
      <c r="E371" s="2943"/>
      <c r="F371" s="2943"/>
      <c r="G371" s="2943"/>
      <c r="H371" s="2943"/>
      <c r="I371" s="2943"/>
      <c r="J371" s="2943"/>
      <c r="K371" s="2943"/>
      <c r="L371" s="2943"/>
      <c r="M371" s="2943"/>
      <c r="N371" s="2943"/>
      <c r="O371" s="2944"/>
      <c r="P371" s="156"/>
      <c r="Q371" s="1260"/>
      <c r="R371" s="1256"/>
      <c r="S371" s="1256"/>
      <c r="T371" s="1256"/>
      <c r="U371" s="1256"/>
      <c r="V371" s="156"/>
      <c r="W371" s="156"/>
      <c r="X371" s="156"/>
      <c r="Y371" s="156"/>
    </row>
    <row r="372" spans="1:25" ht="26.25" customHeight="1">
      <c r="A372" s="2949"/>
      <c r="B372" s="2949"/>
      <c r="C372" s="2949"/>
      <c r="D372" s="2949"/>
      <c r="E372" s="2949"/>
      <c r="F372" s="2949"/>
      <c r="G372" s="2949"/>
      <c r="H372" s="2949"/>
      <c r="I372" s="2949"/>
      <c r="J372" s="2949"/>
      <c r="K372" s="2949"/>
      <c r="L372" s="2949"/>
      <c r="M372" s="2949"/>
      <c r="N372" s="2949"/>
      <c r="O372" s="2949"/>
      <c r="P372" s="156"/>
      <c r="Q372" s="1259"/>
      <c r="R372" s="1256"/>
      <c r="S372" s="1256"/>
      <c r="T372" s="1256"/>
      <c r="U372" s="1256"/>
      <c r="V372" s="156"/>
      <c r="W372" s="156"/>
      <c r="X372" s="156"/>
      <c r="Y372" s="156"/>
    </row>
    <row r="373" spans="1:25" ht="30" customHeight="1">
      <c r="A373" s="156"/>
      <c r="B373" s="156"/>
      <c r="C373" s="156"/>
      <c r="D373" s="156"/>
      <c r="E373" s="156"/>
      <c r="F373" s="156"/>
      <c r="G373" s="156"/>
      <c r="H373" s="156"/>
      <c r="I373" s="156"/>
      <c r="J373" s="156"/>
      <c r="K373" s="156"/>
      <c r="L373" s="156"/>
      <c r="M373" s="156"/>
      <c r="N373" s="156"/>
      <c r="O373" s="329"/>
      <c r="P373" s="156"/>
      <c r="Q373" s="1248"/>
      <c r="R373" s="1260"/>
      <c r="S373" s="1244"/>
      <c r="T373" s="1244"/>
      <c r="V373" s="156"/>
      <c r="W373" s="156"/>
      <c r="X373" s="156"/>
      <c r="Y373" s="156"/>
    </row>
    <row r="374" spans="1:25" ht="18" customHeight="1">
      <c r="A374" s="156"/>
      <c r="B374" s="156"/>
      <c r="C374" s="156"/>
      <c r="D374" s="156"/>
      <c r="E374" s="156"/>
      <c r="F374" s="156"/>
      <c r="G374" s="156"/>
      <c r="H374" s="156"/>
      <c r="I374" s="156"/>
      <c r="J374" s="156"/>
      <c r="K374" s="156"/>
      <c r="L374" s="156"/>
      <c r="M374" s="156"/>
      <c r="N374" s="156"/>
      <c r="O374" s="329"/>
      <c r="P374" s="156"/>
      <c r="Q374" s="1261"/>
      <c r="R374" s="1260"/>
      <c r="S374" s="1244"/>
      <c r="T374" s="1244"/>
      <c r="V374" s="156"/>
      <c r="W374" s="156"/>
      <c r="X374" s="156"/>
      <c r="Y374" s="156"/>
    </row>
    <row r="375" spans="1:25" ht="18" customHeight="1">
      <c r="A375" s="156"/>
      <c r="B375" s="156"/>
      <c r="C375" s="156"/>
      <c r="D375" s="156"/>
      <c r="E375" s="156"/>
      <c r="F375" s="156"/>
      <c r="G375" s="156"/>
      <c r="H375" s="156"/>
      <c r="I375" s="156"/>
      <c r="J375" s="156"/>
      <c r="K375" s="156"/>
      <c r="L375" s="156"/>
      <c r="M375" s="156"/>
      <c r="N375" s="156"/>
      <c r="O375" s="329"/>
      <c r="P375" s="156"/>
      <c r="Q375" s="1261"/>
      <c r="R375" s="1260"/>
      <c r="S375" s="1244"/>
      <c r="T375" s="1244"/>
      <c r="V375" s="156"/>
      <c r="W375" s="156"/>
      <c r="X375" s="156"/>
      <c r="Y375" s="156"/>
    </row>
    <row r="376" spans="1:25">
      <c r="A376" s="1" t="s">
        <v>175</v>
      </c>
      <c r="B376" s="2"/>
      <c r="C376" s="2"/>
      <c r="D376" s="2"/>
      <c r="E376" s="2"/>
      <c r="F376" s="2"/>
      <c r="G376" s="2"/>
      <c r="H376" s="2"/>
      <c r="I376" s="2"/>
      <c r="J376" s="2"/>
      <c r="K376" s="2"/>
      <c r="L376" s="2"/>
      <c r="M376" s="2"/>
      <c r="N376" s="2"/>
      <c r="O376" s="2"/>
      <c r="P376" s="156" t="str">
        <f>"個別票"&amp;Q376</f>
        <v>個別票16</v>
      </c>
      <c r="Q376" s="1242">
        <f>Q351+1</f>
        <v>16</v>
      </c>
      <c r="V376" s="156"/>
      <c r="W376" s="156"/>
      <c r="X376" s="156"/>
      <c r="Y376" s="156"/>
    </row>
    <row r="377" spans="1:25">
      <c r="A377" s="2" t="s">
        <v>150</v>
      </c>
      <c r="B377" s="4"/>
      <c r="C377" s="4"/>
      <c r="D377" s="4"/>
      <c r="E377" s="4"/>
      <c r="F377" s="4"/>
      <c r="G377" s="4"/>
      <c r="H377" s="4"/>
      <c r="I377" s="4"/>
      <c r="J377" s="4"/>
      <c r="K377" s="4"/>
      <c r="L377" s="4"/>
      <c r="M377" s="4"/>
      <c r="N377" s="2"/>
      <c r="O377" s="2"/>
      <c r="P377" s="156"/>
      <c r="V377" s="156"/>
      <c r="W377" s="156"/>
      <c r="X377" s="156"/>
      <c r="Y377" s="156"/>
    </row>
    <row r="378" spans="1:25" ht="17.25">
      <c r="A378" s="2983" t="s">
        <v>403</v>
      </c>
      <c r="B378" s="2983"/>
      <c r="C378" s="2983"/>
      <c r="D378" s="2983"/>
      <c r="E378" s="2983"/>
      <c r="F378" s="2983"/>
      <c r="G378" s="2983"/>
      <c r="H378" s="2983"/>
      <c r="I378" s="2983"/>
      <c r="J378" s="2983"/>
      <c r="K378" s="2983"/>
      <c r="L378" s="2983"/>
      <c r="M378" s="2983"/>
      <c r="N378" s="2983"/>
      <c r="O378" s="2983"/>
      <c r="P378" s="156"/>
      <c r="V378" s="156"/>
      <c r="W378" s="156"/>
      <c r="X378" s="156"/>
      <c r="Y378" s="156"/>
    </row>
    <row r="379" spans="1:25" ht="31.5" customHeight="1">
      <c r="A379" s="38"/>
      <c r="B379" s="38"/>
      <c r="C379" s="38"/>
      <c r="D379" s="38"/>
      <c r="E379" s="38"/>
      <c r="F379" s="38"/>
      <c r="G379" s="38"/>
      <c r="H379" s="38"/>
      <c r="I379" s="38"/>
      <c r="J379" s="38"/>
      <c r="K379" s="38"/>
      <c r="L379" s="38"/>
      <c r="M379" s="38"/>
      <c r="N379" s="38"/>
      <c r="O379" s="38"/>
      <c r="P379" s="156"/>
      <c r="V379" s="156"/>
      <c r="W379" s="156"/>
      <c r="X379" s="156"/>
      <c r="Y379" s="156"/>
    </row>
    <row r="380" spans="1:25" s="51" customFormat="1" ht="15.95" customHeight="1">
      <c r="A380" s="48" t="s">
        <v>151</v>
      </c>
      <c r="B380" s="80"/>
      <c r="C380" s="80"/>
      <c r="D380" s="80"/>
      <c r="E380" s="80"/>
      <c r="F380" s="80"/>
      <c r="G380" s="80"/>
      <c r="H380" s="80"/>
      <c r="I380" s="80"/>
      <c r="J380" s="80"/>
      <c r="K380" s="80"/>
      <c r="L380" s="80"/>
      <c r="M380" s="80"/>
      <c r="P380" s="324"/>
      <c r="Q380" s="1250"/>
      <c r="R380" s="1250"/>
      <c r="S380" s="1250"/>
      <c r="T380" s="1250"/>
      <c r="U380" s="1242"/>
      <c r="V380" s="324"/>
      <c r="W380" s="324"/>
      <c r="X380" s="324"/>
      <c r="Y380" s="324"/>
    </row>
    <row r="381" spans="1:25" ht="39.950000000000003" customHeight="1">
      <c r="A381" s="2984" t="s">
        <v>152</v>
      </c>
      <c r="B381" s="2985"/>
      <c r="C381" s="2986"/>
      <c r="D381" s="2987" t="str">
        <f>参照元個別!I20</f>
        <v>事業所名を入力16</v>
      </c>
      <c r="E381" s="2988"/>
      <c r="F381" s="2988"/>
      <c r="G381" s="2988"/>
      <c r="H381" s="2988"/>
      <c r="I381" s="2988"/>
      <c r="J381" s="2988"/>
      <c r="K381" s="2988"/>
      <c r="L381" s="2988"/>
      <c r="M381" s="2988"/>
      <c r="N381" s="2988"/>
      <c r="O381" s="2989"/>
      <c r="P381" s="156"/>
      <c r="V381" s="156"/>
      <c r="W381" s="156"/>
      <c r="X381" s="156"/>
      <c r="Y381" s="156"/>
    </row>
    <row r="382" spans="1:25" ht="39.950000000000003" customHeight="1">
      <c r="A382" s="2570" t="s">
        <v>153</v>
      </c>
      <c r="B382" s="2571"/>
      <c r="C382" s="2990"/>
      <c r="D382" s="2991"/>
      <c r="E382" s="2992"/>
      <c r="F382" s="2992"/>
      <c r="G382" s="2992"/>
      <c r="H382" s="2992"/>
      <c r="I382" s="2992"/>
      <c r="J382" s="2992"/>
      <c r="K382" s="2992"/>
      <c r="L382" s="2992"/>
      <c r="M382" s="2992"/>
      <c r="N382" s="2992"/>
      <c r="O382" s="2993"/>
      <c r="P382" s="156"/>
      <c r="V382" s="156"/>
      <c r="W382" s="156"/>
      <c r="X382" s="156"/>
      <c r="Y382" s="156"/>
    </row>
    <row r="383" spans="1:25" ht="39.950000000000003" customHeight="1">
      <c r="A383" s="2536" t="s">
        <v>154</v>
      </c>
      <c r="B383" s="2978"/>
      <c r="C383" s="2979"/>
      <c r="D383" s="2980"/>
      <c r="E383" s="101" t="s">
        <v>180</v>
      </c>
      <c r="F383" s="2974" t="s">
        <v>404</v>
      </c>
      <c r="G383" s="2975"/>
      <c r="H383" s="2981" t="str">
        <f ca="1">参照元個別!$P$20</f>
        <v/>
      </c>
      <c r="I383" s="2982"/>
      <c r="J383" s="58" t="s">
        <v>176</v>
      </c>
      <c r="K383" s="2974" t="s">
        <v>405</v>
      </c>
      <c r="L383" s="2975"/>
      <c r="M383" s="2971"/>
      <c r="N383" s="2972"/>
      <c r="O383" s="2973"/>
      <c r="P383" s="156" t="str">
        <f>IFERROR(VLOOKUP(M383,$U$1:$V$16,2,0),"")</f>
        <v/>
      </c>
      <c r="U383" s="1250"/>
      <c r="V383" s="156"/>
      <c r="W383" s="156"/>
      <c r="X383" s="156"/>
      <c r="Y383" s="156"/>
    </row>
    <row r="384" spans="1:25" ht="39.950000000000003" customHeight="1">
      <c r="A384" s="2974" t="s">
        <v>406</v>
      </c>
      <c r="B384" s="2975"/>
      <c r="C384" s="2976"/>
      <c r="D384" s="2896"/>
      <c r="E384" s="2897"/>
      <c r="F384" s="2974" t="s">
        <v>158</v>
      </c>
      <c r="G384" s="2975"/>
      <c r="H384" s="2976"/>
      <c r="I384" s="2896"/>
      <c r="J384" s="2897"/>
      <c r="K384" s="2580"/>
      <c r="L384" s="2977"/>
      <c r="M384" s="2977"/>
      <c r="N384" s="2977"/>
      <c r="O384" s="2977"/>
      <c r="P384" s="156"/>
      <c r="V384" s="156"/>
      <c r="W384" s="156"/>
      <c r="X384" s="156"/>
      <c r="Y384" s="156"/>
    </row>
    <row r="385" spans="1:28" ht="18.75" customHeight="1">
      <c r="A385" s="39"/>
      <c r="B385" s="39"/>
      <c r="C385" s="40"/>
      <c r="D385" s="41"/>
      <c r="E385" s="40"/>
      <c r="F385" s="42"/>
      <c r="P385" s="156"/>
      <c r="V385" s="325"/>
      <c r="W385" s="325"/>
      <c r="X385" s="156"/>
      <c r="Y385" s="156"/>
    </row>
    <row r="386" spans="1:28" ht="51.75" customHeight="1">
      <c r="A386" s="2950" t="s">
        <v>505</v>
      </c>
      <c r="B386" s="2951"/>
      <c r="C386" s="2951"/>
      <c r="D386" s="2951"/>
      <c r="E386" s="2951"/>
      <c r="F386" s="2951"/>
      <c r="G386" s="2951"/>
      <c r="H386" s="2951"/>
      <c r="I386" s="2951"/>
      <c r="J386" s="2951"/>
      <c r="K386" s="2951"/>
      <c r="L386" s="2951"/>
      <c r="M386" s="2951"/>
      <c r="N386" s="2951"/>
      <c r="O386" s="2951"/>
      <c r="P386" s="156"/>
      <c r="V386" s="325"/>
      <c r="W386" s="325"/>
      <c r="X386" s="156"/>
      <c r="Y386" s="156"/>
    </row>
    <row r="387" spans="1:28" ht="57.75" customHeight="1">
      <c r="A387" s="39"/>
      <c r="B387" s="39"/>
      <c r="C387" s="40"/>
      <c r="D387" s="41"/>
      <c r="E387" s="40"/>
      <c r="F387" s="42"/>
      <c r="P387" s="156"/>
      <c r="Q387" s="1251"/>
      <c r="R387" s="1251"/>
      <c r="S387" s="1251"/>
      <c r="T387" s="1251"/>
      <c r="V387" s="325"/>
      <c r="W387" s="325"/>
      <c r="X387" s="156"/>
      <c r="Y387" s="156"/>
    </row>
    <row r="388" spans="1:28" s="51" customFormat="1" ht="15.95" customHeight="1">
      <c r="A388" s="50" t="s">
        <v>509</v>
      </c>
      <c r="B388" s="52"/>
      <c r="C388" s="52"/>
      <c r="D388" s="52"/>
      <c r="E388" s="52"/>
      <c r="F388" s="52"/>
      <c r="G388" s="52"/>
      <c r="H388" s="52"/>
      <c r="I388" s="52"/>
      <c r="J388" s="52"/>
      <c r="K388" s="52"/>
      <c r="L388" s="50"/>
      <c r="M388" s="50"/>
      <c r="N388" s="50"/>
      <c r="O388" s="50"/>
      <c r="P388" s="324"/>
      <c r="Q388" s="1252"/>
      <c r="R388" s="1252"/>
      <c r="S388" s="1252"/>
      <c r="T388" s="1252"/>
      <c r="U388" s="1242"/>
      <c r="V388" s="326"/>
      <c r="W388" s="326"/>
      <c r="X388" s="324"/>
      <c r="Y388" s="324"/>
    </row>
    <row r="389" spans="1:28" ht="36" customHeight="1">
      <c r="A389" s="2654"/>
      <c r="B389" s="2655"/>
      <c r="C389" s="2674" t="s">
        <v>504</v>
      </c>
      <c r="D389" s="2674"/>
      <c r="E389" s="2674"/>
      <c r="F389" s="2674"/>
      <c r="G389" s="2674"/>
      <c r="H389" s="2952"/>
      <c r="I389" s="2673" t="s">
        <v>407</v>
      </c>
      <c r="J389" s="2953"/>
      <c r="K389" s="2953"/>
      <c r="L389" s="2953"/>
      <c r="M389" s="2953"/>
      <c r="N389" s="2953"/>
      <c r="O389" s="2952"/>
      <c r="P389" s="156"/>
      <c r="V389" s="156"/>
      <c r="W389" s="156"/>
      <c r="X389" s="156"/>
      <c r="Y389" s="156"/>
    </row>
    <row r="390" spans="1:28" ht="24" customHeight="1">
      <c r="A390" s="2633" t="s">
        <v>236</v>
      </c>
      <c r="B390" s="2954"/>
      <c r="C390" s="2955" t="str">
        <f ca="1">参照元個別!E20</f>
        <v/>
      </c>
      <c r="D390" s="2955"/>
      <c r="E390" s="2955"/>
      <c r="F390" s="2955"/>
      <c r="G390" s="2956"/>
      <c r="H390" s="2959" t="s">
        <v>414</v>
      </c>
      <c r="I390" s="2961" t="str">
        <f>参照元個別!F20</f>
        <v/>
      </c>
      <c r="J390" s="2962"/>
      <c r="K390" s="2962"/>
      <c r="L390" s="2962"/>
      <c r="M390" s="2965" t="s">
        <v>415</v>
      </c>
      <c r="N390" s="2967" t="str">
        <f>参照元個別!G20</f>
        <v/>
      </c>
      <c r="O390" s="2968"/>
      <c r="P390" s="165"/>
      <c r="V390" s="156"/>
      <c r="W390" s="156"/>
      <c r="X390" s="156"/>
      <c r="Y390" s="156"/>
    </row>
    <row r="391" spans="1:28" ht="23.1" customHeight="1">
      <c r="A391" s="2637">
        <f>IF( 報1!$L$28="","", 報1!$L$28 )</f>
        <v>2023</v>
      </c>
      <c r="B391" s="2638"/>
      <c r="C391" s="2957"/>
      <c r="D391" s="2957"/>
      <c r="E391" s="2957"/>
      <c r="F391" s="2957"/>
      <c r="G391" s="2958"/>
      <c r="H391" s="2960"/>
      <c r="I391" s="2963"/>
      <c r="J391" s="2964"/>
      <c r="K391" s="2964"/>
      <c r="L391" s="2964"/>
      <c r="M391" s="2966"/>
      <c r="N391" s="2969"/>
      <c r="O391" s="2970"/>
      <c r="P391" s="165"/>
      <c r="V391" s="156"/>
      <c r="W391" s="156"/>
      <c r="X391" s="156"/>
      <c r="Y391" s="156"/>
    </row>
    <row r="392" spans="1:28" ht="25.15" customHeight="1">
      <c r="A392" s="2938" t="s">
        <v>277</v>
      </c>
      <c r="B392" s="2939"/>
      <c r="C392" s="2940"/>
      <c r="D392" s="2941"/>
      <c r="E392" s="2941"/>
      <c r="F392" s="2941"/>
      <c r="G392" s="2941"/>
      <c r="H392" s="2941"/>
      <c r="I392" s="2941"/>
      <c r="J392" s="2941"/>
      <c r="K392" s="2941"/>
      <c r="L392" s="2941"/>
      <c r="M392" s="2941"/>
      <c r="N392" s="2941"/>
      <c r="O392" s="2942"/>
      <c r="P392" s="156"/>
      <c r="Q392" s="1253">
        <v>1</v>
      </c>
      <c r="R392" s="1245"/>
      <c r="S392" s="1254"/>
      <c r="T392" s="1255"/>
      <c r="U392" s="1256"/>
      <c r="V392" s="156"/>
      <c r="W392" s="156"/>
      <c r="X392" s="327"/>
      <c r="Y392" s="328"/>
      <c r="Z392" s="99"/>
      <c r="AA392" s="43"/>
      <c r="AB392" s="44"/>
    </row>
    <row r="393" spans="1:28" ht="25.15" customHeight="1">
      <c r="A393" s="2938"/>
      <c r="B393" s="2939"/>
      <c r="C393" s="2941"/>
      <c r="D393" s="2941"/>
      <c r="E393" s="2941"/>
      <c r="F393" s="2941"/>
      <c r="G393" s="2941"/>
      <c r="H393" s="2941"/>
      <c r="I393" s="2941"/>
      <c r="J393" s="2941"/>
      <c r="K393" s="2941"/>
      <c r="L393" s="2941"/>
      <c r="M393" s="2941"/>
      <c r="N393" s="2941"/>
      <c r="O393" s="2942"/>
      <c r="P393" s="156"/>
      <c r="Q393" s="1257"/>
      <c r="R393" s="1258"/>
      <c r="S393" s="1258"/>
      <c r="T393" s="1258"/>
      <c r="U393" s="1258"/>
      <c r="V393" s="156"/>
      <c r="W393" s="156"/>
      <c r="X393" s="156"/>
      <c r="Y393" s="156"/>
    </row>
    <row r="394" spans="1:28" ht="24.75" customHeight="1">
      <c r="A394" s="2938"/>
      <c r="B394" s="2939"/>
      <c r="C394" s="2941"/>
      <c r="D394" s="2941"/>
      <c r="E394" s="2941"/>
      <c r="F394" s="2941"/>
      <c r="G394" s="2941"/>
      <c r="H394" s="2941"/>
      <c r="I394" s="2941"/>
      <c r="J394" s="2941"/>
      <c r="K394" s="2941"/>
      <c r="L394" s="2941"/>
      <c r="M394" s="2941"/>
      <c r="N394" s="2941"/>
      <c r="O394" s="2942"/>
      <c r="P394" s="156"/>
      <c r="Q394" s="1257"/>
      <c r="R394" s="1256"/>
      <c r="S394" s="1256"/>
      <c r="T394" s="1256"/>
      <c r="U394" s="1256"/>
      <c r="V394" s="156"/>
      <c r="W394" s="156"/>
      <c r="X394" s="156"/>
      <c r="Y394" s="156"/>
    </row>
    <row r="395" spans="1:28" ht="10.15" customHeight="1">
      <c r="A395" s="2945"/>
      <c r="B395" s="2946"/>
      <c r="C395" s="2941"/>
      <c r="D395" s="2941"/>
      <c r="E395" s="2941"/>
      <c r="F395" s="2941"/>
      <c r="G395" s="2941"/>
      <c r="H395" s="2941"/>
      <c r="I395" s="2941"/>
      <c r="J395" s="2941"/>
      <c r="K395" s="2941"/>
      <c r="L395" s="2941"/>
      <c r="M395" s="2941"/>
      <c r="N395" s="2941"/>
      <c r="O395" s="2942"/>
      <c r="P395" s="156"/>
      <c r="Q395" s="1259"/>
      <c r="R395" s="1256"/>
      <c r="S395" s="1256"/>
      <c r="T395" s="1256"/>
      <c r="U395" s="1256"/>
      <c r="V395" s="156"/>
      <c r="W395" s="156"/>
      <c r="X395" s="156"/>
      <c r="Y395" s="156"/>
    </row>
    <row r="396" spans="1:28" ht="45" customHeight="1">
      <c r="A396" s="2947">
        <f>IF( 報1!$L$28="","", 報1!$L$28 )</f>
        <v>2023</v>
      </c>
      <c r="B396" s="2948"/>
      <c r="C396" s="2943"/>
      <c r="D396" s="2943"/>
      <c r="E396" s="2943"/>
      <c r="F396" s="2943"/>
      <c r="G396" s="2943"/>
      <c r="H396" s="2943"/>
      <c r="I396" s="2943"/>
      <c r="J396" s="2943"/>
      <c r="K396" s="2943"/>
      <c r="L396" s="2943"/>
      <c r="M396" s="2943"/>
      <c r="N396" s="2943"/>
      <c r="O396" s="2944"/>
      <c r="P396" s="156"/>
      <c r="Q396" s="1260"/>
      <c r="R396" s="1256"/>
      <c r="S396" s="1256"/>
      <c r="T396" s="1256"/>
      <c r="U396" s="1256"/>
      <c r="V396" s="156"/>
      <c r="W396" s="156"/>
      <c r="X396" s="156"/>
      <c r="Y396" s="156"/>
    </row>
    <row r="397" spans="1:28" ht="26.25" customHeight="1">
      <c r="A397" s="2949"/>
      <c r="B397" s="2949"/>
      <c r="C397" s="2949"/>
      <c r="D397" s="2949"/>
      <c r="E397" s="2949"/>
      <c r="F397" s="2949"/>
      <c r="G397" s="2949"/>
      <c r="H397" s="2949"/>
      <c r="I397" s="2949"/>
      <c r="J397" s="2949"/>
      <c r="K397" s="2949"/>
      <c r="L397" s="2949"/>
      <c r="M397" s="2949"/>
      <c r="N397" s="2949"/>
      <c r="O397" s="2949"/>
      <c r="P397" s="156"/>
      <c r="Q397" s="1259"/>
      <c r="R397" s="1256"/>
      <c r="S397" s="1256"/>
      <c r="T397" s="1256"/>
      <c r="U397" s="1256"/>
      <c r="V397" s="156"/>
      <c r="W397" s="156"/>
      <c r="X397" s="156"/>
      <c r="Y397" s="156"/>
    </row>
    <row r="398" spans="1:28" ht="30" customHeight="1">
      <c r="A398" s="156"/>
      <c r="B398" s="156"/>
      <c r="C398" s="156"/>
      <c r="D398" s="156"/>
      <c r="E398" s="156"/>
      <c r="F398" s="156"/>
      <c r="G398" s="156"/>
      <c r="H398" s="156"/>
      <c r="I398" s="156"/>
      <c r="J398" s="156"/>
      <c r="K398" s="156"/>
      <c r="L398" s="156"/>
      <c r="M398" s="156"/>
      <c r="N398" s="156"/>
      <c r="O398" s="329"/>
      <c r="P398" s="156"/>
      <c r="Q398" s="1248"/>
      <c r="R398" s="1260"/>
      <c r="S398" s="1244"/>
      <c r="T398" s="1244"/>
      <c r="V398" s="156"/>
      <c r="W398" s="156"/>
      <c r="X398" s="156"/>
      <c r="Y398" s="156"/>
    </row>
    <row r="399" spans="1:28" ht="18" customHeight="1">
      <c r="A399" s="156"/>
      <c r="B399" s="156"/>
      <c r="C399" s="156"/>
      <c r="D399" s="156"/>
      <c r="E399" s="156"/>
      <c r="F399" s="156"/>
      <c r="G399" s="156"/>
      <c r="H399" s="156"/>
      <c r="I399" s="156"/>
      <c r="J399" s="156"/>
      <c r="K399" s="156"/>
      <c r="L399" s="156"/>
      <c r="M399" s="156"/>
      <c r="N399" s="156"/>
      <c r="O399" s="329"/>
      <c r="P399" s="156"/>
      <c r="Q399" s="1261"/>
      <c r="R399" s="1260"/>
      <c r="S399" s="1244"/>
      <c r="T399" s="1244"/>
      <c r="V399" s="156"/>
      <c r="W399" s="156"/>
      <c r="X399" s="156"/>
      <c r="Y399" s="156"/>
    </row>
    <row r="400" spans="1:28" ht="18" customHeight="1">
      <c r="A400" s="156"/>
      <c r="B400" s="156"/>
      <c r="C400" s="156"/>
      <c r="D400" s="156"/>
      <c r="E400" s="156"/>
      <c r="F400" s="156"/>
      <c r="G400" s="156"/>
      <c r="H400" s="156"/>
      <c r="I400" s="156"/>
      <c r="J400" s="156"/>
      <c r="K400" s="156"/>
      <c r="L400" s="156"/>
      <c r="M400" s="156"/>
      <c r="N400" s="156"/>
      <c r="O400" s="329"/>
      <c r="P400" s="156"/>
      <c r="Q400" s="1261"/>
      <c r="R400" s="1260"/>
      <c r="S400" s="1244"/>
      <c r="T400" s="1244"/>
      <c r="V400" s="156"/>
      <c r="W400" s="156"/>
      <c r="X400" s="156"/>
      <c r="Y400" s="156"/>
    </row>
    <row r="401" spans="1:25">
      <c r="A401" s="1" t="s">
        <v>175</v>
      </c>
      <c r="B401" s="2"/>
      <c r="C401" s="2"/>
      <c r="D401" s="2"/>
      <c r="E401" s="2"/>
      <c r="F401" s="2"/>
      <c r="G401" s="2"/>
      <c r="H401" s="2"/>
      <c r="I401" s="2"/>
      <c r="J401" s="2"/>
      <c r="K401" s="2"/>
      <c r="L401" s="2"/>
      <c r="M401" s="2"/>
      <c r="N401" s="2"/>
      <c r="O401" s="2"/>
      <c r="P401" s="156" t="str">
        <f>"個別票"&amp;Q401</f>
        <v>個別票17</v>
      </c>
      <c r="Q401" s="1242">
        <f>Q376+1</f>
        <v>17</v>
      </c>
      <c r="V401" s="156"/>
      <c r="W401" s="156"/>
      <c r="X401" s="156"/>
      <c r="Y401" s="156"/>
    </row>
    <row r="402" spans="1:25">
      <c r="A402" s="2" t="s">
        <v>150</v>
      </c>
      <c r="B402" s="4"/>
      <c r="C402" s="4"/>
      <c r="D402" s="4"/>
      <c r="E402" s="4"/>
      <c r="F402" s="4"/>
      <c r="G402" s="4"/>
      <c r="H402" s="4"/>
      <c r="I402" s="4"/>
      <c r="J402" s="4"/>
      <c r="K402" s="4"/>
      <c r="L402" s="4"/>
      <c r="M402" s="4"/>
      <c r="N402" s="2"/>
      <c r="O402" s="2"/>
      <c r="P402" s="156"/>
      <c r="V402" s="156"/>
      <c r="W402" s="156"/>
      <c r="X402" s="156"/>
      <c r="Y402" s="156"/>
    </row>
    <row r="403" spans="1:25" ht="17.25">
      <c r="A403" s="2983" t="s">
        <v>403</v>
      </c>
      <c r="B403" s="2983"/>
      <c r="C403" s="2983"/>
      <c r="D403" s="2983"/>
      <c r="E403" s="2983"/>
      <c r="F403" s="2983"/>
      <c r="G403" s="2983"/>
      <c r="H403" s="2983"/>
      <c r="I403" s="2983"/>
      <c r="J403" s="2983"/>
      <c r="K403" s="2983"/>
      <c r="L403" s="2983"/>
      <c r="M403" s="2983"/>
      <c r="N403" s="2983"/>
      <c r="O403" s="2983"/>
      <c r="P403" s="156"/>
      <c r="V403" s="156"/>
      <c r="W403" s="156"/>
      <c r="X403" s="156"/>
      <c r="Y403" s="156"/>
    </row>
    <row r="404" spans="1:25" ht="31.5" customHeight="1">
      <c r="A404" s="38"/>
      <c r="B404" s="38"/>
      <c r="C404" s="38"/>
      <c r="D404" s="38"/>
      <c r="E404" s="38"/>
      <c r="F404" s="38"/>
      <c r="G404" s="38"/>
      <c r="H404" s="38"/>
      <c r="I404" s="38"/>
      <c r="J404" s="38"/>
      <c r="K404" s="38"/>
      <c r="L404" s="38"/>
      <c r="M404" s="38"/>
      <c r="N404" s="38"/>
      <c r="O404" s="38"/>
      <c r="P404" s="156"/>
      <c r="V404" s="156"/>
      <c r="W404" s="156"/>
      <c r="X404" s="156"/>
      <c r="Y404" s="156"/>
    </row>
    <row r="405" spans="1:25" s="51" customFormat="1" ht="15.95" customHeight="1">
      <c r="A405" s="48" t="s">
        <v>151</v>
      </c>
      <c r="B405" s="80"/>
      <c r="C405" s="80"/>
      <c r="D405" s="80"/>
      <c r="E405" s="80"/>
      <c r="F405" s="80"/>
      <c r="G405" s="80"/>
      <c r="H405" s="80"/>
      <c r="I405" s="80"/>
      <c r="J405" s="80"/>
      <c r="K405" s="80"/>
      <c r="L405" s="80"/>
      <c r="M405" s="80"/>
      <c r="P405" s="324"/>
      <c r="Q405" s="1250"/>
      <c r="R405" s="1250"/>
      <c r="S405" s="1250"/>
      <c r="T405" s="1250"/>
      <c r="U405" s="1242"/>
      <c r="V405" s="324"/>
      <c r="W405" s="324"/>
      <c r="X405" s="324"/>
      <c r="Y405" s="324"/>
    </row>
    <row r="406" spans="1:25" ht="39.950000000000003" customHeight="1">
      <c r="A406" s="2984" t="s">
        <v>152</v>
      </c>
      <c r="B406" s="2985"/>
      <c r="C406" s="2986"/>
      <c r="D406" s="2987" t="str">
        <f>参照元個別!I21</f>
        <v>事業所名を入力17</v>
      </c>
      <c r="E406" s="2988"/>
      <c r="F406" s="2988"/>
      <c r="G406" s="2988"/>
      <c r="H406" s="2988"/>
      <c r="I406" s="2988"/>
      <c r="J406" s="2988"/>
      <c r="K406" s="2988"/>
      <c r="L406" s="2988"/>
      <c r="M406" s="2988"/>
      <c r="N406" s="2988"/>
      <c r="O406" s="2989"/>
      <c r="P406" s="156"/>
      <c r="V406" s="156"/>
      <c r="W406" s="156"/>
      <c r="X406" s="156"/>
      <c r="Y406" s="156"/>
    </row>
    <row r="407" spans="1:25" ht="39.950000000000003" customHeight="1">
      <c r="A407" s="2570" t="s">
        <v>153</v>
      </c>
      <c r="B407" s="2571"/>
      <c r="C407" s="2990"/>
      <c r="D407" s="2991"/>
      <c r="E407" s="2992"/>
      <c r="F407" s="2992"/>
      <c r="G407" s="2992"/>
      <c r="H407" s="2992"/>
      <c r="I407" s="2992"/>
      <c r="J407" s="2992"/>
      <c r="K407" s="2992"/>
      <c r="L407" s="2992"/>
      <c r="M407" s="2992"/>
      <c r="N407" s="2992"/>
      <c r="O407" s="2993"/>
      <c r="P407" s="156"/>
      <c r="V407" s="156"/>
      <c r="W407" s="156"/>
      <c r="X407" s="156"/>
      <c r="Y407" s="156"/>
    </row>
    <row r="408" spans="1:25" ht="39.950000000000003" customHeight="1">
      <c r="A408" s="2536" t="s">
        <v>154</v>
      </c>
      <c r="B408" s="2978"/>
      <c r="C408" s="2979"/>
      <c r="D408" s="2980"/>
      <c r="E408" s="101" t="s">
        <v>180</v>
      </c>
      <c r="F408" s="2974" t="s">
        <v>404</v>
      </c>
      <c r="G408" s="2975"/>
      <c r="H408" s="2981" t="str">
        <f ca="1">参照元個別!$P$21</f>
        <v/>
      </c>
      <c r="I408" s="2982"/>
      <c r="J408" s="58" t="s">
        <v>176</v>
      </c>
      <c r="K408" s="2974" t="s">
        <v>405</v>
      </c>
      <c r="L408" s="2975"/>
      <c r="M408" s="2971"/>
      <c r="N408" s="2972"/>
      <c r="O408" s="2973"/>
      <c r="P408" s="156" t="str">
        <f>IFERROR(VLOOKUP(M408,$U$1:$V$16,2,0),"")</f>
        <v/>
      </c>
      <c r="U408" s="1250"/>
      <c r="V408" s="156"/>
      <c r="W408" s="156"/>
      <c r="X408" s="156"/>
      <c r="Y408" s="156"/>
    </row>
    <row r="409" spans="1:25" ht="39.950000000000003" customHeight="1">
      <c r="A409" s="2974" t="s">
        <v>406</v>
      </c>
      <c r="B409" s="2975"/>
      <c r="C409" s="2976"/>
      <c r="D409" s="2896"/>
      <c r="E409" s="2897"/>
      <c r="F409" s="2974" t="s">
        <v>158</v>
      </c>
      <c r="G409" s="2975"/>
      <c r="H409" s="2976"/>
      <c r="I409" s="2896"/>
      <c r="J409" s="2897"/>
      <c r="K409" s="2580"/>
      <c r="L409" s="2977"/>
      <c r="M409" s="2977"/>
      <c r="N409" s="2977"/>
      <c r="O409" s="2977"/>
      <c r="P409" s="156"/>
      <c r="V409" s="156"/>
      <c r="W409" s="156"/>
      <c r="X409" s="156"/>
      <c r="Y409" s="156"/>
    </row>
    <row r="410" spans="1:25" ht="18.75" customHeight="1">
      <c r="A410" s="39"/>
      <c r="B410" s="39"/>
      <c r="C410" s="40"/>
      <c r="D410" s="41"/>
      <c r="E410" s="40"/>
      <c r="F410" s="42"/>
      <c r="P410" s="156"/>
      <c r="V410" s="325"/>
      <c r="W410" s="325"/>
      <c r="X410" s="156"/>
      <c r="Y410" s="156"/>
    </row>
    <row r="411" spans="1:25" ht="51.75" customHeight="1">
      <c r="A411" s="2950" t="s">
        <v>505</v>
      </c>
      <c r="B411" s="2951"/>
      <c r="C411" s="2951"/>
      <c r="D411" s="2951"/>
      <c r="E411" s="2951"/>
      <c r="F411" s="2951"/>
      <c r="G411" s="2951"/>
      <c r="H411" s="2951"/>
      <c r="I411" s="2951"/>
      <c r="J411" s="2951"/>
      <c r="K411" s="2951"/>
      <c r="L411" s="2951"/>
      <c r="M411" s="2951"/>
      <c r="N411" s="2951"/>
      <c r="O411" s="2951"/>
      <c r="P411" s="156"/>
      <c r="V411" s="325"/>
      <c r="W411" s="325"/>
      <c r="X411" s="156"/>
      <c r="Y411" s="156"/>
    </row>
    <row r="412" spans="1:25" ht="57.75" customHeight="1">
      <c r="A412" s="39"/>
      <c r="B412" s="39"/>
      <c r="C412" s="40"/>
      <c r="D412" s="41"/>
      <c r="E412" s="40"/>
      <c r="F412" s="42"/>
      <c r="P412" s="156"/>
      <c r="Q412" s="1251"/>
      <c r="R412" s="1251"/>
      <c r="S412" s="1251"/>
      <c r="T412" s="1251"/>
      <c r="V412" s="325"/>
      <c r="W412" s="325"/>
      <c r="X412" s="156"/>
      <c r="Y412" s="156"/>
    </row>
    <row r="413" spans="1:25" s="51" customFormat="1" ht="15.95" customHeight="1">
      <c r="A413" s="50" t="s">
        <v>509</v>
      </c>
      <c r="B413" s="52"/>
      <c r="C413" s="52"/>
      <c r="D413" s="52"/>
      <c r="E413" s="52"/>
      <c r="F413" s="52"/>
      <c r="G413" s="52"/>
      <c r="H413" s="52"/>
      <c r="I413" s="52"/>
      <c r="J413" s="52"/>
      <c r="K413" s="52"/>
      <c r="L413" s="50"/>
      <c r="M413" s="50"/>
      <c r="N413" s="50"/>
      <c r="O413" s="50"/>
      <c r="P413" s="324"/>
      <c r="Q413" s="1252"/>
      <c r="R413" s="1252"/>
      <c r="S413" s="1252"/>
      <c r="T413" s="1252"/>
      <c r="U413" s="1242"/>
      <c r="V413" s="326"/>
      <c r="W413" s="326"/>
      <c r="X413" s="324"/>
      <c r="Y413" s="324"/>
    </row>
    <row r="414" spans="1:25" ht="36" customHeight="1">
      <c r="A414" s="2654"/>
      <c r="B414" s="2655"/>
      <c r="C414" s="2674" t="s">
        <v>504</v>
      </c>
      <c r="D414" s="2674"/>
      <c r="E414" s="2674"/>
      <c r="F414" s="2674"/>
      <c r="G414" s="2674"/>
      <c r="H414" s="2952"/>
      <c r="I414" s="2673" t="s">
        <v>407</v>
      </c>
      <c r="J414" s="2953"/>
      <c r="K414" s="2953"/>
      <c r="L414" s="2953"/>
      <c r="M414" s="2953"/>
      <c r="N414" s="2953"/>
      <c r="O414" s="2952"/>
      <c r="P414" s="156"/>
      <c r="V414" s="156"/>
      <c r="W414" s="156"/>
      <c r="X414" s="156"/>
      <c r="Y414" s="156"/>
    </row>
    <row r="415" spans="1:25" ht="24" customHeight="1">
      <c r="A415" s="2633" t="s">
        <v>236</v>
      </c>
      <c r="B415" s="2954"/>
      <c r="C415" s="2955" t="str">
        <f ca="1">参照元個別!E21</f>
        <v/>
      </c>
      <c r="D415" s="2955"/>
      <c r="E415" s="2955"/>
      <c r="F415" s="2955"/>
      <c r="G415" s="2956"/>
      <c r="H415" s="2959" t="s">
        <v>414</v>
      </c>
      <c r="I415" s="2961" t="str">
        <f>参照元個別!F21</f>
        <v/>
      </c>
      <c r="J415" s="2962"/>
      <c r="K415" s="2962"/>
      <c r="L415" s="2962"/>
      <c r="M415" s="2965" t="s">
        <v>415</v>
      </c>
      <c r="N415" s="2967" t="str">
        <f>参照元個別!G21</f>
        <v/>
      </c>
      <c r="O415" s="2968"/>
      <c r="P415" s="165"/>
      <c r="V415" s="156"/>
      <c r="W415" s="156"/>
      <c r="X415" s="156"/>
      <c r="Y415" s="156"/>
    </row>
    <row r="416" spans="1:25" ht="23.1" customHeight="1">
      <c r="A416" s="2637">
        <f>IF( 報1!$L$28="","", 報1!$L$28 )</f>
        <v>2023</v>
      </c>
      <c r="B416" s="2638"/>
      <c r="C416" s="2957"/>
      <c r="D416" s="2957"/>
      <c r="E416" s="2957"/>
      <c r="F416" s="2957"/>
      <c r="G416" s="2958"/>
      <c r="H416" s="2960"/>
      <c r="I416" s="2963"/>
      <c r="J416" s="2964"/>
      <c r="K416" s="2964"/>
      <c r="L416" s="2964"/>
      <c r="M416" s="2966"/>
      <c r="N416" s="2969"/>
      <c r="O416" s="2970"/>
      <c r="P416" s="165"/>
      <c r="V416" s="156"/>
      <c r="W416" s="156"/>
      <c r="X416" s="156"/>
      <c r="Y416" s="156"/>
    </row>
    <row r="417" spans="1:28" ht="25.15" customHeight="1">
      <c r="A417" s="2938" t="s">
        <v>277</v>
      </c>
      <c r="B417" s="2939"/>
      <c r="C417" s="2940"/>
      <c r="D417" s="2941"/>
      <c r="E417" s="2941"/>
      <c r="F417" s="2941"/>
      <c r="G417" s="2941"/>
      <c r="H417" s="2941"/>
      <c r="I417" s="2941"/>
      <c r="J417" s="2941"/>
      <c r="K417" s="2941"/>
      <c r="L417" s="2941"/>
      <c r="M417" s="2941"/>
      <c r="N417" s="2941"/>
      <c r="O417" s="2942"/>
      <c r="P417" s="156"/>
      <c r="Q417" s="1253">
        <v>1</v>
      </c>
      <c r="R417" s="1245"/>
      <c r="S417" s="1254"/>
      <c r="T417" s="1255"/>
      <c r="U417" s="1256"/>
      <c r="V417" s="156"/>
      <c r="W417" s="156"/>
      <c r="X417" s="327"/>
      <c r="Y417" s="328"/>
      <c r="Z417" s="99"/>
      <c r="AA417" s="43"/>
      <c r="AB417" s="44"/>
    </row>
    <row r="418" spans="1:28" ht="25.15" customHeight="1">
      <c r="A418" s="2938"/>
      <c r="B418" s="2939"/>
      <c r="C418" s="2941"/>
      <c r="D418" s="2941"/>
      <c r="E418" s="2941"/>
      <c r="F418" s="2941"/>
      <c r="G418" s="2941"/>
      <c r="H418" s="2941"/>
      <c r="I418" s="2941"/>
      <c r="J418" s="2941"/>
      <c r="K418" s="2941"/>
      <c r="L418" s="2941"/>
      <c r="M418" s="2941"/>
      <c r="N418" s="2941"/>
      <c r="O418" s="2942"/>
      <c r="P418" s="156"/>
      <c r="Q418" s="1257"/>
      <c r="R418" s="1258"/>
      <c r="S418" s="1258"/>
      <c r="T418" s="1258"/>
      <c r="U418" s="1258"/>
      <c r="V418" s="156"/>
      <c r="W418" s="156"/>
      <c r="X418" s="156"/>
      <c r="Y418" s="156"/>
    </row>
    <row r="419" spans="1:28" ht="24.75" customHeight="1">
      <c r="A419" s="2938"/>
      <c r="B419" s="2939"/>
      <c r="C419" s="2941"/>
      <c r="D419" s="2941"/>
      <c r="E419" s="2941"/>
      <c r="F419" s="2941"/>
      <c r="G419" s="2941"/>
      <c r="H419" s="2941"/>
      <c r="I419" s="2941"/>
      <c r="J419" s="2941"/>
      <c r="K419" s="2941"/>
      <c r="L419" s="2941"/>
      <c r="M419" s="2941"/>
      <c r="N419" s="2941"/>
      <c r="O419" s="2942"/>
      <c r="P419" s="156"/>
      <c r="Q419" s="1257"/>
      <c r="R419" s="1256"/>
      <c r="S419" s="1256"/>
      <c r="T419" s="1256"/>
      <c r="U419" s="1256"/>
      <c r="V419" s="156"/>
      <c r="W419" s="156"/>
      <c r="X419" s="156"/>
      <c r="Y419" s="156"/>
    </row>
    <row r="420" spans="1:28" ht="10.15" customHeight="1">
      <c r="A420" s="2945"/>
      <c r="B420" s="2946"/>
      <c r="C420" s="2941"/>
      <c r="D420" s="2941"/>
      <c r="E420" s="2941"/>
      <c r="F420" s="2941"/>
      <c r="G420" s="2941"/>
      <c r="H420" s="2941"/>
      <c r="I420" s="2941"/>
      <c r="J420" s="2941"/>
      <c r="K420" s="2941"/>
      <c r="L420" s="2941"/>
      <c r="M420" s="2941"/>
      <c r="N420" s="2941"/>
      <c r="O420" s="2942"/>
      <c r="P420" s="156"/>
      <c r="Q420" s="1259"/>
      <c r="R420" s="1256"/>
      <c r="S420" s="1256"/>
      <c r="T420" s="1256"/>
      <c r="U420" s="1256"/>
      <c r="V420" s="156"/>
      <c r="W420" s="156"/>
      <c r="X420" s="156"/>
      <c r="Y420" s="156"/>
    </row>
    <row r="421" spans="1:28" ht="45" customHeight="1">
      <c r="A421" s="2947">
        <f>IF( 報1!$L$28="","", 報1!$L$28 )</f>
        <v>2023</v>
      </c>
      <c r="B421" s="2948"/>
      <c r="C421" s="2943"/>
      <c r="D421" s="2943"/>
      <c r="E421" s="2943"/>
      <c r="F421" s="2943"/>
      <c r="G421" s="2943"/>
      <c r="H421" s="2943"/>
      <c r="I421" s="2943"/>
      <c r="J421" s="2943"/>
      <c r="K421" s="2943"/>
      <c r="L421" s="2943"/>
      <c r="M421" s="2943"/>
      <c r="N421" s="2943"/>
      <c r="O421" s="2944"/>
      <c r="P421" s="156"/>
      <c r="Q421" s="1260"/>
      <c r="R421" s="1256"/>
      <c r="S421" s="1256"/>
      <c r="T421" s="1256"/>
      <c r="U421" s="1256"/>
      <c r="V421" s="156"/>
      <c r="W421" s="156"/>
      <c r="X421" s="156"/>
      <c r="Y421" s="156"/>
    </row>
    <row r="422" spans="1:28" ht="26.25" customHeight="1">
      <c r="A422" s="2949"/>
      <c r="B422" s="2949"/>
      <c r="C422" s="2949"/>
      <c r="D422" s="2949"/>
      <c r="E422" s="2949"/>
      <c r="F422" s="2949"/>
      <c r="G422" s="2949"/>
      <c r="H422" s="2949"/>
      <c r="I422" s="2949"/>
      <c r="J422" s="2949"/>
      <c r="K422" s="2949"/>
      <c r="L422" s="2949"/>
      <c r="M422" s="2949"/>
      <c r="N422" s="2949"/>
      <c r="O422" s="2949"/>
      <c r="P422" s="156"/>
      <c r="Q422" s="1259"/>
      <c r="R422" s="1256"/>
      <c r="S422" s="1256"/>
      <c r="T422" s="1256"/>
      <c r="U422" s="1256"/>
      <c r="V422" s="156"/>
      <c r="W422" s="156"/>
      <c r="X422" s="156"/>
      <c r="Y422" s="156"/>
    </row>
    <row r="423" spans="1:28" ht="30" customHeight="1">
      <c r="A423" s="156"/>
      <c r="B423" s="156"/>
      <c r="C423" s="156"/>
      <c r="D423" s="156"/>
      <c r="E423" s="156"/>
      <c r="F423" s="156"/>
      <c r="G423" s="156"/>
      <c r="H423" s="156"/>
      <c r="I423" s="156"/>
      <c r="J423" s="156"/>
      <c r="K423" s="156"/>
      <c r="L423" s="156"/>
      <c r="M423" s="156"/>
      <c r="N423" s="156"/>
      <c r="O423" s="329"/>
      <c r="P423" s="156"/>
      <c r="Q423" s="1248"/>
      <c r="R423" s="1260"/>
      <c r="S423" s="1244"/>
      <c r="T423" s="1244"/>
      <c r="V423" s="156"/>
      <c r="W423" s="156"/>
      <c r="X423" s="156"/>
      <c r="Y423" s="156"/>
    </row>
    <row r="424" spans="1:28" ht="18" customHeight="1">
      <c r="A424" s="156"/>
      <c r="B424" s="156"/>
      <c r="C424" s="156"/>
      <c r="D424" s="156"/>
      <c r="E424" s="156"/>
      <c r="F424" s="156"/>
      <c r="G424" s="156"/>
      <c r="H424" s="156"/>
      <c r="I424" s="156"/>
      <c r="J424" s="156"/>
      <c r="K424" s="156"/>
      <c r="L424" s="156"/>
      <c r="M424" s="156"/>
      <c r="N424" s="156"/>
      <c r="O424" s="329"/>
      <c r="P424" s="156"/>
      <c r="Q424" s="1261"/>
      <c r="R424" s="1260"/>
      <c r="S424" s="1244"/>
      <c r="T424" s="1244"/>
      <c r="V424" s="156"/>
      <c r="W424" s="156"/>
      <c r="X424" s="156"/>
      <c r="Y424" s="156"/>
    </row>
    <row r="425" spans="1:28" ht="18" customHeight="1">
      <c r="A425" s="156"/>
      <c r="B425" s="156"/>
      <c r="C425" s="156"/>
      <c r="D425" s="156"/>
      <c r="E425" s="156"/>
      <c r="F425" s="156"/>
      <c r="G425" s="156"/>
      <c r="H425" s="156"/>
      <c r="I425" s="156"/>
      <c r="J425" s="156"/>
      <c r="K425" s="156"/>
      <c r="L425" s="156"/>
      <c r="M425" s="156"/>
      <c r="N425" s="156"/>
      <c r="O425" s="329"/>
      <c r="P425" s="156"/>
      <c r="Q425" s="1261"/>
      <c r="R425" s="1260"/>
      <c r="S425" s="1244"/>
      <c r="T425" s="1244"/>
      <c r="V425" s="156"/>
      <c r="W425" s="156"/>
      <c r="X425" s="156"/>
      <c r="Y425" s="156"/>
    </row>
    <row r="426" spans="1:28">
      <c r="A426" s="1" t="s">
        <v>175</v>
      </c>
      <c r="B426" s="2"/>
      <c r="C426" s="2"/>
      <c r="D426" s="2"/>
      <c r="E426" s="2"/>
      <c r="F426" s="2"/>
      <c r="G426" s="2"/>
      <c r="H426" s="2"/>
      <c r="I426" s="2"/>
      <c r="J426" s="2"/>
      <c r="K426" s="2"/>
      <c r="L426" s="2"/>
      <c r="M426" s="2"/>
      <c r="N426" s="2"/>
      <c r="O426" s="2"/>
      <c r="P426" s="156" t="str">
        <f>"個別票"&amp;Q426</f>
        <v>個別票18</v>
      </c>
      <c r="Q426" s="1242">
        <f>Q401+1</f>
        <v>18</v>
      </c>
      <c r="V426" s="156"/>
      <c r="W426" s="156"/>
      <c r="X426" s="156"/>
      <c r="Y426" s="156"/>
    </row>
    <row r="427" spans="1:28">
      <c r="A427" s="2" t="s">
        <v>150</v>
      </c>
      <c r="B427" s="4"/>
      <c r="C427" s="4"/>
      <c r="D427" s="4"/>
      <c r="E427" s="4"/>
      <c r="F427" s="4"/>
      <c r="G427" s="4"/>
      <c r="H427" s="4"/>
      <c r="I427" s="4"/>
      <c r="J427" s="4"/>
      <c r="K427" s="4"/>
      <c r="L427" s="4"/>
      <c r="M427" s="4"/>
      <c r="N427" s="2"/>
      <c r="O427" s="2"/>
      <c r="P427" s="156"/>
      <c r="V427" s="156"/>
      <c r="W427" s="156"/>
      <c r="X427" s="156"/>
      <c r="Y427" s="156"/>
    </row>
    <row r="428" spans="1:28" ht="17.25">
      <c r="A428" s="2983" t="s">
        <v>403</v>
      </c>
      <c r="B428" s="2983"/>
      <c r="C428" s="2983"/>
      <c r="D428" s="2983"/>
      <c r="E428" s="2983"/>
      <c r="F428" s="2983"/>
      <c r="G428" s="2983"/>
      <c r="H428" s="2983"/>
      <c r="I428" s="2983"/>
      <c r="J428" s="2983"/>
      <c r="K428" s="2983"/>
      <c r="L428" s="2983"/>
      <c r="M428" s="2983"/>
      <c r="N428" s="2983"/>
      <c r="O428" s="2983"/>
      <c r="P428" s="156"/>
      <c r="V428" s="156"/>
      <c r="W428" s="156"/>
      <c r="X428" s="156"/>
      <c r="Y428" s="156"/>
    </row>
    <row r="429" spans="1:28" ht="31.5" customHeight="1">
      <c r="A429" s="38"/>
      <c r="B429" s="38"/>
      <c r="C429" s="38"/>
      <c r="D429" s="38"/>
      <c r="E429" s="38"/>
      <c r="F429" s="38"/>
      <c r="G429" s="38"/>
      <c r="H429" s="38"/>
      <c r="I429" s="38"/>
      <c r="J429" s="38"/>
      <c r="K429" s="38"/>
      <c r="L429" s="38"/>
      <c r="M429" s="38"/>
      <c r="N429" s="38"/>
      <c r="O429" s="38"/>
      <c r="P429" s="156"/>
      <c r="V429" s="156"/>
      <c r="W429" s="156"/>
      <c r="X429" s="156"/>
      <c r="Y429" s="156"/>
    </row>
    <row r="430" spans="1:28" s="51" customFormat="1" ht="15.95" customHeight="1">
      <c r="A430" s="48" t="s">
        <v>151</v>
      </c>
      <c r="B430" s="80"/>
      <c r="C430" s="80"/>
      <c r="D430" s="80"/>
      <c r="E430" s="80"/>
      <c r="F430" s="80"/>
      <c r="G430" s="80"/>
      <c r="H430" s="80"/>
      <c r="I430" s="80"/>
      <c r="J430" s="80"/>
      <c r="K430" s="80"/>
      <c r="L430" s="80"/>
      <c r="M430" s="80"/>
      <c r="P430" s="324"/>
      <c r="Q430" s="1250"/>
      <c r="R430" s="1250"/>
      <c r="S430" s="1250"/>
      <c r="T430" s="1250"/>
      <c r="U430" s="1242"/>
      <c r="V430" s="324"/>
      <c r="W430" s="324"/>
      <c r="X430" s="324"/>
      <c r="Y430" s="324"/>
    </row>
    <row r="431" spans="1:28" ht="39.950000000000003" customHeight="1">
      <c r="A431" s="2984" t="s">
        <v>152</v>
      </c>
      <c r="B431" s="2985"/>
      <c r="C431" s="2986"/>
      <c r="D431" s="2987" t="str">
        <f>参照元個別!I22</f>
        <v>事業所名を入力18</v>
      </c>
      <c r="E431" s="2988"/>
      <c r="F431" s="2988"/>
      <c r="G431" s="2988"/>
      <c r="H431" s="2988"/>
      <c r="I431" s="2988"/>
      <c r="J431" s="2988"/>
      <c r="K431" s="2988"/>
      <c r="L431" s="2988"/>
      <c r="M431" s="2988"/>
      <c r="N431" s="2988"/>
      <c r="O431" s="2989"/>
      <c r="P431" s="156"/>
      <c r="V431" s="156"/>
      <c r="W431" s="156"/>
      <c r="X431" s="156"/>
      <c r="Y431" s="156"/>
    </row>
    <row r="432" spans="1:28" ht="39.950000000000003" customHeight="1">
      <c r="A432" s="2570" t="s">
        <v>153</v>
      </c>
      <c r="B432" s="2571"/>
      <c r="C432" s="2990"/>
      <c r="D432" s="2991"/>
      <c r="E432" s="2992"/>
      <c r="F432" s="2992"/>
      <c r="G432" s="2992"/>
      <c r="H432" s="2992"/>
      <c r="I432" s="2992"/>
      <c r="J432" s="2992"/>
      <c r="K432" s="2992"/>
      <c r="L432" s="2992"/>
      <c r="M432" s="2992"/>
      <c r="N432" s="2992"/>
      <c r="O432" s="2993"/>
      <c r="P432" s="156"/>
      <c r="V432" s="156"/>
      <c r="W432" s="156"/>
      <c r="X432" s="156"/>
      <c r="Y432" s="156"/>
    </row>
    <row r="433" spans="1:28" ht="39.950000000000003" customHeight="1">
      <c r="A433" s="2536" t="s">
        <v>154</v>
      </c>
      <c r="B433" s="2978"/>
      <c r="C433" s="2979"/>
      <c r="D433" s="2980"/>
      <c r="E433" s="101" t="s">
        <v>180</v>
      </c>
      <c r="F433" s="2974" t="s">
        <v>404</v>
      </c>
      <c r="G433" s="2975"/>
      <c r="H433" s="2981" t="str">
        <f ca="1">参照元個別!$P$22</f>
        <v/>
      </c>
      <c r="I433" s="2982"/>
      <c r="J433" s="58" t="s">
        <v>176</v>
      </c>
      <c r="K433" s="2974" t="s">
        <v>405</v>
      </c>
      <c r="L433" s="2975"/>
      <c r="M433" s="2971"/>
      <c r="N433" s="2972"/>
      <c r="O433" s="2973"/>
      <c r="P433" s="156" t="str">
        <f>IFERROR(VLOOKUP(M433,$U$1:$V$16,2,0),"")</f>
        <v/>
      </c>
      <c r="U433" s="1250"/>
      <c r="V433" s="156"/>
      <c r="W433" s="156"/>
      <c r="X433" s="156"/>
      <c r="Y433" s="156"/>
    </row>
    <row r="434" spans="1:28" ht="39.950000000000003" customHeight="1">
      <c r="A434" s="2974" t="s">
        <v>406</v>
      </c>
      <c r="B434" s="2975"/>
      <c r="C434" s="2976"/>
      <c r="D434" s="2896"/>
      <c r="E434" s="2897"/>
      <c r="F434" s="2974" t="s">
        <v>158</v>
      </c>
      <c r="G434" s="2975"/>
      <c r="H434" s="2976"/>
      <c r="I434" s="2896"/>
      <c r="J434" s="2897"/>
      <c r="K434" s="2580"/>
      <c r="L434" s="2977"/>
      <c r="M434" s="2977"/>
      <c r="N434" s="2977"/>
      <c r="O434" s="2977"/>
      <c r="P434" s="156"/>
      <c r="V434" s="156"/>
      <c r="W434" s="156"/>
      <c r="X434" s="156"/>
      <c r="Y434" s="156"/>
    </row>
    <row r="435" spans="1:28" ht="18.75" customHeight="1">
      <c r="A435" s="39"/>
      <c r="B435" s="39"/>
      <c r="C435" s="40"/>
      <c r="D435" s="41"/>
      <c r="E435" s="40"/>
      <c r="F435" s="42"/>
      <c r="P435" s="156"/>
      <c r="V435" s="325"/>
      <c r="W435" s="325"/>
      <c r="X435" s="156"/>
      <c r="Y435" s="156"/>
    </row>
    <row r="436" spans="1:28" ht="51.75" customHeight="1">
      <c r="A436" s="2950" t="s">
        <v>505</v>
      </c>
      <c r="B436" s="2951"/>
      <c r="C436" s="2951"/>
      <c r="D436" s="2951"/>
      <c r="E436" s="2951"/>
      <c r="F436" s="2951"/>
      <c r="G436" s="2951"/>
      <c r="H436" s="2951"/>
      <c r="I436" s="2951"/>
      <c r="J436" s="2951"/>
      <c r="K436" s="2951"/>
      <c r="L436" s="2951"/>
      <c r="M436" s="2951"/>
      <c r="N436" s="2951"/>
      <c r="O436" s="2951"/>
      <c r="P436" s="156"/>
      <c r="V436" s="325"/>
      <c r="W436" s="325"/>
      <c r="X436" s="156"/>
      <c r="Y436" s="156"/>
    </row>
    <row r="437" spans="1:28" ht="57.75" customHeight="1">
      <c r="A437" s="39"/>
      <c r="B437" s="39"/>
      <c r="C437" s="40"/>
      <c r="D437" s="41"/>
      <c r="E437" s="40"/>
      <c r="F437" s="42"/>
      <c r="P437" s="156"/>
      <c r="Q437" s="1251"/>
      <c r="R437" s="1251"/>
      <c r="S437" s="1251"/>
      <c r="T437" s="1251"/>
      <c r="V437" s="325"/>
      <c r="W437" s="325"/>
      <c r="X437" s="156"/>
      <c r="Y437" s="156"/>
    </row>
    <row r="438" spans="1:28" s="51" customFormat="1" ht="15.95" customHeight="1">
      <c r="A438" s="50" t="s">
        <v>509</v>
      </c>
      <c r="B438" s="52"/>
      <c r="C438" s="52"/>
      <c r="D438" s="52"/>
      <c r="E438" s="52"/>
      <c r="F438" s="52"/>
      <c r="G438" s="52"/>
      <c r="H438" s="52"/>
      <c r="I438" s="52"/>
      <c r="J438" s="52"/>
      <c r="K438" s="52"/>
      <c r="L438" s="50"/>
      <c r="M438" s="50"/>
      <c r="N438" s="50"/>
      <c r="O438" s="50"/>
      <c r="P438" s="324"/>
      <c r="Q438" s="1252"/>
      <c r="R438" s="1252"/>
      <c r="S438" s="1252"/>
      <c r="T438" s="1252"/>
      <c r="U438" s="1242"/>
      <c r="V438" s="326"/>
      <c r="W438" s="326"/>
      <c r="X438" s="324"/>
      <c r="Y438" s="324"/>
    </row>
    <row r="439" spans="1:28" ht="36" customHeight="1">
      <c r="A439" s="2654"/>
      <c r="B439" s="2655"/>
      <c r="C439" s="2674" t="s">
        <v>504</v>
      </c>
      <c r="D439" s="2674"/>
      <c r="E439" s="2674"/>
      <c r="F439" s="2674"/>
      <c r="G439" s="2674"/>
      <c r="H439" s="2952"/>
      <c r="I439" s="2673" t="s">
        <v>407</v>
      </c>
      <c r="J439" s="2953"/>
      <c r="K439" s="2953"/>
      <c r="L439" s="2953"/>
      <c r="M439" s="2953"/>
      <c r="N439" s="2953"/>
      <c r="O439" s="2952"/>
      <c r="P439" s="156"/>
      <c r="V439" s="156"/>
      <c r="W439" s="156"/>
      <c r="X439" s="156"/>
      <c r="Y439" s="156"/>
    </row>
    <row r="440" spans="1:28" ht="24" customHeight="1">
      <c r="A440" s="2633" t="s">
        <v>236</v>
      </c>
      <c r="B440" s="2954"/>
      <c r="C440" s="2955" t="str">
        <f ca="1">参照元個別!E22</f>
        <v/>
      </c>
      <c r="D440" s="2955"/>
      <c r="E440" s="2955"/>
      <c r="F440" s="2955"/>
      <c r="G440" s="2956"/>
      <c r="H440" s="2959" t="s">
        <v>414</v>
      </c>
      <c r="I440" s="2961" t="str">
        <f>参照元個別!F22</f>
        <v/>
      </c>
      <c r="J440" s="2962"/>
      <c r="K440" s="2962"/>
      <c r="L440" s="2962"/>
      <c r="M440" s="2965" t="s">
        <v>415</v>
      </c>
      <c r="N440" s="2967" t="str">
        <f>参照元個別!G22</f>
        <v/>
      </c>
      <c r="O440" s="2968"/>
      <c r="P440" s="165"/>
      <c r="V440" s="156"/>
      <c r="W440" s="156"/>
      <c r="X440" s="156"/>
      <c r="Y440" s="156"/>
    </row>
    <row r="441" spans="1:28" ht="23.1" customHeight="1">
      <c r="A441" s="2637">
        <f>IF( 報1!$L$28="","", 報1!$L$28 )</f>
        <v>2023</v>
      </c>
      <c r="B441" s="2638"/>
      <c r="C441" s="2957"/>
      <c r="D441" s="2957"/>
      <c r="E441" s="2957"/>
      <c r="F441" s="2957"/>
      <c r="G441" s="2958"/>
      <c r="H441" s="2960"/>
      <c r="I441" s="2963"/>
      <c r="J441" s="2964"/>
      <c r="K441" s="2964"/>
      <c r="L441" s="2964"/>
      <c r="M441" s="2966"/>
      <c r="N441" s="2969"/>
      <c r="O441" s="2970"/>
      <c r="P441" s="165"/>
      <c r="V441" s="156"/>
      <c r="W441" s="156"/>
      <c r="X441" s="156"/>
      <c r="Y441" s="156"/>
    </row>
    <row r="442" spans="1:28" ht="25.15" customHeight="1">
      <c r="A442" s="2938" t="s">
        <v>277</v>
      </c>
      <c r="B442" s="2939"/>
      <c r="C442" s="2940"/>
      <c r="D442" s="2941"/>
      <c r="E442" s="2941"/>
      <c r="F442" s="2941"/>
      <c r="G442" s="2941"/>
      <c r="H442" s="2941"/>
      <c r="I442" s="2941"/>
      <c r="J442" s="2941"/>
      <c r="K442" s="2941"/>
      <c r="L442" s="2941"/>
      <c r="M442" s="2941"/>
      <c r="N442" s="2941"/>
      <c r="O442" s="2942"/>
      <c r="P442" s="156"/>
      <c r="Q442" s="1253">
        <v>1</v>
      </c>
      <c r="R442" s="1245"/>
      <c r="S442" s="1254"/>
      <c r="T442" s="1255"/>
      <c r="U442" s="1256"/>
      <c r="V442" s="156"/>
      <c r="W442" s="156"/>
      <c r="X442" s="327"/>
      <c r="Y442" s="328"/>
      <c r="Z442" s="99"/>
      <c r="AA442" s="43"/>
      <c r="AB442" s="44"/>
    </row>
    <row r="443" spans="1:28" ht="25.15" customHeight="1">
      <c r="A443" s="2938"/>
      <c r="B443" s="2939"/>
      <c r="C443" s="2941"/>
      <c r="D443" s="2941"/>
      <c r="E443" s="2941"/>
      <c r="F443" s="2941"/>
      <c r="G443" s="2941"/>
      <c r="H443" s="2941"/>
      <c r="I443" s="2941"/>
      <c r="J443" s="2941"/>
      <c r="K443" s="2941"/>
      <c r="L443" s="2941"/>
      <c r="M443" s="2941"/>
      <c r="N443" s="2941"/>
      <c r="O443" s="2942"/>
      <c r="P443" s="156"/>
      <c r="Q443" s="1257"/>
      <c r="R443" s="1258"/>
      <c r="S443" s="1258"/>
      <c r="T443" s="1258"/>
      <c r="U443" s="1258"/>
      <c r="V443" s="156"/>
      <c r="W443" s="156"/>
      <c r="X443" s="156"/>
      <c r="Y443" s="156"/>
    </row>
    <row r="444" spans="1:28" ht="24.75" customHeight="1">
      <c r="A444" s="2938"/>
      <c r="B444" s="2939"/>
      <c r="C444" s="2941"/>
      <c r="D444" s="2941"/>
      <c r="E444" s="2941"/>
      <c r="F444" s="2941"/>
      <c r="G444" s="2941"/>
      <c r="H444" s="2941"/>
      <c r="I444" s="2941"/>
      <c r="J444" s="2941"/>
      <c r="K444" s="2941"/>
      <c r="L444" s="2941"/>
      <c r="M444" s="2941"/>
      <c r="N444" s="2941"/>
      <c r="O444" s="2942"/>
      <c r="P444" s="156"/>
      <c r="Q444" s="1257"/>
      <c r="R444" s="1256"/>
      <c r="S444" s="1256"/>
      <c r="T444" s="1256"/>
      <c r="U444" s="1256"/>
      <c r="V444" s="156"/>
      <c r="W444" s="156"/>
      <c r="X444" s="156"/>
      <c r="Y444" s="156"/>
    </row>
    <row r="445" spans="1:28" ht="10.15" customHeight="1">
      <c r="A445" s="2945"/>
      <c r="B445" s="2946"/>
      <c r="C445" s="2941"/>
      <c r="D445" s="2941"/>
      <c r="E445" s="2941"/>
      <c r="F445" s="2941"/>
      <c r="G445" s="2941"/>
      <c r="H445" s="2941"/>
      <c r="I445" s="2941"/>
      <c r="J445" s="2941"/>
      <c r="K445" s="2941"/>
      <c r="L445" s="2941"/>
      <c r="M445" s="2941"/>
      <c r="N445" s="2941"/>
      <c r="O445" s="2942"/>
      <c r="P445" s="156"/>
      <c r="Q445" s="1259"/>
      <c r="R445" s="1256"/>
      <c r="S445" s="1256"/>
      <c r="T445" s="1256"/>
      <c r="U445" s="1256"/>
      <c r="V445" s="156"/>
      <c r="W445" s="156"/>
      <c r="X445" s="156"/>
      <c r="Y445" s="156"/>
    </row>
    <row r="446" spans="1:28" ht="45" customHeight="1">
      <c r="A446" s="2947">
        <f>IF( 報1!$L$28="","", 報1!$L$28 )</f>
        <v>2023</v>
      </c>
      <c r="B446" s="2948"/>
      <c r="C446" s="2943"/>
      <c r="D446" s="2943"/>
      <c r="E446" s="2943"/>
      <c r="F446" s="2943"/>
      <c r="G446" s="2943"/>
      <c r="H446" s="2943"/>
      <c r="I446" s="2943"/>
      <c r="J446" s="2943"/>
      <c r="K446" s="2943"/>
      <c r="L446" s="2943"/>
      <c r="M446" s="2943"/>
      <c r="N446" s="2943"/>
      <c r="O446" s="2944"/>
      <c r="P446" s="156"/>
      <c r="Q446" s="1260"/>
      <c r="R446" s="1256"/>
      <c r="S446" s="1256"/>
      <c r="T446" s="1256"/>
      <c r="U446" s="1256"/>
      <c r="V446" s="156"/>
      <c r="W446" s="156"/>
      <c r="X446" s="156"/>
      <c r="Y446" s="156"/>
    </row>
    <row r="447" spans="1:28" ht="26.25" customHeight="1">
      <c r="A447" s="2949"/>
      <c r="B447" s="2949"/>
      <c r="C447" s="2949"/>
      <c r="D447" s="2949"/>
      <c r="E447" s="2949"/>
      <c r="F447" s="2949"/>
      <c r="G447" s="2949"/>
      <c r="H447" s="2949"/>
      <c r="I447" s="2949"/>
      <c r="J447" s="2949"/>
      <c r="K447" s="2949"/>
      <c r="L447" s="2949"/>
      <c r="M447" s="2949"/>
      <c r="N447" s="2949"/>
      <c r="O447" s="2949"/>
      <c r="P447" s="156"/>
      <c r="Q447" s="1259"/>
      <c r="R447" s="1256"/>
      <c r="S447" s="1256"/>
      <c r="T447" s="1256"/>
      <c r="U447" s="1256"/>
      <c r="V447" s="156"/>
      <c r="W447" s="156"/>
      <c r="X447" s="156"/>
      <c r="Y447" s="156"/>
    </row>
    <row r="448" spans="1:28" ht="30" customHeight="1">
      <c r="A448" s="156"/>
      <c r="B448" s="156"/>
      <c r="C448" s="156"/>
      <c r="D448" s="156"/>
      <c r="E448" s="156"/>
      <c r="F448" s="156"/>
      <c r="G448" s="156"/>
      <c r="H448" s="156"/>
      <c r="I448" s="156"/>
      <c r="J448" s="156"/>
      <c r="K448" s="156"/>
      <c r="L448" s="156"/>
      <c r="M448" s="156"/>
      <c r="N448" s="156"/>
      <c r="O448" s="329"/>
      <c r="P448" s="156"/>
      <c r="Q448" s="1248"/>
      <c r="R448" s="1260"/>
      <c r="S448" s="1244"/>
      <c r="T448" s="1244"/>
      <c r="V448" s="156"/>
      <c r="W448" s="156"/>
      <c r="X448" s="156"/>
      <c r="Y448" s="156"/>
    </row>
    <row r="449" spans="1:25" ht="18" customHeight="1">
      <c r="A449" s="156"/>
      <c r="B449" s="156"/>
      <c r="C449" s="156"/>
      <c r="D449" s="156"/>
      <c r="E449" s="156"/>
      <c r="F449" s="156"/>
      <c r="G449" s="156"/>
      <c r="H449" s="156"/>
      <c r="I449" s="156"/>
      <c r="J449" s="156"/>
      <c r="K449" s="156"/>
      <c r="L449" s="156"/>
      <c r="M449" s="156"/>
      <c r="N449" s="156"/>
      <c r="O449" s="329"/>
      <c r="P449" s="156"/>
      <c r="Q449" s="1261"/>
      <c r="R449" s="1260"/>
      <c r="S449" s="1244"/>
      <c r="T449" s="1244"/>
      <c r="V449" s="156"/>
      <c r="W449" s="156"/>
      <c r="X449" s="156"/>
      <c r="Y449" s="156"/>
    </row>
    <row r="450" spans="1:25" ht="18" customHeight="1">
      <c r="A450" s="156"/>
      <c r="B450" s="156"/>
      <c r="C450" s="156"/>
      <c r="D450" s="156"/>
      <c r="E450" s="156"/>
      <c r="F450" s="156"/>
      <c r="G450" s="156"/>
      <c r="H450" s="156"/>
      <c r="I450" s="156"/>
      <c r="J450" s="156"/>
      <c r="K450" s="156"/>
      <c r="L450" s="156"/>
      <c r="M450" s="156"/>
      <c r="N450" s="156"/>
      <c r="O450" s="329"/>
      <c r="P450" s="156"/>
      <c r="Q450" s="1261"/>
      <c r="R450" s="1260"/>
      <c r="S450" s="1244"/>
      <c r="T450" s="1244"/>
      <c r="V450" s="156"/>
      <c r="W450" s="156"/>
      <c r="X450" s="156"/>
      <c r="Y450" s="156"/>
    </row>
    <row r="451" spans="1:25">
      <c r="A451" s="1" t="s">
        <v>175</v>
      </c>
      <c r="B451" s="2"/>
      <c r="C451" s="2"/>
      <c r="D451" s="2"/>
      <c r="E451" s="2"/>
      <c r="F451" s="2"/>
      <c r="G451" s="2"/>
      <c r="H451" s="2"/>
      <c r="I451" s="2"/>
      <c r="J451" s="2"/>
      <c r="K451" s="2"/>
      <c r="L451" s="2"/>
      <c r="M451" s="2"/>
      <c r="N451" s="2"/>
      <c r="O451" s="2"/>
      <c r="P451" s="156" t="str">
        <f>"個別票"&amp;Q451</f>
        <v>個別票19</v>
      </c>
      <c r="Q451" s="1242">
        <f>Q426+1</f>
        <v>19</v>
      </c>
      <c r="V451" s="156"/>
      <c r="W451" s="156"/>
      <c r="X451" s="156"/>
      <c r="Y451" s="156"/>
    </row>
    <row r="452" spans="1:25">
      <c r="A452" s="2" t="s">
        <v>150</v>
      </c>
      <c r="B452" s="4"/>
      <c r="C452" s="4"/>
      <c r="D452" s="4"/>
      <c r="E452" s="4"/>
      <c r="F452" s="4"/>
      <c r="G452" s="4"/>
      <c r="H452" s="4"/>
      <c r="I452" s="4"/>
      <c r="J452" s="4"/>
      <c r="K452" s="4"/>
      <c r="L452" s="4"/>
      <c r="M452" s="4"/>
      <c r="N452" s="2"/>
      <c r="O452" s="2"/>
      <c r="P452" s="156"/>
      <c r="V452" s="156"/>
      <c r="W452" s="156"/>
      <c r="X452" s="156"/>
      <c r="Y452" s="156"/>
    </row>
    <row r="453" spans="1:25" ht="17.25">
      <c r="A453" s="2983" t="s">
        <v>403</v>
      </c>
      <c r="B453" s="2983"/>
      <c r="C453" s="2983"/>
      <c r="D453" s="2983"/>
      <c r="E453" s="2983"/>
      <c r="F453" s="2983"/>
      <c r="G453" s="2983"/>
      <c r="H453" s="2983"/>
      <c r="I453" s="2983"/>
      <c r="J453" s="2983"/>
      <c r="K453" s="2983"/>
      <c r="L453" s="2983"/>
      <c r="M453" s="2983"/>
      <c r="N453" s="2983"/>
      <c r="O453" s="2983"/>
      <c r="P453" s="156"/>
      <c r="V453" s="156"/>
      <c r="W453" s="156"/>
      <c r="X453" s="156"/>
      <c r="Y453" s="156"/>
    </row>
    <row r="454" spans="1:25" ht="31.5" customHeight="1">
      <c r="A454" s="38"/>
      <c r="B454" s="38"/>
      <c r="C454" s="38"/>
      <c r="D454" s="38"/>
      <c r="E454" s="38"/>
      <c r="F454" s="38"/>
      <c r="G454" s="38"/>
      <c r="H454" s="38"/>
      <c r="I454" s="38"/>
      <c r="J454" s="38"/>
      <c r="K454" s="38"/>
      <c r="L454" s="38"/>
      <c r="M454" s="38"/>
      <c r="N454" s="38"/>
      <c r="O454" s="38"/>
      <c r="P454" s="156"/>
      <c r="V454" s="156"/>
      <c r="W454" s="156"/>
      <c r="X454" s="156"/>
      <c r="Y454" s="156"/>
    </row>
    <row r="455" spans="1:25" s="51" customFormat="1" ht="15.95" customHeight="1">
      <c r="A455" s="48" t="s">
        <v>151</v>
      </c>
      <c r="B455" s="80"/>
      <c r="C455" s="80"/>
      <c r="D455" s="80"/>
      <c r="E455" s="80"/>
      <c r="F455" s="80"/>
      <c r="G455" s="80"/>
      <c r="H455" s="80"/>
      <c r="I455" s="80"/>
      <c r="J455" s="80"/>
      <c r="K455" s="80"/>
      <c r="L455" s="80"/>
      <c r="M455" s="80"/>
      <c r="P455" s="324"/>
      <c r="Q455" s="1250"/>
      <c r="R455" s="1250"/>
      <c r="S455" s="1250"/>
      <c r="T455" s="1250"/>
      <c r="U455" s="1242"/>
      <c r="V455" s="324"/>
      <c r="W455" s="324"/>
      <c r="X455" s="324"/>
      <c r="Y455" s="324"/>
    </row>
    <row r="456" spans="1:25" ht="39.950000000000003" customHeight="1">
      <c r="A456" s="2984" t="s">
        <v>152</v>
      </c>
      <c r="B456" s="2985"/>
      <c r="C456" s="2986"/>
      <c r="D456" s="2987" t="str">
        <f>参照元個別!I23</f>
        <v>事業所名を入力19</v>
      </c>
      <c r="E456" s="2988"/>
      <c r="F456" s="2988"/>
      <c r="G456" s="2988"/>
      <c r="H456" s="2988"/>
      <c r="I456" s="2988"/>
      <c r="J456" s="2988"/>
      <c r="K456" s="2988"/>
      <c r="L456" s="2988"/>
      <c r="M456" s="2988"/>
      <c r="N456" s="2988"/>
      <c r="O456" s="2989"/>
      <c r="P456" s="156"/>
      <c r="V456" s="156"/>
      <c r="W456" s="156"/>
      <c r="X456" s="156"/>
      <c r="Y456" s="156"/>
    </row>
    <row r="457" spans="1:25" ht="39.950000000000003" customHeight="1">
      <c r="A457" s="2570" t="s">
        <v>153</v>
      </c>
      <c r="B457" s="2571"/>
      <c r="C457" s="2990"/>
      <c r="D457" s="2991"/>
      <c r="E457" s="2992"/>
      <c r="F457" s="2992"/>
      <c r="G457" s="2992"/>
      <c r="H457" s="2992"/>
      <c r="I457" s="2992"/>
      <c r="J457" s="2992"/>
      <c r="K457" s="2992"/>
      <c r="L457" s="2992"/>
      <c r="M457" s="2992"/>
      <c r="N457" s="2992"/>
      <c r="O457" s="2993"/>
      <c r="P457" s="156"/>
      <c r="V457" s="156"/>
      <c r="W457" s="156"/>
      <c r="X457" s="156"/>
      <c r="Y457" s="156"/>
    </row>
    <row r="458" spans="1:25" ht="39.950000000000003" customHeight="1">
      <c r="A458" s="2536" t="s">
        <v>154</v>
      </c>
      <c r="B458" s="2978"/>
      <c r="C458" s="2979"/>
      <c r="D458" s="2980"/>
      <c r="E458" s="101" t="s">
        <v>180</v>
      </c>
      <c r="F458" s="2974" t="s">
        <v>404</v>
      </c>
      <c r="G458" s="2975"/>
      <c r="H458" s="2981" t="str">
        <f ca="1">参照元個別!$P$23</f>
        <v/>
      </c>
      <c r="I458" s="2982"/>
      <c r="J458" s="58" t="s">
        <v>176</v>
      </c>
      <c r="K458" s="2974" t="s">
        <v>405</v>
      </c>
      <c r="L458" s="2975"/>
      <c r="M458" s="2971"/>
      <c r="N458" s="2972"/>
      <c r="O458" s="2973"/>
      <c r="P458" s="156" t="str">
        <f>IFERROR(VLOOKUP(M458,$U$1:$V$16,2,0),"")</f>
        <v/>
      </c>
      <c r="U458" s="1250"/>
      <c r="V458" s="156"/>
      <c r="W458" s="156"/>
      <c r="X458" s="156"/>
      <c r="Y458" s="156"/>
    </row>
    <row r="459" spans="1:25" ht="39.950000000000003" customHeight="1">
      <c r="A459" s="2974" t="s">
        <v>406</v>
      </c>
      <c r="B459" s="2975"/>
      <c r="C459" s="2976"/>
      <c r="D459" s="2896"/>
      <c r="E459" s="2897"/>
      <c r="F459" s="2974" t="s">
        <v>158</v>
      </c>
      <c r="G459" s="2975"/>
      <c r="H459" s="2976"/>
      <c r="I459" s="2896"/>
      <c r="J459" s="2897"/>
      <c r="K459" s="2580"/>
      <c r="L459" s="2977"/>
      <c r="M459" s="2977"/>
      <c r="N459" s="2977"/>
      <c r="O459" s="2977"/>
      <c r="P459" s="156"/>
      <c r="V459" s="156"/>
      <c r="W459" s="156"/>
      <c r="X459" s="156"/>
      <c r="Y459" s="156"/>
    </row>
    <row r="460" spans="1:25" ht="18.75" customHeight="1">
      <c r="A460" s="39"/>
      <c r="B460" s="39"/>
      <c r="C460" s="40"/>
      <c r="D460" s="41"/>
      <c r="E460" s="40"/>
      <c r="F460" s="42"/>
      <c r="P460" s="156"/>
      <c r="V460" s="325"/>
      <c r="W460" s="325"/>
      <c r="X460" s="156"/>
      <c r="Y460" s="156"/>
    </row>
    <row r="461" spans="1:25" ht="51.75" customHeight="1">
      <c r="A461" s="2950" t="s">
        <v>505</v>
      </c>
      <c r="B461" s="2951"/>
      <c r="C461" s="2951"/>
      <c r="D461" s="2951"/>
      <c r="E461" s="2951"/>
      <c r="F461" s="2951"/>
      <c r="G461" s="2951"/>
      <c r="H461" s="2951"/>
      <c r="I461" s="2951"/>
      <c r="J461" s="2951"/>
      <c r="K461" s="2951"/>
      <c r="L461" s="2951"/>
      <c r="M461" s="2951"/>
      <c r="N461" s="2951"/>
      <c r="O461" s="2951"/>
      <c r="P461" s="156"/>
      <c r="V461" s="325"/>
      <c r="W461" s="325"/>
      <c r="X461" s="156"/>
      <c r="Y461" s="156"/>
    </row>
    <row r="462" spans="1:25" ht="57.75" customHeight="1">
      <c r="A462" s="39"/>
      <c r="B462" s="39"/>
      <c r="C462" s="40"/>
      <c r="D462" s="41"/>
      <c r="E462" s="40"/>
      <c r="F462" s="42"/>
      <c r="P462" s="156"/>
      <c r="Q462" s="1251"/>
      <c r="R462" s="1251"/>
      <c r="S462" s="1251"/>
      <c r="T462" s="1251"/>
      <c r="V462" s="325"/>
      <c r="W462" s="325"/>
      <c r="X462" s="156"/>
      <c r="Y462" s="156"/>
    </row>
    <row r="463" spans="1:25" s="51" customFormat="1" ht="15.95" customHeight="1">
      <c r="A463" s="50" t="s">
        <v>509</v>
      </c>
      <c r="B463" s="52"/>
      <c r="C463" s="52"/>
      <c r="D463" s="52"/>
      <c r="E463" s="52"/>
      <c r="F463" s="52"/>
      <c r="G463" s="52"/>
      <c r="H463" s="52"/>
      <c r="I463" s="52"/>
      <c r="J463" s="52"/>
      <c r="K463" s="52"/>
      <c r="L463" s="50"/>
      <c r="M463" s="50"/>
      <c r="N463" s="50"/>
      <c r="O463" s="50"/>
      <c r="P463" s="324"/>
      <c r="Q463" s="1252"/>
      <c r="R463" s="1252"/>
      <c r="S463" s="1252"/>
      <c r="T463" s="1252"/>
      <c r="U463" s="1242"/>
      <c r="V463" s="326"/>
      <c r="W463" s="326"/>
      <c r="X463" s="324"/>
      <c r="Y463" s="324"/>
    </row>
    <row r="464" spans="1:25" ht="36" customHeight="1">
      <c r="A464" s="2654"/>
      <c r="B464" s="2655"/>
      <c r="C464" s="2674" t="s">
        <v>504</v>
      </c>
      <c r="D464" s="2674"/>
      <c r="E464" s="2674"/>
      <c r="F464" s="2674"/>
      <c r="G464" s="2674"/>
      <c r="H464" s="2952"/>
      <c r="I464" s="2673" t="s">
        <v>407</v>
      </c>
      <c r="J464" s="2953"/>
      <c r="K464" s="2953"/>
      <c r="L464" s="2953"/>
      <c r="M464" s="2953"/>
      <c r="N464" s="2953"/>
      <c r="O464" s="2952"/>
      <c r="P464" s="156"/>
      <c r="V464" s="156"/>
      <c r="W464" s="156"/>
      <c r="X464" s="156"/>
      <c r="Y464" s="156"/>
    </row>
    <row r="465" spans="1:28" ht="24" customHeight="1">
      <c r="A465" s="2633" t="s">
        <v>236</v>
      </c>
      <c r="B465" s="2954"/>
      <c r="C465" s="2955" t="str">
        <f ca="1">参照元個別!E23</f>
        <v/>
      </c>
      <c r="D465" s="2955"/>
      <c r="E465" s="2955"/>
      <c r="F465" s="2955"/>
      <c r="G465" s="2956"/>
      <c r="H465" s="2959" t="s">
        <v>414</v>
      </c>
      <c r="I465" s="2961" t="str">
        <f>参照元個別!F23</f>
        <v/>
      </c>
      <c r="J465" s="2962"/>
      <c r="K465" s="2962"/>
      <c r="L465" s="2962"/>
      <c r="M465" s="2965" t="s">
        <v>415</v>
      </c>
      <c r="N465" s="2967" t="str">
        <f>参照元個別!G23</f>
        <v/>
      </c>
      <c r="O465" s="2968"/>
      <c r="P465" s="165"/>
      <c r="V465" s="156"/>
      <c r="W465" s="156"/>
      <c r="X465" s="156"/>
      <c r="Y465" s="156"/>
    </row>
    <row r="466" spans="1:28" ht="23.1" customHeight="1">
      <c r="A466" s="2637">
        <f>IF( 報1!$L$28="","", 報1!$L$28 )</f>
        <v>2023</v>
      </c>
      <c r="B466" s="2638"/>
      <c r="C466" s="2957"/>
      <c r="D466" s="2957"/>
      <c r="E466" s="2957"/>
      <c r="F466" s="2957"/>
      <c r="G466" s="2958"/>
      <c r="H466" s="2960"/>
      <c r="I466" s="2963"/>
      <c r="J466" s="2964"/>
      <c r="K466" s="2964"/>
      <c r="L466" s="2964"/>
      <c r="M466" s="2966"/>
      <c r="N466" s="2969"/>
      <c r="O466" s="2970"/>
      <c r="P466" s="165"/>
      <c r="V466" s="156"/>
      <c r="W466" s="156"/>
      <c r="X466" s="156"/>
      <c r="Y466" s="156"/>
    </row>
    <row r="467" spans="1:28" ht="25.15" customHeight="1">
      <c r="A467" s="2938" t="s">
        <v>277</v>
      </c>
      <c r="B467" s="2939"/>
      <c r="C467" s="2940"/>
      <c r="D467" s="2941"/>
      <c r="E467" s="2941"/>
      <c r="F467" s="2941"/>
      <c r="G467" s="2941"/>
      <c r="H467" s="2941"/>
      <c r="I467" s="2941"/>
      <c r="J467" s="2941"/>
      <c r="K467" s="2941"/>
      <c r="L467" s="2941"/>
      <c r="M467" s="2941"/>
      <c r="N467" s="2941"/>
      <c r="O467" s="2942"/>
      <c r="P467" s="156"/>
      <c r="Q467" s="1253">
        <v>1</v>
      </c>
      <c r="R467" s="1245"/>
      <c r="S467" s="1254"/>
      <c r="T467" s="1255"/>
      <c r="U467" s="1256"/>
      <c r="V467" s="156"/>
      <c r="W467" s="156"/>
      <c r="X467" s="327"/>
      <c r="Y467" s="328"/>
      <c r="Z467" s="99"/>
      <c r="AA467" s="43"/>
      <c r="AB467" s="44"/>
    </row>
    <row r="468" spans="1:28" ht="25.15" customHeight="1">
      <c r="A468" s="2938"/>
      <c r="B468" s="2939"/>
      <c r="C468" s="2941"/>
      <c r="D468" s="2941"/>
      <c r="E468" s="2941"/>
      <c r="F468" s="2941"/>
      <c r="G468" s="2941"/>
      <c r="H468" s="2941"/>
      <c r="I468" s="2941"/>
      <c r="J468" s="2941"/>
      <c r="K468" s="2941"/>
      <c r="L468" s="2941"/>
      <c r="M468" s="2941"/>
      <c r="N468" s="2941"/>
      <c r="O468" s="2942"/>
      <c r="P468" s="156"/>
      <c r="Q468" s="1257"/>
      <c r="R468" s="1258"/>
      <c r="S468" s="1258"/>
      <c r="T468" s="1258"/>
      <c r="U468" s="1258"/>
      <c r="V468" s="156"/>
      <c r="W468" s="156"/>
      <c r="X468" s="156"/>
      <c r="Y468" s="156"/>
    </row>
    <row r="469" spans="1:28" ht="24.75" customHeight="1">
      <c r="A469" s="2938"/>
      <c r="B469" s="2939"/>
      <c r="C469" s="2941"/>
      <c r="D469" s="2941"/>
      <c r="E469" s="2941"/>
      <c r="F469" s="2941"/>
      <c r="G469" s="2941"/>
      <c r="H469" s="2941"/>
      <c r="I469" s="2941"/>
      <c r="J469" s="2941"/>
      <c r="K469" s="2941"/>
      <c r="L469" s="2941"/>
      <c r="M469" s="2941"/>
      <c r="N469" s="2941"/>
      <c r="O469" s="2942"/>
      <c r="P469" s="156"/>
      <c r="Q469" s="1257"/>
      <c r="R469" s="1256"/>
      <c r="S469" s="1256"/>
      <c r="T469" s="1256"/>
      <c r="U469" s="1256"/>
      <c r="V469" s="156"/>
      <c r="W469" s="156"/>
      <c r="X469" s="156"/>
      <c r="Y469" s="156"/>
    </row>
    <row r="470" spans="1:28" ht="10.15" customHeight="1">
      <c r="A470" s="2945"/>
      <c r="B470" s="2946"/>
      <c r="C470" s="2941"/>
      <c r="D470" s="2941"/>
      <c r="E470" s="2941"/>
      <c r="F470" s="2941"/>
      <c r="G470" s="2941"/>
      <c r="H470" s="2941"/>
      <c r="I470" s="2941"/>
      <c r="J470" s="2941"/>
      <c r="K470" s="2941"/>
      <c r="L470" s="2941"/>
      <c r="M470" s="2941"/>
      <c r="N470" s="2941"/>
      <c r="O470" s="2942"/>
      <c r="P470" s="156"/>
      <c r="Q470" s="1259"/>
      <c r="R470" s="1256"/>
      <c r="S470" s="1256"/>
      <c r="T470" s="1256"/>
      <c r="U470" s="1256"/>
      <c r="V470" s="156"/>
      <c r="W470" s="156"/>
      <c r="X470" s="156"/>
      <c r="Y470" s="156"/>
    </row>
    <row r="471" spans="1:28" ht="45" customHeight="1">
      <c r="A471" s="2947">
        <f>IF( 報1!$L$28="","", 報1!$L$28 )</f>
        <v>2023</v>
      </c>
      <c r="B471" s="2948"/>
      <c r="C471" s="2943"/>
      <c r="D471" s="2943"/>
      <c r="E471" s="2943"/>
      <c r="F471" s="2943"/>
      <c r="G471" s="2943"/>
      <c r="H471" s="2943"/>
      <c r="I471" s="2943"/>
      <c r="J471" s="2943"/>
      <c r="K471" s="2943"/>
      <c r="L471" s="2943"/>
      <c r="M471" s="2943"/>
      <c r="N471" s="2943"/>
      <c r="O471" s="2944"/>
      <c r="P471" s="156"/>
      <c r="Q471" s="1260"/>
      <c r="R471" s="1256"/>
      <c r="S471" s="1256"/>
      <c r="T471" s="1256"/>
      <c r="U471" s="1256"/>
      <c r="V471" s="156"/>
      <c r="W471" s="156"/>
      <c r="X471" s="156"/>
      <c r="Y471" s="156"/>
    </row>
    <row r="472" spans="1:28" ht="26.25" customHeight="1">
      <c r="A472" s="2949"/>
      <c r="B472" s="2949"/>
      <c r="C472" s="2949"/>
      <c r="D472" s="2949"/>
      <c r="E472" s="2949"/>
      <c r="F472" s="2949"/>
      <c r="G472" s="2949"/>
      <c r="H472" s="2949"/>
      <c r="I472" s="2949"/>
      <c r="J472" s="2949"/>
      <c r="K472" s="2949"/>
      <c r="L472" s="2949"/>
      <c r="M472" s="2949"/>
      <c r="N472" s="2949"/>
      <c r="O472" s="2949"/>
      <c r="P472" s="156"/>
      <c r="Q472" s="1259"/>
      <c r="R472" s="1256"/>
      <c r="S472" s="1256"/>
      <c r="T472" s="1256"/>
      <c r="U472" s="1256"/>
      <c r="V472" s="156"/>
      <c r="W472" s="156"/>
      <c r="X472" s="156"/>
      <c r="Y472" s="156"/>
    </row>
    <row r="473" spans="1:28" ht="30" customHeight="1">
      <c r="A473" s="156"/>
      <c r="B473" s="156"/>
      <c r="C473" s="156"/>
      <c r="D473" s="156"/>
      <c r="E473" s="156"/>
      <c r="F473" s="156"/>
      <c r="G473" s="156"/>
      <c r="H473" s="156"/>
      <c r="I473" s="156"/>
      <c r="J473" s="156"/>
      <c r="K473" s="156"/>
      <c r="L473" s="156"/>
      <c r="M473" s="156"/>
      <c r="N473" s="156"/>
      <c r="O473" s="329"/>
      <c r="P473" s="156"/>
      <c r="Q473" s="1248"/>
      <c r="R473" s="1260"/>
      <c r="S473" s="1244"/>
      <c r="T473" s="1244"/>
      <c r="V473" s="156"/>
      <c r="W473" s="156"/>
      <c r="X473" s="156"/>
      <c r="Y473" s="156"/>
    </row>
    <row r="474" spans="1:28" ht="18" customHeight="1">
      <c r="A474" s="156"/>
      <c r="B474" s="156"/>
      <c r="C474" s="156"/>
      <c r="D474" s="156"/>
      <c r="E474" s="156"/>
      <c r="F474" s="156"/>
      <c r="G474" s="156"/>
      <c r="H474" s="156"/>
      <c r="I474" s="156"/>
      <c r="J474" s="156"/>
      <c r="K474" s="156"/>
      <c r="L474" s="156"/>
      <c r="M474" s="156"/>
      <c r="N474" s="156"/>
      <c r="O474" s="329"/>
      <c r="P474" s="156"/>
      <c r="Q474" s="1261"/>
      <c r="R474" s="1260"/>
      <c r="S474" s="1244"/>
      <c r="T474" s="1244"/>
      <c r="V474" s="156"/>
      <c r="W474" s="156"/>
      <c r="X474" s="156"/>
      <c r="Y474" s="156"/>
    </row>
    <row r="475" spans="1:28" ht="18" customHeight="1">
      <c r="A475" s="156"/>
      <c r="B475" s="156"/>
      <c r="C475" s="156"/>
      <c r="D475" s="156"/>
      <c r="E475" s="156"/>
      <c r="F475" s="156"/>
      <c r="G475" s="156"/>
      <c r="H475" s="156"/>
      <c r="I475" s="156"/>
      <c r="J475" s="156"/>
      <c r="K475" s="156"/>
      <c r="L475" s="156"/>
      <c r="M475" s="156"/>
      <c r="N475" s="156"/>
      <c r="O475" s="329"/>
      <c r="P475" s="156"/>
      <c r="Q475" s="1261"/>
      <c r="R475" s="1260"/>
      <c r="S475" s="1244"/>
      <c r="T475" s="1244"/>
      <c r="V475" s="156"/>
      <c r="W475" s="156"/>
      <c r="X475" s="156"/>
      <c r="Y475" s="156"/>
    </row>
    <row r="476" spans="1:28">
      <c r="A476" s="1" t="s">
        <v>175</v>
      </c>
      <c r="B476" s="2"/>
      <c r="C476" s="2"/>
      <c r="D476" s="2"/>
      <c r="E476" s="2"/>
      <c r="F476" s="2"/>
      <c r="G476" s="2"/>
      <c r="H476" s="2"/>
      <c r="I476" s="2"/>
      <c r="J476" s="2"/>
      <c r="K476" s="2"/>
      <c r="L476" s="2"/>
      <c r="M476" s="2"/>
      <c r="N476" s="2"/>
      <c r="O476" s="2"/>
      <c r="P476" s="156" t="str">
        <f>"個別票"&amp;Q476</f>
        <v>個別票20</v>
      </c>
      <c r="Q476" s="1242">
        <f>Q451+1</f>
        <v>20</v>
      </c>
      <c r="V476" s="156"/>
      <c r="W476" s="156"/>
      <c r="X476" s="156"/>
      <c r="Y476" s="156"/>
    </row>
    <row r="477" spans="1:28">
      <c r="A477" s="2" t="s">
        <v>150</v>
      </c>
      <c r="B477" s="4"/>
      <c r="C477" s="4"/>
      <c r="D477" s="4"/>
      <c r="E477" s="4"/>
      <c r="F477" s="4"/>
      <c r="G477" s="4"/>
      <c r="H477" s="4"/>
      <c r="I477" s="4"/>
      <c r="J477" s="4"/>
      <c r="K477" s="4"/>
      <c r="L477" s="4"/>
      <c r="M477" s="4"/>
      <c r="N477" s="2"/>
      <c r="O477" s="2"/>
      <c r="P477" s="156"/>
      <c r="V477" s="156"/>
      <c r="W477" s="156"/>
      <c r="X477" s="156"/>
      <c r="Y477" s="156"/>
    </row>
    <row r="478" spans="1:28" ht="17.25">
      <c r="A478" s="2983" t="s">
        <v>403</v>
      </c>
      <c r="B478" s="2983"/>
      <c r="C478" s="2983"/>
      <c r="D478" s="2983"/>
      <c r="E478" s="2983"/>
      <c r="F478" s="2983"/>
      <c r="G478" s="2983"/>
      <c r="H478" s="2983"/>
      <c r="I478" s="2983"/>
      <c r="J478" s="2983"/>
      <c r="K478" s="2983"/>
      <c r="L478" s="2983"/>
      <c r="M478" s="2983"/>
      <c r="N478" s="2983"/>
      <c r="O478" s="2983"/>
      <c r="P478" s="156"/>
      <c r="V478" s="156"/>
      <c r="W478" s="156"/>
      <c r="X478" s="156"/>
      <c r="Y478" s="156"/>
    </row>
    <row r="479" spans="1:28" ht="31.5" customHeight="1">
      <c r="A479" s="38"/>
      <c r="B479" s="38"/>
      <c r="C479" s="38"/>
      <c r="D479" s="38"/>
      <c r="E479" s="38"/>
      <c r="F479" s="38"/>
      <c r="G479" s="38"/>
      <c r="H479" s="38"/>
      <c r="I479" s="38"/>
      <c r="J479" s="38"/>
      <c r="K479" s="38"/>
      <c r="L479" s="38"/>
      <c r="M479" s="38"/>
      <c r="N479" s="38"/>
      <c r="O479" s="38"/>
      <c r="P479" s="156"/>
      <c r="V479" s="156"/>
      <c r="W479" s="156"/>
      <c r="X479" s="156"/>
      <c r="Y479" s="156"/>
    </row>
    <row r="480" spans="1:28" s="51" customFormat="1" ht="15.95" customHeight="1">
      <c r="A480" s="48" t="s">
        <v>151</v>
      </c>
      <c r="B480" s="80"/>
      <c r="C480" s="80"/>
      <c r="D480" s="80"/>
      <c r="E480" s="80"/>
      <c r="F480" s="80"/>
      <c r="G480" s="80"/>
      <c r="H480" s="80"/>
      <c r="I480" s="80"/>
      <c r="J480" s="80"/>
      <c r="K480" s="80"/>
      <c r="L480" s="80"/>
      <c r="M480" s="80"/>
      <c r="P480" s="324"/>
      <c r="Q480" s="1250"/>
      <c r="R480" s="1250"/>
      <c r="S480" s="1250"/>
      <c r="T480" s="1250"/>
      <c r="U480" s="1242"/>
      <c r="V480" s="324"/>
      <c r="W480" s="324"/>
      <c r="X480" s="324"/>
      <c r="Y480" s="324"/>
    </row>
    <row r="481" spans="1:28" ht="39.950000000000003" customHeight="1">
      <c r="A481" s="2984" t="s">
        <v>152</v>
      </c>
      <c r="B481" s="2985"/>
      <c r="C481" s="2986"/>
      <c r="D481" s="2987" t="str">
        <f>参照元個別!I24</f>
        <v>事業所名を入力20</v>
      </c>
      <c r="E481" s="2988"/>
      <c r="F481" s="2988"/>
      <c r="G481" s="2988"/>
      <c r="H481" s="2988"/>
      <c r="I481" s="2988"/>
      <c r="J481" s="2988"/>
      <c r="K481" s="2988"/>
      <c r="L481" s="2988"/>
      <c r="M481" s="2988"/>
      <c r="N481" s="2988"/>
      <c r="O481" s="2989"/>
      <c r="P481" s="156"/>
      <c r="V481" s="156"/>
      <c r="W481" s="156"/>
      <c r="X481" s="156"/>
      <c r="Y481" s="156"/>
    </row>
    <row r="482" spans="1:28" ht="39.950000000000003" customHeight="1">
      <c r="A482" s="2570" t="s">
        <v>153</v>
      </c>
      <c r="B482" s="2571"/>
      <c r="C482" s="2990"/>
      <c r="D482" s="2991"/>
      <c r="E482" s="2992"/>
      <c r="F482" s="2992"/>
      <c r="G482" s="2992"/>
      <c r="H482" s="2992"/>
      <c r="I482" s="2992"/>
      <c r="J482" s="2992"/>
      <c r="K482" s="2992"/>
      <c r="L482" s="2992"/>
      <c r="M482" s="2992"/>
      <c r="N482" s="2992"/>
      <c r="O482" s="2993"/>
      <c r="P482" s="156"/>
      <c r="V482" s="156"/>
      <c r="W482" s="156"/>
      <c r="X482" s="156"/>
      <c r="Y482" s="156"/>
    </row>
    <row r="483" spans="1:28" ht="39.950000000000003" customHeight="1">
      <c r="A483" s="2536" t="s">
        <v>154</v>
      </c>
      <c r="B483" s="2978"/>
      <c r="C483" s="2979"/>
      <c r="D483" s="2980"/>
      <c r="E483" s="101" t="s">
        <v>180</v>
      </c>
      <c r="F483" s="2974" t="s">
        <v>404</v>
      </c>
      <c r="G483" s="2975"/>
      <c r="H483" s="2981" t="str">
        <f ca="1">参照元個別!$P$24</f>
        <v/>
      </c>
      <c r="I483" s="2982"/>
      <c r="J483" s="58" t="s">
        <v>176</v>
      </c>
      <c r="K483" s="2974" t="s">
        <v>405</v>
      </c>
      <c r="L483" s="2975"/>
      <c r="M483" s="2971"/>
      <c r="N483" s="2972"/>
      <c r="O483" s="2973"/>
      <c r="P483" s="156" t="str">
        <f>IFERROR(VLOOKUP(M483,$U$1:$V$16,2,0),"")</f>
        <v/>
      </c>
      <c r="U483" s="1250"/>
      <c r="V483" s="156"/>
      <c r="W483" s="156"/>
      <c r="X483" s="156"/>
      <c r="Y483" s="156"/>
    </row>
    <row r="484" spans="1:28" ht="39.950000000000003" customHeight="1">
      <c r="A484" s="2974" t="s">
        <v>406</v>
      </c>
      <c r="B484" s="2975"/>
      <c r="C484" s="2976"/>
      <c r="D484" s="2896"/>
      <c r="E484" s="2897"/>
      <c r="F484" s="2974" t="s">
        <v>158</v>
      </c>
      <c r="G484" s="2975"/>
      <c r="H484" s="2976"/>
      <c r="I484" s="2896"/>
      <c r="J484" s="2897"/>
      <c r="K484" s="2580"/>
      <c r="L484" s="2977"/>
      <c r="M484" s="2977"/>
      <c r="N484" s="2977"/>
      <c r="O484" s="2977"/>
      <c r="P484" s="156"/>
      <c r="V484" s="156"/>
      <c r="W484" s="156"/>
      <c r="X484" s="156"/>
      <c r="Y484" s="156"/>
    </row>
    <row r="485" spans="1:28" ht="18.75" customHeight="1">
      <c r="A485" s="39"/>
      <c r="B485" s="39"/>
      <c r="C485" s="40"/>
      <c r="D485" s="41"/>
      <c r="E485" s="40"/>
      <c r="F485" s="42"/>
      <c r="P485" s="156"/>
      <c r="V485" s="325"/>
      <c r="W485" s="325"/>
      <c r="X485" s="156"/>
      <c r="Y485" s="156"/>
    </row>
    <row r="486" spans="1:28" ht="51.75" customHeight="1">
      <c r="A486" s="2950" t="s">
        <v>505</v>
      </c>
      <c r="B486" s="2951"/>
      <c r="C486" s="2951"/>
      <c r="D486" s="2951"/>
      <c r="E486" s="2951"/>
      <c r="F486" s="2951"/>
      <c r="G486" s="2951"/>
      <c r="H486" s="2951"/>
      <c r="I486" s="2951"/>
      <c r="J486" s="2951"/>
      <c r="K486" s="2951"/>
      <c r="L486" s="2951"/>
      <c r="M486" s="2951"/>
      <c r="N486" s="2951"/>
      <c r="O486" s="2951"/>
      <c r="P486" s="156"/>
      <c r="V486" s="325"/>
      <c r="W486" s="325"/>
      <c r="X486" s="156"/>
      <c r="Y486" s="156"/>
    </row>
    <row r="487" spans="1:28" ht="57.75" customHeight="1">
      <c r="A487" s="39"/>
      <c r="B487" s="39"/>
      <c r="C487" s="40"/>
      <c r="D487" s="41"/>
      <c r="E487" s="40"/>
      <c r="F487" s="42"/>
      <c r="P487" s="156"/>
      <c r="Q487" s="1251"/>
      <c r="R487" s="1251"/>
      <c r="S487" s="1251"/>
      <c r="T487" s="1251"/>
      <c r="V487" s="325"/>
      <c r="W487" s="325"/>
      <c r="X487" s="156"/>
      <c r="Y487" s="156"/>
    </row>
    <row r="488" spans="1:28" s="51" customFormat="1" ht="15.95" customHeight="1">
      <c r="A488" s="50" t="s">
        <v>509</v>
      </c>
      <c r="B488" s="52"/>
      <c r="C488" s="52"/>
      <c r="D488" s="52"/>
      <c r="E488" s="52"/>
      <c r="F488" s="52"/>
      <c r="G488" s="52"/>
      <c r="H488" s="52"/>
      <c r="I488" s="52"/>
      <c r="J488" s="52"/>
      <c r="K488" s="52"/>
      <c r="L488" s="50"/>
      <c r="M488" s="50"/>
      <c r="N488" s="50"/>
      <c r="O488" s="50"/>
      <c r="P488" s="324"/>
      <c r="Q488" s="1252"/>
      <c r="R488" s="1252"/>
      <c r="S488" s="1252"/>
      <c r="T488" s="1252"/>
      <c r="U488" s="1242"/>
      <c r="V488" s="326"/>
      <c r="W488" s="326"/>
      <c r="X488" s="324"/>
      <c r="Y488" s="324"/>
    </row>
    <row r="489" spans="1:28" ht="36" customHeight="1">
      <c r="A489" s="2654"/>
      <c r="B489" s="2655"/>
      <c r="C489" s="2674" t="s">
        <v>504</v>
      </c>
      <c r="D489" s="2674"/>
      <c r="E489" s="2674"/>
      <c r="F489" s="2674"/>
      <c r="G489" s="2674"/>
      <c r="H489" s="2952"/>
      <c r="I489" s="2673" t="s">
        <v>407</v>
      </c>
      <c r="J489" s="2953"/>
      <c r="K489" s="2953"/>
      <c r="L489" s="2953"/>
      <c r="M489" s="2953"/>
      <c r="N489" s="2953"/>
      <c r="O489" s="2952"/>
      <c r="P489" s="156"/>
      <c r="V489" s="156"/>
      <c r="W489" s="156"/>
      <c r="X489" s="156"/>
      <c r="Y489" s="156"/>
    </row>
    <row r="490" spans="1:28" ht="24" customHeight="1">
      <c r="A490" s="2633" t="s">
        <v>236</v>
      </c>
      <c r="B490" s="2954"/>
      <c r="C490" s="2955" t="str">
        <f ca="1">参照元個別!E24</f>
        <v/>
      </c>
      <c r="D490" s="2955"/>
      <c r="E490" s="2955"/>
      <c r="F490" s="2955"/>
      <c r="G490" s="2956"/>
      <c r="H490" s="2959" t="s">
        <v>414</v>
      </c>
      <c r="I490" s="2961" t="str">
        <f>参照元個別!F24</f>
        <v/>
      </c>
      <c r="J490" s="2962"/>
      <c r="K490" s="2962"/>
      <c r="L490" s="2962"/>
      <c r="M490" s="2965" t="s">
        <v>415</v>
      </c>
      <c r="N490" s="2967" t="str">
        <f>参照元個別!G24</f>
        <v/>
      </c>
      <c r="O490" s="2968"/>
      <c r="P490" s="165"/>
      <c r="V490" s="156"/>
      <c r="W490" s="156"/>
      <c r="X490" s="156"/>
      <c r="Y490" s="156"/>
    </row>
    <row r="491" spans="1:28" ht="23.1" customHeight="1">
      <c r="A491" s="2637">
        <f>IF( 報1!$L$28="","", 報1!$L$28 )</f>
        <v>2023</v>
      </c>
      <c r="B491" s="2638"/>
      <c r="C491" s="2957"/>
      <c r="D491" s="2957"/>
      <c r="E491" s="2957"/>
      <c r="F491" s="2957"/>
      <c r="G491" s="2958"/>
      <c r="H491" s="2960"/>
      <c r="I491" s="2963"/>
      <c r="J491" s="2964"/>
      <c r="K491" s="2964"/>
      <c r="L491" s="2964"/>
      <c r="M491" s="2966"/>
      <c r="N491" s="2969"/>
      <c r="O491" s="2970"/>
      <c r="P491" s="165"/>
      <c r="V491" s="156"/>
      <c r="W491" s="156"/>
      <c r="X491" s="156"/>
      <c r="Y491" s="156"/>
    </row>
    <row r="492" spans="1:28" ht="25.15" customHeight="1">
      <c r="A492" s="2938" t="s">
        <v>277</v>
      </c>
      <c r="B492" s="2939"/>
      <c r="C492" s="2940"/>
      <c r="D492" s="2941"/>
      <c r="E492" s="2941"/>
      <c r="F492" s="2941"/>
      <c r="G492" s="2941"/>
      <c r="H492" s="2941"/>
      <c r="I492" s="2941"/>
      <c r="J492" s="2941"/>
      <c r="K492" s="2941"/>
      <c r="L492" s="2941"/>
      <c r="M492" s="2941"/>
      <c r="N492" s="2941"/>
      <c r="O492" s="2942"/>
      <c r="P492" s="156"/>
      <c r="Q492" s="1253">
        <v>1</v>
      </c>
      <c r="R492" s="1245"/>
      <c r="S492" s="1254"/>
      <c r="T492" s="1255"/>
      <c r="U492" s="1256"/>
      <c r="V492" s="156"/>
      <c r="W492" s="156"/>
      <c r="X492" s="327"/>
      <c r="Y492" s="328"/>
      <c r="Z492" s="99"/>
      <c r="AA492" s="43"/>
      <c r="AB492" s="44"/>
    </row>
    <row r="493" spans="1:28" ht="25.15" customHeight="1">
      <c r="A493" s="2938"/>
      <c r="B493" s="2939"/>
      <c r="C493" s="2941"/>
      <c r="D493" s="2941"/>
      <c r="E493" s="2941"/>
      <c r="F493" s="2941"/>
      <c r="G493" s="2941"/>
      <c r="H493" s="2941"/>
      <c r="I493" s="2941"/>
      <c r="J493" s="2941"/>
      <c r="K493" s="2941"/>
      <c r="L493" s="2941"/>
      <c r="M493" s="2941"/>
      <c r="N493" s="2941"/>
      <c r="O493" s="2942"/>
      <c r="P493" s="156"/>
      <c r="Q493" s="1257"/>
      <c r="R493" s="1258"/>
      <c r="S493" s="1258"/>
      <c r="T493" s="1258"/>
      <c r="U493" s="1258"/>
      <c r="V493" s="156"/>
      <c r="W493" s="156"/>
      <c r="X493" s="156"/>
      <c r="Y493" s="156"/>
    </row>
    <row r="494" spans="1:28" ht="24.75" customHeight="1">
      <c r="A494" s="2938"/>
      <c r="B494" s="2939"/>
      <c r="C494" s="2941"/>
      <c r="D494" s="2941"/>
      <c r="E494" s="2941"/>
      <c r="F494" s="2941"/>
      <c r="G494" s="2941"/>
      <c r="H494" s="2941"/>
      <c r="I494" s="2941"/>
      <c r="J494" s="2941"/>
      <c r="K494" s="2941"/>
      <c r="L494" s="2941"/>
      <c r="M494" s="2941"/>
      <c r="N494" s="2941"/>
      <c r="O494" s="2942"/>
      <c r="P494" s="156"/>
      <c r="Q494" s="1257"/>
      <c r="R494" s="1256"/>
      <c r="S494" s="1256"/>
      <c r="T494" s="1256"/>
      <c r="U494" s="1256"/>
      <c r="V494" s="156"/>
      <c r="W494" s="156"/>
      <c r="X494" s="156"/>
      <c r="Y494" s="156"/>
    </row>
    <row r="495" spans="1:28" ht="10.15" customHeight="1">
      <c r="A495" s="2945"/>
      <c r="B495" s="2946"/>
      <c r="C495" s="2941"/>
      <c r="D495" s="2941"/>
      <c r="E495" s="2941"/>
      <c r="F495" s="2941"/>
      <c r="G495" s="2941"/>
      <c r="H495" s="2941"/>
      <c r="I495" s="2941"/>
      <c r="J495" s="2941"/>
      <c r="K495" s="2941"/>
      <c r="L495" s="2941"/>
      <c r="M495" s="2941"/>
      <c r="N495" s="2941"/>
      <c r="O495" s="2942"/>
      <c r="P495" s="156"/>
      <c r="Q495" s="1259"/>
      <c r="R495" s="1256"/>
      <c r="S495" s="1256"/>
      <c r="T495" s="1256"/>
      <c r="U495" s="1256"/>
      <c r="V495" s="156"/>
      <c r="W495" s="156"/>
      <c r="X495" s="156"/>
      <c r="Y495" s="156"/>
    </row>
    <row r="496" spans="1:28" ht="45" customHeight="1">
      <c r="A496" s="2947">
        <f>IF( 報1!$L$28="","", 報1!$L$28 )</f>
        <v>2023</v>
      </c>
      <c r="B496" s="2948"/>
      <c r="C496" s="2943"/>
      <c r="D496" s="2943"/>
      <c r="E496" s="2943"/>
      <c r="F496" s="2943"/>
      <c r="G496" s="2943"/>
      <c r="H496" s="2943"/>
      <c r="I496" s="2943"/>
      <c r="J496" s="2943"/>
      <c r="K496" s="2943"/>
      <c r="L496" s="2943"/>
      <c r="M496" s="2943"/>
      <c r="N496" s="2943"/>
      <c r="O496" s="2944"/>
      <c r="P496" s="156"/>
      <c r="Q496" s="1260"/>
      <c r="R496" s="1256"/>
      <c r="S496" s="1256"/>
      <c r="T496" s="1256"/>
      <c r="U496" s="1256"/>
      <c r="V496" s="156"/>
      <c r="W496" s="156"/>
      <c r="X496" s="156"/>
      <c r="Y496" s="156"/>
    </row>
    <row r="497" spans="1:25" ht="26.25" customHeight="1">
      <c r="A497" s="2949"/>
      <c r="B497" s="2949"/>
      <c r="C497" s="2949"/>
      <c r="D497" s="2949"/>
      <c r="E497" s="2949"/>
      <c r="F497" s="2949"/>
      <c r="G497" s="2949"/>
      <c r="H497" s="2949"/>
      <c r="I497" s="2949"/>
      <c r="J497" s="2949"/>
      <c r="K497" s="2949"/>
      <c r="L497" s="2949"/>
      <c r="M497" s="2949"/>
      <c r="N497" s="2949"/>
      <c r="O497" s="2949"/>
      <c r="P497" s="156"/>
      <c r="Q497" s="1259"/>
      <c r="R497" s="1256"/>
      <c r="S497" s="1256"/>
      <c r="T497" s="1256"/>
      <c r="U497" s="1256"/>
      <c r="V497" s="156"/>
      <c r="W497" s="156"/>
      <c r="X497" s="156"/>
      <c r="Y497" s="156"/>
    </row>
    <row r="498" spans="1:25" ht="30" customHeight="1">
      <c r="A498" s="156"/>
      <c r="B498" s="156"/>
      <c r="C498" s="156"/>
      <c r="D498" s="156"/>
      <c r="E498" s="156"/>
      <c r="F498" s="156"/>
      <c r="G498" s="156"/>
      <c r="H498" s="156"/>
      <c r="I498" s="156"/>
      <c r="J498" s="156"/>
      <c r="K498" s="156"/>
      <c r="L498" s="156"/>
      <c r="M498" s="156"/>
      <c r="N498" s="156"/>
      <c r="O498" s="329"/>
      <c r="P498" s="156"/>
      <c r="Q498" s="1248"/>
      <c r="R498" s="1260"/>
      <c r="S498" s="1244"/>
      <c r="T498" s="1244"/>
      <c r="V498" s="156"/>
      <c r="W498" s="156"/>
      <c r="X498" s="156"/>
      <c r="Y498" s="156"/>
    </row>
    <row r="499" spans="1:25" ht="18" customHeight="1">
      <c r="A499" s="156"/>
      <c r="B499" s="156"/>
      <c r="C499" s="156"/>
      <c r="D499" s="156"/>
      <c r="E499" s="156"/>
      <c r="F499" s="156"/>
      <c r="G499" s="156"/>
      <c r="H499" s="156"/>
      <c r="I499" s="156"/>
      <c r="J499" s="156"/>
      <c r="K499" s="156"/>
      <c r="L499" s="156"/>
      <c r="M499" s="156"/>
      <c r="N499" s="156"/>
      <c r="O499" s="329"/>
      <c r="P499" s="156"/>
      <c r="Q499" s="1261"/>
      <c r="R499" s="1260"/>
      <c r="S499" s="1244"/>
      <c r="T499" s="1244"/>
      <c r="V499" s="156"/>
      <c r="W499" s="156"/>
      <c r="X499" s="156"/>
      <c r="Y499" s="156"/>
    </row>
    <row r="500" spans="1:25" ht="18" customHeight="1">
      <c r="A500" s="156"/>
      <c r="B500" s="156"/>
      <c r="C500" s="156"/>
      <c r="D500" s="156"/>
      <c r="E500" s="156"/>
      <c r="F500" s="156"/>
      <c r="G500" s="156"/>
      <c r="H500" s="156"/>
      <c r="I500" s="156"/>
      <c r="J500" s="156"/>
      <c r="K500" s="156"/>
      <c r="L500" s="156"/>
      <c r="M500" s="156"/>
      <c r="N500" s="156"/>
      <c r="O500" s="329"/>
      <c r="P500" s="156"/>
      <c r="Q500" s="1261"/>
      <c r="R500" s="1260"/>
      <c r="S500" s="1244"/>
      <c r="T500" s="1244"/>
      <c r="V500" s="156"/>
      <c r="W500" s="156"/>
      <c r="X500" s="156"/>
      <c r="Y500" s="156"/>
    </row>
    <row r="501" spans="1:25">
      <c r="A501" s="1" t="s">
        <v>175</v>
      </c>
      <c r="B501" s="2"/>
      <c r="C501" s="2"/>
      <c r="D501" s="2"/>
      <c r="E501" s="2"/>
      <c r="F501" s="2"/>
      <c r="G501" s="2"/>
      <c r="H501" s="2"/>
      <c r="I501" s="2"/>
      <c r="J501" s="2"/>
      <c r="K501" s="2"/>
      <c r="L501" s="2"/>
      <c r="M501" s="2"/>
      <c r="N501" s="2"/>
      <c r="O501" s="2"/>
      <c r="P501" s="156" t="str">
        <f>"個別票"&amp;Q501</f>
        <v>個別票21</v>
      </c>
      <c r="Q501" s="1242">
        <f>Q476+1</f>
        <v>21</v>
      </c>
      <c r="V501" s="156"/>
      <c r="W501" s="156"/>
      <c r="X501" s="156"/>
      <c r="Y501" s="156"/>
    </row>
    <row r="502" spans="1:25">
      <c r="A502" s="2" t="s">
        <v>150</v>
      </c>
      <c r="B502" s="4"/>
      <c r="C502" s="4"/>
      <c r="D502" s="4"/>
      <c r="E502" s="4"/>
      <c r="F502" s="4"/>
      <c r="G502" s="4"/>
      <c r="H502" s="4"/>
      <c r="I502" s="4"/>
      <c r="J502" s="4"/>
      <c r="K502" s="4"/>
      <c r="L502" s="4"/>
      <c r="M502" s="4"/>
      <c r="N502" s="2"/>
      <c r="O502" s="2"/>
      <c r="P502" s="156"/>
      <c r="V502" s="156"/>
      <c r="W502" s="156"/>
      <c r="X502" s="156"/>
      <c r="Y502" s="156"/>
    </row>
    <row r="503" spans="1:25" ht="17.25">
      <c r="A503" s="2983" t="s">
        <v>403</v>
      </c>
      <c r="B503" s="2983"/>
      <c r="C503" s="2983"/>
      <c r="D503" s="2983"/>
      <c r="E503" s="2983"/>
      <c r="F503" s="2983"/>
      <c r="G503" s="2983"/>
      <c r="H503" s="2983"/>
      <c r="I503" s="2983"/>
      <c r="J503" s="2983"/>
      <c r="K503" s="2983"/>
      <c r="L503" s="2983"/>
      <c r="M503" s="2983"/>
      <c r="N503" s="2983"/>
      <c r="O503" s="2983"/>
      <c r="P503" s="156"/>
      <c r="V503" s="156"/>
      <c r="W503" s="156"/>
      <c r="X503" s="156"/>
      <c r="Y503" s="156"/>
    </row>
    <row r="504" spans="1:25" ht="31.5" customHeight="1">
      <c r="A504" s="38"/>
      <c r="B504" s="38"/>
      <c r="C504" s="38"/>
      <c r="D504" s="38"/>
      <c r="E504" s="38"/>
      <c r="F504" s="38"/>
      <c r="G504" s="38"/>
      <c r="H504" s="38"/>
      <c r="I504" s="38"/>
      <c r="J504" s="38"/>
      <c r="K504" s="38"/>
      <c r="L504" s="38"/>
      <c r="M504" s="38"/>
      <c r="N504" s="38"/>
      <c r="O504" s="38"/>
      <c r="P504" s="156"/>
      <c r="V504" s="156"/>
      <c r="W504" s="156"/>
      <c r="X504" s="156"/>
      <c r="Y504" s="156"/>
    </row>
    <row r="505" spans="1:25" s="51" customFormat="1" ht="15.95" customHeight="1">
      <c r="A505" s="48" t="s">
        <v>151</v>
      </c>
      <c r="B505" s="80"/>
      <c r="C505" s="80"/>
      <c r="D505" s="80"/>
      <c r="E505" s="80"/>
      <c r="F505" s="80"/>
      <c r="G505" s="80"/>
      <c r="H505" s="80"/>
      <c r="I505" s="80"/>
      <c r="J505" s="80"/>
      <c r="K505" s="80"/>
      <c r="L505" s="80"/>
      <c r="M505" s="80"/>
      <c r="P505" s="324"/>
      <c r="Q505" s="1250"/>
      <c r="R505" s="1250"/>
      <c r="S505" s="1250"/>
      <c r="T505" s="1250"/>
      <c r="U505" s="1242"/>
      <c r="V505" s="324"/>
      <c r="W505" s="324"/>
      <c r="X505" s="324"/>
      <c r="Y505" s="324"/>
    </row>
    <row r="506" spans="1:25" ht="39.950000000000003" customHeight="1">
      <c r="A506" s="2984" t="s">
        <v>152</v>
      </c>
      <c r="B506" s="2985"/>
      <c r="C506" s="2986"/>
      <c r="D506" s="2987" t="str">
        <f>参照元個別!I25</f>
        <v>事業所名を入力21</v>
      </c>
      <c r="E506" s="2988"/>
      <c r="F506" s="2988"/>
      <c r="G506" s="2988"/>
      <c r="H506" s="2988"/>
      <c r="I506" s="2988"/>
      <c r="J506" s="2988"/>
      <c r="K506" s="2988"/>
      <c r="L506" s="2988"/>
      <c r="M506" s="2988"/>
      <c r="N506" s="2988"/>
      <c r="O506" s="2989"/>
      <c r="P506" s="156"/>
      <c r="V506" s="156"/>
      <c r="W506" s="156"/>
      <c r="X506" s="156"/>
      <c r="Y506" s="156"/>
    </row>
    <row r="507" spans="1:25" ht="39.950000000000003" customHeight="1">
      <c r="A507" s="2570" t="s">
        <v>153</v>
      </c>
      <c r="B507" s="2571"/>
      <c r="C507" s="2990"/>
      <c r="D507" s="2991"/>
      <c r="E507" s="2992"/>
      <c r="F507" s="2992"/>
      <c r="G507" s="2992"/>
      <c r="H507" s="2992"/>
      <c r="I507" s="2992"/>
      <c r="J507" s="2992"/>
      <c r="K507" s="2992"/>
      <c r="L507" s="2992"/>
      <c r="M507" s="2992"/>
      <c r="N507" s="2992"/>
      <c r="O507" s="2993"/>
      <c r="P507" s="156"/>
      <c r="V507" s="156"/>
      <c r="W507" s="156"/>
      <c r="X507" s="156"/>
      <c r="Y507" s="156"/>
    </row>
    <row r="508" spans="1:25" ht="39.950000000000003" customHeight="1">
      <c r="A508" s="2536" t="s">
        <v>154</v>
      </c>
      <c r="B508" s="2978"/>
      <c r="C508" s="2979"/>
      <c r="D508" s="2980"/>
      <c r="E508" s="101" t="s">
        <v>180</v>
      </c>
      <c r="F508" s="2974" t="s">
        <v>404</v>
      </c>
      <c r="G508" s="2975"/>
      <c r="H508" s="2981" t="str">
        <f ca="1">参照元個別!$P$25</f>
        <v/>
      </c>
      <c r="I508" s="2982"/>
      <c r="J508" s="58" t="s">
        <v>176</v>
      </c>
      <c r="K508" s="2974" t="s">
        <v>405</v>
      </c>
      <c r="L508" s="2975"/>
      <c r="M508" s="2971"/>
      <c r="N508" s="2972"/>
      <c r="O508" s="2973"/>
      <c r="P508" s="156" t="str">
        <f>IFERROR(VLOOKUP(M508,$U$1:$V$16,2,0),"")</f>
        <v/>
      </c>
      <c r="U508" s="1250"/>
      <c r="V508" s="156"/>
      <c r="W508" s="156"/>
      <c r="X508" s="156"/>
      <c r="Y508" s="156"/>
    </row>
    <row r="509" spans="1:25" ht="39.950000000000003" customHeight="1">
      <c r="A509" s="2974" t="s">
        <v>406</v>
      </c>
      <c r="B509" s="2975"/>
      <c r="C509" s="2976"/>
      <c r="D509" s="2896"/>
      <c r="E509" s="2897"/>
      <c r="F509" s="2974" t="s">
        <v>158</v>
      </c>
      <c r="G509" s="2975"/>
      <c r="H509" s="2976"/>
      <c r="I509" s="2896"/>
      <c r="J509" s="2897"/>
      <c r="K509" s="2580"/>
      <c r="L509" s="2977"/>
      <c r="M509" s="2977"/>
      <c r="N509" s="2977"/>
      <c r="O509" s="2977"/>
      <c r="P509" s="156"/>
      <c r="V509" s="156"/>
      <c r="W509" s="156"/>
      <c r="X509" s="156"/>
      <c r="Y509" s="156"/>
    </row>
    <row r="510" spans="1:25" ht="18.75" customHeight="1">
      <c r="A510" s="39"/>
      <c r="B510" s="39"/>
      <c r="C510" s="40"/>
      <c r="D510" s="41"/>
      <c r="E510" s="40"/>
      <c r="F510" s="42"/>
      <c r="P510" s="156"/>
      <c r="V510" s="325"/>
      <c r="W510" s="325"/>
      <c r="X510" s="156"/>
      <c r="Y510" s="156"/>
    </row>
    <row r="511" spans="1:25" ht="51.75" customHeight="1">
      <c r="A511" s="2950" t="s">
        <v>505</v>
      </c>
      <c r="B511" s="2951"/>
      <c r="C511" s="2951"/>
      <c r="D511" s="2951"/>
      <c r="E511" s="2951"/>
      <c r="F511" s="2951"/>
      <c r="G511" s="2951"/>
      <c r="H511" s="2951"/>
      <c r="I511" s="2951"/>
      <c r="J511" s="2951"/>
      <c r="K511" s="2951"/>
      <c r="L511" s="2951"/>
      <c r="M511" s="2951"/>
      <c r="N511" s="2951"/>
      <c r="O511" s="2951"/>
      <c r="P511" s="156"/>
      <c r="V511" s="325"/>
      <c r="W511" s="325"/>
      <c r="X511" s="156"/>
      <c r="Y511" s="156"/>
    </row>
    <row r="512" spans="1:25" ht="57.75" customHeight="1">
      <c r="A512" s="39"/>
      <c r="B512" s="39"/>
      <c r="C512" s="40"/>
      <c r="D512" s="41"/>
      <c r="E512" s="40"/>
      <c r="F512" s="42"/>
      <c r="P512" s="156"/>
      <c r="Q512" s="1251"/>
      <c r="R512" s="1251"/>
      <c r="S512" s="1251"/>
      <c r="T512" s="1251"/>
      <c r="V512" s="325"/>
      <c r="W512" s="325"/>
      <c r="X512" s="156"/>
      <c r="Y512" s="156"/>
    </row>
    <row r="513" spans="1:28" s="51" customFormat="1" ht="15.95" customHeight="1">
      <c r="A513" s="50" t="s">
        <v>509</v>
      </c>
      <c r="B513" s="52"/>
      <c r="C513" s="52"/>
      <c r="D513" s="52"/>
      <c r="E513" s="52"/>
      <c r="F513" s="52"/>
      <c r="G513" s="52"/>
      <c r="H513" s="52"/>
      <c r="I513" s="52"/>
      <c r="J513" s="52"/>
      <c r="K513" s="52"/>
      <c r="L513" s="50"/>
      <c r="M513" s="50"/>
      <c r="N513" s="50"/>
      <c r="O513" s="50"/>
      <c r="P513" s="324"/>
      <c r="Q513" s="1252"/>
      <c r="R513" s="1252"/>
      <c r="S513" s="1252"/>
      <c r="T513" s="1252"/>
      <c r="U513" s="1242"/>
      <c r="V513" s="326"/>
      <c r="W513" s="326"/>
      <c r="X513" s="324"/>
      <c r="Y513" s="324"/>
    </row>
    <row r="514" spans="1:28" ht="36" customHeight="1">
      <c r="A514" s="2654"/>
      <c r="B514" s="2655"/>
      <c r="C514" s="2674" t="s">
        <v>504</v>
      </c>
      <c r="D514" s="2674"/>
      <c r="E514" s="2674"/>
      <c r="F514" s="2674"/>
      <c r="G514" s="2674"/>
      <c r="H514" s="2952"/>
      <c r="I514" s="2673" t="s">
        <v>407</v>
      </c>
      <c r="J514" s="2953"/>
      <c r="K514" s="2953"/>
      <c r="L514" s="2953"/>
      <c r="M514" s="2953"/>
      <c r="N514" s="2953"/>
      <c r="O514" s="2952"/>
      <c r="P514" s="156"/>
      <c r="V514" s="156"/>
      <c r="W514" s="156"/>
      <c r="X514" s="156"/>
      <c r="Y514" s="156"/>
    </row>
    <row r="515" spans="1:28" ht="24" customHeight="1">
      <c r="A515" s="2633" t="s">
        <v>236</v>
      </c>
      <c r="B515" s="2954"/>
      <c r="C515" s="2955" t="str">
        <f ca="1">参照元個別!E25</f>
        <v/>
      </c>
      <c r="D515" s="2955"/>
      <c r="E515" s="2955"/>
      <c r="F515" s="2955"/>
      <c r="G515" s="2956"/>
      <c r="H515" s="2959" t="s">
        <v>414</v>
      </c>
      <c r="I515" s="2961" t="str">
        <f>参照元個別!F25</f>
        <v/>
      </c>
      <c r="J515" s="2962"/>
      <c r="K515" s="2962"/>
      <c r="L515" s="2962"/>
      <c r="M515" s="2965" t="s">
        <v>415</v>
      </c>
      <c r="N515" s="2967" t="str">
        <f>参照元個別!G25</f>
        <v/>
      </c>
      <c r="O515" s="2968"/>
      <c r="P515" s="165"/>
      <c r="V515" s="156"/>
      <c r="W515" s="156"/>
      <c r="X515" s="156"/>
      <c r="Y515" s="156"/>
    </row>
    <row r="516" spans="1:28" ht="23.1" customHeight="1">
      <c r="A516" s="2637">
        <f>IF( 報1!$L$28="","", 報1!$L$28 )</f>
        <v>2023</v>
      </c>
      <c r="B516" s="2638"/>
      <c r="C516" s="2957"/>
      <c r="D516" s="2957"/>
      <c r="E516" s="2957"/>
      <c r="F516" s="2957"/>
      <c r="G516" s="2958"/>
      <c r="H516" s="2960"/>
      <c r="I516" s="2963"/>
      <c r="J516" s="2964"/>
      <c r="K516" s="2964"/>
      <c r="L516" s="2964"/>
      <c r="M516" s="2966"/>
      <c r="N516" s="2969"/>
      <c r="O516" s="2970"/>
      <c r="P516" s="165"/>
      <c r="V516" s="156"/>
      <c r="W516" s="156"/>
      <c r="X516" s="156"/>
      <c r="Y516" s="156"/>
    </row>
    <row r="517" spans="1:28" ht="25.15" customHeight="1">
      <c r="A517" s="2938" t="s">
        <v>277</v>
      </c>
      <c r="B517" s="2939"/>
      <c r="C517" s="2940"/>
      <c r="D517" s="2941"/>
      <c r="E517" s="2941"/>
      <c r="F517" s="2941"/>
      <c r="G517" s="2941"/>
      <c r="H517" s="2941"/>
      <c r="I517" s="2941"/>
      <c r="J517" s="2941"/>
      <c r="K517" s="2941"/>
      <c r="L517" s="2941"/>
      <c r="M517" s="2941"/>
      <c r="N517" s="2941"/>
      <c r="O517" s="2942"/>
      <c r="P517" s="156"/>
      <c r="Q517" s="1253">
        <v>1</v>
      </c>
      <c r="R517" s="1245"/>
      <c r="S517" s="1254"/>
      <c r="T517" s="1255"/>
      <c r="U517" s="1256"/>
      <c r="V517" s="156"/>
      <c r="W517" s="156"/>
      <c r="X517" s="327"/>
      <c r="Y517" s="328"/>
      <c r="Z517" s="99"/>
      <c r="AA517" s="43"/>
      <c r="AB517" s="44"/>
    </row>
    <row r="518" spans="1:28" ht="25.15" customHeight="1">
      <c r="A518" s="2938"/>
      <c r="B518" s="2939"/>
      <c r="C518" s="2941"/>
      <c r="D518" s="2941"/>
      <c r="E518" s="2941"/>
      <c r="F518" s="2941"/>
      <c r="G518" s="2941"/>
      <c r="H518" s="2941"/>
      <c r="I518" s="2941"/>
      <c r="J518" s="2941"/>
      <c r="K518" s="2941"/>
      <c r="L518" s="2941"/>
      <c r="M518" s="2941"/>
      <c r="N518" s="2941"/>
      <c r="O518" s="2942"/>
      <c r="P518" s="156"/>
      <c r="Q518" s="1257"/>
      <c r="R518" s="1258"/>
      <c r="S518" s="1258"/>
      <c r="T518" s="1258"/>
      <c r="U518" s="1258"/>
      <c r="V518" s="156"/>
      <c r="W518" s="156"/>
      <c r="X518" s="156"/>
      <c r="Y518" s="156"/>
    </row>
    <row r="519" spans="1:28" ht="24.75" customHeight="1">
      <c r="A519" s="2938"/>
      <c r="B519" s="2939"/>
      <c r="C519" s="2941"/>
      <c r="D519" s="2941"/>
      <c r="E519" s="2941"/>
      <c r="F519" s="2941"/>
      <c r="G519" s="2941"/>
      <c r="H519" s="2941"/>
      <c r="I519" s="2941"/>
      <c r="J519" s="2941"/>
      <c r="K519" s="2941"/>
      <c r="L519" s="2941"/>
      <c r="M519" s="2941"/>
      <c r="N519" s="2941"/>
      <c r="O519" s="2942"/>
      <c r="P519" s="156"/>
      <c r="Q519" s="1257"/>
      <c r="R519" s="1256"/>
      <c r="S519" s="1256"/>
      <c r="T519" s="1256"/>
      <c r="U519" s="1256"/>
      <c r="V519" s="156"/>
      <c r="W519" s="156"/>
      <c r="X519" s="156"/>
      <c r="Y519" s="156"/>
    </row>
    <row r="520" spans="1:28" ht="10.15" customHeight="1">
      <c r="A520" s="2945"/>
      <c r="B520" s="2946"/>
      <c r="C520" s="2941"/>
      <c r="D520" s="2941"/>
      <c r="E520" s="2941"/>
      <c r="F520" s="2941"/>
      <c r="G520" s="2941"/>
      <c r="H520" s="2941"/>
      <c r="I520" s="2941"/>
      <c r="J520" s="2941"/>
      <c r="K520" s="2941"/>
      <c r="L520" s="2941"/>
      <c r="M520" s="2941"/>
      <c r="N520" s="2941"/>
      <c r="O520" s="2942"/>
      <c r="P520" s="156"/>
      <c r="Q520" s="1259"/>
      <c r="R520" s="1256"/>
      <c r="S520" s="1256"/>
      <c r="T520" s="1256"/>
      <c r="U520" s="1256"/>
      <c r="V520" s="156"/>
      <c r="W520" s="156"/>
      <c r="X520" s="156"/>
      <c r="Y520" s="156"/>
    </row>
    <row r="521" spans="1:28" ht="45" customHeight="1">
      <c r="A521" s="2947">
        <f>IF( 報1!$L$28="","", 報1!$L$28 )</f>
        <v>2023</v>
      </c>
      <c r="B521" s="2948"/>
      <c r="C521" s="2943"/>
      <c r="D521" s="2943"/>
      <c r="E521" s="2943"/>
      <c r="F521" s="2943"/>
      <c r="G521" s="2943"/>
      <c r="H521" s="2943"/>
      <c r="I521" s="2943"/>
      <c r="J521" s="2943"/>
      <c r="K521" s="2943"/>
      <c r="L521" s="2943"/>
      <c r="M521" s="2943"/>
      <c r="N521" s="2943"/>
      <c r="O521" s="2944"/>
      <c r="P521" s="156"/>
      <c r="Q521" s="1260"/>
      <c r="R521" s="1256"/>
      <c r="S521" s="1256"/>
      <c r="T521" s="1256"/>
      <c r="U521" s="1256"/>
      <c r="V521" s="156"/>
      <c r="W521" s="156"/>
      <c r="X521" s="156"/>
      <c r="Y521" s="156"/>
    </row>
    <row r="522" spans="1:28" ht="26.25" customHeight="1">
      <c r="A522" s="2949"/>
      <c r="B522" s="2949"/>
      <c r="C522" s="2949"/>
      <c r="D522" s="2949"/>
      <c r="E522" s="2949"/>
      <c r="F522" s="2949"/>
      <c r="G522" s="2949"/>
      <c r="H522" s="2949"/>
      <c r="I522" s="2949"/>
      <c r="J522" s="2949"/>
      <c r="K522" s="2949"/>
      <c r="L522" s="2949"/>
      <c r="M522" s="2949"/>
      <c r="N522" s="2949"/>
      <c r="O522" s="2949"/>
      <c r="P522" s="156"/>
      <c r="Q522" s="1259"/>
      <c r="R522" s="1256"/>
      <c r="S522" s="1256"/>
      <c r="T522" s="1256"/>
      <c r="U522" s="1256"/>
      <c r="V522" s="156"/>
      <c r="W522" s="156"/>
      <c r="X522" s="156"/>
      <c r="Y522" s="156"/>
    </row>
    <row r="523" spans="1:28" ht="30" customHeight="1">
      <c r="A523" s="156"/>
      <c r="B523" s="156"/>
      <c r="C523" s="156"/>
      <c r="D523" s="156"/>
      <c r="E523" s="156"/>
      <c r="F523" s="156"/>
      <c r="G523" s="156"/>
      <c r="H523" s="156"/>
      <c r="I523" s="156"/>
      <c r="J523" s="156"/>
      <c r="K523" s="156"/>
      <c r="L523" s="156"/>
      <c r="M523" s="156"/>
      <c r="N523" s="156"/>
      <c r="O523" s="329"/>
      <c r="P523" s="156"/>
      <c r="Q523" s="1248"/>
      <c r="R523" s="1260"/>
      <c r="S523" s="1244"/>
      <c r="T523" s="1244"/>
      <c r="V523" s="156"/>
      <c r="W523" s="156"/>
      <c r="X523" s="156"/>
      <c r="Y523" s="156"/>
    </row>
    <row r="524" spans="1:28" ht="18" customHeight="1">
      <c r="A524" s="156"/>
      <c r="B524" s="156"/>
      <c r="C524" s="156"/>
      <c r="D524" s="156"/>
      <c r="E524" s="156"/>
      <c r="F524" s="156"/>
      <c r="G524" s="156"/>
      <c r="H524" s="156"/>
      <c r="I524" s="156"/>
      <c r="J524" s="156"/>
      <c r="K524" s="156"/>
      <c r="L524" s="156"/>
      <c r="M524" s="156"/>
      <c r="N524" s="156"/>
      <c r="O524" s="329"/>
      <c r="P524" s="156"/>
      <c r="Q524" s="1261"/>
      <c r="R524" s="1260"/>
      <c r="S524" s="1244"/>
      <c r="T524" s="1244"/>
      <c r="V524" s="156"/>
      <c r="W524" s="156"/>
      <c r="X524" s="156"/>
      <c r="Y524" s="156"/>
    </row>
    <row r="525" spans="1:28" ht="18" customHeight="1">
      <c r="A525" s="156"/>
      <c r="B525" s="156"/>
      <c r="C525" s="156"/>
      <c r="D525" s="156"/>
      <c r="E525" s="156"/>
      <c r="F525" s="156"/>
      <c r="G525" s="156"/>
      <c r="H525" s="156"/>
      <c r="I525" s="156"/>
      <c r="J525" s="156"/>
      <c r="K525" s="156"/>
      <c r="L525" s="156"/>
      <c r="M525" s="156"/>
      <c r="N525" s="156"/>
      <c r="O525" s="329"/>
      <c r="P525" s="156"/>
      <c r="Q525" s="1261"/>
      <c r="R525" s="1260"/>
      <c r="S525" s="1244"/>
      <c r="T525" s="1244"/>
      <c r="V525" s="156"/>
      <c r="W525" s="156"/>
      <c r="X525" s="156"/>
      <c r="Y525" s="156"/>
    </row>
    <row r="526" spans="1:28">
      <c r="A526" s="1" t="s">
        <v>175</v>
      </c>
      <c r="B526" s="2"/>
      <c r="C526" s="2"/>
      <c r="D526" s="2"/>
      <c r="E526" s="2"/>
      <c r="F526" s="2"/>
      <c r="G526" s="2"/>
      <c r="H526" s="2"/>
      <c r="I526" s="2"/>
      <c r="J526" s="2"/>
      <c r="K526" s="2"/>
      <c r="L526" s="2"/>
      <c r="M526" s="2"/>
      <c r="N526" s="2"/>
      <c r="O526" s="2"/>
      <c r="P526" s="156" t="str">
        <f>"個別票"&amp;Q526</f>
        <v>個別票22</v>
      </c>
      <c r="Q526" s="1242">
        <f>Q501+1</f>
        <v>22</v>
      </c>
      <c r="V526" s="156"/>
      <c r="W526" s="156"/>
      <c r="X526" s="156"/>
      <c r="Y526" s="156"/>
    </row>
    <row r="527" spans="1:28">
      <c r="A527" s="2" t="s">
        <v>150</v>
      </c>
      <c r="B527" s="4"/>
      <c r="C527" s="4"/>
      <c r="D527" s="4"/>
      <c r="E527" s="4"/>
      <c r="F527" s="4"/>
      <c r="G527" s="4"/>
      <c r="H527" s="4"/>
      <c r="I527" s="4"/>
      <c r="J527" s="4"/>
      <c r="K527" s="4"/>
      <c r="L527" s="4"/>
      <c r="M527" s="4"/>
      <c r="N527" s="2"/>
      <c r="O527" s="2"/>
      <c r="P527" s="156"/>
      <c r="V527" s="156"/>
      <c r="W527" s="156"/>
      <c r="X527" s="156"/>
      <c r="Y527" s="156"/>
    </row>
    <row r="528" spans="1:28" ht="17.25">
      <c r="A528" s="2983" t="s">
        <v>403</v>
      </c>
      <c r="B528" s="2983"/>
      <c r="C528" s="2983"/>
      <c r="D528" s="2983"/>
      <c r="E528" s="2983"/>
      <c r="F528" s="2983"/>
      <c r="G528" s="2983"/>
      <c r="H528" s="2983"/>
      <c r="I528" s="2983"/>
      <c r="J528" s="2983"/>
      <c r="K528" s="2983"/>
      <c r="L528" s="2983"/>
      <c r="M528" s="2983"/>
      <c r="N528" s="2983"/>
      <c r="O528" s="2983"/>
      <c r="P528" s="156"/>
      <c r="V528" s="156"/>
      <c r="W528" s="156"/>
      <c r="X528" s="156"/>
      <c r="Y528" s="156"/>
    </row>
    <row r="529" spans="1:28" ht="31.5" customHeight="1">
      <c r="A529" s="38"/>
      <c r="B529" s="38"/>
      <c r="C529" s="38"/>
      <c r="D529" s="38"/>
      <c r="E529" s="38"/>
      <c r="F529" s="38"/>
      <c r="G529" s="38"/>
      <c r="H529" s="38"/>
      <c r="I529" s="38"/>
      <c r="J529" s="38"/>
      <c r="K529" s="38"/>
      <c r="L529" s="38"/>
      <c r="M529" s="38"/>
      <c r="N529" s="38"/>
      <c r="O529" s="38"/>
      <c r="P529" s="156"/>
      <c r="V529" s="156"/>
      <c r="W529" s="156"/>
      <c r="X529" s="156"/>
      <c r="Y529" s="156"/>
    </row>
    <row r="530" spans="1:28" s="51" customFormat="1" ht="15.95" customHeight="1">
      <c r="A530" s="48" t="s">
        <v>151</v>
      </c>
      <c r="B530" s="80"/>
      <c r="C530" s="80"/>
      <c r="D530" s="80"/>
      <c r="E530" s="80"/>
      <c r="F530" s="80"/>
      <c r="G530" s="80"/>
      <c r="H530" s="80"/>
      <c r="I530" s="80"/>
      <c r="J530" s="80"/>
      <c r="K530" s="80"/>
      <c r="L530" s="80"/>
      <c r="M530" s="80"/>
      <c r="P530" s="324"/>
      <c r="Q530" s="1250"/>
      <c r="R530" s="1250"/>
      <c r="S530" s="1250"/>
      <c r="T530" s="1250"/>
      <c r="U530" s="1242"/>
      <c r="V530" s="324"/>
      <c r="W530" s="324"/>
      <c r="X530" s="324"/>
      <c r="Y530" s="324"/>
    </row>
    <row r="531" spans="1:28" ht="39.950000000000003" customHeight="1">
      <c r="A531" s="2984" t="s">
        <v>152</v>
      </c>
      <c r="B531" s="2985"/>
      <c r="C531" s="2986"/>
      <c r="D531" s="2987" t="str">
        <f>参照元個別!I26</f>
        <v>事業所名を入力22</v>
      </c>
      <c r="E531" s="2988"/>
      <c r="F531" s="2988"/>
      <c r="G531" s="2988"/>
      <c r="H531" s="2988"/>
      <c r="I531" s="2988"/>
      <c r="J531" s="2988"/>
      <c r="K531" s="2988"/>
      <c r="L531" s="2988"/>
      <c r="M531" s="2988"/>
      <c r="N531" s="2988"/>
      <c r="O531" s="2989"/>
      <c r="P531" s="156"/>
      <c r="V531" s="156"/>
      <c r="W531" s="156"/>
      <c r="X531" s="156"/>
      <c r="Y531" s="156"/>
    </row>
    <row r="532" spans="1:28" ht="39.950000000000003" customHeight="1">
      <c r="A532" s="2570" t="s">
        <v>153</v>
      </c>
      <c r="B532" s="2571"/>
      <c r="C532" s="2990"/>
      <c r="D532" s="2991"/>
      <c r="E532" s="2992"/>
      <c r="F532" s="2992"/>
      <c r="G532" s="2992"/>
      <c r="H532" s="2992"/>
      <c r="I532" s="2992"/>
      <c r="J532" s="2992"/>
      <c r="K532" s="2992"/>
      <c r="L532" s="2992"/>
      <c r="M532" s="2992"/>
      <c r="N532" s="2992"/>
      <c r="O532" s="2993"/>
      <c r="P532" s="156"/>
      <c r="V532" s="156"/>
      <c r="W532" s="156"/>
      <c r="X532" s="156"/>
      <c r="Y532" s="156"/>
    </row>
    <row r="533" spans="1:28" ht="39.950000000000003" customHeight="1">
      <c r="A533" s="2536" t="s">
        <v>154</v>
      </c>
      <c r="B533" s="2978"/>
      <c r="C533" s="2979"/>
      <c r="D533" s="2980"/>
      <c r="E533" s="101" t="s">
        <v>180</v>
      </c>
      <c r="F533" s="2974" t="s">
        <v>404</v>
      </c>
      <c r="G533" s="2975"/>
      <c r="H533" s="2981" t="str">
        <f ca="1">参照元個別!$P$26</f>
        <v/>
      </c>
      <c r="I533" s="2982"/>
      <c r="J533" s="58" t="s">
        <v>176</v>
      </c>
      <c r="K533" s="2974" t="s">
        <v>405</v>
      </c>
      <c r="L533" s="2975"/>
      <c r="M533" s="2971"/>
      <c r="N533" s="2972"/>
      <c r="O533" s="2973"/>
      <c r="P533" s="156" t="str">
        <f>IFERROR(VLOOKUP(M533,$U$1:$V$16,2,0),"")</f>
        <v/>
      </c>
      <c r="U533" s="1250"/>
      <c r="V533" s="156"/>
      <c r="W533" s="156"/>
      <c r="X533" s="156"/>
      <c r="Y533" s="156"/>
    </row>
    <row r="534" spans="1:28" ht="39.950000000000003" customHeight="1">
      <c r="A534" s="2974" t="s">
        <v>406</v>
      </c>
      <c r="B534" s="2975"/>
      <c r="C534" s="2976"/>
      <c r="D534" s="2896"/>
      <c r="E534" s="2897"/>
      <c r="F534" s="2974" t="s">
        <v>158</v>
      </c>
      <c r="G534" s="2975"/>
      <c r="H534" s="2976"/>
      <c r="I534" s="2896"/>
      <c r="J534" s="2897"/>
      <c r="K534" s="2580"/>
      <c r="L534" s="2977"/>
      <c r="M534" s="2977"/>
      <c r="N534" s="2977"/>
      <c r="O534" s="2977"/>
      <c r="P534" s="156"/>
      <c r="V534" s="156"/>
      <c r="W534" s="156"/>
      <c r="X534" s="156"/>
      <c r="Y534" s="156"/>
    </row>
    <row r="535" spans="1:28" ht="18.75" customHeight="1">
      <c r="A535" s="39"/>
      <c r="B535" s="39"/>
      <c r="C535" s="40"/>
      <c r="D535" s="41"/>
      <c r="E535" s="40"/>
      <c r="F535" s="42"/>
      <c r="P535" s="156"/>
      <c r="V535" s="325"/>
      <c r="W535" s="325"/>
      <c r="X535" s="156"/>
      <c r="Y535" s="156"/>
    </row>
    <row r="536" spans="1:28" ht="51.75" customHeight="1">
      <c r="A536" s="2950" t="s">
        <v>505</v>
      </c>
      <c r="B536" s="2951"/>
      <c r="C536" s="2951"/>
      <c r="D536" s="2951"/>
      <c r="E536" s="2951"/>
      <c r="F536" s="2951"/>
      <c r="G536" s="2951"/>
      <c r="H536" s="2951"/>
      <c r="I536" s="2951"/>
      <c r="J536" s="2951"/>
      <c r="K536" s="2951"/>
      <c r="L536" s="2951"/>
      <c r="M536" s="2951"/>
      <c r="N536" s="2951"/>
      <c r="O536" s="2951"/>
      <c r="P536" s="156"/>
      <c r="V536" s="325"/>
      <c r="W536" s="325"/>
      <c r="X536" s="156"/>
      <c r="Y536" s="156"/>
    </row>
    <row r="537" spans="1:28" ht="57.75" customHeight="1">
      <c r="A537" s="39"/>
      <c r="B537" s="39"/>
      <c r="C537" s="40"/>
      <c r="D537" s="41"/>
      <c r="E537" s="40"/>
      <c r="F537" s="42"/>
      <c r="P537" s="156"/>
      <c r="Q537" s="1251"/>
      <c r="R537" s="1251"/>
      <c r="S537" s="1251"/>
      <c r="T537" s="1251"/>
      <c r="V537" s="325"/>
      <c r="W537" s="325"/>
      <c r="X537" s="156"/>
      <c r="Y537" s="156"/>
    </row>
    <row r="538" spans="1:28" s="51" customFormat="1" ht="15.95" customHeight="1">
      <c r="A538" s="50" t="s">
        <v>509</v>
      </c>
      <c r="B538" s="52"/>
      <c r="C538" s="52"/>
      <c r="D538" s="52"/>
      <c r="E538" s="52"/>
      <c r="F538" s="52"/>
      <c r="G538" s="52"/>
      <c r="H538" s="52"/>
      <c r="I538" s="52"/>
      <c r="J538" s="52"/>
      <c r="K538" s="52"/>
      <c r="L538" s="50"/>
      <c r="M538" s="50"/>
      <c r="N538" s="50"/>
      <c r="O538" s="50"/>
      <c r="P538" s="324"/>
      <c r="Q538" s="1252"/>
      <c r="R538" s="1252"/>
      <c r="S538" s="1252"/>
      <c r="T538" s="1252"/>
      <c r="U538" s="1242"/>
      <c r="V538" s="326"/>
      <c r="W538" s="326"/>
      <c r="X538" s="324"/>
      <c r="Y538" s="324"/>
    </row>
    <row r="539" spans="1:28" ht="36" customHeight="1">
      <c r="A539" s="2654"/>
      <c r="B539" s="2655"/>
      <c r="C539" s="2674" t="s">
        <v>504</v>
      </c>
      <c r="D539" s="2674"/>
      <c r="E539" s="2674"/>
      <c r="F539" s="2674"/>
      <c r="G539" s="2674"/>
      <c r="H539" s="2952"/>
      <c r="I539" s="2673" t="s">
        <v>407</v>
      </c>
      <c r="J539" s="2953"/>
      <c r="K539" s="2953"/>
      <c r="L539" s="2953"/>
      <c r="M539" s="2953"/>
      <c r="N539" s="2953"/>
      <c r="O539" s="2952"/>
      <c r="P539" s="156"/>
      <c r="V539" s="156"/>
      <c r="W539" s="156"/>
      <c r="X539" s="156"/>
      <c r="Y539" s="156"/>
    </row>
    <row r="540" spans="1:28" ht="24" customHeight="1">
      <c r="A540" s="2633" t="s">
        <v>236</v>
      </c>
      <c r="B540" s="2954"/>
      <c r="C540" s="2955" t="str">
        <f ca="1">参照元個別!E26</f>
        <v/>
      </c>
      <c r="D540" s="2955"/>
      <c r="E540" s="2955"/>
      <c r="F540" s="2955"/>
      <c r="G540" s="2956"/>
      <c r="H540" s="2959" t="s">
        <v>414</v>
      </c>
      <c r="I540" s="2961" t="str">
        <f>参照元個別!F26</f>
        <v/>
      </c>
      <c r="J540" s="2962"/>
      <c r="K540" s="2962"/>
      <c r="L540" s="2962"/>
      <c r="M540" s="2965" t="s">
        <v>415</v>
      </c>
      <c r="N540" s="2967" t="str">
        <f>参照元個別!G26</f>
        <v/>
      </c>
      <c r="O540" s="2968"/>
      <c r="P540" s="165"/>
      <c r="V540" s="156"/>
      <c r="W540" s="156"/>
      <c r="X540" s="156"/>
      <c r="Y540" s="156"/>
    </row>
    <row r="541" spans="1:28" ht="23.1" customHeight="1">
      <c r="A541" s="2637">
        <f>IF( 報1!$L$28="","", 報1!$L$28 )</f>
        <v>2023</v>
      </c>
      <c r="B541" s="2638"/>
      <c r="C541" s="2957"/>
      <c r="D541" s="2957"/>
      <c r="E541" s="2957"/>
      <c r="F541" s="2957"/>
      <c r="G541" s="2958"/>
      <c r="H541" s="2960"/>
      <c r="I541" s="2963"/>
      <c r="J541" s="2964"/>
      <c r="K541" s="2964"/>
      <c r="L541" s="2964"/>
      <c r="M541" s="2966"/>
      <c r="N541" s="2969"/>
      <c r="O541" s="2970"/>
      <c r="P541" s="165"/>
      <c r="V541" s="156"/>
      <c r="W541" s="156"/>
      <c r="X541" s="156"/>
      <c r="Y541" s="156"/>
    </row>
    <row r="542" spans="1:28" ht="25.15" customHeight="1">
      <c r="A542" s="2938" t="s">
        <v>277</v>
      </c>
      <c r="B542" s="2939"/>
      <c r="C542" s="2940"/>
      <c r="D542" s="2941"/>
      <c r="E542" s="2941"/>
      <c r="F542" s="2941"/>
      <c r="G542" s="2941"/>
      <c r="H542" s="2941"/>
      <c r="I542" s="2941"/>
      <c r="J542" s="2941"/>
      <c r="K542" s="2941"/>
      <c r="L542" s="2941"/>
      <c r="M542" s="2941"/>
      <c r="N542" s="2941"/>
      <c r="O542" s="2942"/>
      <c r="P542" s="156"/>
      <c r="Q542" s="1253">
        <v>1</v>
      </c>
      <c r="R542" s="1245"/>
      <c r="S542" s="1254"/>
      <c r="T542" s="1255"/>
      <c r="U542" s="1256"/>
      <c r="V542" s="156"/>
      <c r="W542" s="156"/>
      <c r="X542" s="327"/>
      <c r="Y542" s="328"/>
      <c r="Z542" s="99"/>
      <c r="AA542" s="43"/>
      <c r="AB542" s="44"/>
    </row>
    <row r="543" spans="1:28" ht="25.15" customHeight="1">
      <c r="A543" s="2938"/>
      <c r="B543" s="2939"/>
      <c r="C543" s="2941"/>
      <c r="D543" s="2941"/>
      <c r="E543" s="2941"/>
      <c r="F543" s="2941"/>
      <c r="G543" s="2941"/>
      <c r="H543" s="2941"/>
      <c r="I543" s="2941"/>
      <c r="J543" s="2941"/>
      <c r="K543" s="2941"/>
      <c r="L543" s="2941"/>
      <c r="M543" s="2941"/>
      <c r="N543" s="2941"/>
      <c r="O543" s="2942"/>
      <c r="P543" s="156"/>
      <c r="Q543" s="1257"/>
      <c r="R543" s="1258"/>
      <c r="S543" s="1258"/>
      <c r="T543" s="1258"/>
      <c r="U543" s="1258"/>
      <c r="V543" s="156"/>
      <c r="W543" s="156"/>
      <c r="X543" s="156"/>
      <c r="Y543" s="156"/>
    </row>
    <row r="544" spans="1:28" ht="24.75" customHeight="1">
      <c r="A544" s="2938"/>
      <c r="B544" s="2939"/>
      <c r="C544" s="2941"/>
      <c r="D544" s="2941"/>
      <c r="E544" s="2941"/>
      <c r="F544" s="2941"/>
      <c r="G544" s="2941"/>
      <c r="H544" s="2941"/>
      <c r="I544" s="2941"/>
      <c r="J544" s="2941"/>
      <c r="K544" s="2941"/>
      <c r="L544" s="2941"/>
      <c r="M544" s="2941"/>
      <c r="N544" s="2941"/>
      <c r="O544" s="2942"/>
      <c r="P544" s="156"/>
      <c r="Q544" s="1257"/>
      <c r="R544" s="1256"/>
      <c r="S544" s="1256"/>
      <c r="T544" s="1256"/>
      <c r="U544" s="1256"/>
      <c r="V544" s="156"/>
      <c r="W544" s="156"/>
      <c r="X544" s="156"/>
      <c r="Y544" s="156"/>
    </row>
    <row r="545" spans="1:25" ht="10.15" customHeight="1">
      <c r="A545" s="2945"/>
      <c r="B545" s="2946"/>
      <c r="C545" s="2941"/>
      <c r="D545" s="2941"/>
      <c r="E545" s="2941"/>
      <c r="F545" s="2941"/>
      <c r="G545" s="2941"/>
      <c r="H545" s="2941"/>
      <c r="I545" s="2941"/>
      <c r="J545" s="2941"/>
      <c r="K545" s="2941"/>
      <c r="L545" s="2941"/>
      <c r="M545" s="2941"/>
      <c r="N545" s="2941"/>
      <c r="O545" s="2942"/>
      <c r="P545" s="156"/>
      <c r="Q545" s="1259"/>
      <c r="R545" s="1256"/>
      <c r="S545" s="1256"/>
      <c r="T545" s="1256"/>
      <c r="U545" s="1256"/>
      <c r="V545" s="156"/>
      <c r="W545" s="156"/>
      <c r="X545" s="156"/>
      <c r="Y545" s="156"/>
    </row>
    <row r="546" spans="1:25" ht="45" customHeight="1">
      <c r="A546" s="2947">
        <f>IF( 報1!$L$28="","", 報1!$L$28 )</f>
        <v>2023</v>
      </c>
      <c r="B546" s="2948"/>
      <c r="C546" s="2943"/>
      <c r="D546" s="2943"/>
      <c r="E546" s="2943"/>
      <c r="F546" s="2943"/>
      <c r="G546" s="2943"/>
      <c r="H546" s="2943"/>
      <c r="I546" s="2943"/>
      <c r="J546" s="2943"/>
      <c r="K546" s="2943"/>
      <c r="L546" s="2943"/>
      <c r="M546" s="2943"/>
      <c r="N546" s="2943"/>
      <c r="O546" s="2944"/>
      <c r="P546" s="156"/>
      <c r="Q546" s="1260"/>
      <c r="R546" s="1256"/>
      <c r="S546" s="1256"/>
      <c r="T546" s="1256"/>
      <c r="U546" s="1256"/>
      <c r="V546" s="156"/>
      <c r="W546" s="156"/>
      <c r="X546" s="156"/>
      <c r="Y546" s="156"/>
    </row>
    <row r="547" spans="1:25" ht="26.25" customHeight="1">
      <c r="A547" s="2949"/>
      <c r="B547" s="2949"/>
      <c r="C547" s="2949"/>
      <c r="D547" s="2949"/>
      <c r="E547" s="2949"/>
      <c r="F547" s="2949"/>
      <c r="G547" s="2949"/>
      <c r="H547" s="2949"/>
      <c r="I547" s="2949"/>
      <c r="J547" s="2949"/>
      <c r="K547" s="2949"/>
      <c r="L547" s="2949"/>
      <c r="M547" s="2949"/>
      <c r="N547" s="2949"/>
      <c r="O547" s="2949"/>
      <c r="P547" s="156"/>
      <c r="Q547" s="1259"/>
      <c r="R547" s="1256"/>
      <c r="S547" s="1256"/>
      <c r="T547" s="1256"/>
      <c r="U547" s="1256"/>
      <c r="V547" s="156"/>
      <c r="W547" s="156"/>
      <c r="X547" s="156"/>
      <c r="Y547" s="156"/>
    </row>
    <row r="548" spans="1:25" ht="30" customHeight="1">
      <c r="A548" s="156"/>
      <c r="B548" s="156"/>
      <c r="C548" s="156"/>
      <c r="D548" s="156"/>
      <c r="E548" s="156"/>
      <c r="F548" s="156"/>
      <c r="G548" s="156"/>
      <c r="H548" s="156"/>
      <c r="I548" s="156"/>
      <c r="J548" s="156"/>
      <c r="K548" s="156"/>
      <c r="L548" s="156"/>
      <c r="M548" s="156"/>
      <c r="N548" s="156"/>
      <c r="O548" s="329"/>
      <c r="P548" s="156"/>
      <c r="Q548" s="1248"/>
      <c r="R548" s="1260"/>
      <c r="S548" s="1244"/>
      <c r="T548" s="1244"/>
      <c r="V548" s="156"/>
      <c r="W548" s="156"/>
      <c r="X548" s="156"/>
      <c r="Y548" s="156"/>
    </row>
    <row r="549" spans="1:25" ht="18" customHeight="1">
      <c r="A549" s="156"/>
      <c r="B549" s="156"/>
      <c r="C549" s="156"/>
      <c r="D549" s="156"/>
      <c r="E549" s="156"/>
      <c r="F549" s="156"/>
      <c r="G549" s="156"/>
      <c r="H549" s="156"/>
      <c r="I549" s="156"/>
      <c r="J549" s="156"/>
      <c r="K549" s="156"/>
      <c r="L549" s="156"/>
      <c r="M549" s="156"/>
      <c r="N549" s="156"/>
      <c r="O549" s="329"/>
      <c r="P549" s="156"/>
      <c r="Q549" s="1261"/>
      <c r="R549" s="1260"/>
      <c r="S549" s="1244"/>
      <c r="T549" s="1244"/>
      <c r="V549" s="156"/>
      <c r="W549" s="156"/>
      <c r="X549" s="156"/>
      <c r="Y549" s="156"/>
    </row>
    <row r="550" spans="1:25" ht="18" customHeight="1">
      <c r="A550" s="156"/>
      <c r="B550" s="156"/>
      <c r="C550" s="156"/>
      <c r="D550" s="156"/>
      <c r="E550" s="156"/>
      <c r="F550" s="156"/>
      <c r="G550" s="156"/>
      <c r="H550" s="156"/>
      <c r="I550" s="156"/>
      <c r="J550" s="156"/>
      <c r="K550" s="156"/>
      <c r="L550" s="156"/>
      <c r="M550" s="156"/>
      <c r="N550" s="156"/>
      <c r="O550" s="329"/>
      <c r="P550" s="156"/>
      <c r="Q550" s="1261"/>
      <c r="R550" s="1260"/>
      <c r="S550" s="1244"/>
      <c r="T550" s="1244"/>
      <c r="V550" s="156"/>
      <c r="W550" s="156"/>
      <c r="X550" s="156"/>
      <c r="Y550" s="156"/>
    </row>
    <row r="551" spans="1:25">
      <c r="A551" s="1" t="s">
        <v>175</v>
      </c>
      <c r="B551" s="2"/>
      <c r="C551" s="2"/>
      <c r="D551" s="2"/>
      <c r="E551" s="2"/>
      <c r="F551" s="2"/>
      <c r="G551" s="2"/>
      <c r="H551" s="2"/>
      <c r="I551" s="2"/>
      <c r="J551" s="2"/>
      <c r="K551" s="2"/>
      <c r="L551" s="2"/>
      <c r="M551" s="2"/>
      <c r="N551" s="2"/>
      <c r="O551" s="2"/>
      <c r="P551" s="156" t="str">
        <f>"個別票"&amp;Q551</f>
        <v>個別票23</v>
      </c>
      <c r="Q551" s="1242">
        <f>Q526+1</f>
        <v>23</v>
      </c>
      <c r="V551" s="156"/>
      <c r="W551" s="156"/>
      <c r="X551" s="156"/>
      <c r="Y551" s="156"/>
    </row>
    <row r="552" spans="1:25">
      <c r="A552" s="2" t="s">
        <v>150</v>
      </c>
      <c r="B552" s="4"/>
      <c r="C552" s="4"/>
      <c r="D552" s="4"/>
      <c r="E552" s="4"/>
      <c r="F552" s="4"/>
      <c r="G552" s="4"/>
      <c r="H552" s="4"/>
      <c r="I552" s="4"/>
      <c r="J552" s="4"/>
      <c r="K552" s="4"/>
      <c r="L552" s="4"/>
      <c r="M552" s="4"/>
      <c r="N552" s="2"/>
      <c r="O552" s="2"/>
      <c r="P552" s="156"/>
      <c r="V552" s="156"/>
      <c r="W552" s="156"/>
      <c r="X552" s="156"/>
      <c r="Y552" s="156"/>
    </row>
    <row r="553" spans="1:25" ht="17.25">
      <c r="A553" s="2983" t="s">
        <v>403</v>
      </c>
      <c r="B553" s="2983"/>
      <c r="C553" s="2983"/>
      <c r="D553" s="2983"/>
      <c r="E553" s="2983"/>
      <c r="F553" s="2983"/>
      <c r="G553" s="2983"/>
      <c r="H553" s="2983"/>
      <c r="I553" s="2983"/>
      <c r="J553" s="2983"/>
      <c r="K553" s="2983"/>
      <c r="L553" s="2983"/>
      <c r="M553" s="2983"/>
      <c r="N553" s="2983"/>
      <c r="O553" s="2983"/>
      <c r="P553" s="156"/>
      <c r="V553" s="156"/>
      <c r="W553" s="156"/>
      <c r="X553" s="156"/>
      <c r="Y553" s="156"/>
    </row>
    <row r="554" spans="1:25" ht="31.5" customHeight="1">
      <c r="A554" s="38"/>
      <c r="B554" s="38"/>
      <c r="C554" s="38"/>
      <c r="D554" s="38"/>
      <c r="E554" s="38"/>
      <c r="F554" s="38"/>
      <c r="G554" s="38"/>
      <c r="H554" s="38"/>
      <c r="I554" s="38"/>
      <c r="J554" s="38"/>
      <c r="K554" s="38"/>
      <c r="L554" s="38"/>
      <c r="M554" s="38"/>
      <c r="N554" s="38"/>
      <c r="O554" s="38"/>
      <c r="P554" s="156"/>
      <c r="V554" s="156"/>
      <c r="W554" s="156"/>
      <c r="X554" s="156"/>
      <c r="Y554" s="156"/>
    </row>
    <row r="555" spans="1:25" s="51" customFormat="1" ht="15.95" customHeight="1">
      <c r="A555" s="48" t="s">
        <v>151</v>
      </c>
      <c r="B555" s="80"/>
      <c r="C555" s="80"/>
      <c r="D555" s="80"/>
      <c r="E555" s="80"/>
      <c r="F555" s="80"/>
      <c r="G555" s="80"/>
      <c r="H555" s="80"/>
      <c r="I555" s="80"/>
      <c r="J555" s="80"/>
      <c r="K555" s="80"/>
      <c r="L555" s="80"/>
      <c r="M555" s="80"/>
      <c r="P555" s="324"/>
      <c r="Q555" s="1250"/>
      <c r="R555" s="1250"/>
      <c r="S555" s="1250"/>
      <c r="T555" s="1250"/>
      <c r="U555" s="1242"/>
      <c r="V555" s="324"/>
      <c r="W555" s="324"/>
      <c r="X555" s="324"/>
      <c r="Y555" s="324"/>
    </row>
    <row r="556" spans="1:25" ht="39.950000000000003" customHeight="1">
      <c r="A556" s="2984" t="s">
        <v>152</v>
      </c>
      <c r="B556" s="2985"/>
      <c r="C556" s="2986"/>
      <c r="D556" s="2987" t="str">
        <f>参照元個別!I27</f>
        <v>事業所名を入力23</v>
      </c>
      <c r="E556" s="2988"/>
      <c r="F556" s="2988"/>
      <c r="G556" s="2988"/>
      <c r="H556" s="2988"/>
      <c r="I556" s="2988"/>
      <c r="J556" s="2988"/>
      <c r="K556" s="2988"/>
      <c r="L556" s="2988"/>
      <c r="M556" s="2988"/>
      <c r="N556" s="2988"/>
      <c r="O556" s="2989"/>
      <c r="P556" s="156"/>
      <c r="V556" s="156"/>
      <c r="W556" s="156"/>
      <c r="X556" s="156"/>
      <c r="Y556" s="156"/>
    </row>
    <row r="557" spans="1:25" ht="39.950000000000003" customHeight="1">
      <c r="A557" s="2570" t="s">
        <v>153</v>
      </c>
      <c r="B557" s="2571"/>
      <c r="C557" s="2990"/>
      <c r="D557" s="2991"/>
      <c r="E557" s="2992"/>
      <c r="F557" s="2992"/>
      <c r="G557" s="2992"/>
      <c r="H557" s="2992"/>
      <c r="I557" s="2992"/>
      <c r="J557" s="2992"/>
      <c r="K557" s="2992"/>
      <c r="L557" s="2992"/>
      <c r="M557" s="2992"/>
      <c r="N557" s="2992"/>
      <c r="O557" s="2993"/>
      <c r="P557" s="156"/>
      <c r="V557" s="156"/>
      <c r="W557" s="156"/>
      <c r="X557" s="156"/>
      <c r="Y557" s="156"/>
    </row>
    <row r="558" spans="1:25" ht="39.950000000000003" customHeight="1">
      <c r="A558" s="2536" t="s">
        <v>154</v>
      </c>
      <c r="B558" s="2978"/>
      <c r="C558" s="2979"/>
      <c r="D558" s="2980"/>
      <c r="E558" s="101" t="s">
        <v>180</v>
      </c>
      <c r="F558" s="2974" t="s">
        <v>404</v>
      </c>
      <c r="G558" s="2975"/>
      <c r="H558" s="2981" t="str">
        <f ca="1">参照元個別!$P$27</f>
        <v/>
      </c>
      <c r="I558" s="2982"/>
      <c r="J558" s="58" t="s">
        <v>176</v>
      </c>
      <c r="K558" s="2974" t="s">
        <v>405</v>
      </c>
      <c r="L558" s="2975"/>
      <c r="M558" s="2971"/>
      <c r="N558" s="2972"/>
      <c r="O558" s="2973"/>
      <c r="P558" s="156" t="str">
        <f>IFERROR(VLOOKUP(M558,$U$1:$V$16,2,0),"")</f>
        <v/>
      </c>
      <c r="U558" s="1250"/>
      <c r="V558" s="156"/>
      <c r="W558" s="156"/>
      <c r="X558" s="156"/>
      <c r="Y558" s="156"/>
    </row>
    <row r="559" spans="1:25" ht="39.950000000000003" customHeight="1">
      <c r="A559" s="2974" t="s">
        <v>406</v>
      </c>
      <c r="B559" s="2975"/>
      <c r="C559" s="2976"/>
      <c r="D559" s="2896"/>
      <c r="E559" s="2897"/>
      <c r="F559" s="2974" t="s">
        <v>158</v>
      </c>
      <c r="G559" s="2975"/>
      <c r="H559" s="2976"/>
      <c r="I559" s="2896"/>
      <c r="J559" s="2897"/>
      <c r="K559" s="2580"/>
      <c r="L559" s="2977"/>
      <c r="M559" s="2977"/>
      <c r="N559" s="2977"/>
      <c r="O559" s="2977"/>
      <c r="P559" s="156"/>
      <c r="V559" s="156"/>
      <c r="W559" s="156"/>
      <c r="X559" s="156"/>
      <c r="Y559" s="156"/>
    </row>
    <row r="560" spans="1:25" ht="18.75" customHeight="1">
      <c r="A560" s="39"/>
      <c r="B560" s="39"/>
      <c r="C560" s="40"/>
      <c r="D560" s="41"/>
      <c r="E560" s="40"/>
      <c r="F560" s="42"/>
      <c r="P560" s="156"/>
      <c r="V560" s="325"/>
      <c r="W560" s="325"/>
      <c r="X560" s="156"/>
      <c r="Y560" s="156"/>
    </row>
    <row r="561" spans="1:28" ht="51.75" customHeight="1">
      <c r="A561" s="2950" t="s">
        <v>505</v>
      </c>
      <c r="B561" s="2951"/>
      <c r="C561" s="2951"/>
      <c r="D561" s="2951"/>
      <c r="E561" s="2951"/>
      <c r="F561" s="2951"/>
      <c r="G561" s="2951"/>
      <c r="H561" s="2951"/>
      <c r="I561" s="2951"/>
      <c r="J561" s="2951"/>
      <c r="K561" s="2951"/>
      <c r="L561" s="2951"/>
      <c r="M561" s="2951"/>
      <c r="N561" s="2951"/>
      <c r="O561" s="2951"/>
      <c r="P561" s="156"/>
      <c r="V561" s="325"/>
      <c r="W561" s="325"/>
      <c r="X561" s="156"/>
      <c r="Y561" s="156"/>
    </row>
    <row r="562" spans="1:28" ht="57.75" customHeight="1">
      <c r="A562" s="39"/>
      <c r="B562" s="39"/>
      <c r="C562" s="40"/>
      <c r="D562" s="41"/>
      <c r="E562" s="40"/>
      <c r="F562" s="42"/>
      <c r="P562" s="156"/>
      <c r="Q562" s="1251"/>
      <c r="R562" s="1251"/>
      <c r="S562" s="1251"/>
      <c r="T562" s="1251"/>
      <c r="V562" s="325"/>
      <c r="W562" s="325"/>
      <c r="X562" s="156"/>
      <c r="Y562" s="156"/>
    </row>
    <row r="563" spans="1:28" s="51" customFormat="1" ht="15.95" customHeight="1">
      <c r="A563" s="50" t="s">
        <v>509</v>
      </c>
      <c r="B563" s="52"/>
      <c r="C563" s="52"/>
      <c r="D563" s="52"/>
      <c r="E563" s="52"/>
      <c r="F563" s="52"/>
      <c r="G563" s="52"/>
      <c r="H563" s="52"/>
      <c r="I563" s="52"/>
      <c r="J563" s="52"/>
      <c r="K563" s="52"/>
      <c r="L563" s="50"/>
      <c r="M563" s="50"/>
      <c r="N563" s="50"/>
      <c r="O563" s="50"/>
      <c r="P563" s="324"/>
      <c r="Q563" s="1252"/>
      <c r="R563" s="1252"/>
      <c r="S563" s="1252"/>
      <c r="T563" s="1252"/>
      <c r="U563" s="1242"/>
      <c r="V563" s="326"/>
      <c r="W563" s="326"/>
      <c r="X563" s="324"/>
      <c r="Y563" s="324"/>
    </row>
    <row r="564" spans="1:28" ht="36" customHeight="1">
      <c r="A564" s="2654"/>
      <c r="B564" s="2655"/>
      <c r="C564" s="2674" t="s">
        <v>504</v>
      </c>
      <c r="D564" s="2674"/>
      <c r="E564" s="2674"/>
      <c r="F564" s="2674"/>
      <c r="G564" s="2674"/>
      <c r="H564" s="2952"/>
      <c r="I564" s="2673" t="s">
        <v>407</v>
      </c>
      <c r="J564" s="2953"/>
      <c r="K564" s="2953"/>
      <c r="L564" s="2953"/>
      <c r="M564" s="2953"/>
      <c r="N564" s="2953"/>
      <c r="O564" s="2952"/>
      <c r="P564" s="156"/>
      <c r="V564" s="156"/>
      <c r="W564" s="156"/>
      <c r="X564" s="156"/>
      <c r="Y564" s="156"/>
    </row>
    <row r="565" spans="1:28" ht="24" customHeight="1">
      <c r="A565" s="2633" t="s">
        <v>236</v>
      </c>
      <c r="B565" s="2954"/>
      <c r="C565" s="2955" t="str">
        <f ca="1">参照元個別!E27</f>
        <v/>
      </c>
      <c r="D565" s="2955"/>
      <c r="E565" s="2955"/>
      <c r="F565" s="2955"/>
      <c r="G565" s="2956"/>
      <c r="H565" s="2959" t="s">
        <v>414</v>
      </c>
      <c r="I565" s="2961" t="str">
        <f>参照元個別!F27</f>
        <v/>
      </c>
      <c r="J565" s="2962"/>
      <c r="K565" s="2962"/>
      <c r="L565" s="2962"/>
      <c r="M565" s="2965" t="s">
        <v>415</v>
      </c>
      <c r="N565" s="2967" t="str">
        <f>参照元個別!G27</f>
        <v/>
      </c>
      <c r="O565" s="2968"/>
      <c r="P565" s="165"/>
      <c r="V565" s="156"/>
      <c r="W565" s="156"/>
      <c r="X565" s="156"/>
      <c r="Y565" s="156"/>
    </row>
    <row r="566" spans="1:28" ht="23.1" customHeight="1">
      <c r="A566" s="2637">
        <f>IF( 報1!$L$28="","", 報1!$L$28 )</f>
        <v>2023</v>
      </c>
      <c r="B566" s="2638"/>
      <c r="C566" s="2957"/>
      <c r="D566" s="2957"/>
      <c r="E566" s="2957"/>
      <c r="F566" s="2957"/>
      <c r="G566" s="2958"/>
      <c r="H566" s="2960"/>
      <c r="I566" s="2963"/>
      <c r="J566" s="2964"/>
      <c r="K566" s="2964"/>
      <c r="L566" s="2964"/>
      <c r="M566" s="2966"/>
      <c r="N566" s="2969"/>
      <c r="O566" s="2970"/>
      <c r="P566" s="165"/>
      <c r="V566" s="156"/>
      <c r="W566" s="156"/>
      <c r="X566" s="156"/>
      <c r="Y566" s="156"/>
    </row>
    <row r="567" spans="1:28" ht="25.15" customHeight="1">
      <c r="A567" s="2938" t="s">
        <v>277</v>
      </c>
      <c r="B567" s="2939"/>
      <c r="C567" s="2940"/>
      <c r="D567" s="2941"/>
      <c r="E567" s="2941"/>
      <c r="F567" s="2941"/>
      <c r="G567" s="2941"/>
      <c r="H567" s="2941"/>
      <c r="I567" s="2941"/>
      <c r="J567" s="2941"/>
      <c r="K567" s="2941"/>
      <c r="L567" s="2941"/>
      <c r="M567" s="2941"/>
      <c r="N567" s="2941"/>
      <c r="O567" s="2942"/>
      <c r="P567" s="156"/>
      <c r="Q567" s="1253">
        <v>1</v>
      </c>
      <c r="R567" s="1245"/>
      <c r="S567" s="1254"/>
      <c r="T567" s="1255"/>
      <c r="U567" s="1256"/>
      <c r="V567" s="156"/>
      <c r="W567" s="156"/>
      <c r="X567" s="327"/>
      <c r="Y567" s="328"/>
      <c r="Z567" s="99"/>
      <c r="AA567" s="43"/>
      <c r="AB567" s="44"/>
    </row>
    <row r="568" spans="1:28" ht="25.15" customHeight="1">
      <c r="A568" s="2938"/>
      <c r="B568" s="2939"/>
      <c r="C568" s="2941"/>
      <c r="D568" s="2941"/>
      <c r="E568" s="2941"/>
      <c r="F568" s="2941"/>
      <c r="G568" s="2941"/>
      <c r="H568" s="2941"/>
      <c r="I568" s="2941"/>
      <c r="J568" s="2941"/>
      <c r="K568" s="2941"/>
      <c r="L568" s="2941"/>
      <c r="M568" s="2941"/>
      <c r="N568" s="2941"/>
      <c r="O568" s="2942"/>
      <c r="P568" s="156"/>
      <c r="Q568" s="1257"/>
      <c r="R568" s="1258"/>
      <c r="S568" s="1258"/>
      <c r="T568" s="1258"/>
      <c r="U568" s="1258"/>
      <c r="V568" s="156"/>
      <c r="W568" s="156"/>
      <c r="X568" s="156"/>
      <c r="Y568" s="156"/>
    </row>
    <row r="569" spans="1:28" ht="24.75" customHeight="1">
      <c r="A569" s="2938"/>
      <c r="B569" s="2939"/>
      <c r="C569" s="2941"/>
      <c r="D569" s="2941"/>
      <c r="E569" s="2941"/>
      <c r="F569" s="2941"/>
      <c r="G569" s="2941"/>
      <c r="H569" s="2941"/>
      <c r="I569" s="2941"/>
      <c r="J569" s="2941"/>
      <c r="K569" s="2941"/>
      <c r="L569" s="2941"/>
      <c r="M569" s="2941"/>
      <c r="N569" s="2941"/>
      <c r="O569" s="2942"/>
      <c r="P569" s="156"/>
      <c r="Q569" s="1257"/>
      <c r="R569" s="1256"/>
      <c r="S569" s="1256"/>
      <c r="T569" s="1256"/>
      <c r="U569" s="1256"/>
      <c r="V569" s="156"/>
      <c r="W569" s="156"/>
      <c r="X569" s="156"/>
      <c r="Y569" s="156"/>
    </row>
    <row r="570" spans="1:28" ht="10.15" customHeight="1">
      <c r="A570" s="2945"/>
      <c r="B570" s="2946"/>
      <c r="C570" s="2941"/>
      <c r="D570" s="2941"/>
      <c r="E570" s="2941"/>
      <c r="F570" s="2941"/>
      <c r="G570" s="2941"/>
      <c r="H570" s="2941"/>
      <c r="I570" s="2941"/>
      <c r="J570" s="2941"/>
      <c r="K570" s="2941"/>
      <c r="L570" s="2941"/>
      <c r="M570" s="2941"/>
      <c r="N570" s="2941"/>
      <c r="O570" s="2942"/>
      <c r="P570" s="156"/>
      <c r="Q570" s="1259"/>
      <c r="R570" s="1256"/>
      <c r="S570" s="1256"/>
      <c r="T570" s="1256"/>
      <c r="U570" s="1256"/>
      <c r="V570" s="156"/>
      <c r="W570" s="156"/>
      <c r="X570" s="156"/>
      <c r="Y570" s="156"/>
    </row>
    <row r="571" spans="1:28" ht="45" customHeight="1">
      <c r="A571" s="2947">
        <f>IF( 報1!$L$28="","", 報1!$L$28 )</f>
        <v>2023</v>
      </c>
      <c r="B571" s="2948"/>
      <c r="C571" s="2943"/>
      <c r="D571" s="2943"/>
      <c r="E571" s="2943"/>
      <c r="F571" s="2943"/>
      <c r="G571" s="2943"/>
      <c r="H571" s="2943"/>
      <c r="I571" s="2943"/>
      <c r="J571" s="2943"/>
      <c r="K571" s="2943"/>
      <c r="L571" s="2943"/>
      <c r="M571" s="2943"/>
      <c r="N571" s="2943"/>
      <c r="O571" s="2944"/>
      <c r="P571" s="156"/>
      <c r="Q571" s="1260"/>
      <c r="R571" s="1256"/>
      <c r="S571" s="1256"/>
      <c r="T571" s="1256"/>
      <c r="U571" s="1256"/>
      <c r="V571" s="156"/>
      <c r="W571" s="156"/>
      <c r="X571" s="156"/>
      <c r="Y571" s="156"/>
    </row>
    <row r="572" spans="1:28" ht="26.25" customHeight="1">
      <c r="A572" s="2949"/>
      <c r="B572" s="2949"/>
      <c r="C572" s="2949"/>
      <c r="D572" s="2949"/>
      <c r="E572" s="2949"/>
      <c r="F572" s="2949"/>
      <c r="G572" s="2949"/>
      <c r="H572" s="2949"/>
      <c r="I572" s="2949"/>
      <c r="J572" s="2949"/>
      <c r="K572" s="2949"/>
      <c r="L572" s="2949"/>
      <c r="M572" s="2949"/>
      <c r="N572" s="2949"/>
      <c r="O572" s="2949"/>
      <c r="P572" s="156"/>
      <c r="Q572" s="1259"/>
      <c r="R572" s="1256"/>
      <c r="S572" s="1256"/>
      <c r="T572" s="1256"/>
      <c r="U572" s="1256"/>
      <c r="V572" s="156"/>
      <c r="W572" s="156"/>
      <c r="X572" s="156"/>
      <c r="Y572" s="156"/>
    </row>
    <row r="573" spans="1:28" ht="30" customHeight="1">
      <c r="A573" s="156"/>
      <c r="B573" s="156"/>
      <c r="C573" s="156"/>
      <c r="D573" s="156"/>
      <c r="E573" s="156"/>
      <c r="F573" s="156"/>
      <c r="G573" s="156"/>
      <c r="H573" s="156"/>
      <c r="I573" s="156"/>
      <c r="J573" s="156"/>
      <c r="K573" s="156"/>
      <c r="L573" s="156"/>
      <c r="M573" s="156"/>
      <c r="N573" s="156"/>
      <c r="O573" s="329"/>
      <c r="P573" s="156"/>
      <c r="Q573" s="1248"/>
      <c r="R573" s="1260"/>
      <c r="S573" s="1244"/>
      <c r="T573" s="1244"/>
      <c r="V573" s="156"/>
      <c r="W573" s="156"/>
      <c r="X573" s="156"/>
      <c r="Y573" s="156"/>
    </row>
    <row r="574" spans="1:28" ht="18" customHeight="1">
      <c r="A574" s="156"/>
      <c r="B574" s="156"/>
      <c r="C574" s="156"/>
      <c r="D574" s="156"/>
      <c r="E574" s="156"/>
      <c r="F574" s="156"/>
      <c r="G574" s="156"/>
      <c r="H574" s="156"/>
      <c r="I574" s="156"/>
      <c r="J574" s="156"/>
      <c r="K574" s="156"/>
      <c r="L574" s="156"/>
      <c r="M574" s="156"/>
      <c r="N574" s="156"/>
      <c r="O574" s="329"/>
      <c r="P574" s="156"/>
      <c r="Q574" s="1261"/>
      <c r="R574" s="1260"/>
      <c r="S574" s="1244"/>
      <c r="T574" s="1244"/>
      <c r="V574" s="156"/>
      <c r="W574" s="156"/>
      <c r="X574" s="156"/>
      <c r="Y574" s="156"/>
    </row>
    <row r="575" spans="1:28" ht="18" customHeight="1">
      <c r="A575" s="156"/>
      <c r="B575" s="156"/>
      <c r="C575" s="156"/>
      <c r="D575" s="156"/>
      <c r="E575" s="156"/>
      <c r="F575" s="156"/>
      <c r="G575" s="156"/>
      <c r="H575" s="156"/>
      <c r="I575" s="156"/>
      <c r="J575" s="156"/>
      <c r="K575" s="156"/>
      <c r="L575" s="156"/>
      <c r="M575" s="156"/>
      <c r="N575" s="156"/>
      <c r="O575" s="329"/>
      <c r="P575" s="156"/>
      <c r="Q575" s="1261"/>
      <c r="R575" s="1260"/>
      <c r="S575" s="1244"/>
      <c r="T575" s="1244"/>
      <c r="V575" s="156"/>
      <c r="W575" s="156"/>
      <c r="X575" s="156"/>
      <c r="Y575" s="156"/>
    </row>
    <row r="576" spans="1:28">
      <c r="A576" s="1" t="s">
        <v>175</v>
      </c>
      <c r="B576" s="2"/>
      <c r="C576" s="2"/>
      <c r="D576" s="2"/>
      <c r="E576" s="2"/>
      <c r="F576" s="2"/>
      <c r="G576" s="2"/>
      <c r="H576" s="2"/>
      <c r="I576" s="2"/>
      <c r="J576" s="2"/>
      <c r="K576" s="2"/>
      <c r="L576" s="2"/>
      <c r="M576" s="2"/>
      <c r="N576" s="2"/>
      <c r="O576" s="2"/>
      <c r="P576" s="156" t="str">
        <f>"個別票"&amp;Q576</f>
        <v>個別票24</v>
      </c>
      <c r="Q576" s="1242">
        <f>Q551+1</f>
        <v>24</v>
      </c>
      <c r="V576" s="156"/>
      <c r="W576" s="156"/>
      <c r="X576" s="156"/>
      <c r="Y576" s="156"/>
    </row>
    <row r="577" spans="1:28">
      <c r="A577" s="2" t="s">
        <v>150</v>
      </c>
      <c r="B577" s="4"/>
      <c r="C577" s="4"/>
      <c r="D577" s="4"/>
      <c r="E577" s="4"/>
      <c r="F577" s="4"/>
      <c r="G577" s="4"/>
      <c r="H577" s="4"/>
      <c r="I577" s="4"/>
      <c r="J577" s="4"/>
      <c r="K577" s="4"/>
      <c r="L577" s="4"/>
      <c r="M577" s="4"/>
      <c r="N577" s="2"/>
      <c r="O577" s="2"/>
      <c r="P577" s="156"/>
      <c r="V577" s="156"/>
      <c r="W577" s="156"/>
      <c r="X577" s="156"/>
      <c r="Y577" s="156"/>
    </row>
    <row r="578" spans="1:28" ht="17.25">
      <c r="A578" s="2983" t="s">
        <v>403</v>
      </c>
      <c r="B578" s="2983"/>
      <c r="C578" s="2983"/>
      <c r="D578" s="2983"/>
      <c r="E578" s="2983"/>
      <c r="F578" s="2983"/>
      <c r="G578" s="2983"/>
      <c r="H578" s="2983"/>
      <c r="I578" s="2983"/>
      <c r="J578" s="2983"/>
      <c r="K578" s="2983"/>
      <c r="L578" s="2983"/>
      <c r="M578" s="2983"/>
      <c r="N578" s="2983"/>
      <c r="O578" s="2983"/>
      <c r="P578" s="156"/>
      <c r="V578" s="156"/>
      <c r="W578" s="156"/>
      <c r="X578" s="156"/>
      <c r="Y578" s="156"/>
    </row>
    <row r="579" spans="1:28" ht="31.5" customHeight="1">
      <c r="A579" s="38"/>
      <c r="B579" s="38"/>
      <c r="C579" s="38"/>
      <c r="D579" s="38"/>
      <c r="E579" s="38"/>
      <c r="F579" s="38"/>
      <c r="G579" s="38"/>
      <c r="H579" s="38"/>
      <c r="I579" s="38"/>
      <c r="J579" s="38"/>
      <c r="K579" s="38"/>
      <c r="L579" s="38"/>
      <c r="M579" s="38"/>
      <c r="N579" s="38"/>
      <c r="O579" s="38"/>
      <c r="P579" s="156"/>
      <c r="V579" s="156"/>
      <c r="W579" s="156"/>
      <c r="X579" s="156"/>
      <c r="Y579" s="156"/>
    </row>
    <row r="580" spans="1:28" s="51" customFormat="1" ht="15.95" customHeight="1">
      <c r="A580" s="48" t="s">
        <v>151</v>
      </c>
      <c r="B580" s="80"/>
      <c r="C580" s="80"/>
      <c r="D580" s="80"/>
      <c r="E580" s="80"/>
      <c r="F580" s="80"/>
      <c r="G580" s="80"/>
      <c r="H580" s="80"/>
      <c r="I580" s="80"/>
      <c r="J580" s="80"/>
      <c r="K580" s="80"/>
      <c r="L580" s="80"/>
      <c r="M580" s="80"/>
      <c r="P580" s="324"/>
      <c r="Q580" s="1250"/>
      <c r="R580" s="1250"/>
      <c r="S580" s="1250"/>
      <c r="T580" s="1250"/>
      <c r="U580" s="1242"/>
      <c r="V580" s="324"/>
      <c r="W580" s="324"/>
      <c r="X580" s="324"/>
      <c r="Y580" s="324"/>
    </row>
    <row r="581" spans="1:28" ht="39.950000000000003" customHeight="1">
      <c r="A581" s="2984" t="s">
        <v>152</v>
      </c>
      <c r="B581" s="2985"/>
      <c r="C581" s="2986"/>
      <c r="D581" s="2987" t="str">
        <f>参照元個別!I28</f>
        <v>事業所名を入力24</v>
      </c>
      <c r="E581" s="2988"/>
      <c r="F581" s="2988"/>
      <c r="G581" s="2988"/>
      <c r="H581" s="2988"/>
      <c r="I581" s="2988"/>
      <c r="J581" s="2988"/>
      <c r="K581" s="2988"/>
      <c r="L581" s="2988"/>
      <c r="M581" s="2988"/>
      <c r="N581" s="2988"/>
      <c r="O581" s="2989"/>
      <c r="P581" s="156"/>
      <c r="V581" s="156"/>
      <c r="W581" s="156"/>
      <c r="X581" s="156"/>
      <c r="Y581" s="156"/>
    </row>
    <row r="582" spans="1:28" ht="39.950000000000003" customHeight="1">
      <c r="A582" s="2570" t="s">
        <v>153</v>
      </c>
      <c r="B582" s="2571"/>
      <c r="C582" s="2990"/>
      <c r="D582" s="2991"/>
      <c r="E582" s="2992"/>
      <c r="F582" s="2992"/>
      <c r="G582" s="2992"/>
      <c r="H582" s="2992"/>
      <c r="I582" s="2992"/>
      <c r="J582" s="2992"/>
      <c r="K582" s="2992"/>
      <c r="L582" s="2992"/>
      <c r="M582" s="2992"/>
      <c r="N582" s="2992"/>
      <c r="O582" s="2993"/>
      <c r="P582" s="156"/>
      <c r="V582" s="156"/>
      <c r="W582" s="156"/>
      <c r="X582" s="156"/>
      <c r="Y582" s="156"/>
    </row>
    <row r="583" spans="1:28" ht="39.950000000000003" customHeight="1">
      <c r="A583" s="2536" t="s">
        <v>154</v>
      </c>
      <c r="B583" s="2978"/>
      <c r="C583" s="2979"/>
      <c r="D583" s="2980"/>
      <c r="E583" s="101" t="s">
        <v>180</v>
      </c>
      <c r="F583" s="2974" t="s">
        <v>404</v>
      </c>
      <c r="G583" s="2975"/>
      <c r="H583" s="2981" t="str">
        <f ca="1">参照元個別!$P$28</f>
        <v/>
      </c>
      <c r="I583" s="2982"/>
      <c r="J583" s="58" t="s">
        <v>176</v>
      </c>
      <c r="K583" s="2974" t="s">
        <v>405</v>
      </c>
      <c r="L583" s="2975"/>
      <c r="M583" s="2971"/>
      <c r="N583" s="2972"/>
      <c r="O583" s="2973"/>
      <c r="P583" s="156" t="str">
        <f>IFERROR(VLOOKUP(M583,$U$1:$V$16,2,0),"")</f>
        <v/>
      </c>
      <c r="U583" s="1250"/>
      <c r="V583" s="156"/>
      <c r="W583" s="156"/>
      <c r="X583" s="156"/>
      <c r="Y583" s="156"/>
    </row>
    <row r="584" spans="1:28" ht="39.950000000000003" customHeight="1">
      <c r="A584" s="2974" t="s">
        <v>406</v>
      </c>
      <c r="B584" s="2975"/>
      <c r="C584" s="2976"/>
      <c r="D584" s="2896"/>
      <c r="E584" s="2897"/>
      <c r="F584" s="2974" t="s">
        <v>158</v>
      </c>
      <c r="G584" s="2975"/>
      <c r="H584" s="2976"/>
      <c r="I584" s="2896"/>
      <c r="J584" s="2897"/>
      <c r="K584" s="2580"/>
      <c r="L584" s="2977"/>
      <c r="M584" s="2977"/>
      <c r="N584" s="2977"/>
      <c r="O584" s="2977"/>
      <c r="P584" s="156"/>
      <c r="V584" s="156"/>
      <c r="W584" s="156"/>
      <c r="X584" s="156"/>
      <c r="Y584" s="156"/>
    </row>
    <row r="585" spans="1:28" ht="18.75" customHeight="1">
      <c r="A585" s="39"/>
      <c r="B585" s="39"/>
      <c r="C585" s="40"/>
      <c r="D585" s="41"/>
      <c r="E585" s="40"/>
      <c r="F585" s="42"/>
      <c r="P585" s="156"/>
      <c r="V585" s="325"/>
      <c r="W585" s="325"/>
      <c r="X585" s="156"/>
      <c r="Y585" s="156"/>
    </row>
    <row r="586" spans="1:28" ht="51.75" customHeight="1">
      <c r="A586" s="2950" t="s">
        <v>505</v>
      </c>
      <c r="B586" s="2951"/>
      <c r="C586" s="2951"/>
      <c r="D586" s="2951"/>
      <c r="E586" s="2951"/>
      <c r="F586" s="2951"/>
      <c r="G586" s="2951"/>
      <c r="H586" s="2951"/>
      <c r="I586" s="2951"/>
      <c r="J586" s="2951"/>
      <c r="K586" s="2951"/>
      <c r="L586" s="2951"/>
      <c r="M586" s="2951"/>
      <c r="N586" s="2951"/>
      <c r="O586" s="2951"/>
      <c r="P586" s="156"/>
      <c r="V586" s="325"/>
      <c r="W586" s="325"/>
      <c r="X586" s="156"/>
      <c r="Y586" s="156"/>
    </row>
    <row r="587" spans="1:28" ht="57.75" customHeight="1">
      <c r="A587" s="39"/>
      <c r="B587" s="39"/>
      <c r="C587" s="40"/>
      <c r="D587" s="41"/>
      <c r="E587" s="40"/>
      <c r="F587" s="42"/>
      <c r="P587" s="156"/>
      <c r="Q587" s="1251"/>
      <c r="R587" s="1251"/>
      <c r="S587" s="1251"/>
      <c r="T587" s="1251"/>
      <c r="V587" s="325"/>
      <c r="W587" s="325"/>
      <c r="X587" s="156"/>
      <c r="Y587" s="156"/>
    </row>
    <row r="588" spans="1:28" s="51" customFormat="1" ht="15.95" customHeight="1">
      <c r="A588" s="50" t="s">
        <v>509</v>
      </c>
      <c r="B588" s="52"/>
      <c r="C588" s="52"/>
      <c r="D588" s="52"/>
      <c r="E588" s="52"/>
      <c r="F588" s="52"/>
      <c r="G588" s="52"/>
      <c r="H588" s="52"/>
      <c r="I588" s="52"/>
      <c r="J588" s="52"/>
      <c r="K588" s="52"/>
      <c r="L588" s="50"/>
      <c r="M588" s="50"/>
      <c r="N588" s="50"/>
      <c r="O588" s="50"/>
      <c r="P588" s="324"/>
      <c r="Q588" s="1252"/>
      <c r="R588" s="1252"/>
      <c r="S588" s="1252"/>
      <c r="T588" s="1252"/>
      <c r="U588" s="1242"/>
      <c r="V588" s="326"/>
      <c r="W588" s="326"/>
      <c r="X588" s="324"/>
      <c r="Y588" s="324"/>
    </row>
    <row r="589" spans="1:28" ht="36" customHeight="1">
      <c r="A589" s="2654"/>
      <c r="B589" s="2655"/>
      <c r="C589" s="2674" t="s">
        <v>504</v>
      </c>
      <c r="D589" s="2674"/>
      <c r="E589" s="2674"/>
      <c r="F589" s="2674"/>
      <c r="G589" s="2674"/>
      <c r="H589" s="2952"/>
      <c r="I589" s="2673" t="s">
        <v>407</v>
      </c>
      <c r="J589" s="2953"/>
      <c r="K589" s="2953"/>
      <c r="L589" s="2953"/>
      <c r="M589" s="2953"/>
      <c r="N589" s="2953"/>
      <c r="O589" s="2952"/>
      <c r="P589" s="156"/>
      <c r="V589" s="156"/>
      <c r="W589" s="156"/>
      <c r="X589" s="156"/>
      <c r="Y589" s="156"/>
    </row>
    <row r="590" spans="1:28" ht="24" customHeight="1">
      <c r="A590" s="2633" t="s">
        <v>236</v>
      </c>
      <c r="B590" s="2954"/>
      <c r="C590" s="2955" t="str">
        <f ca="1">参照元個別!E28</f>
        <v/>
      </c>
      <c r="D590" s="2955"/>
      <c r="E590" s="2955"/>
      <c r="F590" s="2955"/>
      <c r="G590" s="2956"/>
      <c r="H590" s="2959" t="s">
        <v>414</v>
      </c>
      <c r="I590" s="2961" t="str">
        <f>参照元個別!F28</f>
        <v/>
      </c>
      <c r="J590" s="2962"/>
      <c r="K590" s="2962"/>
      <c r="L590" s="2962"/>
      <c r="M590" s="2965" t="s">
        <v>415</v>
      </c>
      <c r="N590" s="2967" t="str">
        <f>参照元個別!G28</f>
        <v/>
      </c>
      <c r="O590" s="2968"/>
      <c r="P590" s="165"/>
      <c r="V590" s="156"/>
      <c r="W590" s="156"/>
      <c r="X590" s="156"/>
      <c r="Y590" s="156"/>
    </row>
    <row r="591" spans="1:28" ht="23.1" customHeight="1">
      <c r="A591" s="2637">
        <f>IF( 報1!$L$28="","", 報1!$L$28 )</f>
        <v>2023</v>
      </c>
      <c r="B591" s="2638"/>
      <c r="C591" s="2957"/>
      <c r="D591" s="2957"/>
      <c r="E591" s="2957"/>
      <c r="F591" s="2957"/>
      <c r="G591" s="2958"/>
      <c r="H591" s="2960"/>
      <c r="I591" s="2963"/>
      <c r="J591" s="2964"/>
      <c r="K591" s="2964"/>
      <c r="L591" s="2964"/>
      <c r="M591" s="2966"/>
      <c r="N591" s="2969"/>
      <c r="O591" s="2970"/>
      <c r="P591" s="165"/>
      <c r="V591" s="156"/>
      <c r="W591" s="156"/>
      <c r="X591" s="156"/>
      <c r="Y591" s="156"/>
    </row>
    <row r="592" spans="1:28" ht="25.15" customHeight="1">
      <c r="A592" s="2938" t="s">
        <v>277</v>
      </c>
      <c r="B592" s="2939"/>
      <c r="C592" s="2940"/>
      <c r="D592" s="2941"/>
      <c r="E592" s="2941"/>
      <c r="F592" s="2941"/>
      <c r="G592" s="2941"/>
      <c r="H592" s="2941"/>
      <c r="I592" s="2941"/>
      <c r="J592" s="2941"/>
      <c r="K592" s="2941"/>
      <c r="L592" s="2941"/>
      <c r="M592" s="2941"/>
      <c r="N592" s="2941"/>
      <c r="O592" s="2942"/>
      <c r="P592" s="156"/>
      <c r="Q592" s="1253">
        <v>1</v>
      </c>
      <c r="R592" s="1245"/>
      <c r="S592" s="1254"/>
      <c r="T592" s="1255"/>
      <c r="U592" s="1256"/>
      <c r="V592" s="156"/>
      <c r="W592" s="156"/>
      <c r="X592" s="327"/>
      <c r="Y592" s="328"/>
      <c r="Z592" s="99"/>
      <c r="AA592" s="43"/>
      <c r="AB592" s="44"/>
    </row>
    <row r="593" spans="1:25" ht="25.15" customHeight="1">
      <c r="A593" s="2938"/>
      <c r="B593" s="2939"/>
      <c r="C593" s="2941"/>
      <c r="D593" s="2941"/>
      <c r="E593" s="2941"/>
      <c r="F593" s="2941"/>
      <c r="G593" s="2941"/>
      <c r="H593" s="2941"/>
      <c r="I593" s="2941"/>
      <c r="J593" s="2941"/>
      <c r="K593" s="2941"/>
      <c r="L593" s="2941"/>
      <c r="M593" s="2941"/>
      <c r="N593" s="2941"/>
      <c r="O593" s="2942"/>
      <c r="P593" s="156"/>
      <c r="Q593" s="1257"/>
      <c r="R593" s="1258"/>
      <c r="S593" s="1258"/>
      <c r="T593" s="1258"/>
      <c r="U593" s="1258"/>
      <c r="V593" s="156"/>
      <c r="W593" s="156"/>
      <c r="X593" s="156"/>
      <c r="Y593" s="156"/>
    </row>
    <row r="594" spans="1:25" ht="24.75" customHeight="1">
      <c r="A594" s="2938"/>
      <c r="B594" s="2939"/>
      <c r="C594" s="2941"/>
      <c r="D594" s="2941"/>
      <c r="E594" s="2941"/>
      <c r="F594" s="2941"/>
      <c r="G594" s="2941"/>
      <c r="H594" s="2941"/>
      <c r="I594" s="2941"/>
      <c r="J594" s="2941"/>
      <c r="K594" s="2941"/>
      <c r="L594" s="2941"/>
      <c r="M594" s="2941"/>
      <c r="N594" s="2941"/>
      <c r="O594" s="2942"/>
      <c r="P594" s="156"/>
      <c r="Q594" s="1257"/>
      <c r="R594" s="1256"/>
      <c r="S594" s="1256"/>
      <c r="T594" s="1256"/>
      <c r="U594" s="1256"/>
      <c r="V594" s="156"/>
      <c r="W594" s="156"/>
      <c r="X594" s="156"/>
      <c r="Y594" s="156"/>
    </row>
    <row r="595" spans="1:25" ht="10.15" customHeight="1">
      <c r="A595" s="2945"/>
      <c r="B595" s="2946"/>
      <c r="C595" s="2941"/>
      <c r="D595" s="2941"/>
      <c r="E595" s="2941"/>
      <c r="F595" s="2941"/>
      <c r="G595" s="2941"/>
      <c r="H595" s="2941"/>
      <c r="I595" s="2941"/>
      <c r="J595" s="2941"/>
      <c r="K595" s="2941"/>
      <c r="L595" s="2941"/>
      <c r="M595" s="2941"/>
      <c r="N595" s="2941"/>
      <c r="O595" s="2942"/>
      <c r="P595" s="156"/>
      <c r="Q595" s="1259"/>
      <c r="R595" s="1256"/>
      <c r="S595" s="1256"/>
      <c r="T595" s="1256"/>
      <c r="U595" s="1256"/>
      <c r="V595" s="156"/>
      <c r="W595" s="156"/>
      <c r="X595" s="156"/>
      <c r="Y595" s="156"/>
    </row>
    <row r="596" spans="1:25" ht="45" customHeight="1">
      <c r="A596" s="2947">
        <f>IF( 報1!$L$28="","", 報1!$L$28 )</f>
        <v>2023</v>
      </c>
      <c r="B596" s="2948"/>
      <c r="C596" s="2943"/>
      <c r="D596" s="2943"/>
      <c r="E596" s="2943"/>
      <c r="F596" s="2943"/>
      <c r="G596" s="2943"/>
      <c r="H596" s="2943"/>
      <c r="I596" s="2943"/>
      <c r="J596" s="2943"/>
      <c r="K596" s="2943"/>
      <c r="L596" s="2943"/>
      <c r="M596" s="2943"/>
      <c r="N596" s="2943"/>
      <c r="O596" s="2944"/>
      <c r="P596" s="156"/>
      <c r="Q596" s="1260"/>
      <c r="R596" s="1256"/>
      <c r="S596" s="1256"/>
      <c r="T596" s="1256"/>
      <c r="U596" s="1256"/>
      <c r="V596" s="156"/>
      <c r="W596" s="156"/>
      <c r="X596" s="156"/>
      <c r="Y596" s="156"/>
    </row>
    <row r="597" spans="1:25" ht="26.25" customHeight="1">
      <c r="A597" s="2949"/>
      <c r="B597" s="2949"/>
      <c r="C597" s="2949"/>
      <c r="D597" s="2949"/>
      <c r="E597" s="2949"/>
      <c r="F597" s="2949"/>
      <c r="G597" s="2949"/>
      <c r="H597" s="2949"/>
      <c r="I597" s="2949"/>
      <c r="J597" s="2949"/>
      <c r="K597" s="2949"/>
      <c r="L597" s="2949"/>
      <c r="M597" s="2949"/>
      <c r="N597" s="2949"/>
      <c r="O597" s="2949"/>
      <c r="P597" s="156"/>
      <c r="Q597" s="1259"/>
      <c r="R597" s="1256"/>
      <c r="S597" s="1256"/>
      <c r="T597" s="1256"/>
      <c r="U597" s="1256"/>
      <c r="V597" s="156"/>
      <c r="W597" s="156"/>
      <c r="X597" s="156"/>
      <c r="Y597" s="156"/>
    </row>
    <row r="598" spans="1:25" ht="30" customHeight="1">
      <c r="A598" s="156"/>
      <c r="B598" s="156"/>
      <c r="C598" s="156"/>
      <c r="D598" s="156"/>
      <c r="E598" s="156"/>
      <c r="F598" s="156"/>
      <c r="G598" s="156"/>
      <c r="H598" s="156"/>
      <c r="I598" s="156"/>
      <c r="J598" s="156"/>
      <c r="K598" s="156"/>
      <c r="L598" s="156"/>
      <c r="M598" s="156"/>
      <c r="N598" s="156"/>
      <c r="O598" s="329"/>
      <c r="P598" s="156"/>
      <c r="Q598" s="1248"/>
      <c r="R598" s="1260"/>
      <c r="S598" s="1244"/>
      <c r="T598" s="1244"/>
      <c r="V598" s="156"/>
      <c r="W598" s="156"/>
      <c r="X598" s="156"/>
      <c r="Y598" s="156"/>
    </row>
    <row r="599" spans="1:25" ht="18" customHeight="1">
      <c r="A599" s="156"/>
      <c r="B599" s="156"/>
      <c r="C599" s="156"/>
      <c r="D599" s="156"/>
      <c r="E599" s="156"/>
      <c r="F599" s="156"/>
      <c r="G599" s="156"/>
      <c r="H599" s="156"/>
      <c r="I599" s="156"/>
      <c r="J599" s="156"/>
      <c r="K599" s="156"/>
      <c r="L599" s="156"/>
      <c r="M599" s="156"/>
      <c r="N599" s="156"/>
      <c r="O599" s="329"/>
      <c r="P599" s="156"/>
      <c r="Q599" s="1261"/>
      <c r="R599" s="1260"/>
      <c r="S599" s="1244"/>
      <c r="T599" s="1244"/>
      <c r="V599" s="156"/>
      <c r="W599" s="156"/>
      <c r="X599" s="156"/>
      <c r="Y599" s="156"/>
    </row>
    <row r="600" spans="1:25" ht="18" customHeight="1">
      <c r="A600" s="156"/>
      <c r="B600" s="156"/>
      <c r="C600" s="156"/>
      <c r="D600" s="156"/>
      <c r="E600" s="156"/>
      <c r="F600" s="156"/>
      <c r="G600" s="156"/>
      <c r="H600" s="156"/>
      <c r="I600" s="156"/>
      <c r="J600" s="156"/>
      <c r="K600" s="156"/>
      <c r="L600" s="156"/>
      <c r="M600" s="156"/>
      <c r="N600" s="156"/>
      <c r="O600" s="329"/>
      <c r="P600" s="156"/>
      <c r="Q600" s="1261"/>
      <c r="R600" s="1260"/>
      <c r="S600" s="1244"/>
      <c r="T600" s="1244"/>
      <c r="V600" s="156"/>
      <c r="W600" s="156"/>
      <c r="X600" s="156"/>
      <c r="Y600" s="156"/>
    </row>
    <row r="601" spans="1:25">
      <c r="A601" s="1" t="s">
        <v>175</v>
      </c>
      <c r="B601" s="2"/>
      <c r="C601" s="2"/>
      <c r="D601" s="2"/>
      <c r="E601" s="2"/>
      <c r="F601" s="2"/>
      <c r="G601" s="2"/>
      <c r="H601" s="2"/>
      <c r="I601" s="2"/>
      <c r="J601" s="2"/>
      <c r="K601" s="2"/>
      <c r="L601" s="2"/>
      <c r="M601" s="2"/>
      <c r="N601" s="2"/>
      <c r="O601" s="2"/>
      <c r="P601" s="156" t="str">
        <f>"個別票"&amp;Q601</f>
        <v>個別票25</v>
      </c>
      <c r="Q601" s="1242">
        <f>Q576+1</f>
        <v>25</v>
      </c>
      <c r="V601" s="156"/>
      <c r="W601" s="156"/>
      <c r="X601" s="156"/>
      <c r="Y601" s="156"/>
    </row>
    <row r="602" spans="1:25">
      <c r="A602" s="2" t="s">
        <v>150</v>
      </c>
      <c r="B602" s="4"/>
      <c r="C602" s="4"/>
      <c r="D602" s="4"/>
      <c r="E602" s="4"/>
      <c r="F602" s="4"/>
      <c r="G602" s="4"/>
      <c r="H602" s="4"/>
      <c r="I602" s="4"/>
      <c r="J602" s="4"/>
      <c r="K602" s="4"/>
      <c r="L602" s="4"/>
      <c r="M602" s="4"/>
      <c r="N602" s="2"/>
      <c r="O602" s="2"/>
      <c r="P602" s="156"/>
      <c r="V602" s="156"/>
      <c r="W602" s="156"/>
      <c r="X602" s="156"/>
      <c r="Y602" s="156"/>
    </row>
    <row r="603" spans="1:25" ht="17.25">
      <c r="A603" s="2983" t="s">
        <v>403</v>
      </c>
      <c r="B603" s="2983"/>
      <c r="C603" s="2983"/>
      <c r="D603" s="2983"/>
      <c r="E603" s="2983"/>
      <c r="F603" s="2983"/>
      <c r="G603" s="2983"/>
      <c r="H603" s="2983"/>
      <c r="I603" s="2983"/>
      <c r="J603" s="2983"/>
      <c r="K603" s="2983"/>
      <c r="L603" s="2983"/>
      <c r="M603" s="2983"/>
      <c r="N603" s="2983"/>
      <c r="O603" s="2983"/>
      <c r="P603" s="156"/>
      <c r="V603" s="156"/>
      <c r="W603" s="156"/>
      <c r="X603" s="156"/>
      <c r="Y603" s="156"/>
    </row>
    <row r="604" spans="1:25" ht="31.5" customHeight="1">
      <c r="A604" s="38"/>
      <c r="B604" s="38"/>
      <c r="C604" s="38"/>
      <c r="D604" s="38"/>
      <c r="E604" s="38"/>
      <c r="F604" s="38"/>
      <c r="G604" s="38"/>
      <c r="H604" s="38"/>
      <c r="I604" s="38"/>
      <c r="J604" s="38"/>
      <c r="K604" s="38"/>
      <c r="L604" s="38"/>
      <c r="M604" s="38"/>
      <c r="N604" s="38"/>
      <c r="O604" s="38"/>
      <c r="P604" s="156"/>
      <c r="V604" s="156"/>
      <c r="W604" s="156"/>
      <c r="X604" s="156"/>
      <c r="Y604" s="156"/>
    </row>
    <row r="605" spans="1:25" s="51" customFormat="1" ht="15.95" customHeight="1">
      <c r="A605" s="48" t="s">
        <v>151</v>
      </c>
      <c r="B605" s="80"/>
      <c r="C605" s="80"/>
      <c r="D605" s="80"/>
      <c r="E605" s="80"/>
      <c r="F605" s="80"/>
      <c r="G605" s="80"/>
      <c r="H605" s="80"/>
      <c r="I605" s="80"/>
      <c r="J605" s="80"/>
      <c r="K605" s="80"/>
      <c r="L605" s="80"/>
      <c r="M605" s="80"/>
      <c r="P605" s="324"/>
      <c r="Q605" s="1250"/>
      <c r="R605" s="1250"/>
      <c r="S605" s="1250"/>
      <c r="T605" s="1250"/>
      <c r="U605" s="1242"/>
      <c r="V605" s="324"/>
      <c r="W605" s="324"/>
      <c r="X605" s="324"/>
      <c r="Y605" s="324"/>
    </row>
    <row r="606" spans="1:25" ht="39.950000000000003" customHeight="1">
      <c r="A606" s="2984" t="s">
        <v>152</v>
      </c>
      <c r="B606" s="2985"/>
      <c r="C606" s="2986"/>
      <c r="D606" s="2987" t="str">
        <f>参照元個別!I29</f>
        <v>事業所名を入力25</v>
      </c>
      <c r="E606" s="2988"/>
      <c r="F606" s="2988"/>
      <c r="G606" s="2988"/>
      <c r="H606" s="2988"/>
      <c r="I606" s="2988"/>
      <c r="J606" s="2988"/>
      <c r="K606" s="2988"/>
      <c r="L606" s="2988"/>
      <c r="M606" s="2988"/>
      <c r="N606" s="2988"/>
      <c r="O606" s="2989"/>
      <c r="P606" s="156"/>
      <c r="V606" s="156"/>
      <c r="W606" s="156"/>
      <c r="X606" s="156"/>
      <c r="Y606" s="156"/>
    </row>
    <row r="607" spans="1:25" ht="39.950000000000003" customHeight="1">
      <c r="A607" s="2570" t="s">
        <v>153</v>
      </c>
      <c r="B607" s="2571"/>
      <c r="C607" s="2990"/>
      <c r="D607" s="2991"/>
      <c r="E607" s="2992"/>
      <c r="F607" s="2992"/>
      <c r="G607" s="2992"/>
      <c r="H607" s="2992"/>
      <c r="I607" s="2992"/>
      <c r="J607" s="2992"/>
      <c r="K607" s="2992"/>
      <c r="L607" s="2992"/>
      <c r="M607" s="2992"/>
      <c r="N607" s="2992"/>
      <c r="O607" s="2993"/>
      <c r="P607" s="156"/>
      <c r="V607" s="156"/>
      <c r="W607" s="156"/>
      <c r="X607" s="156"/>
      <c r="Y607" s="156"/>
    </row>
    <row r="608" spans="1:25" ht="39.950000000000003" customHeight="1">
      <c r="A608" s="2536" t="s">
        <v>154</v>
      </c>
      <c r="B608" s="2978"/>
      <c r="C608" s="2979"/>
      <c r="D608" s="2980"/>
      <c r="E608" s="101" t="s">
        <v>180</v>
      </c>
      <c r="F608" s="2974" t="s">
        <v>404</v>
      </c>
      <c r="G608" s="2975"/>
      <c r="H608" s="2981" t="str">
        <f ca="1">参照元個別!$P$29</f>
        <v/>
      </c>
      <c r="I608" s="2982"/>
      <c r="J608" s="58" t="s">
        <v>176</v>
      </c>
      <c r="K608" s="2974" t="s">
        <v>405</v>
      </c>
      <c r="L608" s="2975"/>
      <c r="M608" s="2971"/>
      <c r="N608" s="2972"/>
      <c r="O608" s="2973"/>
      <c r="P608" s="156" t="str">
        <f>IFERROR(VLOOKUP(M608,$U$1:$V$16,2,0),"")</f>
        <v/>
      </c>
      <c r="U608" s="1250"/>
      <c r="V608" s="156"/>
      <c r="W608" s="156"/>
      <c r="X608" s="156"/>
      <c r="Y608" s="156"/>
    </row>
    <row r="609" spans="1:28" ht="39.950000000000003" customHeight="1">
      <c r="A609" s="2974" t="s">
        <v>406</v>
      </c>
      <c r="B609" s="2975"/>
      <c r="C609" s="2976"/>
      <c r="D609" s="2896"/>
      <c r="E609" s="2897"/>
      <c r="F609" s="2974" t="s">
        <v>158</v>
      </c>
      <c r="G609" s="2975"/>
      <c r="H609" s="2976"/>
      <c r="I609" s="2896"/>
      <c r="J609" s="2897"/>
      <c r="K609" s="2580"/>
      <c r="L609" s="2977"/>
      <c r="M609" s="2977"/>
      <c r="N609" s="2977"/>
      <c r="O609" s="2977"/>
      <c r="P609" s="156"/>
      <c r="V609" s="156"/>
      <c r="W609" s="156"/>
      <c r="X609" s="156"/>
      <c r="Y609" s="156"/>
    </row>
    <row r="610" spans="1:28" ht="18.75" customHeight="1">
      <c r="A610" s="39"/>
      <c r="B610" s="39"/>
      <c r="C610" s="40"/>
      <c r="D610" s="41"/>
      <c r="E610" s="40"/>
      <c r="F610" s="42"/>
      <c r="P610" s="156"/>
      <c r="V610" s="325"/>
      <c r="W610" s="325"/>
      <c r="X610" s="156"/>
      <c r="Y610" s="156"/>
    </row>
    <row r="611" spans="1:28" ht="51.75" customHeight="1">
      <c r="A611" s="2950" t="s">
        <v>505</v>
      </c>
      <c r="B611" s="2951"/>
      <c r="C611" s="2951"/>
      <c r="D611" s="2951"/>
      <c r="E611" s="2951"/>
      <c r="F611" s="2951"/>
      <c r="G611" s="2951"/>
      <c r="H611" s="2951"/>
      <c r="I611" s="2951"/>
      <c r="J611" s="2951"/>
      <c r="K611" s="2951"/>
      <c r="L611" s="2951"/>
      <c r="M611" s="2951"/>
      <c r="N611" s="2951"/>
      <c r="O611" s="2951"/>
      <c r="P611" s="156"/>
      <c r="V611" s="325"/>
      <c r="W611" s="325"/>
      <c r="X611" s="156"/>
      <c r="Y611" s="156"/>
    </row>
    <row r="612" spans="1:28" ht="57.75" customHeight="1">
      <c r="A612" s="39"/>
      <c r="B612" s="39"/>
      <c r="C612" s="40"/>
      <c r="D612" s="41"/>
      <c r="E612" s="40"/>
      <c r="F612" s="42"/>
      <c r="P612" s="156"/>
      <c r="Q612" s="1251"/>
      <c r="R612" s="1251"/>
      <c r="S612" s="1251"/>
      <c r="T612" s="1251"/>
      <c r="V612" s="325"/>
      <c r="W612" s="325"/>
      <c r="X612" s="156"/>
      <c r="Y612" s="156"/>
    </row>
    <row r="613" spans="1:28" s="51" customFormat="1" ht="15.95" customHeight="1">
      <c r="A613" s="50" t="s">
        <v>509</v>
      </c>
      <c r="B613" s="52"/>
      <c r="C613" s="52"/>
      <c r="D613" s="52"/>
      <c r="E613" s="52"/>
      <c r="F613" s="52"/>
      <c r="G613" s="52"/>
      <c r="H613" s="52"/>
      <c r="I613" s="52"/>
      <c r="J613" s="52"/>
      <c r="K613" s="52"/>
      <c r="L613" s="50"/>
      <c r="M613" s="50"/>
      <c r="N613" s="50"/>
      <c r="O613" s="50"/>
      <c r="P613" s="324"/>
      <c r="Q613" s="1252"/>
      <c r="R613" s="1252"/>
      <c r="S613" s="1252"/>
      <c r="T613" s="1252"/>
      <c r="U613" s="1242"/>
      <c r="V613" s="326"/>
      <c r="W613" s="326"/>
      <c r="X613" s="324"/>
      <c r="Y613" s="324"/>
    </row>
    <row r="614" spans="1:28" ht="36" customHeight="1">
      <c r="A614" s="2654"/>
      <c r="B614" s="2655"/>
      <c r="C614" s="2674" t="s">
        <v>504</v>
      </c>
      <c r="D614" s="2674"/>
      <c r="E614" s="2674"/>
      <c r="F614" s="2674"/>
      <c r="G614" s="2674"/>
      <c r="H614" s="2952"/>
      <c r="I614" s="2673" t="s">
        <v>407</v>
      </c>
      <c r="J614" s="2953"/>
      <c r="K614" s="2953"/>
      <c r="L614" s="2953"/>
      <c r="M614" s="2953"/>
      <c r="N614" s="2953"/>
      <c r="O614" s="2952"/>
      <c r="P614" s="156"/>
      <c r="V614" s="156"/>
      <c r="W614" s="156"/>
      <c r="X614" s="156"/>
      <c r="Y614" s="156"/>
    </row>
    <row r="615" spans="1:28" ht="24" customHeight="1">
      <c r="A615" s="2633" t="s">
        <v>236</v>
      </c>
      <c r="B615" s="2954"/>
      <c r="C615" s="2955" t="str">
        <f ca="1">参照元個別!E29</f>
        <v/>
      </c>
      <c r="D615" s="2955"/>
      <c r="E615" s="2955"/>
      <c r="F615" s="2955"/>
      <c r="G615" s="2956"/>
      <c r="H615" s="2959" t="s">
        <v>414</v>
      </c>
      <c r="I615" s="2961" t="str">
        <f>参照元個別!F29</f>
        <v/>
      </c>
      <c r="J615" s="2962"/>
      <c r="K615" s="2962"/>
      <c r="L615" s="2962"/>
      <c r="M615" s="2965" t="s">
        <v>415</v>
      </c>
      <c r="N615" s="2967" t="str">
        <f>参照元個別!G29</f>
        <v/>
      </c>
      <c r="O615" s="2968"/>
      <c r="P615" s="165"/>
      <c r="V615" s="156"/>
      <c r="W615" s="156"/>
      <c r="X615" s="156"/>
      <c r="Y615" s="156"/>
    </row>
    <row r="616" spans="1:28" ht="23.1" customHeight="1">
      <c r="A616" s="2637">
        <f>IF( 報1!$L$28="","", 報1!$L$28 )</f>
        <v>2023</v>
      </c>
      <c r="B616" s="2638"/>
      <c r="C616" s="2957"/>
      <c r="D616" s="2957"/>
      <c r="E616" s="2957"/>
      <c r="F616" s="2957"/>
      <c r="G616" s="2958"/>
      <c r="H616" s="2960"/>
      <c r="I616" s="2963"/>
      <c r="J616" s="2964"/>
      <c r="K616" s="2964"/>
      <c r="L616" s="2964"/>
      <c r="M616" s="2966"/>
      <c r="N616" s="2969"/>
      <c r="O616" s="2970"/>
      <c r="P616" s="165"/>
      <c r="V616" s="156"/>
      <c r="W616" s="156"/>
      <c r="X616" s="156"/>
      <c r="Y616" s="156"/>
    </row>
    <row r="617" spans="1:28" ht="25.15" customHeight="1">
      <c r="A617" s="2938" t="s">
        <v>277</v>
      </c>
      <c r="B617" s="2939"/>
      <c r="C617" s="2940"/>
      <c r="D617" s="2941"/>
      <c r="E617" s="2941"/>
      <c r="F617" s="2941"/>
      <c r="G617" s="2941"/>
      <c r="H617" s="2941"/>
      <c r="I617" s="2941"/>
      <c r="J617" s="2941"/>
      <c r="K617" s="2941"/>
      <c r="L617" s="2941"/>
      <c r="M617" s="2941"/>
      <c r="N617" s="2941"/>
      <c r="O617" s="2942"/>
      <c r="P617" s="156"/>
      <c r="Q617" s="1253">
        <v>1</v>
      </c>
      <c r="R617" s="1245"/>
      <c r="S617" s="1254"/>
      <c r="T617" s="1255"/>
      <c r="U617" s="1256"/>
      <c r="V617" s="156"/>
      <c r="W617" s="156"/>
      <c r="X617" s="327"/>
      <c r="Y617" s="328"/>
      <c r="Z617" s="99"/>
      <c r="AA617" s="43"/>
      <c r="AB617" s="44"/>
    </row>
    <row r="618" spans="1:28" ht="25.15" customHeight="1">
      <c r="A618" s="2938"/>
      <c r="B618" s="2939"/>
      <c r="C618" s="2941"/>
      <c r="D618" s="2941"/>
      <c r="E618" s="2941"/>
      <c r="F618" s="2941"/>
      <c r="G618" s="2941"/>
      <c r="H618" s="2941"/>
      <c r="I618" s="2941"/>
      <c r="J618" s="2941"/>
      <c r="K618" s="2941"/>
      <c r="L618" s="2941"/>
      <c r="M618" s="2941"/>
      <c r="N618" s="2941"/>
      <c r="O618" s="2942"/>
      <c r="P618" s="156"/>
      <c r="Q618" s="1257"/>
      <c r="R618" s="1258"/>
      <c r="S618" s="1258"/>
      <c r="T618" s="1258"/>
      <c r="U618" s="1258"/>
      <c r="V618" s="156"/>
      <c r="W618" s="156"/>
      <c r="X618" s="156"/>
      <c r="Y618" s="156"/>
    </row>
    <row r="619" spans="1:28" ht="24.75" customHeight="1">
      <c r="A619" s="2938"/>
      <c r="B619" s="2939"/>
      <c r="C619" s="2941"/>
      <c r="D619" s="2941"/>
      <c r="E619" s="2941"/>
      <c r="F619" s="2941"/>
      <c r="G619" s="2941"/>
      <c r="H619" s="2941"/>
      <c r="I619" s="2941"/>
      <c r="J619" s="2941"/>
      <c r="K619" s="2941"/>
      <c r="L619" s="2941"/>
      <c r="M619" s="2941"/>
      <c r="N619" s="2941"/>
      <c r="O619" s="2942"/>
      <c r="P619" s="156"/>
      <c r="Q619" s="1257"/>
      <c r="R619" s="1256"/>
      <c r="S619" s="1256"/>
      <c r="T619" s="1256"/>
      <c r="U619" s="1256"/>
      <c r="V619" s="156"/>
      <c r="W619" s="156"/>
      <c r="X619" s="156"/>
      <c r="Y619" s="156"/>
    </row>
    <row r="620" spans="1:28" ht="10.15" customHeight="1">
      <c r="A620" s="2945"/>
      <c r="B620" s="2946"/>
      <c r="C620" s="2941"/>
      <c r="D620" s="2941"/>
      <c r="E620" s="2941"/>
      <c r="F620" s="2941"/>
      <c r="G620" s="2941"/>
      <c r="H620" s="2941"/>
      <c r="I620" s="2941"/>
      <c r="J620" s="2941"/>
      <c r="K620" s="2941"/>
      <c r="L620" s="2941"/>
      <c r="M620" s="2941"/>
      <c r="N620" s="2941"/>
      <c r="O620" s="2942"/>
      <c r="P620" s="156"/>
      <c r="Q620" s="1259"/>
      <c r="R620" s="1256"/>
      <c r="S620" s="1256"/>
      <c r="T620" s="1256"/>
      <c r="U620" s="1256"/>
      <c r="V620" s="156"/>
      <c r="W620" s="156"/>
      <c r="X620" s="156"/>
      <c r="Y620" s="156"/>
    </row>
    <row r="621" spans="1:28" ht="45" customHeight="1">
      <c r="A621" s="2947">
        <f>IF( 報1!$L$28="","", 報1!$L$28 )</f>
        <v>2023</v>
      </c>
      <c r="B621" s="2948"/>
      <c r="C621" s="2943"/>
      <c r="D621" s="2943"/>
      <c r="E621" s="2943"/>
      <c r="F621" s="2943"/>
      <c r="G621" s="2943"/>
      <c r="H621" s="2943"/>
      <c r="I621" s="2943"/>
      <c r="J621" s="2943"/>
      <c r="K621" s="2943"/>
      <c r="L621" s="2943"/>
      <c r="M621" s="2943"/>
      <c r="N621" s="2943"/>
      <c r="O621" s="2944"/>
      <c r="P621" s="156"/>
      <c r="Q621" s="1260"/>
      <c r="R621" s="1256"/>
      <c r="S621" s="1256"/>
      <c r="T621" s="1256"/>
      <c r="U621" s="1256"/>
      <c r="V621" s="156"/>
      <c r="W621" s="156"/>
      <c r="X621" s="156"/>
      <c r="Y621" s="156"/>
    </row>
    <row r="622" spans="1:28" ht="26.25" customHeight="1">
      <c r="A622" s="2949"/>
      <c r="B622" s="2949"/>
      <c r="C622" s="2949"/>
      <c r="D622" s="2949"/>
      <c r="E622" s="2949"/>
      <c r="F622" s="2949"/>
      <c r="G622" s="2949"/>
      <c r="H622" s="2949"/>
      <c r="I622" s="2949"/>
      <c r="J622" s="2949"/>
      <c r="K622" s="2949"/>
      <c r="L622" s="2949"/>
      <c r="M622" s="2949"/>
      <c r="N622" s="2949"/>
      <c r="O622" s="2949"/>
      <c r="P622" s="156"/>
      <c r="Q622" s="1259"/>
      <c r="R622" s="1256"/>
      <c r="S622" s="1256"/>
      <c r="T622" s="1256"/>
      <c r="U622" s="1256"/>
      <c r="V622" s="156"/>
      <c r="W622" s="156"/>
      <c r="X622" s="156"/>
      <c r="Y622" s="156"/>
    </row>
    <row r="623" spans="1:28" ht="30" customHeight="1">
      <c r="A623" s="156"/>
      <c r="B623" s="156"/>
      <c r="C623" s="156"/>
      <c r="D623" s="156"/>
      <c r="E623" s="156"/>
      <c r="F623" s="156"/>
      <c r="G623" s="156"/>
      <c r="H623" s="156"/>
      <c r="I623" s="156"/>
      <c r="J623" s="156"/>
      <c r="K623" s="156"/>
      <c r="L623" s="156"/>
      <c r="M623" s="156"/>
      <c r="N623" s="156"/>
      <c r="O623" s="329"/>
      <c r="P623" s="156"/>
      <c r="Q623" s="1248"/>
      <c r="R623" s="1260"/>
      <c r="S623" s="1244"/>
      <c r="T623" s="1244"/>
      <c r="V623" s="156"/>
      <c r="W623" s="156"/>
      <c r="X623" s="156"/>
      <c r="Y623" s="156"/>
    </row>
    <row r="624" spans="1:28" ht="18" customHeight="1">
      <c r="A624" s="156"/>
      <c r="B624" s="156"/>
      <c r="C624" s="156"/>
      <c r="D624" s="156"/>
      <c r="E624" s="156"/>
      <c r="F624" s="156"/>
      <c r="G624" s="156"/>
      <c r="H624" s="156"/>
      <c r="I624" s="156"/>
      <c r="J624" s="156"/>
      <c r="K624" s="156"/>
      <c r="L624" s="156"/>
      <c r="M624" s="156"/>
      <c r="N624" s="156"/>
      <c r="O624" s="329"/>
      <c r="P624" s="156"/>
      <c r="Q624" s="1261"/>
      <c r="R624" s="1260"/>
      <c r="S624" s="1244"/>
      <c r="T624" s="1244"/>
      <c r="V624" s="156"/>
      <c r="W624" s="156"/>
      <c r="X624" s="156"/>
      <c r="Y624" s="156"/>
    </row>
    <row r="625" spans="1:25" ht="18" customHeight="1">
      <c r="A625" s="156"/>
      <c r="B625" s="156"/>
      <c r="C625" s="156"/>
      <c r="D625" s="156"/>
      <c r="E625" s="156"/>
      <c r="F625" s="156"/>
      <c r="G625" s="156"/>
      <c r="H625" s="156"/>
      <c r="I625" s="156"/>
      <c r="J625" s="156"/>
      <c r="K625" s="156"/>
      <c r="L625" s="156"/>
      <c r="M625" s="156"/>
      <c r="N625" s="156"/>
      <c r="O625" s="329"/>
      <c r="P625" s="156"/>
      <c r="Q625" s="1261"/>
      <c r="R625" s="1260"/>
      <c r="S625" s="1244"/>
      <c r="T625" s="1244"/>
      <c r="V625" s="156"/>
      <c r="W625" s="156"/>
      <c r="X625" s="156"/>
      <c r="Y625" s="156"/>
    </row>
    <row r="626" spans="1:25">
      <c r="A626" s="1" t="s">
        <v>175</v>
      </c>
      <c r="B626" s="2"/>
      <c r="C626" s="2"/>
      <c r="D626" s="2"/>
      <c r="E626" s="2"/>
      <c r="F626" s="2"/>
      <c r="G626" s="2"/>
      <c r="H626" s="2"/>
      <c r="I626" s="2"/>
      <c r="J626" s="2"/>
      <c r="K626" s="2"/>
      <c r="L626" s="2"/>
      <c r="M626" s="2"/>
      <c r="N626" s="2"/>
      <c r="O626" s="2"/>
      <c r="P626" s="156" t="str">
        <f>"個別票"&amp;Q626</f>
        <v>個別票26</v>
      </c>
      <c r="Q626" s="1242">
        <f>Q601+1</f>
        <v>26</v>
      </c>
      <c r="V626" s="156"/>
      <c r="W626" s="156"/>
      <c r="X626" s="156"/>
      <c r="Y626" s="156"/>
    </row>
    <row r="627" spans="1:25">
      <c r="A627" s="2" t="s">
        <v>150</v>
      </c>
      <c r="B627" s="4"/>
      <c r="C627" s="4"/>
      <c r="D627" s="4"/>
      <c r="E627" s="4"/>
      <c r="F627" s="4"/>
      <c r="G627" s="4"/>
      <c r="H627" s="4"/>
      <c r="I627" s="4"/>
      <c r="J627" s="4"/>
      <c r="K627" s="4"/>
      <c r="L627" s="4"/>
      <c r="M627" s="4"/>
      <c r="N627" s="2"/>
      <c r="O627" s="2"/>
      <c r="P627" s="156"/>
      <c r="V627" s="156"/>
      <c r="W627" s="156"/>
      <c r="X627" s="156"/>
      <c r="Y627" s="156"/>
    </row>
    <row r="628" spans="1:25" ht="17.25">
      <c r="A628" s="2983" t="s">
        <v>403</v>
      </c>
      <c r="B628" s="2983"/>
      <c r="C628" s="2983"/>
      <c r="D628" s="2983"/>
      <c r="E628" s="2983"/>
      <c r="F628" s="2983"/>
      <c r="G628" s="2983"/>
      <c r="H628" s="2983"/>
      <c r="I628" s="2983"/>
      <c r="J628" s="2983"/>
      <c r="K628" s="2983"/>
      <c r="L628" s="2983"/>
      <c r="M628" s="2983"/>
      <c r="N628" s="2983"/>
      <c r="O628" s="2983"/>
      <c r="P628" s="156"/>
      <c r="V628" s="156"/>
      <c r="W628" s="156"/>
      <c r="X628" s="156"/>
      <c r="Y628" s="156"/>
    </row>
    <row r="629" spans="1:25" ht="31.5" customHeight="1">
      <c r="A629" s="38"/>
      <c r="B629" s="38"/>
      <c r="C629" s="38"/>
      <c r="D629" s="38"/>
      <c r="E629" s="38"/>
      <c r="F629" s="38"/>
      <c r="G629" s="38"/>
      <c r="H629" s="38"/>
      <c r="I629" s="38"/>
      <c r="J629" s="38"/>
      <c r="K629" s="38"/>
      <c r="L629" s="38"/>
      <c r="M629" s="38"/>
      <c r="N629" s="38"/>
      <c r="O629" s="38"/>
      <c r="P629" s="156"/>
      <c r="V629" s="156"/>
      <c r="W629" s="156"/>
      <c r="X629" s="156"/>
      <c r="Y629" s="156"/>
    </row>
    <row r="630" spans="1:25" s="51" customFormat="1" ht="15.95" customHeight="1">
      <c r="A630" s="48" t="s">
        <v>151</v>
      </c>
      <c r="B630" s="80"/>
      <c r="C630" s="80"/>
      <c r="D630" s="80"/>
      <c r="E630" s="80"/>
      <c r="F630" s="80"/>
      <c r="G630" s="80"/>
      <c r="H630" s="80"/>
      <c r="I630" s="80"/>
      <c r="J630" s="80"/>
      <c r="K630" s="80"/>
      <c r="L630" s="80"/>
      <c r="M630" s="80"/>
      <c r="P630" s="324"/>
      <c r="Q630" s="1250"/>
      <c r="R630" s="1250"/>
      <c r="S630" s="1250"/>
      <c r="T630" s="1250"/>
      <c r="U630" s="1242"/>
      <c r="V630" s="324"/>
      <c r="W630" s="324"/>
      <c r="X630" s="324"/>
      <c r="Y630" s="324"/>
    </row>
    <row r="631" spans="1:25" ht="39.950000000000003" customHeight="1">
      <c r="A631" s="2984" t="s">
        <v>152</v>
      </c>
      <c r="B631" s="2985"/>
      <c r="C631" s="2986"/>
      <c r="D631" s="2987" t="str">
        <f>参照元個別!I30</f>
        <v>事業所名を入力26</v>
      </c>
      <c r="E631" s="2988"/>
      <c r="F631" s="2988"/>
      <c r="G631" s="2988"/>
      <c r="H631" s="2988"/>
      <c r="I631" s="2988"/>
      <c r="J631" s="2988"/>
      <c r="K631" s="2988"/>
      <c r="L631" s="2988"/>
      <c r="M631" s="2988"/>
      <c r="N631" s="2988"/>
      <c r="O631" s="2989"/>
      <c r="P631" s="156"/>
      <c r="V631" s="156"/>
      <c r="W631" s="156"/>
      <c r="X631" s="156"/>
      <c r="Y631" s="156"/>
    </row>
    <row r="632" spans="1:25" ht="39.950000000000003" customHeight="1">
      <c r="A632" s="2570" t="s">
        <v>153</v>
      </c>
      <c r="B632" s="2571"/>
      <c r="C632" s="2990"/>
      <c r="D632" s="2991"/>
      <c r="E632" s="2992"/>
      <c r="F632" s="2992"/>
      <c r="G632" s="2992"/>
      <c r="H632" s="2992"/>
      <c r="I632" s="2992"/>
      <c r="J632" s="2992"/>
      <c r="K632" s="2992"/>
      <c r="L632" s="2992"/>
      <c r="M632" s="2992"/>
      <c r="N632" s="2992"/>
      <c r="O632" s="2993"/>
      <c r="P632" s="156"/>
      <c r="V632" s="156"/>
      <c r="W632" s="156"/>
      <c r="X632" s="156"/>
      <c r="Y632" s="156"/>
    </row>
    <row r="633" spans="1:25" ht="39.950000000000003" customHeight="1">
      <c r="A633" s="2536" t="s">
        <v>154</v>
      </c>
      <c r="B633" s="2978"/>
      <c r="C633" s="2979"/>
      <c r="D633" s="2980"/>
      <c r="E633" s="101" t="s">
        <v>180</v>
      </c>
      <c r="F633" s="2974" t="s">
        <v>404</v>
      </c>
      <c r="G633" s="2975"/>
      <c r="H633" s="2981" t="str">
        <f ca="1">参照元個別!$P$30</f>
        <v/>
      </c>
      <c r="I633" s="2982"/>
      <c r="J633" s="58" t="s">
        <v>176</v>
      </c>
      <c r="K633" s="2974" t="s">
        <v>405</v>
      </c>
      <c r="L633" s="2975"/>
      <c r="M633" s="2971"/>
      <c r="N633" s="2972"/>
      <c r="O633" s="2973"/>
      <c r="P633" s="156" t="str">
        <f>IFERROR(VLOOKUP(M633,$U$1:$V$16,2,0),"")</f>
        <v/>
      </c>
      <c r="U633" s="1250"/>
      <c r="V633" s="156"/>
      <c r="W633" s="156"/>
      <c r="X633" s="156"/>
      <c r="Y633" s="156"/>
    </row>
    <row r="634" spans="1:25" ht="39.950000000000003" customHeight="1">
      <c r="A634" s="2974" t="s">
        <v>406</v>
      </c>
      <c r="B634" s="2975"/>
      <c r="C634" s="2976"/>
      <c r="D634" s="2896"/>
      <c r="E634" s="2897"/>
      <c r="F634" s="2974" t="s">
        <v>158</v>
      </c>
      <c r="G634" s="2975"/>
      <c r="H634" s="2976"/>
      <c r="I634" s="2896"/>
      <c r="J634" s="2897"/>
      <c r="K634" s="2580"/>
      <c r="L634" s="2977"/>
      <c r="M634" s="2977"/>
      <c r="N634" s="2977"/>
      <c r="O634" s="2977"/>
      <c r="P634" s="156"/>
      <c r="V634" s="156"/>
      <c r="W634" s="156"/>
      <c r="X634" s="156"/>
      <c r="Y634" s="156"/>
    </row>
    <row r="635" spans="1:25" ht="18.75" customHeight="1">
      <c r="A635" s="39"/>
      <c r="B635" s="39"/>
      <c r="C635" s="40"/>
      <c r="D635" s="41"/>
      <c r="E635" s="40"/>
      <c r="F635" s="42"/>
      <c r="P635" s="156"/>
      <c r="V635" s="325"/>
      <c r="W635" s="325"/>
      <c r="X635" s="156"/>
      <c r="Y635" s="156"/>
    </row>
    <row r="636" spans="1:25" ht="51.75" customHeight="1">
      <c r="A636" s="2950" t="s">
        <v>505</v>
      </c>
      <c r="B636" s="2951"/>
      <c r="C636" s="2951"/>
      <c r="D636" s="2951"/>
      <c r="E636" s="2951"/>
      <c r="F636" s="2951"/>
      <c r="G636" s="2951"/>
      <c r="H636" s="2951"/>
      <c r="I636" s="2951"/>
      <c r="J636" s="2951"/>
      <c r="K636" s="2951"/>
      <c r="L636" s="2951"/>
      <c r="M636" s="2951"/>
      <c r="N636" s="2951"/>
      <c r="O636" s="2951"/>
      <c r="P636" s="156"/>
      <c r="V636" s="325"/>
      <c r="W636" s="325"/>
      <c r="X636" s="156"/>
      <c r="Y636" s="156"/>
    </row>
    <row r="637" spans="1:25" ht="57.75" customHeight="1">
      <c r="A637" s="39"/>
      <c r="B637" s="39"/>
      <c r="C637" s="40"/>
      <c r="D637" s="41"/>
      <c r="E637" s="40"/>
      <c r="F637" s="42"/>
      <c r="P637" s="156"/>
      <c r="Q637" s="1251"/>
      <c r="R637" s="1251"/>
      <c r="S637" s="1251"/>
      <c r="T637" s="1251"/>
      <c r="V637" s="325"/>
      <c r="W637" s="325"/>
      <c r="X637" s="156"/>
      <c r="Y637" s="156"/>
    </row>
    <row r="638" spans="1:25" s="51" customFormat="1" ht="15.95" customHeight="1">
      <c r="A638" s="50" t="s">
        <v>509</v>
      </c>
      <c r="B638" s="52"/>
      <c r="C638" s="52"/>
      <c r="D638" s="52"/>
      <c r="E638" s="52"/>
      <c r="F638" s="52"/>
      <c r="G638" s="52"/>
      <c r="H638" s="52"/>
      <c r="I638" s="52"/>
      <c r="J638" s="52"/>
      <c r="K638" s="52"/>
      <c r="L638" s="50"/>
      <c r="M638" s="50"/>
      <c r="N638" s="50"/>
      <c r="O638" s="50"/>
      <c r="P638" s="324"/>
      <c r="Q638" s="1252"/>
      <c r="R638" s="1252"/>
      <c r="S638" s="1252"/>
      <c r="T638" s="1252"/>
      <c r="U638" s="1242"/>
      <c r="V638" s="326"/>
      <c r="W638" s="326"/>
      <c r="X638" s="324"/>
      <c r="Y638" s="324"/>
    </row>
    <row r="639" spans="1:25" ht="36" customHeight="1">
      <c r="A639" s="2654"/>
      <c r="B639" s="2655"/>
      <c r="C639" s="2674" t="s">
        <v>504</v>
      </c>
      <c r="D639" s="2674"/>
      <c r="E639" s="2674"/>
      <c r="F639" s="2674"/>
      <c r="G639" s="2674"/>
      <c r="H639" s="2952"/>
      <c r="I639" s="2673" t="s">
        <v>407</v>
      </c>
      <c r="J639" s="2953"/>
      <c r="K639" s="2953"/>
      <c r="L639" s="2953"/>
      <c r="M639" s="2953"/>
      <c r="N639" s="2953"/>
      <c r="O639" s="2952"/>
      <c r="P639" s="156"/>
      <c r="V639" s="156"/>
      <c r="W639" s="156"/>
      <c r="X639" s="156"/>
      <c r="Y639" s="156"/>
    </row>
    <row r="640" spans="1:25" ht="24" customHeight="1">
      <c r="A640" s="2633" t="s">
        <v>236</v>
      </c>
      <c r="B640" s="2954"/>
      <c r="C640" s="2955" t="str">
        <f ca="1">参照元個別!E30</f>
        <v/>
      </c>
      <c r="D640" s="2955"/>
      <c r="E640" s="2955"/>
      <c r="F640" s="2955"/>
      <c r="G640" s="2956"/>
      <c r="H640" s="2959" t="s">
        <v>414</v>
      </c>
      <c r="I640" s="2961" t="str">
        <f>参照元個別!F30</f>
        <v/>
      </c>
      <c r="J640" s="2962"/>
      <c r="K640" s="2962"/>
      <c r="L640" s="2962"/>
      <c r="M640" s="2965" t="s">
        <v>415</v>
      </c>
      <c r="N640" s="2967" t="str">
        <f>参照元個別!G30</f>
        <v/>
      </c>
      <c r="O640" s="2968"/>
      <c r="P640" s="165"/>
      <c r="V640" s="156"/>
      <c r="W640" s="156"/>
      <c r="X640" s="156"/>
      <c r="Y640" s="156"/>
    </row>
    <row r="641" spans="1:28" ht="23.1" customHeight="1">
      <c r="A641" s="2637">
        <f>IF( 報1!$L$28="","", 報1!$L$28 )</f>
        <v>2023</v>
      </c>
      <c r="B641" s="2638"/>
      <c r="C641" s="2957"/>
      <c r="D641" s="2957"/>
      <c r="E641" s="2957"/>
      <c r="F641" s="2957"/>
      <c r="G641" s="2958"/>
      <c r="H641" s="2960"/>
      <c r="I641" s="2963"/>
      <c r="J641" s="2964"/>
      <c r="K641" s="2964"/>
      <c r="L641" s="2964"/>
      <c r="M641" s="2966"/>
      <c r="N641" s="2969"/>
      <c r="O641" s="2970"/>
      <c r="P641" s="165"/>
      <c r="V641" s="156"/>
      <c r="W641" s="156"/>
      <c r="X641" s="156"/>
      <c r="Y641" s="156"/>
    </row>
    <row r="642" spans="1:28" ht="25.15" customHeight="1">
      <c r="A642" s="2938" t="s">
        <v>277</v>
      </c>
      <c r="B642" s="2939"/>
      <c r="C642" s="2940"/>
      <c r="D642" s="2941"/>
      <c r="E642" s="2941"/>
      <c r="F642" s="2941"/>
      <c r="G642" s="2941"/>
      <c r="H642" s="2941"/>
      <c r="I642" s="2941"/>
      <c r="J642" s="2941"/>
      <c r="K642" s="2941"/>
      <c r="L642" s="2941"/>
      <c r="M642" s="2941"/>
      <c r="N642" s="2941"/>
      <c r="O642" s="2942"/>
      <c r="P642" s="156"/>
      <c r="Q642" s="1253">
        <v>1</v>
      </c>
      <c r="R642" s="1245"/>
      <c r="S642" s="1254"/>
      <c r="T642" s="1255"/>
      <c r="U642" s="1256"/>
      <c r="V642" s="156"/>
      <c r="W642" s="156"/>
      <c r="X642" s="327"/>
      <c r="Y642" s="328"/>
      <c r="Z642" s="99"/>
      <c r="AA642" s="43"/>
      <c r="AB642" s="44"/>
    </row>
    <row r="643" spans="1:28" ht="25.15" customHeight="1">
      <c r="A643" s="2938"/>
      <c r="B643" s="2939"/>
      <c r="C643" s="2941"/>
      <c r="D643" s="2941"/>
      <c r="E643" s="2941"/>
      <c r="F643" s="2941"/>
      <c r="G643" s="2941"/>
      <c r="H643" s="2941"/>
      <c r="I643" s="2941"/>
      <c r="J643" s="2941"/>
      <c r="K643" s="2941"/>
      <c r="L643" s="2941"/>
      <c r="M643" s="2941"/>
      <c r="N643" s="2941"/>
      <c r="O643" s="2942"/>
      <c r="P643" s="156"/>
      <c r="Q643" s="1257"/>
      <c r="R643" s="1258"/>
      <c r="S643" s="1258"/>
      <c r="T643" s="1258"/>
      <c r="U643" s="1258"/>
      <c r="V643" s="156"/>
      <c r="W643" s="156"/>
      <c r="X643" s="156"/>
      <c r="Y643" s="156"/>
    </row>
    <row r="644" spans="1:28" ht="24.75" customHeight="1">
      <c r="A644" s="2938"/>
      <c r="B644" s="2939"/>
      <c r="C644" s="2941"/>
      <c r="D644" s="2941"/>
      <c r="E644" s="2941"/>
      <c r="F644" s="2941"/>
      <c r="G644" s="2941"/>
      <c r="H644" s="2941"/>
      <c r="I644" s="2941"/>
      <c r="J644" s="2941"/>
      <c r="K644" s="2941"/>
      <c r="L644" s="2941"/>
      <c r="M644" s="2941"/>
      <c r="N644" s="2941"/>
      <c r="O644" s="2942"/>
      <c r="P644" s="156"/>
      <c r="Q644" s="1257"/>
      <c r="R644" s="1256"/>
      <c r="S644" s="1256"/>
      <c r="T644" s="1256"/>
      <c r="U644" s="1256"/>
      <c r="V644" s="156"/>
      <c r="W644" s="156"/>
      <c r="X644" s="156"/>
      <c r="Y644" s="156"/>
    </row>
    <row r="645" spans="1:28" ht="10.15" customHeight="1">
      <c r="A645" s="2945"/>
      <c r="B645" s="2946"/>
      <c r="C645" s="2941"/>
      <c r="D645" s="2941"/>
      <c r="E645" s="2941"/>
      <c r="F645" s="2941"/>
      <c r="G645" s="2941"/>
      <c r="H645" s="2941"/>
      <c r="I645" s="2941"/>
      <c r="J645" s="2941"/>
      <c r="K645" s="2941"/>
      <c r="L645" s="2941"/>
      <c r="M645" s="2941"/>
      <c r="N645" s="2941"/>
      <c r="O645" s="2942"/>
      <c r="P645" s="156"/>
      <c r="Q645" s="1259"/>
      <c r="R645" s="1256"/>
      <c r="S645" s="1256"/>
      <c r="T645" s="1256"/>
      <c r="U645" s="1256"/>
      <c r="V645" s="156"/>
      <c r="W645" s="156"/>
      <c r="X645" s="156"/>
      <c r="Y645" s="156"/>
    </row>
    <row r="646" spans="1:28" ht="45" customHeight="1">
      <c r="A646" s="2947">
        <f>IF( 報1!$L$28="","", 報1!$L$28 )</f>
        <v>2023</v>
      </c>
      <c r="B646" s="2948"/>
      <c r="C646" s="2943"/>
      <c r="D646" s="2943"/>
      <c r="E646" s="2943"/>
      <c r="F646" s="2943"/>
      <c r="G646" s="2943"/>
      <c r="H646" s="2943"/>
      <c r="I646" s="2943"/>
      <c r="J646" s="2943"/>
      <c r="K646" s="2943"/>
      <c r="L646" s="2943"/>
      <c r="M646" s="2943"/>
      <c r="N646" s="2943"/>
      <c r="O646" s="2944"/>
      <c r="P646" s="156"/>
      <c r="Q646" s="1260"/>
      <c r="R646" s="1256"/>
      <c r="S646" s="1256"/>
      <c r="T646" s="1256"/>
      <c r="U646" s="1256"/>
      <c r="V646" s="156"/>
      <c r="W646" s="156"/>
      <c r="X646" s="156"/>
      <c r="Y646" s="156"/>
    </row>
    <row r="647" spans="1:28" ht="26.25" customHeight="1">
      <c r="A647" s="2949"/>
      <c r="B647" s="2949"/>
      <c r="C647" s="2949"/>
      <c r="D647" s="2949"/>
      <c r="E647" s="2949"/>
      <c r="F647" s="2949"/>
      <c r="G647" s="2949"/>
      <c r="H647" s="2949"/>
      <c r="I647" s="2949"/>
      <c r="J647" s="2949"/>
      <c r="K647" s="2949"/>
      <c r="L647" s="2949"/>
      <c r="M647" s="2949"/>
      <c r="N647" s="2949"/>
      <c r="O647" s="2949"/>
      <c r="P647" s="156"/>
      <c r="Q647" s="1259"/>
      <c r="R647" s="1256"/>
      <c r="S647" s="1256"/>
      <c r="T647" s="1256"/>
      <c r="U647" s="1256"/>
      <c r="V647" s="156"/>
      <c r="W647" s="156"/>
      <c r="X647" s="156"/>
      <c r="Y647" s="156"/>
    </row>
    <row r="648" spans="1:28" ht="30" customHeight="1">
      <c r="A648" s="156"/>
      <c r="B648" s="156"/>
      <c r="C648" s="156"/>
      <c r="D648" s="156"/>
      <c r="E648" s="156"/>
      <c r="F648" s="156"/>
      <c r="G648" s="156"/>
      <c r="H648" s="156"/>
      <c r="I648" s="156"/>
      <c r="J648" s="156"/>
      <c r="K648" s="156"/>
      <c r="L648" s="156"/>
      <c r="M648" s="156"/>
      <c r="N648" s="156"/>
      <c r="O648" s="329"/>
      <c r="P648" s="156"/>
      <c r="Q648" s="1248"/>
      <c r="R648" s="1260"/>
      <c r="S648" s="1244"/>
      <c r="T648" s="1244"/>
      <c r="V648" s="156"/>
      <c r="W648" s="156"/>
      <c r="X648" s="156"/>
      <c r="Y648" s="156"/>
    </row>
    <row r="649" spans="1:28" ht="18" customHeight="1">
      <c r="A649" s="156"/>
      <c r="B649" s="156"/>
      <c r="C649" s="156"/>
      <c r="D649" s="156"/>
      <c r="E649" s="156"/>
      <c r="F649" s="156"/>
      <c r="G649" s="156"/>
      <c r="H649" s="156"/>
      <c r="I649" s="156"/>
      <c r="J649" s="156"/>
      <c r="K649" s="156"/>
      <c r="L649" s="156"/>
      <c r="M649" s="156"/>
      <c r="N649" s="156"/>
      <c r="O649" s="329"/>
      <c r="P649" s="156"/>
      <c r="Q649" s="1261"/>
      <c r="R649" s="1260"/>
      <c r="S649" s="1244"/>
      <c r="T649" s="1244"/>
      <c r="V649" s="156"/>
      <c r="W649" s="156"/>
      <c r="X649" s="156"/>
      <c r="Y649" s="156"/>
    </row>
    <row r="650" spans="1:28" ht="18" customHeight="1">
      <c r="A650" s="156"/>
      <c r="B650" s="156"/>
      <c r="C650" s="156"/>
      <c r="D650" s="156"/>
      <c r="E650" s="156"/>
      <c r="F650" s="156"/>
      <c r="G650" s="156"/>
      <c r="H650" s="156"/>
      <c r="I650" s="156"/>
      <c r="J650" s="156"/>
      <c r="K650" s="156"/>
      <c r="L650" s="156"/>
      <c r="M650" s="156"/>
      <c r="N650" s="156"/>
      <c r="O650" s="329"/>
      <c r="P650" s="156"/>
      <c r="Q650" s="1261"/>
      <c r="R650" s="1260"/>
      <c r="S650" s="1244"/>
      <c r="T650" s="1244"/>
      <c r="V650" s="156"/>
      <c r="W650" s="156"/>
      <c r="X650" s="156"/>
      <c r="Y650" s="156"/>
    </row>
    <row r="651" spans="1:28">
      <c r="A651" s="1" t="s">
        <v>175</v>
      </c>
      <c r="B651" s="2"/>
      <c r="C651" s="2"/>
      <c r="D651" s="2"/>
      <c r="E651" s="2"/>
      <c r="F651" s="2"/>
      <c r="G651" s="2"/>
      <c r="H651" s="2"/>
      <c r="I651" s="2"/>
      <c r="J651" s="2"/>
      <c r="K651" s="2"/>
      <c r="L651" s="2"/>
      <c r="M651" s="2"/>
      <c r="N651" s="2"/>
      <c r="O651" s="2"/>
      <c r="P651" s="156" t="str">
        <f>"個別票"&amp;Q651</f>
        <v>個別票27</v>
      </c>
      <c r="Q651" s="1242">
        <f>Q626+1</f>
        <v>27</v>
      </c>
      <c r="V651" s="156"/>
      <c r="W651" s="156"/>
      <c r="X651" s="156"/>
      <c r="Y651" s="156"/>
    </row>
    <row r="652" spans="1:28">
      <c r="A652" s="2" t="s">
        <v>150</v>
      </c>
      <c r="B652" s="4"/>
      <c r="C652" s="4"/>
      <c r="D652" s="4"/>
      <c r="E652" s="4"/>
      <c r="F652" s="4"/>
      <c r="G652" s="4"/>
      <c r="H652" s="4"/>
      <c r="I652" s="4"/>
      <c r="J652" s="4"/>
      <c r="K652" s="4"/>
      <c r="L652" s="4"/>
      <c r="M652" s="4"/>
      <c r="N652" s="2"/>
      <c r="O652" s="2"/>
      <c r="P652" s="156"/>
      <c r="V652" s="156"/>
      <c r="W652" s="156"/>
      <c r="X652" s="156"/>
      <c r="Y652" s="156"/>
    </row>
    <row r="653" spans="1:28" ht="17.25">
      <c r="A653" s="2983" t="s">
        <v>403</v>
      </c>
      <c r="B653" s="2983"/>
      <c r="C653" s="2983"/>
      <c r="D653" s="2983"/>
      <c r="E653" s="2983"/>
      <c r="F653" s="2983"/>
      <c r="G653" s="2983"/>
      <c r="H653" s="2983"/>
      <c r="I653" s="2983"/>
      <c r="J653" s="2983"/>
      <c r="K653" s="2983"/>
      <c r="L653" s="2983"/>
      <c r="M653" s="2983"/>
      <c r="N653" s="2983"/>
      <c r="O653" s="2983"/>
      <c r="P653" s="156"/>
      <c r="V653" s="156"/>
      <c r="W653" s="156"/>
      <c r="X653" s="156"/>
      <c r="Y653" s="156"/>
    </row>
    <row r="654" spans="1:28" ht="31.5" customHeight="1">
      <c r="A654" s="38"/>
      <c r="B654" s="38"/>
      <c r="C654" s="38"/>
      <c r="D654" s="38"/>
      <c r="E654" s="38"/>
      <c r="F654" s="38"/>
      <c r="G654" s="38"/>
      <c r="H654" s="38"/>
      <c r="I654" s="38"/>
      <c r="J654" s="38"/>
      <c r="K654" s="38"/>
      <c r="L654" s="38"/>
      <c r="M654" s="38"/>
      <c r="N654" s="38"/>
      <c r="O654" s="38"/>
      <c r="P654" s="156"/>
      <c r="V654" s="156"/>
      <c r="W654" s="156"/>
      <c r="X654" s="156"/>
      <c r="Y654" s="156"/>
    </row>
    <row r="655" spans="1:28" s="51" customFormat="1" ht="15.95" customHeight="1">
      <c r="A655" s="48" t="s">
        <v>151</v>
      </c>
      <c r="B655" s="80"/>
      <c r="C655" s="80"/>
      <c r="D655" s="80"/>
      <c r="E655" s="80"/>
      <c r="F655" s="80"/>
      <c r="G655" s="80"/>
      <c r="H655" s="80"/>
      <c r="I655" s="80"/>
      <c r="J655" s="80"/>
      <c r="K655" s="80"/>
      <c r="L655" s="80"/>
      <c r="M655" s="80"/>
      <c r="P655" s="324"/>
      <c r="Q655" s="1250"/>
      <c r="R655" s="1250"/>
      <c r="S655" s="1250"/>
      <c r="T655" s="1250"/>
      <c r="U655" s="1242"/>
      <c r="V655" s="324"/>
      <c r="W655" s="324"/>
      <c r="X655" s="324"/>
      <c r="Y655" s="324"/>
    </row>
    <row r="656" spans="1:28" ht="39.950000000000003" customHeight="1">
      <c r="A656" s="2984" t="s">
        <v>152</v>
      </c>
      <c r="B656" s="2985"/>
      <c r="C656" s="2986"/>
      <c r="D656" s="2987" t="str">
        <f>参照元個別!I31</f>
        <v>事業所名を入力27</v>
      </c>
      <c r="E656" s="2988"/>
      <c r="F656" s="2988"/>
      <c r="G656" s="2988"/>
      <c r="H656" s="2988"/>
      <c r="I656" s="2988"/>
      <c r="J656" s="2988"/>
      <c r="K656" s="2988"/>
      <c r="L656" s="2988"/>
      <c r="M656" s="2988"/>
      <c r="N656" s="2988"/>
      <c r="O656" s="2989"/>
      <c r="P656" s="156"/>
      <c r="V656" s="156"/>
      <c r="W656" s="156"/>
      <c r="X656" s="156"/>
      <c r="Y656" s="156"/>
    </row>
    <row r="657" spans="1:28" ht="39.950000000000003" customHeight="1">
      <c r="A657" s="2570" t="s">
        <v>153</v>
      </c>
      <c r="B657" s="2571"/>
      <c r="C657" s="2990"/>
      <c r="D657" s="2991"/>
      <c r="E657" s="2992"/>
      <c r="F657" s="2992"/>
      <c r="G657" s="2992"/>
      <c r="H657" s="2992"/>
      <c r="I657" s="2992"/>
      <c r="J657" s="2992"/>
      <c r="K657" s="2992"/>
      <c r="L657" s="2992"/>
      <c r="M657" s="2992"/>
      <c r="N657" s="2992"/>
      <c r="O657" s="2993"/>
      <c r="P657" s="156"/>
      <c r="V657" s="156"/>
      <c r="W657" s="156"/>
      <c r="X657" s="156"/>
      <c r="Y657" s="156"/>
    </row>
    <row r="658" spans="1:28" ht="39.950000000000003" customHeight="1">
      <c r="A658" s="2536" t="s">
        <v>154</v>
      </c>
      <c r="B658" s="2978"/>
      <c r="C658" s="2979"/>
      <c r="D658" s="2980"/>
      <c r="E658" s="101" t="s">
        <v>180</v>
      </c>
      <c r="F658" s="2974" t="s">
        <v>404</v>
      </c>
      <c r="G658" s="2975"/>
      <c r="H658" s="2981" t="str">
        <f ca="1">参照元個別!$P$31</f>
        <v/>
      </c>
      <c r="I658" s="2982"/>
      <c r="J658" s="58" t="s">
        <v>176</v>
      </c>
      <c r="K658" s="2974" t="s">
        <v>405</v>
      </c>
      <c r="L658" s="2975"/>
      <c r="M658" s="2971"/>
      <c r="N658" s="2972"/>
      <c r="O658" s="2973"/>
      <c r="P658" s="156" t="str">
        <f>IFERROR(VLOOKUP(M658,$U$1:$V$16,2,0),"")</f>
        <v/>
      </c>
      <c r="U658" s="1250"/>
      <c r="V658" s="156"/>
      <c r="W658" s="156"/>
      <c r="X658" s="156"/>
      <c r="Y658" s="156"/>
    </row>
    <row r="659" spans="1:28" ht="39.950000000000003" customHeight="1">
      <c r="A659" s="2974" t="s">
        <v>406</v>
      </c>
      <c r="B659" s="2975"/>
      <c r="C659" s="2976"/>
      <c r="D659" s="2896"/>
      <c r="E659" s="2897"/>
      <c r="F659" s="2974" t="s">
        <v>158</v>
      </c>
      <c r="G659" s="2975"/>
      <c r="H659" s="2976"/>
      <c r="I659" s="2896"/>
      <c r="J659" s="2897"/>
      <c r="K659" s="2580"/>
      <c r="L659" s="2977"/>
      <c r="M659" s="2977"/>
      <c r="N659" s="2977"/>
      <c r="O659" s="2977"/>
      <c r="P659" s="156"/>
      <c r="V659" s="156"/>
      <c r="W659" s="156"/>
      <c r="X659" s="156"/>
      <c r="Y659" s="156"/>
    </row>
    <row r="660" spans="1:28" ht="18.75" customHeight="1">
      <c r="A660" s="39"/>
      <c r="B660" s="39"/>
      <c r="C660" s="40"/>
      <c r="D660" s="41"/>
      <c r="E660" s="40"/>
      <c r="F660" s="42"/>
      <c r="P660" s="156"/>
      <c r="V660" s="325"/>
      <c r="W660" s="325"/>
      <c r="X660" s="156"/>
      <c r="Y660" s="156"/>
    </row>
    <row r="661" spans="1:28" ht="51.75" customHeight="1">
      <c r="A661" s="2950" t="s">
        <v>505</v>
      </c>
      <c r="B661" s="2951"/>
      <c r="C661" s="2951"/>
      <c r="D661" s="2951"/>
      <c r="E661" s="2951"/>
      <c r="F661" s="2951"/>
      <c r="G661" s="2951"/>
      <c r="H661" s="2951"/>
      <c r="I661" s="2951"/>
      <c r="J661" s="2951"/>
      <c r="K661" s="2951"/>
      <c r="L661" s="2951"/>
      <c r="M661" s="2951"/>
      <c r="N661" s="2951"/>
      <c r="O661" s="2951"/>
      <c r="P661" s="156"/>
      <c r="V661" s="325"/>
      <c r="W661" s="325"/>
      <c r="X661" s="156"/>
      <c r="Y661" s="156"/>
    </row>
    <row r="662" spans="1:28" ht="57.75" customHeight="1">
      <c r="A662" s="39"/>
      <c r="B662" s="39"/>
      <c r="C662" s="40"/>
      <c r="D662" s="41"/>
      <c r="E662" s="40"/>
      <c r="F662" s="42"/>
      <c r="P662" s="156"/>
      <c r="Q662" s="1251"/>
      <c r="R662" s="1251"/>
      <c r="S662" s="1251"/>
      <c r="T662" s="1251"/>
      <c r="V662" s="325"/>
      <c r="W662" s="325"/>
      <c r="X662" s="156"/>
      <c r="Y662" s="156"/>
    </row>
    <row r="663" spans="1:28" s="51" customFormat="1" ht="15.95" customHeight="1">
      <c r="A663" s="50" t="s">
        <v>509</v>
      </c>
      <c r="B663" s="52"/>
      <c r="C663" s="52"/>
      <c r="D663" s="52"/>
      <c r="E663" s="52"/>
      <c r="F663" s="52"/>
      <c r="G663" s="52"/>
      <c r="H663" s="52"/>
      <c r="I663" s="52"/>
      <c r="J663" s="52"/>
      <c r="K663" s="52"/>
      <c r="L663" s="50"/>
      <c r="M663" s="50"/>
      <c r="N663" s="50"/>
      <c r="O663" s="50"/>
      <c r="P663" s="324"/>
      <c r="Q663" s="1252"/>
      <c r="R663" s="1252"/>
      <c r="S663" s="1252"/>
      <c r="T663" s="1252"/>
      <c r="U663" s="1242"/>
      <c r="V663" s="326"/>
      <c r="W663" s="326"/>
      <c r="X663" s="324"/>
      <c r="Y663" s="324"/>
    </row>
    <row r="664" spans="1:28" ht="36" customHeight="1">
      <c r="A664" s="2654"/>
      <c r="B664" s="2655"/>
      <c r="C664" s="2674" t="s">
        <v>504</v>
      </c>
      <c r="D664" s="2674"/>
      <c r="E664" s="2674"/>
      <c r="F664" s="2674"/>
      <c r="G664" s="2674"/>
      <c r="H664" s="2952"/>
      <c r="I664" s="2673" t="s">
        <v>407</v>
      </c>
      <c r="J664" s="2953"/>
      <c r="K664" s="2953"/>
      <c r="L664" s="2953"/>
      <c r="M664" s="2953"/>
      <c r="N664" s="2953"/>
      <c r="O664" s="2952"/>
      <c r="P664" s="156"/>
      <c r="V664" s="156"/>
      <c r="W664" s="156"/>
      <c r="X664" s="156"/>
      <c r="Y664" s="156"/>
    </row>
    <row r="665" spans="1:28" ht="24" customHeight="1">
      <c r="A665" s="2633" t="s">
        <v>236</v>
      </c>
      <c r="B665" s="2954"/>
      <c r="C665" s="2955" t="str">
        <f ca="1">参照元個別!E31</f>
        <v/>
      </c>
      <c r="D665" s="2955"/>
      <c r="E665" s="2955"/>
      <c r="F665" s="2955"/>
      <c r="G665" s="2956"/>
      <c r="H665" s="2959" t="s">
        <v>414</v>
      </c>
      <c r="I665" s="2961" t="str">
        <f>参照元個別!F31</f>
        <v/>
      </c>
      <c r="J665" s="2962"/>
      <c r="K665" s="2962"/>
      <c r="L665" s="2962"/>
      <c r="M665" s="2965" t="s">
        <v>415</v>
      </c>
      <c r="N665" s="2967" t="str">
        <f>参照元個別!G31</f>
        <v/>
      </c>
      <c r="O665" s="2968"/>
      <c r="P665" s="165"/>
      <c r="V665" s="156"/>
      <c r="W665" s="156"/>
      <c r="X665" s="156"/>
      <c r="Y665" s="156"/>
    </row>
    <row r="666" spans="1:28" ht="23.1" customHeight="1">
      <c r="A666" s="2637">
        <f>IF( 報1!$L$28="","", 報1!$L$28 )</f>
        <v>2023</v>
      </c>
      <c r="B666" s="2638"/>
      <c r="C666" s="2957"/>
      <c r="D666" s="2957"/>
      <c r="E666" s="2957"/>
      <c r="F666" s="2957"/>
      <c r="G666" s="2958"/>
      <c r="H666" s="2960"/>
      <c r="I666" s="2963"/>
      <c r="J666" s="2964"/>
      <c r="K666" s="2964"/>
      <c r="L666" s="2964"/>
      <c r="M666" s="2966"/>
      <c r="N666" s="2969"/>
      <c r="O666" s="2970"/>
      <c r="P666" s="165"/>
      <c r="V666" s="156"/>
      <c r="W666" s="156"/>
      <c r="X666" s="156"/>
      <c r="Y666" s="156"/>
    </row>
    <row r="667" spans="1:28" ht="25.15" customHeight="1">
      <c r="A667" s="2938" t="s">
        <v>277</v>
      </c>
      <c r="B667" s="2939"/>
      <c r="C667" s="2940"/>
      <c r="D667" s="2941"/>
      <c r="E667" s="2941"/>
      <c r="F667" s="2941"/>
      <c r="G667" s="2941"/>
      <c r="H667" s="2941"/>
      <c r="I667" s="2941"/>
      <c r="J667" s="2941"/>
      <c r="K667" s="2941"/>
      <c r="L667" s="2941"/>
      <c r="M667" s="2941"/>
      <c r="N667" s="2941"/>
      <c r="O667" s="2942"/>
      <c r="P667" s="156"/>
      <c r="Q667" s="1253">
        <v>1</v>
      </c>
      <c r="R667" s="1245"/>
      <c r="S667" s="1254"/>
      <c r="T667" s="1255"/>
      <c r="U667" s="1256"/>
      <c r="V667" s="156"/>
      <c r="W667" s="156"/>
      <c r="X667" s="327"/>
      <c r="Y667" s="328"/>
      <c r="Z667" s="99"/>
      <c r="AA667" s="43"/>
      <c r="AB667" s="44"/>
    </row>
    <row r="668" spans="1:28" ht="25.15" customHeight="1">
      <c r="A668" s="2938"/>
      <c r="B668" s="2939"/>
      <c r="C668" s="2941"/>
      <c r="D668" s="2941"/>
      <c r="E668" s="2941"/>
      <c r="F668" s="2941"/>
      <c r="G668" s="2941"/>
      <c r="H668" s="2941"/>
      <c r="I668" s="2941"/>
      <c r="J668" s="2941"/>
      <c r="K668" s="2941"/>
      <c r="L668" s="2941"/>
      <c r="M668" s="2941"/>
      <c r="N668" s="2941"/>
      <c r="O668" s="2942"/>
      <c r="P668" s="156"/>
      <c r="Q668" s="1257"/>
      <c r="R668" s="1258"/>
      <c r="S668" s="1258"/>
      <c r="T668" s="1258"/>
      <c r="U668" s="1258"/>
      <c r="V668" s="156"/>
      <c r="W668" s="156"/>
      <c r="X668" s="156"/>
      <c r="Y668" s="156"/>
    </row>
    <row r="669" spans="1:28" ht="24.75" customHeight="1">
      <c r="A669" s="2938"/>
      <c r="B669" s="2939"/>
      <c r="C669" s="2941"/>
      <c r="D669" s="2941"/>
      <c r="E669" s="2941"/>
      <c r="F669" s="2941"/>
      <c r="G669" s="2941"/>
      <c r="H669" s="2941"/>
      <c r="I669" s="2941"/>
      <c r="J669" s="2941"/>
      <c r="K669" s="2941"/>
      <c r="L669" s="2941"/>
      <c r="M669" s="2941"/>
      <c r="N669" s="2941"/>
      <c r="O669" s="2942"/>
      <c r="P669" s="156"/>
      <c r="Q669" s="1257"/>
      <c r="R669" s="1256"/>
      <c r="S669" s="1256"/>
      <c r="T669" s="1256"/>
      <c r="U669" s="1256"/>
      <c r="V669" s="156"/>
      <c r="W669" s="156"/>
      <c r="X669" s="156"/>
      <c r="Y669" s="156"/>
    </row>
    <row r="670" spans="1:28" ht="10.15" customHeight="1">
      <c r="A670" s="2945"/>
      <c r="B670" s="2946"/>
      <c r="C670" s="2941"/>
      <c r="D670" s="2941"/>
      <c r="E670" s="2941"/>
      <c r="F670" s="2941"/>
      <c r="G670" s="2941"/>
      <c r="H670" s="2941"/>
      <c r="I670" s="2941"/>
      <c r="J670" s="2941"/>
      <c r="K670" s="2941"/>
      <c r="L670" s="2941"/>
      <c r="M670" s="2941"/>
      <c r="N670" s="2941"/>
      <c r="O670" s="2942"/>
      <c r="P670" s="156"/>
      <c r="Q670" s="1259"/>
      <c r="R670" s="1256"/>
      <c r="S670" s="1256"/>
      <c r="T670" s="1256"/>
      <c r="U670" s="1256"/>
      <c r="V670" s="156"/>
      <c r="W670" s="156"/>
      <c r="X670" s="156"/>
      <c r="Y670" s="156"/>
    </row>
    <row r="671" spans="1:28" ht="45" customHeight="1">
      <c r="A671" s="2947">
        <f>IF( 報1!$L$28="","", 報1!$L$28 )</f>
        <v>2023</v>
      </c>
      <c r="B671" s="2948"/>
      <c r="C671" s="2943"/>
      <c r="D671" s="2943"/>
      <c r="E671" s="2943"/>
      <c r="F671" s="2943"/>
      <c r="G671" s="2943"/>
      <c r="H671" s="2943"/>
      <c r="I671" s="2943"/>
      <c r="J671" s="2943"/>
      <c r="K671" s="2943"/>
      <c r="L671" s="2943"/>
      <c r="M671" s="2943"/>
      <c r="N671" s="2943"/>
      <c r="O671" s="2944"/>
      <c r="P671" s="156"/>
      <c r="Q671" s="1260"/>
      <c r="R671" s="1256"/>
      <c r="S671" s="1256"/>
      <c r="T671" s="1256"/>
      <c r="U671" s="1256"/>
      <c r="V671" s="156"/>
      <c r="W671" s="156"/>
      <c r="X671" s="156"/>
      <c r="Y671" s="156"/>
    </row>
    <row r="672" spans="1:28" ht="26.25" customHeight="1">
      <c r="A672" s="2949"/>
      <c r="B672" s="2949"/>
      <c r="C672" s="2949"/>
      <c r="D672" s="2949"/>
      <c r="E672" s="2949"/>
      <c r="F672" s="2949"/>
      <c r="G672" s="2949"/>
      <c r="H672" s="2949"/>
      <c r="I672" s="2949"/>
      <c r="J672" s="2949"/>
      <c r="K672" s="2949"/>
      <c r="L672" s="2949"/>
      <c r="M672" s="2949"/>
      <c r="N672" s="2949"/>
      <c r="O672" s="2949"/>
      <c r="P672" s="156"/>
      <c r="Q672" s="1259"/>
      <c r="R672" s="1256"/>
      <c r="S672" s="1256"/>
      <c r="T672" s="1256"/>
      <c r="U672" s="1256"/>
      <c r="V672" s="156"/>
      <c r="W672" s="156"/>
      <c r="X672" s="156"/>
      <c r="Y672" s="156"/>
    </row>
    <row r="673" spans="1:25" ht="30" customHeight="1">
      <c r="A673" s="156"/>
      <c r="B673" s="156"/>
      <c r="C673" s="156"/>
      <c r="D673" s="156"/>
      <c r="E673" s="156"/>
      <c r="F673" s="156"/>
      <c r="G673" s="156"/>
      <c r="H673" s="156"/>
      <c r="I673" s="156"/>
      <c r="J673" s="156"/>
      <c r="K673" s="156"/>
      <c r="L673" s="156"/>
      <c r="M673" s="156"/>
      <c r="N673" s="156"/>
      <c r="O673" s="329"/>
      <c r="P673" s="156"/>
      <c r="Q673" s="1248"/>
      <c r="R673" s="1260"/>
      <c r="S673" s="1244"/>
      <c r="T673" s="1244"/>
      <c r="V673" s="156"/>
      <c r="W673" s="156"/>
      <c r="X673" s="156"/>
      <c r="Y673" s="156"/>
    </row>
    <row r="674" spans="1:25" ht="18" customHeight="1">
      <c r="A674" s="156"/>
      <c r="B674" s="156"/>
      <c r="C674" s="156"/>
      <c r="D674" s="156"/>
      <c r="E674" s="156"/>
      <c r="F674" s="156"/>
      <c r="G674" s="156"/>
      <c r="H674" s="156"/>
      <c r="I674" s="156"/>
      <c r="J674" s="156"/>
      <c r="K674" s="156"/>
      <c r="L674" s="156"/>
      <c r="M674" s="156"/>
      <c r="N674" s="156"/>
      <c r="O674" s="329"/>
      <c r="P674" s="156"/>
      <c r="Q674" s="1261"/>
      <c r="R674" s="1260"/>
      <c r="S674" s="1244"/>
      <c r="T674" s="1244"/>
      <c r="V674" s="156"/>
      <c r="W674" s="156"/>
      <c r="X674" s="156"/>
      <c r="Y674" s="156"/>
    </row>
    <row r="675" spans="1:25" ht="18" customHeight="1">
      <c r="A675" s="156"/>
      <c r="B675" s="156"/>
      <c r="C675" s="156"/>
      <c r="D675" s="156"/>
      <c r="E675" s="156"/>
      <c r="F675" s="156"/>
      <c r="G675" s="156"/>
      <c r="H675" s="156"/>
      <c r="I675" s="156"/>
      <c r="J675" s="156"/>
      <c r="K675" s="156"/>
      <c r="L675" s="156"/>
      <c r="M675" s="156"/>
      <c r="N675" s="156"/>
      <c r="O675" s="329"/>
      <c r="P675" s="156"/>
      <c r="Q675" s="1261"/>
      <c r="R675" s="1260"/>
      <c r="S675" s="1244"/>
      <c r="T675" s="1244"/>
      <c r="V675" s="156"/>
      <c r="W675" s="156"/>
      <c r="X675" s="156"/>
      <c r="Y675" s="156"/>
    </row>
    <row r="676" spans="1:25">
      <c r="A676" s="1" t="s">
        <v>175</v>
      </c>
      <c r="B676" s="2"/>
      <c r="C676" s="2"/>
      <c r="D676" s="2"/>
      <c r="E676" s="2"/>
      <c r="F676" s="2"/>
      <c r="G676" s="2"/>
      <c r="H676" s="2"/>
      <c r="I676" s="2"/>
      <c r="J676" s="2"/>
      <c r="K676" s="2"/>
      <c r="L676" s="2"/>
      <c r="M676" s="2"/>
      <c r="N676" s="2"/>
      <c r="O676" s="2"/>
      <c r="P676" s="156" t="str">
        <f>"個別票"&amp;Q676</f>
        <v>個別票28</v>
      </c>
      <c r="Q676" s="1242">
        <f>Q651+1</f>
        <v>28</v>
      </c>
      <c r="V676" s="156"/>
      <c r="W676" s="156"/>
      <c r="X676" s="156"/>
      <c r="Y676" s="156"/>
    </row>
    <row r="677" spans="1:25">
      <c r="A677" s="2" t="s">
        <v>150</v>
      </c>
      <c r="B677" s="4"/>
      <c r="C677" s="4"/>
      <c r="D677" s="4"/>
      <c r="E677" s="4"/>
      <c r="F677" s="4"/>
      <c r="G677" s="4"/>
      <c r="H677" s="4"/>
      <c r="I677" s="4"/>
      <c r="J677" s="4"/>
      <c r="K677" s="4"/>
      <c r="L677" s="4"/>
      <c r="M677" s="4"/>
      <c r="N677" s="2"/>
      <c r="O677" s="2"/>
      <c r="P677" s="156"/>
      <c r="V677" s="156"/>
      <c r="W677" s="156"/>
      <c r="X677" s="156"/>
      <c r="Y677" s="156"/>
    </row>
    <row r="678" spans="1:25" ht="17.25">
      <c r="A678" s="2983" t="s">
        <v>403</v>
      </c>
      <c r="B678" s="2983"/>
      <c r="C678" s="2983"/>
      <c r="D678" s="2983"/>
      <c r="E678" s="2983"/>
      <c r="F678" s="2983"/>
      <c r="G678" s="2983"/>
      <c r="H678" s="2983"/>
      <c r="I678" s="2983"/>
      <c r="J678" s="2983"/>
      <c r="K678" s="2983"/>
      <c r="L678" s="2983"/>
      <c r="M678" s="2983"/>
      <c r="N678" s="2983"/>
      <c r="O678" s="2983"/>
      <c r="P678" s="156"/>
      <c r="V678" s="156"/>
      <c r="W678" s="156"/>
      <c r="X678" s="156"/>
      <c r="Y678" s="156"/>
    </row>
    <row r="679" spans="1:25" ht="31.5" customHeight="1">
      <c r="A679" s="38"/>
      <c r="B679" s="38"/>
      <c r="C679" s="38"/>
      <c r="D679" s="38"/>
      <c r="E679" s="38"/>
      <c r="F679" s="38"/>
      <c r="G679" s="38"/>
      <c r="H679" s="38"/>
      <c r="I679" s="38"/>
      <c r="J679" s="38"/>
      <c r="K679" s="38"/>
      <c r="L679" s="38"/>
      <c r="M679" s="38"/>
      <c r="N679" s="38"/>
      <c r="O679" s="38"/>
      <c r="P679" s="156"/>
      <c r="V679" s="156"/>
      <c r="W679" s="156"/>
      <c r="X679" s="156"/>
      <c r="Y679" s="156"/>
    </row>
    <row r="680" spans="1:25" s="51" customFormat="1" ht="15.95" customHeight="1">
      <c r="A680" s="48" t="s">
        <v>151</v>
      </c>
      <c r="B680" s="80"/>
      <c r="C680" s="80"/>
      <c r="D680" s="80"/>
      <c r="E680" s="80"/>
      <c r="F680" s="80"/>
      <c r="G680" s="80"/>
      <c r="H680" s="80"/>
      <c r="I680" s="80"/>
      <c r="J680" s="80"/>
      <c r="K680" s="80"/>
      <c r="L680" s="80"/>
      <c r="M680" s="80"/>
      <c r="P680" s="324"/>
      <c r="Q680" s="1250"/>
      <c r="R680" s="1250"/>
      <c r="S680" s="1250"/>
      <c r="T680" s="1250"/>
      <c r="U680" s="1242"/>
      <c r="V680" s="324"/>
      <c r="W680" s="324"/>
      <c r="X680" s="324"/>
      <c r="Y680" s="324"/>
    </row>
    <row r="681" spans="1:25" ht="39.950000000000003" customHeight="1">
      <c r="A681" s="2984" t="s">
        <v>152</v>
      </c>
      <c r="B681" s="2985"/>
      <c r="C681" s="2986"/>
      <c r="D681" s="2987" t="str">
        <f>参照元個別!I32</f>
        <v>事業所名を入力28</v>
      </c>
      <c r="E681" s="2988"/>
      <c r="F681" s="2988"/>
      <c r="G681" s="2988"/>
      <c r="H681" s="2988"/>
      <c r="I681" s="2988"/>
      <c r="J681" s="2988"/>
      <c r="K681" s="2988"/>
      <c r="L681" s="2988"/>
      <c r="M681" s="2988"/>
      <c r="N681" s="2988"/>
      <c r="O681" s="2989"/>
      <c r="P681" s="156"/>
      <c r="V681" s="156"/>
      <c r="W681" s="156"/>
      <c r="X681" s="156"/>
      <c r="Y681" s="156"/>
    </row>
    <row r="682" spans="1:25" ht="39.950000000000003" customHeight="1">
      <c r="A682" s="2570" t="s">
        <v>153</v>
      </c>
      <c r="B682" s="2571"/>
      <c r="C682" s="2990"/>
      <c r="D682" s="2991"/>
      <c r="E682" s="2992"/>
      <c r="F682" s="2992"/>
      <c r="G682" s="2992"/>
      <c r="H682" s="2992"/>
      <c r="I682" s="2992"/>
      <c r="J682" s="2992"/>
      <c r="K682" s="2992"/>
      <c r="L682" s="2992"/>
      <c r="M682" s="2992"/>
      <c r="N682" s="2992"/>
      <c r="O682" s="2993"/>
      <c r="P682" s="156"/>
      <c r="V682" s="156"/>
      <c r="W682" s="156"/>
      <c r="X682" s="156"/>
      <c r="Y682" s="156"/>
    </row>
    <row r="683" spans="1:25" ht="39.950000000000003" customHeight="1">
      <c r="A683" s="2536" t="s">
        <v>154</v>
      </c>
      <c r="B683" s="2978"/>
      <c r="C683" s="2979"/>
      <c r="D683" s="2980"/>
      <c r="E683" s="101" t="s">
        <v>180</v>
      </c>
      <c r="F683" s="2974" t="s">
        <v>404</v>
      </c>
      <c r="G683" s="2975"/>
      <c r="H683" s="2981" t="str">
        <f ca="1">参照元個別!$P$32</f>
        <v/>
      </c>
      <c r="I683" s="2982"/>
      <c r="J683" s="58" t="s">
        <v>176</v>
      </c>
      <c r="K683" s="2974" t="s">
        <v>405</v>
      </c>
      <c r="L683" s="2975"/>
      <c r="M683" s="2971"/>
      <c r="N683" s="2972"/>
      <c r="O683" s="2973"/>
      <c r="P683" s="156" t="str">
        <f>IFERROR(VLOOKUP(M683,$U$1:$V$16,2,0),"")</f>
        <v/>
      </c>
      <c r="U683" s="1250"/>
      <c r="V683" s="156"/>
      <c r="W683" s="156"/>
      <c r="X683" s="156"/>
      <c r="Y683" s="156"/>
    </row>
    <row r="684" spans="1:25" ht="39.950000000000003" customHeight="1">
      <c r="A684" s="2974" t="s">
        <v>406</v>
      </c>
      <c r="B684" s="2975"/>
      <c r="C684" s="2976"/>
      <c r="D684" s="2896"/>
      <c r="E684" s="2897"/>
      <c r="F684" s="2974" t="s">
        <v>158</v>
      </c>
      <c r="G684" s="2975"/>
      <c r="H684" s="2976"/>
      <c r="I684" s="2896"/>
      <c r="J684" s="2897"/>
      <c r="K684" s="2580"/>
      <c r="L684" s="2977"/>
      <c r="M684" s="2977"/>
      <c r="N684" s="2977"/>
      <c r="O684" s="2977"/>
      <c r="P684" s="156"/>
      <c r="V684" s="156"/>
      <c r="W684" s="156"/>
      <c r="X684" s="156"/>
      <c r="Y684" s="156"/>
    </row>
    <row r="685" spans="1:25" ht="18.75" customHeight="1">
      <c r="A685" s="39"/>
      <c r="B685" s="39"/>
      <c r="C685" s="40"/>
      <c r="D685" s="41"/>
      <c r="E685" s="40"/>
      <c r="F685" s="42"/>
      <c r="P685" s="156"/>
      <c r="V685" s="325"/>
      <c r="W685" s="325"/>
      <c r="X685" s="156"/>
      <c r="Y685" s="156"/>
    </row>
    <row r="686" spans="1:25" ht="51.75" customHeight="1">
      <c r="A686" s="2950" t="s">
        <v>505</v>
      </c>
      <c r="B686" s="2951"/>
      <c r="C686" s="2951"/>
      <c r="D686" s="2951"/>
      <c r="E686" s="2951"/>
      <c r="F686" s="2951"/>
      <c r="G686" s="2951"/>
      <c r="H686" s="2951"/>
      <c r="I686" s="2951"/>
      <c r="J686" s="2951"/>
      <c r="K686" s="2951"/>
      <c r="L686" s="2951"/>
      <c r="M686" s="2951"/>
      <c r="N686" s="2951"/>
      <c r="O686" s="2951"/>
      <c r="P686" s="156"/>
      <c r="V686" s="325"/>
      <c r="W686" s="325"/>
      <c r="X686" s="156"/>
      <c r="Y686" s="156"/>
    </row>
    <row r="687" spans="1:25" ht="57.75" customHeight="1">
      <c r="A687" s="39"/>
      <c r="B687" s="39"/>
      <c r="C687" s="40"/>
      <c r="D687" s="41"/>
      <c r="E687" s="40"/>
      <c r="F687" s="42"/>
      <c r="P687" s="156"/>
      <c r="Q687" s="1251"/>
      <c r="R687" s="1251"/>
      <c r="S687" s="1251"/>
      <c r="T687" s="1251"/>
      <c r="V687" s="325"/>
      <c r="W687" s="325"/>
      <c r="X687" s="156"/>
      <c r="Y687" s="156"/>
    </row>
    <row r="688" spans="1:25" s="51" customFormat="1" ht="15.95" customHeight="1">
      <c r="A688" s="50" t="s">
        <v>509</v>
      </c>
      <c r="B688" s="52"/>
      <c r="C688" s="52"/>
      <c r="D688" s="52"/>
      <c r="E688" s="52"/>
      <c r="F688" s="52"/>
      <c r="G688" s="52"/>
      <c r="H688" s="52"/>
      <c r="I688" s="52"/>
      <c r="J688" s="52"/>
      <c r="K688" s="52"/>
      <c r="L688" s="50"/>
      <c r="M688" s="50"/>
      <c r="N688" s="50"/>
      <c r="O688" s="50"/>
      <c r="P688" s="324"/>
      <c r="Q688" s="1252"/>
      <c r="R688" s="1252"/>
      <c r="S688" s="1252"/>
      <c r="T688" s="1252"/>
      <c r="U688" s="1242"/>
      <c r="V688" s="326"/>
      <c r="W688" s="326"/>
      <c r="X688" s="324"/>
      <c r="Y688" s="324"/>
    </row>
    <row r="689" spans="1:28" ht="36" customHeight="1">
      <c r="A689" s="2654"/>
      <c r="B689" s="2655"/>
      <c r="C689" s="2674" t="s">
        <v>504</v>
      </c>
      <c r="D689" s="2674"/>
      <c r="E689" s="2674"/>
      <c r="F689" s="2674"/>
      <c r="G689" s="2674"/>
      <c r="H689" s="2952"/>
      <c r="I689" s="2673" t="s">
        <v>407</v>
      </c>
      <c r="J689" s="2953"/>
      <c r="K689" s="2953"/>
      <c r="L689" s="2953"/>
      <c r="M689" s="2953"/>
      <c r="N689" s="2953"/>
      <c r="O689" s="2952"/>
      <c r="P689" s="156"/>
      <c r="V689" s="156"/>
      <c r="W689" s="156"/>
      <c r="X689" s="156"/>
      <c r="Y689" s="156"/>
    </row>
    <row r="690" spans="1:28" ht="24" customHeight="1">
      <c r="A690" s="2633" t="s">
        <v>236</v>
      </c>
      <c r="B690" s="2954"/>
      <c r="C690" s="2955" t="str">
        <f ca="1">参照元個別!E32</f>
        <v/>
      </c>
      <c r="D690" s="2955"/>
      <c r="E690" s="2955"/>
      <c r="F690" s="2955"/>
      <c r="G690" s="2956"/>
      <c r="H690" s="2959" t="s">
        <v>414</v>
      </c>
      <c r="I690" s="2961" t="str">
        <f>参照元個別!F32</f>
        <v/>
      </c>
      <c r="J690" s="2962"/>
      <c r="K690" s="2962"/>
      <c r="L690" s="2962"/>
      <c r="M690" s="2965" t="s">
        <v>415</v>
      </c>
      <c r="N690" s="2967" t="str">
        <f>参照元個別!G32</f>
        <v/>
      </c>
      <c r="O690" s="2968"/>
      <c r="P690" s="165"/>
      <c r="V690" s="156"/>
      <c r="W690" s="156"/>
      <c r="X690" s="156"/>
      <c r="Y690" s="156"/>
    </row>
    <row r="691" spans="1:28" ht="23.1" customHeight="1">
      <c r="A691" s="2637">
        <f>IF( 報1!$L$28="","", 報1!$L$28 )</f>
        <v>2023</v>
      </c>
      <c r="B691" s="2638"/>
      <c r="C691" s="2957"/>
      <c r="D691" s="2957"/>
      <c r="E691" s="2957"/>
      <c r="F691" s="2957"/>
      <c r="G691" s="2958"/>
      <c r="H691" s="2960"/>
      <c r="I691" s="2963"/>
      <c r="J691" s="2964"/>
      <c r="K691" s="2964"/>
      <c r="L691" s="2964"/>
      <c r="M691" s="2966"/>
      <c r="N691" s="2969"/>
      <c r="O691" s="2970"/>
      <c r="P691" s="165"/>
      <c r="V691" s="156"/>
      <c r="W691" s="156"/>
      <c r="X691" s="156"/>
      <c r="Y691" s="156"/>
    </row>
    <row r="692" spans="1:28" ht="25.15" customHeight="1">
      <c r="A692" s="2938" t="s">
        <v>277</v>
      </c>
      <c r="B692" s="2939"/>
      <c r="C692" s="2940"/>
      <c r="D692" s="2941"/>
      <c r="E692" s="2941"/>
      <c r="F692" s="2941"/>
      <c r="G692" s="2941"/>
      <c r="H692" s="2941"/>
      <c r="I692" s="2941"/>
      <c r="J692" s="2941"/>
      <c r="K692" s="2941"/>
      <c r="L692" s="2941"/>
      <c r="M692" s="2941"/>
      <c r="N692" s="2941"/>
      <c r="O692" s="2942"/>
      <c r="P692" s="156"/>
      <c r="Q692" s="1253">
        <v>1</v>
      </c>
      <c r="R692" s="1245"/>
      <c r="S692" s="1254"/>
      <c r="T692" s="1255"/>
      <c r="U692" s="1256"/>
      <c r="V692" s="156"/>
      <c r="W692" s="156"/>
      <c r="X692" s="327"/>
      <c r="Y692" s="328"/>
      <c r="Z692" s="99"/>
      <c r="AA692" s="43"/>
      <c r="AB692" s="44"/>
    </row>
    <row r="693" spans="1:28" ht="25.15" customHeight="1">
      <c r="A693" s="2938"/>
      <c r="B693" s="2939"/>
      <c r="C693" s="2941"/>
      <c r="D693" s="2941"/>
      <c r="E693" s="2941"/>
      <c r="F693" s="2941"/>
      <c r="G693" s="2941"/>
      <c r="H693" s="2941"/>
      <c r="I693" s="2941"/>
      <c r="J693" s="2941"/>
      <c r="K693" s="2941"/>
      <c r="L693" s="2941"/>
      <c r="M693" s="2941"/>
      <c r="N693" s="2941"/>
      <c r="O693" s="2942"/>
      <c r="P693" s="156"/>
      <c r="Q693" s="1257"/>
      <c r="R693" s="1258"/>
      <c r="S693" s="1258"/>
      <c r="T693" s="1258"/>
      <c r="U693" s="1258"/>
      <c r="V693" s="156"/>
      <c r="W693" s="156"/>
      <c r="X693" s="156"/>
      <c r="Y693" s="156"/>
    </row>
    <row r="694" spans="1:28" ht="24.75" customHeight="1">
      <c r="A694" s="2938"/>
      <c r="B694" s="2939"/>
      <c r="C694" s="2941"/>
      <c r="D694" s="2941"/>
      <c r="E694" s="2941"/>
      <c r="F694" s="2941"/>
      <c r="G694" s="2941"/>
      <c r="H694" s="2941"/>
      <c r="I694" s="2941"/>
      <c r="J694" s="2941"/>
      <c r="K694" s="2941"/>
      <c r="L694" s="2941"/>
      <c r="M694" s="2941"/>
      <c r="N694" s="2941"/>
      <c r="O694" s="2942"/>
      <c r="P694" s="156"/>
      <c r="Q694" s="1257"/>
      <c r="R694" s="1256"/>
      <c r="S694" s="1256"/>
      <c r="T694" s="1256"/>
      <c r="U694" s="1256"/>
      <c r="V694" s="156"/>
      <c r="W694" s="156"/>
      <c r="X694" s="156"/>
      <c r="Y694" s="156"/>
    </row>
    <row r="695" spans="1:28" ht="10.15" customHeight="1">
      <c r="A695" s="2945"/>
      <c r="B695" s="2946"/>
      <c r="C695" s="2941"/>
      <c r="D695" s="2941"/>
      <c r="E695" s="2941"/>
      <c r="F695" s="2941"/>
      <c r="G695" s="2941"/>
      <c r="H695" s="2941"/>
      <c r="I695" s="2941"/>
      <c r="J695" s="2941"/>
      <c r="K695" s="2941"/>
      <c r="L695" s="2941"/>
      <c r="M695" s="2941"/>
      <c r="N695" s="2941"/>
      <c r="O695" s="2942"/>
      <c r="P695" s="156"/>
      <c r="Q695" s="1259"/>
      <c r="R695" s="1256"/>
      <c r="S695" s="1256"/>
      <c r="T695" s="1256"/>
      <c r="U695" s="1256"/>
      <c r="V695" s="156"/>
      <c r="W695" s="156"/>
      <c r="X695" s="156"/>
      <c r="Y695" s="156"/>
    </row>
    <row r="696" spans="1:28" ht="45" customHeight="1">
      <c r="A696" s="2947">
        <f>IF( 報1!$L$28="","", 報1!$L$28 )</f>
        <v>2023</v>
      </c>
      <c r="B696" s="2948"/>
      <c r="C696" s="2943"/>
      <c r="D696" s="2943"/>
      <c r="E696" s="2943"/>
      <c r="F696" s="2943"/>
      <c r="G696" s="2943"/>
      <c r="H696" s="2943"/>
      <c r="I696" s="2943"/>
      <c r="J696" s="2943"/>
      <c r="K696" s="2943"/>
      <c r="L696" s="2943"/>
      <c r="M696" s="2943"/>
      <c r="N696" s="2943"/>
      <c r="O696" s="2944"/>
      <c r="P696" s="156"/>
      <c r="Q696" s="1260"/>
      <c r="R696" s="1256"/>
      <c r="S696" s="1256"/>
      <c r="T696" s="1256"/>
      <c r="U696" s="1256"/>
      <c r="V696" s="156"/>
      <c r="W696" s="156"/>
      <c r="X696" s="156"/>
      <c r="Y696" s="156"/>
    </row>
    <row r="697" spans="1:28" ht="26.25" customHeight="1">
      <c r="A697" s="2949"/>
      <c r="B697" s="2949"/>
      <c r="C697" s="2949"/>
      <c r="D697" s="2949"/>
      <c r="E697" s="2949"/>
      <c r="F697" s="2949"/>
      <c r="G697" s="2949"/>
      <c r="H697" s="2949"/>
      <c r="I697" s="2949"/>
      <c r="J697" s="2949"/>
      <c r="K697" s="2949"/>
      <c r="L697" s="2949"/>
      <c r="M697" s="2949"/>
      <c r="N697" s="2949"/>
      <c r="O697" s="2949"/>
      <c r="P697" s="156"/>
      <c r="Q697" s="1259"/>
      <c r="R697" s="1256"/>
      <c r="S697" s="1256"/>
      <c r="T697" s="1256"/>
      <c r="U697" s="1256"/>
      <c r="V697" s="156"/>
      <c r="W697" s="156"/>
      <c r="X697" s="156"/>
      <c r="Y697" s="156"/>
    </row>
    <row r="698" spans="1:28" ht="30" customHeight="1">
      <c r="A698" s="156"/>
      <c r="B698" s="156"/>
      <c r="C698" s="156"/>
      <c r="D698" s="156"/>
      <c r="E698" s="156"/>
      <c r="F698" s="156"/>
      <c r="G698" s="156"/>
      <c r="H698" s="156"/>
      <c r="I698" s="156"/>
      <c r="J698" s="156"/>
      <c r="K698" s="156"/>
      <c r="L698" s="156"/>
      <c r="M698" s="156"/>
      <c r="N698" s="156"/>
      <c r="O698" s="329"/>
      <c r="P698" s="156"/>
      <c r="Q698" s="1248"/>
      <c r="R698" s="1260"/>
      <c r="S698" s="1244"/>
      <c r="T698" s="1244"/>
      <c r="V698" s="156"/>
      <c r="W698" s="156"/>
      <c r="X698" s="156"/>
      <c r="Y698" s="156"/>
    </row>
    <row r="699" spans="1:28" ht="18" customHeight="1">
      <c r="A699" s="156"/>
      <c r="B699" s="156"/>
      <c r="C699" s="156"/>
      <c r="D699" s="156"/>
      <c r="E699" s="156"/>
      <c r="F699" s="156"/>
      <c r="G699" s="156"/>
      <c r="H699" s="156"/>
      <c r="I699" s="156"/>
      <c r="J699" s="156"/>
      <c r="K699" s="156"/>
      <c r="L699" s="156"/>
      <c r="M699" s="156"/>
      <c r="N699" s="156"/>
      <c r="O699" s="329"/>
      <c r="P699" s="156"/>
      <c r="Q699" s="1261"/>
      <c r="R699" s="1260"/>
      <c r="S699" s="1244"/>
      <c r="T699" s="1244"/>
      <c r="V699" s="156"/>
      <c r="W699" s="156"/>
      <c r="X699" s="156"/>
      <c r="Y699" s="156"/>
    </row>
    <row r="700" spans="1:28" ht="18" customHeight="1">
      <c r="A700" s="156"/>
      <c r="B700" s="156"/>
      <c r="C700" s="156"/>
      <c r="D700" s="156"/>
      <c r="E700" s="156"/>
      <c r="F700" s="156"/>
      <c r="G700" s="156"/>
      <c r="H700" s="156"/>
      <c r="I700" s="156"/>
      <c r="J700" s="156"/>
      <c r="K700" s="156"/>
      <c r="L700" s="156"/>
      <c r="M700" s="156"/>
      <c r="N700" s="156"/>
      <c r="O700" s="329"/>
      <c r="P700" s="156"/>
      <c r="Q700" s="1261"/>
      <c r="R700" s="1260"/>
      <c r="S700" s="1244"/>
      <c r="T700" s="1244"/>
      <c r="V700" s="156"/>
      <c r="W700" s="156"/>
      <c r="X700" s="156"/>
      <c r="Y700" s="156"/>
    </row>
    <row r="701" spans="1:28">
      <c r="A701" s="1" t="s">
        <v>175</v>
      </c>
      <c r="B701" s="2"/>
      <c r="C701" s="2"/>
      <c r="D701" s="2"/>
      <c r="E701" s="2"/>
      <c r="F701" s="2"/>
      <c r="G701" s="2"/>
      <c r="H701" s="2"/>
      <c r="I701" s="2"/>
      <c r="J701" s="2"/>
      <c r="K701" s="2"/>
      <c r="L701" s="2"/>
      <c r="M701" s="2"/>
      <c r="N701" s="2"/>
      <c r="O701" s="2"/>
      <c r="P701" s="156" t="str">
        <f>"個別票"&amp;Q701</f>
        <v>個別票29</v>
      </c>
      <c r="Q701" s="1242">
        <f>Q676+1</f>
        <v>29</v>
      </c>
      <c r="V701" s="156"/>
      <c r="W701" s="156"/>
      <c r="X701" s="156"/>
      <c r="Y701" s="156"/>
    </row>
    <row r="702" spans="1:28">
      <c r="A702" s="2" t="s">
        <v>150</v>
      </c>
      <c r="B702" s="4"/>
      <c r="C702" s="4"/>
      <c r="D702" s="4"/>
      <c r="E702" s="4"/>
      <c r="F702" s="4"/>
      <c r="G702" s="4"/>
      <c r="H702" s="4"/>
      <c r="I702" s="4"/>
      <c r="J702" s="4"/>
      <c r="K702" s="4"/>
      <c r="L702" s="4"/>
      <c r="M702" s="4"/>
      <c r="N702" s="2"/>
      <c r="O702" s="2"/>
      <c r="P702" s="156"/>
      <c r="V702" s="156"/>
      <c r="W702" s="156"/>
      <c r="X702" s="156"/>
      <c r="Y702" s="156"/>
    </row>
    <row r="703" spans="1:28" ht="17.25">
      <c r="A703" s="2983" t="s">
        <v>403</v>
      </c>
      <c r="B703" s="2983"/>
      <c r="C703" s="2983"/>
      <c r="D703" s="2983"/>
      <c r="E703" s="2983"/>
      <c r="F703" s="2983"/>
      <c r="G703" s="2983"/>
      <c r="H703" s="2983"/>
      <c r="I703" s="2983"/>
      <c r="J703" s="2983"/>
      <c r="K703" s="2983"/>
      <c r="L703" s="2983"/>
      <c r="M703" s="2983"/>
      <c r="N703" s="2983"/>
      <c r="O703" s="2983"/>
      <c r="P703" s="156"/>
      <c r="V703" s="156"/>
      <c r="W703" s="156"/>
      <c r="X703" s="156"/>
      <c r="Y703" s="156"/>
    </row>
    <row r="704" spans="1:28" ht="31.5" customHeight="1">
      <c r="A704" s="38"/>
      <c r="B704" s="38"/>
      <c r="C704" s="38"/>
      <c r="D704" s="38"/>
      <c r="E704" s="38"/>
      <c r="F704" s="38"/>
      <c r="G704" s="38"/>
      <c r="H704" s="38"/>
      <c r="I704" s="38"/>
      <c r="J704" s="38"/>
      <c r="K704" s="38"/>
      <c r="L704" s="38"/>
      <c r="M704" s="38"/>
      <c r="N704" s="38"/>
      <c r="O704" s="38"/>
      <c r="P704" s="156"/>
      <c r="V704" s="156"/>
      <c r="W704" s="156"/>
      <c r="X704" s="156"/>
      <c r="Y704" s="156"/>
    </row>
    <row r="705" spans="1:28" s="51" customFormat="1" ht="15.95" customHeight="1">
      <c r="A705" s="48" t="s">
        <v>151</v>
      </c>
      <c r="B705" s="80"/>
      <c r="C705" s="80"/>
      <c r="D705" s="80"/>
      <c r="E705" s="80"/>
      <c r="F705" s="80"/>
      <c r="G705" s="80"/>
      <c r="H705" s="80"/>
      <c r="I705" s="80"/>
      <c r="J705" s="80"/>
      <c r="K705" s="80"/>
      <c r="L705" s="80"/>
      <c r="M705" s="80"/>
      <c r="P705" s="324"/>
      <c r="Q705" s="1250"/>
      <c r="R705" s="1250"/>
      <c r="S705" s="1250"/>
      <c r="T705" s="1250"/>
      <c r="U705" s="1242"/>
      <c r="V705" s="324"/>
      <c r="W705" s="324"/>
      <c r="X705" s="324"/>
      <c r="Y705" s="324"/>
    </row>
    <row r="706" spans="1:28" ht="39.950000000000003" customHeight="1">
      <c r="A706" s="2984" t="s">
        <v>152</v>
      </c>
      <c r="B706" s="2985"/>
      <c r="C706" s="2986"/>
      <c r="D706" s="2987" t="str">
        <f>参照元個別!I33</f>
        <v>事業所名を入力29</v>
      </c>
      <c r="E706" s="2988"/>
      <c r="F706" s="2988"/>
      <c r="G706" s="2988"/>
      <c r="H706" s="2988"/>
      <c r="I706" s="2988"/>
      <c r="J706" s="2988"/>
      <c r="K706" s="2988"/>
      <c r="L706" s="2988"/>
      <c r="M706" s="2988"/>
      <c r="N706" s="2988"/>
      <c r="O706" s="2989"/>
      <c r="P706" s="156"/>
      <c r="V706" s="156"/>
      <c r="W706" s="156"/>
      <c r="X706" s="156"/>
      <c r="Y706" s="156"/>
    </row>
    <row r="707" spans="1:28" ht="39.950000000000003" customHeight="1">
      <c r="A707" s="2570" t="s">
        <v>153</v>
      </c>
      <c r="B707" s="2571"/>
      <c r="C707" s="2990"/>
      <c r="D707" s="2991"/>
      <c r="E707" s="2992"/>
      <c r="F707" s="2992"/>
      <c r="G707" s="2992"/>
      <c r="H707" s="2992"/>
      <c r="I707" s="2992"/>
      <c r="J707" s="2992"/>
      <c r="K707" s="2992"/>
      <c r="L707" s="2992"/>
      <c r="M707" s="2992"/>
      <c r="N707" s="2992"/>
      <c r="O707" s="2993"/>
      <c r="P707" s="156"/>
      <c r="V707" s="156"/>
      <c r="W707" s="156"/>
      <c r="X707" s="156"/>
      <c r="Y707" s="156"/>
    </row>
    <row r="708" spans="1:28" ht="39.950000000000003" customHeight="1">
      <c r="A708" s="2536" t="s">
        <v>154</v>
      </c>
      <c r="B708" s="2978"/>
      <c r="C708" s="2979"/>
      <c r="D708" s="2980"/>
      <c r="E708" s="101" t="s">
        <v>180</v>
      </c>
      <c r="F708" s="2974" t="s">
        <v>404</v>
      </c>
      <c r="G708" s="2975"/>
      <c r="H708" s="2981" t="str">
        <f ca="1">参照元個別!$P$33</f>
        <v/>
      </c>
      <c r="I708" s="2982"/>
      <c r="J708" s="58" t="s">
        <v>176</v>
      </c>
      <c r="K708" s="2974" t="s">
        <v>405</v>
      </c>
      <c r="L708" s="2975"/>
      <c r="M708" s="2971"/>
      <c r="N708" s="2972"/>
      <c r="O708" s="2973"/>
      <c r="P708" s="156" t="str">
        <f>IFERROR(VLOOKUP(M708,$U$1:$V$16,2,0),"")</f>
        <v/>
      </c>
      <c r="U708" s="1250"/>
      <c r="V708" s="156"/>
      <c r="W708" s="156"/>
      <c r="X708" s="156"/>
      <c r="Y708" s="156"/>
    </row>
    <row r="709" spans="1:28" ht="39.950000000000003" customHeight="1">
      <c r="A709" s="2974" t="s">
        <v>406</v>
      </c>
      <c r="B709" s="2975"/>
      <c r="C709" s="2976"/>
      <c r="D709" s="2896"/>
      <c r="E709" s="2897"/>
      <c r="F709" s="2974" t="s">
        <v>158</v>
      </c>
      <c r="G709" s="2975"/>
      <c r="H709" s="2976"/>
      <c r="I709" s="2896"/>
      <c r="J709" s="2897"/>
      <c r="K709" s="2580"/>
      <c r="L709" s="2977"/>
      <c r="M709" s="2977"/>
      <c r="N709" s="2977"/>
      <c r="O709" s="2977"/>
      <c r="P709" s="156"/>
      <c r="V709" s="156"/>
      <c r="W709" s="156"/>
      <c r="X709" s="156"/>
      <c r="Y709" s="156"/>
    </row>
    <row r="710" spans="1:28" ht="18.75" customHeight="1">
      <c r="A710" s="39"/>
      <c r="B710" s="39"/>
      <c r="C710" s="40"/>
      <c r="D710" s="41"/>
      <c r="E710" s="40"/>
      <c r="F710" s="42"/>
      <c r="P710" s="156"/>
      <c r="V710" s="325"/>
      <c r="W710" s="325"/>
      <c r="X710" s="156"/>
      <c r="Y710" s="156"/>
    </row>
    <row r="711" spans="1:28" ht="51.75" customHeight="1">
      <c r="A711" s="2950" t="s">
        <v>505</v>
      </c>
      <c r="B711" s="2951"/>
      <c r="C711" s="2951"/>
      <c r="D711" s="2951"/>
      <c r="E711" s="2951"/>
      <c r="F711" s="2951"/>
      <c r="G711" s="2951"/>
      <c r="H711" s="2951"/>
      <c r="I711" s="2951"/>
      <c r="J711" s="2951"/>
      <c r="K711" s="2951"/>
      <c r="L711" s="2951"/>
      <c r="M711" s="2951"/>
      <c r="N711" s="2951"/>
      <c r="O711" s="2951"/>
      <c r="P711" s="156"/>
      <c r="V711" s="325"/>
      <c r="W711" s="325"/>
      <c r="X711" s="156"/>
      <c r="Y711" s="156"/>
    </row>
    <row r="712" spans="1:28" ht="57.75" customHeight="1">
      <c r="A712" s="39"/>
      <c r="B712" s="39"/>
      <c r="C712" s="40"/>
      <c r="D712" s="41"/>
      <c r="E712" s="40"/>
      <c r="F712" s="42"/>
      <c r="P712" s="156"/>
      <c r="Q712" s="1251"/>
      <c r="R712" s="1251"/>
      <c r="S712" s="1251"/>
      <c r="T712" s="1251"/>
      <c r="V712" s="325"/>
      <c r="W712" s="325"/>
      <c r="X712" s="156"/>
      <c r="Y712" s="156"/>
    </row>
    <row r="713" spans="1:28" s="51" customFormat="1" ht="15.95" customHeight="1">
      <c r="A713" s="50" t="s">
        <v>509</v>
      </c>
      <c r="B713" s="52"/>
      <c r="C713" s="52"/>
      <c r="D713" s="52"/>
      <c r="E713" s="52"/>
      <c r="F713" s="52"/>
      <c r="G713" s="52"/>
      <c r="H713" s="52"/>
      <c r="I713" s="52"/>
      <c r="J713" s="52"/>
      <c r="K713" s="52"/>
      <c r="L713" s="50"/>
      <c r="M713" s="50"/>
      <c r="N713" s="50"/>
      <c r="O713" s="50"/>
      <c r="P713" s="324"/>
      <c r="Q713" s="1252"/>
      <c r="R713" s="1252"/>
      <c r="S713" s="1252"/>
      <c r="T713" s="1252"/>
      <c r="U713" s="1242"/>
      <c r="V713" s="326"/>
      <c r="W713" s="326"/>
      <c r="X713" s="324"/>
      <c r="Y713" s="324"/>
    </row>
    <row r="714" spans="1:28" ht="36" customHeight="1">
      <c r="A714" s="2654"/>
      <c r="B714" s="2655"/>
      <c r="C714" s="2674" t="s">
        <v>504</v>
      </c>
      <c r="D714" s="2674"/>
      <c r="E714" s="2674"/>
      <c r="F714" s="2674"/>
      <c r="G714" s="2674"/>
      <c r="H714" s="2952"/>
      <c r="I714" s="2673" t="s">
        <v>407</v>
      </c>
      <c r="J714" s="2953"/>
      <c r="K714" s="2953"/>
      <c r="L714" s="2953"/>
      <c r="M714" s="2953"/>
      <c r="N714" s="2953"/>
      <c r="O714" s="2952"/>
      <c r="P714" s="156"/>
      <c r="V714" s="156"/>
      <c r="W714" s="156"/>
      <c r="X714" s="156"/>
      <c r="Y714" s="156"/>
    </row>
    <row r="715" spans="1:28" ht="24" customHeight="1">
      <c r="A715" s="2633" t="s">
        <v>236</v>
      </c>
      <c r="B715" s="2954"/>
      <c r="C715" s="2955" t="str">
        <f ca="1">参照元個別!E33</f>
        <v/>
      </c>
      <c r="D715" s="2955"/>
      <c r="E715" s="2955"/>
      <c r="F715" s="2955"/>
      <c r="G715" s="2956"/>
      <c r="H715" s="2959" t="s">
        <v>414</v>
      </c>
      <c r="I715" s="2961" t="str">
        <f>参照元個別!F33</f>
        <v/>
      </c>
      <c r="J715" s="2962"/>
      <c r="K715" s="2962"/>
      <c r="L715" s="2962"/>
      <c r="M715" s="2965" t="s">
        <v>415</v>
      </c>
      <c r="N715" s="2967" t="str">
        <f>参照元個別!G33</f>
        <v/>
      </c>
      <c r="O715" s="2968"/>
      <c r="P715" s="165"/>
      <c r="V715" s="156"/>
      <c r="W715" s="156"/>
      <c r="X715" s="156"/>
      <c r="Y715" s="156"/>
    </row>
    <row r="716" spans="1:28" ht="23.1" customHeight="1">
      <c r="A716" s="2637">
        <f>IF( 報1!$L$28="","", 報1!$L$28 )</f>
        <v>2023</v>
      </c>
      <c r="B716" s="2638"/>
      <c r="C716" s="2957"/>
      <c r="D716" s="2957"/>
      <c r="E716" s="2957"/>
      <c r="F716" s="2957"/>
      <c r="G716" s="2958"/>
      <c r="H716" s="2960"/>
      <c r="I716" s="2963"/>
      <c r="J716" s="2964"/>
      <c r="K716" s="2964"/>
      <c r="L716" s="2964"/>
      <c r="M716" s="2966"/>
      <c r="N716" s="2969"/>
      <c r="O716" s="2970"/>
      <c r="P716" s="165"/>
      <c r="V716" s="156"/>
      <c r="W716" s="156"/>
      <c r="X716" s="156"/>
      <c r="Y716" s="156"/>
    </row>
    <row r="717" spans="1:28" ht="25.15" customHeight="1">
      <c r="A717" s="2938" t="s">
        <v>277</v>
      </c>
      <c r="B717" s="2939"/>
      <c r="C717" s="2940"/>
      <c r="D717" s="2941"/>
      <c r="E717" s="2941"/>
      <c r="F717" s="2941"/>
      <c r="G717" s="2941"/>
      <c r="H717" s="2941"/>
      <c r="I717" s="2941"/>
      <c r="J717" s="2941"/>
      <c r="K717" s="2941"/>
      <c r="L717" s="2941"/>
      <c r="M717" s="2941"/>
      <c r="N717" s="2941"/>
      <c r="O717" s="2942"/>
      <c r="P717" s="156"/>
      <c r="Q717" s="1253">
        <v>1</v>
      </c>
      <c r="R717" s="1245"/>
      <c r="S717" s="1254"/>
      <c r="T717" s="1255"/>
      <c r="U717" s="1256"/>
      <c r="V717" s="156"/>
      <c r="W717" s="156"/>
      <c r="X717" s="327"/>
      <c r="Y717" s="328"/>
      <c r="Z717" s="99"/>
      <c r="AA717" s="43"/>
      <c r="AB717" s="44"/>
    </row>
    <row r="718" spans="1:28" ht="25.15" customHeight="1">
      <c r="A718" s="2938"/>
      <c r="B718" s="2939"/>
      <c r="C718" s="2941"/>
      <c r="D718" s="2941"/>
      <c r="E718" s="2941"/>
      <c r="F718" s="2941"/>
      <c r="G718" s="2941"/>
      <c r="H718" s="2941"/>
      <c r="I718" s="2941"/>
      <c r="J718" s="2941"/>
      <c r="K718" s="2941"/>
      <c r="L718" s="2941"/>
      <c r="M718" s="2941"/>
      <c r="N718" s="2941"/>
      <c r="O718" s="2942"/>
      <c r="P718" s="156"/>
      <c r="Q718" s="1257"/>
      <c r="R718" s="1258"/>
      <c r="S718" s="1258"/>
      <c r="T718" s="1258"/>
      <c r="U718" s="1258"/>
      <c r="V718" s="156"/>
      <c r="W718" s="156"/>
      <c r="X718" s="156"/>
      <c r="Y718" s="156"/>
    </row>
    <row r="719" spans="1:28" ht="24.75" customHeight="1">
      <c r="A719" s="2938"/>
      <c r="B719" s="2939"/>
      <c r="C719" s="2941"/>
      <c r="D719" s="2941"/>
      <c r="E719" s="2941"/>
      <c r="F719" s="2941"/>
      <c r="G719" s="2941"/>
      <c r="H719" s="2941"/>
      <c r="I719" s="2941"/>
      <c r="J719" s="2941"/>
      <c r="K719" s="2941"/>
      <c r="L719" s="2941"/>
      <c r="M719" s="2941"/>
      <c r="N719" s="2941"/>
      <c r="O719" s="2942"/>
      <c r="P719" s="156"/>
      <c r="Q719" s="1257"/>
      <c r="R719" s="1256"/>
      <c r="S719" s="1256"/>
      <c r="T719" s="1256"/>
      <c r="U719" s="1256"/>
      <c r="V719" s="156"/>
      <c r="W719" s="156"/>
      <c r="X719" s="156"/>
      <c r="Y719" s="156"/>
    </row>
    <row r="720" spans="1:28" ht="10.15" customHeight="1">
      <c r="A720" s="2945"/>
      <c r="B720" s="2946"/>
      <c r="C720" s="2941"/>
      <c r="D720" s="2941"/>
      <c r="E720" s="2941"/>
      <c r="F720" s="2941"/>
      <c r="G720" s="2941"/>
      <c r="H720" s="2941"/>
      <c r="I720" s="2941"/>
      <c r="J720" s="2941"/>
      <c r="K720" s="2941"/>
      <c r="L720" s="2941"/>
      <c r="M720" s="2941"/>
      <c r="N720" s="2941"/>
      <c r="O720" s="2942"/>
      <c r="P720" s="156"/>
      <c r="Q720" s="1259"/>
      <c r="R720" s="1256"/>
      <c r="S720" s="1256"/>
      <c r="T720" s="1256"/>
      <c r="U720" s="1256"/>
      <c r="V720" s="156"/>
      <c r="W720" s="156"/>
      <c r="X720" s="156"/>
      <c r="Y720" s="156"/>
    </row>
    <row r="721" spans="1:25" ht="45" customHeight="1">
      <c r="A721" s="2947">
        <f>IF( 報1!$L$28="","", 報1!$L$28 )</f>
        <v>2023</v>
      </c>
      <c r="B721" s="2948"/>
      <c r="C721" s="2943"/>
      <c r="D721" s="2943"/>
      <c r="E721" s="2943"/>
      <c r="F721" s="2943"/>
      <c r="G721" s="2943"/>
      <c r="H721" s="2943"/>
      <c r="I721" s="2943"/>
      <c r="J721" s="2943"/>
      <c r="K721" s="2943"/>
      <c r="L721" s="2943"/>
      <c r="M721" s="2943"/>
      <c r="N721" s="2943"/>
      <c r="O721" s="2944"/>
      <c r="P721" s="156"/>
      <c r="Q721" s="1260"/>
      <c r="R721" s="1256"/>
      <c r="S721" s="1256"/>
      <c r="T721" s="1256"/>
      <c r="U721" s="1256"/>
      <c r="V721" s="156"/>
      <c r="W721" s="156"/>
      <c r="X721" s="156"/>
      <c r="Y721" s="156"/>
    </row>
    <row r="722" spans="1:25" ht="26.25" customHeight="1">
      <c r="A722" s="2949"/>
      <c r="B722" s="2949"/>
      <c r="C722" s="2949"/>
      <c r="D722" s="2949"/>
      <c r="E722" s="2949"/>
      <c r="F722" s="2949"/>
      <c r="G722" s="2949"/>
      <c r="H722" s="2949"/>
      <c r="I722" s="2949"/>
      <c r="J722" s="2949"/>
      <c r="K722" s="2949"/>
      <c r="L722" s="2949"/>
      <c r="M722" s="2949"/>
      <c r="N722" s="2949"/>
      <c r="O722" s="2949"/>
      <c r="P722" s="156"/>
      <c r="Q722" s="1259"/>
      <c r="R722" s="1256"/>
      <c r="S722" s="1256"/>
      <c r="T722" s="1256"/>
      <c r="U722" s="1256"/>
      <c r="V722" s="156"/>
      <c r="W722" s="156"/>
      <c r="X722" s="156"/>
      <c r="Y722" s="156"/>
    </row>
    <row r="723" spans="1:25" ht="30" customHeight="1">
      <c r="A723" s="156"/>
      <c r="B723" s="156"/>
      <c r="C723" s="156"/>
      <c r="D723" s="156"/>
      <c r="E723" s="156"/>
      <c r="F723" s="156"/>
      <c r="G723" s="156"/>
      <c r="H723" s="156"/>
      <c r="I723" s="156"/>
      <c r="J723" s="156"/>
      <c r="K723" s="156"/>
      <c r="L723" s="156"/>
      <c r="M723" s="156"/>
      <c r="N723" s="156"/>
      <c r="O723" s="329"/>
      <c r="P723" s="156"/>
      <c r="Q723" s="1248"/>
      <c r="R723" s="1260"/>
      <c r="S723" s="1244"/>
      <c r="T723" s="1244"/>
      <c r="V723" s="156"/>
      <c r="W723" s="156"/>
      <c r="X723" s="156"/>
      <c r="Y723" s="156"/>
    </row>
    <row r="724" spans="1:25" ht="18" customHeight="1">
      <c r="A724" s="156"/>
      <c r="B724" s="156"/>
      <c r="C724" s="156"/>
      <c r="D724" s="156"/>
      <c r="E724" s="156"/>
      <c r="F724" s="156"/>
      <c r="G724" s="156"/>
      <c r="H724" s="156"/>
      <c r="I724" s="156"/>
      <c r="J724" s="156"/>
      <c r="K724" s="156"/>
      <c r="L724" s="156"/>
      <c r="M724" s="156"/>
      <c r="N724" s="156"/>
      <c r="O724" s="329"/>
      <c r="P724" s="156"/>
      <c r="Q724" s="1261"/>
      <c r="R724" s="1260"/>
      <c r="S724" s="1244"/>
      <c r="T724" s="1244"/>
      <c r="V724" s="156"/>
      <c r="W724" s="156"/>
      <c r="X724" s="156"/>
      <c r="Y724" s="156"/>
    </row>
    <row r="725" spans="1:25" ht="18" customHeight="1">
      <c r="A725" s="156"/>
      <c r="B725" s="156"/>
      <c r="C725" s="156"/>
      <c r="D725" s="156"/>
      <c r="E725" s="156"/>
      <c r="F725" s="156"/>
      <c r="G725" s="156"/>
      <c r="H725" s="156"/>
      <c r="I725" s="156"/>
      <c r="J725" s="156"/>
      <c r="K725" s="156"/>
      <c r="L725" s="156"/>
      <c r="M725" s="156"/>
      <c r="N725" s="156"/>
      <c r="O725" s="329"/>
      <c r="P725" s="156"/>
      <c r="Q725" s="1261"/>
      <c r="R725" s="1260"/>
      <c r="S725" s="1244"/>
      <c r="T725" s="1244"/>
      <c r="V725" s="156"/>
      <c r="W725" s="156"/>
      <c r="X725" s="156"/>
      <c r="Y725" s="156"/>
    </row>
    <row r="726" spans="1:25">
      <c r="A726" s="1" t="s">
        <v>175</v>
      </c>
      <c r="B726" s="2"/>
      <c r="C726" s="2"/>
      <c r="D726" s="2"/>
      <c r="E726" s="2"/>
      <c r="F726" s="2"/>
      <c r="G726" s="2"/>
      <c r="H726" s="2"/>
      <c r="I726" s="2"/>
      <c r="J726" s="2"/>
      <c r="K726" s="2"/>
      <c r="L726" s="2"/>
      <c r="M726" s="2"/>
      <c r="N726" s="2"/>
      <c r="O726" s="2"/>
      <c r="P726" s="156" t="str">
        <f>"個別票"&amp;Q726</f>
        <v>個別票30</v>
      </c>
      <c r="Q726" s="1242">
        <f>Q701+1</f>
        <v>30</v>
      </c>
      <c r="V726" s="156"/>
      <c r="W726" s="156"/>
      <c r="X726" s="156"/>
      <c r="Y726" s="156"/>
    </row>
    <row r="727" spans="1:25">
      <c r="A727" s="2" t="s">
        <v>150</v>
      </c>
      <c r="B727" s="4"/>
      <c r="C727" s="4"/>
      <c r="D727" s="4"/>
      <c r="E727" s="4"/>
      <c r="F727" s="4"/>
      <c r="G727" s="4"/>
      <c r="H727" s="4"/>
      <c r="I727" s="4"/>
      <c r="J727" s="4"/>
      <c r="K727" s="4"/>
      <c r="L727" s="4"/>
      <c r="M727" s="4"/>
      <c r="N727" s="2"/>
      <c r="O727" s="2"/>
      <c r="P727" s="156"/>
      <c r="V727" s="156"/>
      <c r="W727" s="156"/>
      <c r="X727" s="156"/>
      <c r="Y727" s="156"/>
    </row>
    <row r="728" spans="1:25" ht="17.25">
      <c r="A728" s="2983" t="s">
        <v>403</v>
      </c>
      <c r="B728" s="2983"/>
      <c r="C728" s="2983"/>
      <c r="D728" s="2983"/>
      <c r="E728" s="2983"/>
      <c r="F728" s="2983"/>
      <c r="G728" s="2983"/>
      <c r="H728" s="2983"/>
      <c r="I728" s="2983"/>
      <c r="J728" s="2983"/>
      <c r="K728" s="2983"/>
      <c r="L728" s="2983"/>
      <c r="M728" s="2983"/>
      <c r="N728" s="2983"/>
      <c r="O728" s="2983"/>
      <c r="P728" s="156"/>
      <c r="V728" s="156"/>
      <c r="W728" s="156"/>
      <c r="X728" s="156"/>
      <c r="Y728" s="156"/>
    </row>
    <row r="729" spans="1:25" ht="31.5" customHeight="1">
      <c r="A729" s="38"/>
      <c r="B729" s="38"/>
      <c r="C729" s="38"/>
      <c r="D729" s="38"/>
      <c r="E729" s="38"/>
      <c r="F729" s="38"/>
      <c r="G729" s="38"/>
      <c r="H729" s="38"/>
      <c r="I729" s="38"/>
      <c r="J729" s="38"/>
      <c r="K729" s="38"/>
      <c r="L729" s="38"/>
      <c r="M729" s="38"/>
      <c r="N729" s="38"/>
      <c r="O729" s="38"/>
      <c r="P729" s="156"/>
      <c r="V729" s="156"/>
      <c r="W729" s="156"/>
      <c r="X729" s="156"/>
      <c r="Y729" s="156"/>
    </row>
    <row r="730" spans="1:25" s="51" customFormat="1" ht="15.95" customHeight="1">
      <c r="A730" s="48" t="s">
        <v>151</v>
      </c>
      <c r="B730" s="80"/>
      <c r="C730" s="80"/>
      <c r="D730" s="80"/>
      <c r="E730" s="80"/>
      <c r="F730" s="80"/>
      <c r="G730" s="80"/>
      <c r="H730" s="80"/>
      <c r="I730" s="80"/>
      <c r="J730" s="80"/>
      <c r="K730" s="80"/>
      <c r="L730" s="80"/>
      <c r="M730" s="80"/>
      <c r="P730" s="324"/>
      <c r="Q730" s="1250"/>
      <c r="R730" s="1250"/>
      <c r="S730" s="1250"/>
      <c r="T730" s="1250"/>
      <c r="U730" s="1242"/>
      <c r="V730" s="324"/>
      <c r="W730" s="324"/>
      <c r="X730" s="324"/>
      <c r="Y730" s="324"/>
    </row>
    <row r="731" spans="1:25" ht="39.950000000000003" customHeight="1">
      <c r="A731" s="2984" t="s">
        <v>152</v>
      </c>
      <c r="B731" s="2985"/>
      <c r="C731" s="2986"/>
      <c r="D731" s="2987" t="str">
        <f>参照元個別!I34</f>
        <v>事業所名を入力30</v>
      </c>
      <c r="E731" s="2988"/>
      <c r="F731" s="2988"/>
      <c r="G731" s="2988"/>
      <c r="H731" s="2988"/>
      <c r="I731" s="2988"/>
      <c r="J731" s="2988"/>
      <c r="K731" s="2988"/>
      <c r="L731" s="2988"/>
      <c r="M731" s="2988"/>
      <c r="N731" s="2988"/>
      <c r="O731" s="2989"/>
      <c r="P731" s="156"/>
      <c r="V731" s="156"/>
      <c r="W731" s="156"/>
      <c r="X731" s="156"/>
      <c r="Y731" s="156"/>
    </row>
    <row r="732" spans="1:25" ht="39.950000000000003" customHeight="1">
      <c r="A732" s="2570" t="s">
        <v>153</v>
      </c>
      <c r="B732" s="2571"/>
      <c r="C732" s="2990"/>
      <c r="D732" s="2991"/>
      <c r="E732" s="2992"/>
      <c r="F732" s="2992"/>
      <c r="G732" s="2992"/>
      <c r="H732" s="2992"/>
      <c r="I732" s="2992"/>
      <c r="J732" s="2992"/>
      <c r="K732" s="2992"/>
      <c r="L732" s="2992"/>
      <c r="M732" s="2992"/>
      <c r="N732" s="2992"/>
      <c r="O732" s="2993"/>
      <c r="P732" s="156"/>
      <c r="V732" s="156"/>
      <c r="W732" s="156"/>
      <c r="X732" s="156"/>
      <c r="Y732" s="156"/>
    </row>
    <row r="733" spans="1:25" ht="39.950000000000003" customHeight="1">
      <c r="A733" s="2536" t="s">
        <v>154</v>
      </c>
      <c r="B733" s="2978"/>
      <c r="C733" s="2979"/>
      <c r="D733" s="2980"/>
      <c r="E733" s="101" t="s">
        <v>180</v>
      </c>
      <c r="F733" s="2974" t="s">
        <v>404</v>
      </c>
      <c r="G733" s="2975"/>
      <c r="H733" s="2981" t="str">
        <f ca="1">参照元個別!$P$34</f>
        <v/>
      </c>
      <c r="I733" s="2982"/>
      <c r="J733" s="58" t="s">
        <v>176</v>
      </c>
      <c r="K733" s="2974" t="s">
        <v>405</v>
      </c>
      <c r="L733" s="2975"/>
      <c r="M733" s="2971"/>
      <c r="N733" s="2972"/>
      <c r="O733" s="2973"/>
      <c r="P733" s="156" t="str">
        <f>IFERROR(VLOOKUP(M733,$U$1:$V$16,2,0),"")</f>
        <v/>
      </c>
      <c r="U733" s="1250"/>
      <c r="V733" s="156"/>
      <c r="W733" s="156"/>
      <c r="X733" s="156"/>
      <c r="Y733" s="156"/>
    </row>
    <row r="734" spans="1:25" ht="39.950000000000003" customHeight="1">
      <c r="A734" s="2974" t="s">
        <v>406</v>
      </c>
      <c r="B734" s="2975"/>
      <c r="C734" s="2976"/>
      <c r="D734" s="2896"/>
      <c r="E734" s="2897"/>
      <c r="F734" s="2974" t="s">
        <v>158</v>
      </c>
      <c r="G734" s="2975"/>
      <c r="H734" s="2976"/>
      <c r="I734" s="2896"/>
      <c r="J734" s="2897"/>
      <c r="K734" s="2580"/>
      <c r="L734" s="2977"/>
      <c r="M734" s="2977"/>
      <c r="N734" s="2977"/>
      <c r="O734" s="2977"/>
      <c r="P734" s="156"/>
      <c r="V734" s="156"/>
      <c r="W734" s="156"/>
      <c r="X734" s="156"/>
      <c r="Y734" s="156"/>
    </row>
    <row r="735" spans="1:25" ht="18.75" customHeight="1">
      <c r="A735" s="39"/>
      <c r="B735" s="39"/>
      <c r="C735" s="40"/>
      <c r="D735" s="41"/>
      <c r="E735" s="40"/>
      <c r="F735" s="42"/>
      <c r="P735" s="156"/>
      <c r="V735" s="325"/>
      <c r="W735" s="325"/>
      <c r="X735" s="156"/>
      <c r="Y735" s="156"/>
    </row>
    <row r="736" spans="1:25" ht="51.75" customHeight="1">
      <c r="A736" s="2950" t="s">
        <v>505</v>
      </c>
      <c r="B736" s="2951"/>
      <c r="C736" s="2951"/>
      <c r="D736" s="2951"/>
      <c r="E736" s="2951"/>
      <c r="F736" s="2951"/>
      <c r="G736" s="2951"/>
      <c r="H736" s="2951"/>
      <c r="I736" s="2951"/>
      <c r="J736" s="2951"/>
      <c r="K736" s="2951"/>
      <c r="L736" s="2951"/>
      <c r="M736" s="2951"/>
      <c r="N736" s="2951"/>
      <c r="O736" s="2951"/>
      <c r="P736" s="156"/>
      <c r="V736" s="325"/>
      <c r="W736" s="325"/>
      <c r="X736" s="156"/>
      <c r="Y736" s="156"/>
    </row>
    <row r="737" spans="1:28" ht="57.75" customHeight="1">
      <c r="A737" s="39"/>
      <c r="B737" s="39"/>
      <c r="C737" s="40"/>
      <c r="D737" s="41"/>
      <c r="E737" s="40"/>
      <c r="F737" s="42"/>
      <c r="P737" s="156"/>
      <c r="Q737" s="1251"/>
      <c r="R737" s="1251"/>
      <c r="S737" s="1251"/>
      <c r="T737" s="1251"/>
      <c r="V737" s="325"/>
      <c r="W737" s="325"/>
      <c r="X737" s="156"/>
      <c r="Y737" s="156"/>
    </row>
    <row r="738" spans="1:28" s="51" customFormat="1" ht="15.95" customHeight="1">
      <c r="A738" s="50" t="s">
        <v>509</v>
      </c>
      <c r="B738" s="52"/>
      <c r="C738" s="52"/>
      <c r="D738" s="52"/>
      <c r="E738" s="52"/>
      <c r="F738" s="52"/>
      <c r="G738" s="52"/>
      <c r="H738" s="52"/>
      <c r="I738" s="52"/>
      <c r="J738" s="52"/>
      <c r="K738" s="52"/>
      <c r="L738" s="50"/>
      <c r="M738" s="50"/>
      <c r="N738" s="50"/>
      <c r="O738" s="50"/>
      <c r="P738" s="324"/>
      <c r="Q738" s="1252"/>
      <c r="R738" s="1252"/>
      <c r="S738" s="1252"/>
      <c r="T738" s="1252"/>
      <c r="U738" s="1242"/>
      <c r="V738" s="326"/>
      <c r="W738" s="326"/>
      <c r="X738" s="324"/>
      <c r="Y738" s="324"/>
    </row>
    <row r="739" spans="1:28" ht="36" customHeight="1">
      <c r="A739" s="2654"/>
      <c r="B739" s="2655"/>
      <c r="C739" s="2674" t="s">
        <v>504</v>
      </c>
      <c r="D739" s="2674"/>
      <c r="E739" s="2674"/>
      <c r="F739" s="2674"/>
      <c r="G739" s="2674"/>
      <c r="H739" s="2952"/>
      <c r="I739" s="2673" t="s">
        <v>407</v>
      </c>
      <c r="J739" s="2953"/>
      <c r="K739" s="2953"/>
      <c r="L739" s="2953"/>
      <c r="M739" s="2953"/>
      <c r="N739" s="2953"/>
      <c r="O739" s="2952"/>
      <c r="P739" s="156"/>
      <c r="V739" s="156"/>
      <c r="W739" s="156"/>
      <c r="X739" s="156"/>
      <c r="Y739" s="156"/>
    </row>
    <row r="740" spans="1:28" ht="24" customHeight="1">
      <c r="A740" s="2633" t="s">
        <v>236</v>
      </c>
      <c r="B740" s="2954"/>
      <c r="C740" s="2955" t="str">
        <f ca="1">参照元個別!E34</f>
        <v/>
      </c>
      <c r="D740" s="2955"/>
      <c r="E740" s="2955"/>
      <c r="F740" s="2955"/>
      <c r="G740" s="2956"/>
      <c r="H740" s="2959" t="s">
        <v>414</v>
      </c>
      <c r="I740" s="2961" t="str">
        <f>参照元個別!F34</f>
        <v/>
      </c>
      <c r="J740" s="2962"/>
      <c r="K740" s="2962"/>
      <c r="L740" s="2962"/>
      <c r="M740" s="2965" t="s">
        <v>415</v>
      </c>
      <c r="N740" s="2967" t="str">
        <f>参照元個別!G34</f>
        <v/>
      </c>
      <c r="O740" s="2968"/>
      <c r="P740" s="165"/>
      <c r="V740" s="156"/>
      <c r="W740" s="156"/>
      <c r="X740" s="156"/>
      <c r="Y740" s="156"/>
    </row>
    <row r="741" spans="1:28" ht="23.1" customHeight="1">
      <c r="A741" s="2637">
        <f>IF( 報1!$L$28="","", 報1!$L$28 )</f>
        <v>2023</v>
      </c>
      <c r="B741" s="2638"/>
      <c r="C741" s="2957"/>
      <c r="D741" s="2957"/>
      <c r="E741" s="2957"/>
      <c r="F741" s="2957"/>
      <c r="G741" s="2958"/>
      <c r="H741" s="2960"/>
      <c r="I741" s="2963"/>
      <c r="J741" s="2964"/>
      <c r="K741" s="2964"/>
      <c r="L741" s="2964"/>
      <c r="M741" s="2966"/>
      <c r="N741" s="2969"/>
      <c r="O741" s="2970"/>
      <c r="P741" s="165"/>
      <c r="V741" s="156"/>
      <c r="W741" s="156"/>
      <c r="X741" s="156"/>
      <c r="Y741" s="156"/>
    </row>
    <row r="742" spans="1:28" ht="25.15" customHeight="1">
      <c r="A742" s="2938" t="s">
        <v>277</v>
      </c>
      <c r="B742" s="2939"/>
      <c r="C742" s="2940"/>
      <c r="D742" s="2941"/>
      <c r="E742" s="2941"/>
      <c r="F742" s="2941"/>
      <c r="G742" s="2941"/>
      <c r="H742" s="2941"/>
      <c r="I742" s="2941"/>
      <c r="J742" s="2941"/>
      <c r="K742" s="2941"/>
      <c r="L742" s="2941"/>
      <c r="M742" s="2941"/>
      <c r="N742" s="2941"/>
      <c r="O742" s="2942"/>
      <c r="P742" s="156"/>
      <c r="Q742" s="1253">
        <v>1</v>
      </c>
      <c r="R742" s="1245"/>
      <c r="S742" s="1254"/>
      <c r="T742" s="1255"/>
      <c r="U742" s="1256"/>
      <c r="V742" s="156"/>
      <c r="W742" s="156"/>
      <c r="X742" s="327"/>
      <c r="Y742" s="328"/>
      <c r="Z742" s="99"/>
      <c r="AA742" s="43"/>
      <c r="AB742" s="44"/>
    </row>
    <row r="743" spans="1:28" ht="25.15" customHeight="1">
      <c r="A743" s="2938"/>
      <c r="B743" s="2939"/>
      <c r="C743" s="2941"/>
      <c r="D743" s="2941"/>
      <c r="E743" s="2941"/>
      <c r="F743" s="2941"/>
      <c r="G743" s="2941"/>
      <c r="H743" s="2941"/>
      <c r="I743" s="2941"/>
      <c r="J743" s="2941"/>
      <c r="K743" s="2941"/>
      <c r="L743" s="2941"/>
      <c r="M743" s="2941"/>
      <c r="N743" s="2941"/>
      <c r="O743" s="2942"/>
      <c r="P743" s="156"/>
      <c r="Q743" s="1257"/>
      <c r="R743" s="1258"/>
      <c r="S743" s="1258"/>
      <c r="T743" s="1258"/>
      <c r="U743" s="1258"/>
      <c r="V743" s="156"/>
      <c r="W743" s="156"/>
      <c r="X743" s="156"/>
      <c r="Y743" s="156"/>
    </row>
    <row r="744" spans="1:28" ht="24.75" customHeight="1">
      <c r="A744" s="2938"/>
      <c r="B744" s="2939"/>
      <c r="C744" s="2941"/>
      <c r="D744" s="2941"/>
      <c r="E744" s="2941"/>
      <c r="F744" s="2941"/>
      <c r="G744" s="2941"/>
      <c r="H744" s="2941"/>
      <c r="I744" s="2941"/>
      <c r="J744" s="2941"/>
      <c r="K744" s="2941"/>
      <c r="L744" s="2941"/>
      <c r="M744" s="2941"/>
      <c r="N744" s="2941"/>
      <c r="O744" s="2942"/>
      <c r="P744" s="156"/>
      <c r="Q744" s="1257"/>
      <c r="R744" s="1256"/>
      <c r="S744" s="1256"/>
      <c r="T744" s="1256"/>
      <c r="U744" s="1256"/>
      <c r="V744" s="156"/>
      <c r="W744" s="156"/>
      <c r="X744" s="156"/>
      <c r="Y744" s="156"/>
    </row>
    <row r="745" spans="1:28" ht="10.15" customHeight="1">
      <c r="A745" s="2945"/>
      <c r="B745" s="2946"/>
      <c r="C745" s="2941"/>
      <c r="D745" s="2941"/>
      <c r="E745" s="2941"/>
      <c r="F745" s="2941"/>
      <c r="G745" s="2941"/>
      <c r="H745" s="2941"/>
      <c r="I745" s="2941"/>
      <c r="J745" s="2941"/>
      <c r="K745" s="2941"/>
      <c r="L745" s="2941"/>
      <c r="M745" s="2941"/>
      <c r="N745" s="2941"/>
      <c r="O745" s="2942"/>
      <c r="P745" s="156"/>
      <c r="Q745" s="1259"/>
      <c r="R745" s="1256"/>
      <c r="S745" s="1256"/>
      <c r="T745" s="1256"/>
      <c r="U745" s="1256"/>
      <c r="V745" s="156"/>
      <c r="W745" s="156"/>
      <c r="X745" s="156"/>
      <c r="Y745" s="156"/>
    </row>
    <row r="746" spans="1:28" ht="45" customHeight="1">
      <c r="A746" s="2947">
        <f>IF( 報1!$L$28="","", 報1!$L$28 )</f>
        <v>2023</v>
      </c>
      <c r="B746" s="2948"/>
      <c r="C746" s="2943"/>
      <c r="D746" s="2943"/>
      <c r="E746" s="2943"/>
      <c r="F746" s="2943"/>
      <c r="G746" s="2943"/>
      <c r="H746" s="2943"/>
      <c r="I746" s="2943"/>
      <c r="J746" s="2943"/>
      <c r="K746" s="2943"/>
      <c r="L746" s="2943"/>
      <c r="M746" s="2943"/>
      <c r="N746" s="2943"/>
      <c r="O746" s="2944"/>
      <c r="P746" s="156"/>
      <c r="Q746" s="1260"/>
      <c r="R746" s="1256"/>
      <c r="S746" s="1256"/>
      <c r="T746" s="1256"/>
      <c r="U746" s="1256"/>
      <c r="V746" s="156"/>
      <c r="W746" s="156"/>
      <c r="X746" s="156"/>
      <c r="Y746" s="156"/>
    </row>
    <row r="747" spans="1:28" ht="26.25" customHeight="1">
      <c r="A747" s="2949"/>
      <c r="B747" s="2949"/>
      <c r="C747" s="2949"/>
      <c r="D747" s="2949"/>
      <c r="E747" s="2949"/>
      <c r="F747" s="2949"/>
      <c r="G747" s="2949"/>
      <c r="H747" s="2949"/>
      <c r="I747" s="2949"/>
      <c r="J747" s="2949"/>
      <c r="K747" s="2949"/>
      <c r="L747" s="2949"/>
      <c r="M747" s="2949"/>
      <c r="N747" s="2949"/>
      <c r="O747" s="2949"/>
      <c r="P747" s="156"/>
      <c r="Q747" s="1259"/>
      <c r="R747" s="1256"/>
      <c r="S747" s="1256"/>
      <c r="T747" s="1256"/>
      <c r="U747" s="1256"/>
      <c r="V747" s="156"/>
      <c r="W747" s="156"/>
      <c r="X747" s="156"/>
      <c r="Y747" s="156"/>
    </row>
    <row r="748" spans="1:28" ht="30" customHeight="1">
      <c r="A748" s="156"/>
      <c r="B748" s="156"/>
      <c r="C748" s="156"/>
      <c r="D748" s="156"/>
      <c r="E748" s="156"/>
      <c r="F748" s="156"/>
      <c r="G748" s="156"/>
      <c r="H748" s="156"/>
      <c r="I748" s="156"/>
      <c r="J748" s="156"/>
      <c r="K748" s="156"/>
      <c r="L748" s="156"/>
      <c r="M748" s="156"/>
      <c r="N748" s="156"/>
      <c r="O748" s="329"/>
      <c r="P748" s="156"/>
      <c r="Q748" s="1248"/>
      <c r="R748" s="1260"/>
      <c r="S748" s="1244"/>
      <c r="T748" s="1244"/>
      <c r="V748" s="156"/>
      <c r="W748" s="156"/>
      <c r="X748" s="156"/>
      <c r="Y748" s="156"/>
    </row>
    <row r="749" spans="1:28" ht="18" customHeight="1">
      <c r="A749" s="156"/>
      <c r="B749" s="156"/>
      <c r="C749" s="156"/>
      <c r="D749" s="156"/>
      <c r="E749" s="156"/>
      <c r="F749" s="156"/>
      <c r="G749" s="156"/>
      <c r="H749" s="156"/>
      <c r="I749" s="156"/>
      <c r="J749" s="156"/>
      <c r="K749" s="156"/>
      <c r="L749" s="156"/>
      <c r="M749" s="156"/>
      <c r="N749" s="156"/>
      <c r="O749" s="329"/>
      <c r="P749" s="156"/>
      <c r="Q749" s="1261"/>
      <c r="R749" s="1260"/>
      <c r="S749" s="1244"/>
      <c r="T749" s="1244"/>
      <c r="V749" s="156"/>
      <c r="W749" s="156"/>
      <c r="X749" s="156"/>
      <c r="Y749" s="156"/>
    </row>
    <row r="750" spans="1:28" ht="18" customHeight="1">
      <c r="A750" s="156"/>
      <c r="B750" s="156"/>
      <c r="C750" s="156"/>
      <c r="D750" s="156"/>
      <c r="E750" s="156"/>
      <c r="F750" s="156"/>
      <c r="G750" s="156"/>
      <c r="H750" s="156"/>
      <c r="I750" s="156"/>
      <c r="J750" s="156"/>
      <c r="K750" s="156"/>
      <c r="L750" s="156"/>
      <c r="M750" s="156"/>
      <c r="N750" s="156"/>
      <c r="O750" s="329"/>
      <c r="P750" s="156"/>
      <c r="Q750" s="1261"/>
      <c r="R750" s="1260"/>
      <c r="S750" s="1244"/>
      <c r="T750" s="1244"/>
      <c r="V750" s="156"/>
      <c r="W750" s="156"/>
      <c r="X750" s="156"/>
      <c r="Y750" s="156"/>
    </row>
    <row r="751" spans="1:28">
      <c r="A751" s="1" t="s">
        <v>175</v>
      </c>
      <c r="B751" s="2"/>
      <c r="C751" s="2"/>
      <c r="D751" s="2"/>
      <c r="E751" s="2"/>
      <c r="F751" s="2"/>
      <c r="G751" s="2"/>
      <c r="H751" s="2"/>
      <c r="I751" s="2"/>
      <c r="J751" s="2"/>
      <c r="K751" s="2"/>
      <c r="L751" s="2"/>
      <c r="M751" s="2"/>
      <c r="N751" s="2"/>
      <c r="O751" s="2"/>
      <c r="P751" s="156" t="str">
        <f>"個別票"&amp;Q751</f>
        <v>個別票31</v>
      </c>
      <c r="Q751" s="1242">
        <f>Q726+1</f>
        <v>31</v>
      </c>
      <c r="V751" s="156"/>
      <c r="W751" s="156"/>
      <c r="X751" s="156"/>
      <c r="Y751" s="156"/>
    </row>
    <row r="752" spans="1:28">
      <c r="A752" s="2" t="s">
        <v>150</v>
      </c>
      <c r="B752" s="4"/>
      <c r="C752" s="4"/>
      <c r="D752" s="4"/>
      <c r="E752" s="4"/>
      <c r="F752" s="4"/>
      <c r="G752" s="4"/>
      <c r="H752" s="4"/>
      <c r="I752" s="4"/>
      <c r="J752" s="4"/>
      <c r="K752" s="4"/>
      <c r="L752" s="4"/>
      <c r="M752" s="4"/>
      <c r="N752" s="2"/>
      <c r="O752" s="2"/>
      <c r="P752" s="156"/>
      <c r="V752" s="156"/>
      <c r="W752" s="156"/>
      <c r="X752" s="156"/>
      <c r="Y752" s="156"/>
    </row>
    <row r="753" spans="1:28" ht="17.25">
      <c r="A753" s="2983" t="s">
        <v>403</v>
      </c>
      <c r="B753" s="2983"/>
      <c r="C753" s="2983"/>
      <c r="D753" s="2983"/>
      <c r="E753" s="2983"/>
      <c r="F753" s="2983"/>
      <c r="G753" s="2983"/>
      <c r="H753" s="2983"/>
      <c r="I753" s="2983"/>
      <c r="J753" s="2983"/>
      <c r="K753" s="2983"/>
      <c r="L753" s="2983"/>
      <c r="M753" s="2983"/>
      <c r="N753" s="2983"/>
      <c r="O753" s="2983"/>
      <c r="P753" s="156"/>
      <c r="V753" s="156"/>
      <c r="W753" s="156"/>
      <c r="X753" s="156"/>
      <c r="Y753" s="156"/>
    </row>
    <row r="754" spans="1:28" ht="31.5" customHeight="1">
      <c r="A754" s="38"/>
      <c r="B754" s="38"/>
      <c r="C754" s="38"/>
      <c r="D754" s="38"/>
      <c r="E754" s="38"/>
      <c r="F754" s="38"/>
      <c r="G754" s="38"/>
      <c r="H754" s="38"/>
      <c r="I754" s="38"/>
      <c r="J754" s="38"/>
      <c r="K754" s="38"/>
      <c r="L754" s="38"/>
      <c r="M754" s="38"/>
      <c r="N754" s="38"/>
      <c r="O754" s="38"/>
      <c r="P754" s="156"/>
      <c r="V754" s="156"/>
      <c r="W754" s="156"/>
      <c r="X754" s="156"/>
      <c r="Y754" s="156"/>
    </row>
    <row r="755" spans="1:28" s="51" customFormat="1" ht="15.95" customHeight="1">
      <c r="A755" s="48" t="s">
        <v>151</v>
      </c>
      <c r="B755" s="80"/>
      <c r="C755" s="80"/>
      <c r="D755" s="80"/>
      <c r="E755" s="80"/>
      <c r="F755" s="80"/>
      <c r="G755" s="80"/>
      <c r="H755" s="80"/>
      <c r="I755" s="80"/>
      <c r="J755" s="80"/>
      <c r="K755" s="80"/>
      <c r="L755" s="80"/>
      <c r="M755" s="80"/>
      <c r="P755" s="324"/>
      <c r="Q755" s="1250"/>
      <c r="R755" s="1250"/>
      <c r="S755" s="1250"/>
      <c r="T755" s="1250"/>
      <c r="U755" s="1242"/>
      <c r="V755" s="324"/>
      <c r="W755" s="324"/>
      <c r="X755" s="324"/>
      <c r="Y755" s="324"/>
    </row>
    <row r="756" spans="1:28" ht="39.950000000000003" customHeight="1">
      <c r="A756" s="2984" t="s">
        <v>152</v>
      </c>
      <c r="B756" s="2985"/>
      <c r="C756" s="2986"/>
      <c r="D756" s="2987" t="str">
        <f>参照元個別!I35</f>
        <v>事業所名を入力31</v>
      </c>
      <c r="E756" s="2988"/>
      <c r="F756" s="2988"/>
      <c r="G756" s="2988"/>
      <c r="H756" s="2988"/>
      <c r="I756" s="2988"/>
      <c r="J756" s="2988"/>
      <c r="K756" s="2988"/>
      <c r="L756" s="2988"/>
      <c r="M756" s="2988"/>
      <c r="N756" s="2988"/>
      <c r="O756" s="2989"/>
      <c r="P756" s="156"/>
      <c r="V756" s="156"/>
      <c r="W756" s="156"/>
      <c r="X756" s="156"/>
      <c r="Y756" s="156"/>
    </row>
    <row r="757" spans="1:28" ht="39.950000000000003" customHeight="1">
      <c r="A757" s="2570" t="s">
        <v>153</v>
      </c>
      <c r="B757" s="2571"/>
      <c r="C757" s="2990"/>
      <c r="D757" s="2991"/>
      <c r="E757" s="2992"/>
      <c r="F757" s="2992"/>
      <c r="G757" s="2992"/>
      <c r="H757" s="2992"/>
      <c r="I757" s="2992"/>
      <c r="J757" s="2992"/>
      <c r="K757" s="2992"/>
      <c r="L757" s="2992"/>
      <c r="M757" s="2992"/>
      <c r="N757" s="2992"/>
      <c r="O757" s="2993"/>
      <c r="P757" s="156"/>
      <c r="V757" s="156"/>
      <c r="W757" s="156"/>
      <c r="X757" s="156"/>
      <c r="Y757" s="156"/>
    </row>
    <row r="758" spans="1:28" ht="39.950000000000003" customHeight="1">
      <c r="A758" s="2536" t="s">
        <v>154</v>
      </c>
      <c r="B758" s="2978"/>
      <c r="C758" s="2979"/>
      <c r="D758" s="2980"/>
      <c r="E758" s="101" t="s">
        <v>180</v>
      </c>
      <c r="F758" s="2974" t="s">
        <v>404</v>
      </c>
      <c r="G758" s="2975"/>
      <c r="H758" s="2981" t="str">
        <f ca="1">参照元個別!$P$35</f>
        <v/>
      </c>
      <c r="I758" s="2982"/>
      <c r="J758" s="58" t="s">
        <v>176</v>
      </c>
      <c r="K758" s="2974" t="s">
        <v>405</v>
      </c>
      <c r="L758" s="2975"/>
      <c r="M758" s="2971"/>
      <c r="N758" s="2972"/>
      <c r="O758" s="2973"/>
      <c r="P758" s="156" t="str">
        <f>IFERROR(VLOOKUP(M758,$U$1:$V$16,2,0),"")</f>
        <v/>
      </c>
      <c r="U758" s="1250"/>
      <c r="V758" s="156"/>
      <c r="W758" s="156"/>
      <c r="X758" s="156"/>
      <c r="Y758" s="156"/>
    </row>
    <row r="759" spans="1:28" ht="39.950000000000003" customHeight="1">
      <c r="A759" s="2974" t="s">
        <v>406</v>
      </c>
      <c r="B759" s="2975"/>
      <c r="C759" s="2976"/>
      <c r="D759" s="2896"/>
      <c r="E759" s="2897"/>
      <c r="F759" s="2974" t="s">
        <v>158</v>
      </c>
      <c r="G759" s="2975"/>
      <c r="H759" s="2976"/>
      <c r="I759" s="2896"/>
      <c r="J759" s="2897"/>
      <c r="K759" s="2580"/>
      <c r="L759" s="2977"/>
      <c r="M759" s="2977"/>
      <c r="N759" s="2977"/>
      <c r="O759" s="2977"/>
      <c r="P759" s="156"/>
      <c r="V759" s="156"/>
      <c r="W759" s="156"/>
      <c r="X759" s="156"/>
      <c r="Y759" s="156"/>
    </row>
    <row r="760" spans="1:28" ht="18.75" customHeight="1">
      <c r="A760" s="39"/>
      <c r="B760" s="39"/>
      <c r="C760" s="40"/>
      <c r="D760" s="41"/>
      <c r="E760" s="40"/>
      <c r="F760" s="42"/>
      <c r="P760" s="156"/>
      <c r="V760" s="325"/>
      <c r="W760" s="325"/>
      <c r="X760" s="156"/>
      <c r="Y760" s="156"/>
    </row>
    <row r="761" spans="1:28" ht="51.75" customHeight="1">
      <c r="A761" s="2950" t="s">
        <v>505</v>
      </c>
      <c r="B761" s="2951"/>
      <c r="C761" s="2951"/>
      <c r="D761" s="2951"/>
      <c r="E761" s="2951"/>
      <c r="F761" s="2951"/>
      <c r="G761" s="2951"/>
      <c r="H761" s="2951"/>
      <c r="I761" s="2951"/>
      <c r="J761" s="2951"/>
      <c r="K761" s="2951"/>
      <c r="L761" s="2951"/>
      <c r="M761" s="2951"/>
      <c r="N761" s="2951"/>
      <c r="O761" s="2951"/>
      <c r="P761" s="156"/>
      <c r="V761" s="325"/>
      <c r="W761" s="325"/>
      <c r="X761" s="156"/>
      <c r="Y761" s="156"/>
    </row>
    <row r="762" spans="1:28" ht="57.75" customHeight="1">
      <c r="A762" s="39"/>
      <c r="B762" s="39"/>
      <c r="C762" s="40"/>
      <c r="D762" s="41"/>
      <c r="E762" s="40"/>
      <c r="F762" s="42"/>
      <c r="P762" s="156"/>
      <c r="Q762" s="1251"/>
      <c r="R762" s="1251"/>
      <c r="S762" s="1251"/>
      <c r="T762" s="1251"/>
      <c r="V762" s="325"/>
      <c r="W762" s="325"/>
      <c r="X762" s="156"/>
      <c r="Y762" s="156"/>
    </row>
    <row r="763" spans="1:28" s="51" customFormat="1" ht="15.95" customHeight="1">
      <c r="A763" s="50" t="s">
        <v>509</v>
      </c>
      <c r="B763" s="52"/>
      <c r="C763" s="52"/>
      <c r="D763" s="52"/>
      <c r="E763" s="52"/>
      <c r="F763" s="52"/>
      <c r="G763" s="52"/>
      <c r="H763" s="52"/>
      <c r="I763" s="52"/>
      <c r="J763" s="52"/>
      <c r="K763" s="52"/>
      <c r="L763" s="50"/>
      <c r="M763" s="50"/>
      <c r="N763" s="50"/>
      <c r="O763" s="50"/>
      <c r="P763" s="324"/>
      <c r="Q763" s="1252"/>
      <c r="R763" s="1252"/>
      <c r="S763" s="1252"/>
      <c r="T763" s="1252"/>
      <c r="U763" s="1242"/>
      <c r="V763" s="326"/>
      <c r="W763" s="326"/>
      <c r="X763" s="324"/>
      <c r="Y763" s="324"/>
    </row>
    <row r="764" spans="1:28" ht="36" customHeight="1">
      <c r="A764" s="2654"/>
      <c r="B764" s="2655"/>
      <c r="C764" s="2674" t="s">
        <v>504</v>
      </c>
      <c r="D764" s="2674"/>
      <c r="E764" s="2674"/>
      <c r="F764" s="2674"/>
      <c r="G764" s="2674"/>
      <c r="H764" s="2952"/>
      <c r="I764" s="2673" t="s">
        <v>407</v>
      </c>
      <c r="J764" s="2953"/>
      <c r="K764" s="2953"/>
      <c r="L764" s="2953"/>
      <c r="M764" s="2953"/>
      <c r="N764" s="2953"/>
      <c r="O764" s="2952"/>
      <c r="P764" s="156"/>
      <c r="V764" s="156"/>
      <c r="W764" s="156"/>
      <c r="X764" s="156"/>
      <c r="Y764" s="156"/>
    </row>
    <row r="765" spans="1:28" ht="24" customHeight="1">
      <c r="A765" s="2633" t="s">
        <v>236</v>
      </c>
      <c r="B765" s="2954"/>
      <c r="C765" s="2955" t="str">
        <f ca="1">参照元個別!E35</f>
        <v/>
      </c>
      <c r="D765" s="2955"/>
      <c r="E765" s="2955"/>
      <c r="F765" s="2955"/>
      <c r="G765" s="2956"/>
      <c r="H765" s="2959" t="s">
        <v>414</v>
      </c>
      <c r="I765" s="2961" t="str">
        <f>参照元個別!F35</f>
        <v/>
      </c>
      <c r="J765" s="2962"/>
      <c r="K765" s="2962"/>
      <c r="L765" s="2962"/>
      <c r="M765" s="2965" t="s">
        <v>415</v>
      </c>
      <c r="N765" s="2967" t="str">
        <f>参照元個別!G35</f>
        <v/>
      </c>
      <c r="O765" s="2968"/>
      <c r="P765" s="165"/>
      <c r="V765" s="156"/>
      <c r="W765" s="156"/>
      <c r="X765" s="156"/>
      <c r="Y765" s="156"/>
    </row>
    <row r="766" spans="1:28" ht="23.1" customHeight="1">
      <c r="A766" s="2637">
        <f>IF( 報1!$L$28="","", 報1!$L$28 )</f>
        <v>2023</v>
      </c>
      <c r="B766" s="2638"/>
      <c r="C766" s="2957"/>
      <c r="D766" s="2957"/>
      <c r="E766" s="2957"/>
      <c r="F766" s="2957"/>
      <c r="G766" s="2958"/>
      <c r="H766" s="2960"/>
      <c r="I766" s="2963"/>
      <c r="J766" s="2964"/>
      <c r="K766" s="2964"/>
      <c r="L766" s="2964"/>
      <c r="M766" s="2966"/>
      <c r="N766" s="2969"/>
      <c r="O766" s="2970"/>
      <c r="P766" s="165"/>
      <c r="V766" s="156"/>
      <c r="W766" s="156"/>
      <c r="X766" s="156"/>
      <c r="Y766" s="156"/>
    </row>
    <row r="767" spans="1:28" ht="25.15" customHeight="1">
      <c r="A767" s="2938" t="s">
        <v>277</v>
      </c>
      <c r="B767" s="2939"/>
      <c r="C767" s="2940"/>
      <c r="D767" s="2941"/>
      <c r="E767" s="2941"/>
      <c r="F767" s="2941"/>
      <c r="G767" s="2941"/>
      <c r="H767" s="2941"/>
      <c r="I767" s="2941"/>
      <c r="J767" s="2941"/>
      <c r="K767" s="2941"/>
      <c r="L767" s="2941"/>
      <c r="M767" s="2941"/>
      <c r="N767" s="2941"/>
      <c r="O767" s="2942"/>
      <c r="P767" s="156"/>
      <c r="Q767" s="1253">
        <v>1</v>
      </c>
      <c r="R767" s="1245"/>
      <c r="S767" s="1254"/>
      <c r="T767" s="1255"/>
      <c r="U767" s="1256"/>
      <c r="V767" s="156"/>
      <c r="W767" s="156"/>
      <c r="X767" s="327"/>
      <c r="Y767" s="328"/>
      <c r="Z767" s="99"/>
      <c r="AA767" s="43"/>
      <c r="AB767" s="44"/>
    </row>
    <row r="768" spans="1:28" ht="25.15" customHeight="1">
      <c r="A768" s="2938"/>
      <c r="B768" s="2939"/>
      <c r="C768" s="2941"/>
      <c r="D768" s="2941"/>
      <c r="E768" s="2941"/>
      <c r="F768" s="2941"/>
      <c r="G768" s="2941"/>
      <c r="H768" s="2941"/>
      <c r="I768" s="2941"/>
      <c r="J768" s="2941"/>
      <c r="K768" s="2941"/>
      <c r="L768" s="2941"/>
      <c r="M768" s="2941"/>
      <c r="N768" s="2941"/>
      <c r="O768" s="2942"/>
      <c r="P768" s="156"/>
      <c r="Q768" s="1257"/>
      <c r="R768" s="1258"/>
      <c r="S768" s="1258"/>
      <c r="T768" s="1258"/>
      <c r="U768" s="1258"/>
      <c r="V768" s="156"/>
      <c r="W768" s="156"/>
      <c r="X768" s="156"/>
      <c r="Y768" s="156"/>
    </row>
    <row r="769" spans="1:25" ht="24.75" customHeight="1">
      <c r="A769" s="2938"/>
      <c r="B769" s="2939"/>
      <c r="C769" s="2941"/>
      <c r="D769" s="2941"/>
      <c r="E769" s="2941"/>
      <c r="F769" s="2941"/>
      <c r="G769" s="2941"/>
      <c r="H769" s="2941"/>
      <c r="I769" s="2941"/>
      <c r="J769" s="2941"/>
      <c r="K769" s="2941"/>
      <c r="L769" s="2941"/>
      <c r="M769" s="2941"/>
      <c r="N769" s="2941"/>
      <c r="O769" s="2942"/>
      <c r="P769" s="156"/>
      <c r="Q769" s="1257"/>
      <c r="R769" s="1256"/>
      <c r="S769" s="1256"/>
      <c r="T769" s="1256"/>
      <c r="U769" s="1256"/>
      <c r="V769" s="156"/>
      <c r="W769" s="156"/>
      <c r="X769" s="156"/>
      <c r="Y769" s="156"/>
    </row>
    <row r="770" spans="1:25" ht="10.15" customHeight="1">
      <c r="A770" s="2945"/>
      <c r="B770" s="2946"/>
      <c r="C770" s="2941"/>
      <c r="D770" s="2941"/>
      <c r="E770" s="2941"/>
      <c r="F770" s="2941"/>
      <c r="G770" s="2941"/>
      <c r="H770" s="2941"/>
      <c r="I770" s="2941"/>
      <c r="J770" s="2941"/>
      <c r="K770" s="2941"/>
      <c r="L770" s="2941"/>
      <c r="M770" s="2941"/>
      <c r="N770" s="2941"/>
      <c r="O770" s="2942"/>
      <c r="P770" s="156"/>
      <c r="Q770" s="1259"/>
      <c r="R770" s="1256"/>
      <c r="S770" s="1256"/>
      <c r="T770" s="1256"/>
      <c r="U770" s="1256"/>
      <c r="V770" s="156"/>
      <c r="W770" s="156"/>
      <c r="X770" s="156"/>
      <c r="Y770" s="156"/>
    </row>
    <row r="771" spans="1:25" ht="45" customHeight="1">
      <c r="A771" s="2947">
        <f>IF( 報1!$L$28="","", 報1!$L$28 )</f>
        <v>2023</v>
      </c>
      <c r="B771" s="2948"/>
      <c r="C771" s="2943"/>
      <c r="D771" s="2943"/>
      <c r="E771" s="2943"/>
      <c r="F771" s="2943"/>
      <c r="G771" s="2943"/>
      <c r="H771" s="2943"/>
      <c r="I771" s="2943"/>
      <c r="J771" s="2943"/>
      <c r="K771" s="2943"/>
      <c r="L771" s="2943"/>
      <c r="M771" s="2943"/>
      <c r="N771" s="2943"/>
      <c r="O771" s="2944"/>
      <c r="P771" s="156"/>
      <c r="Q771" s="1260"/>
      <c r="R771" s="1256"/>
      <c r="S771" s="1256"/>
      <c r="T771" s="1256"/>
      <c r="U771" s="1256"/>
      <c r="V771" s="156"/>
      <c r="W771" s="156"/>
      <c r="X771" s="156"/>
      <c r="Y771" s="156"/>
    </row>
    <row r="772" spans="1:25" ht="26.25" customHeight="1">
      <c r="A772" s="2949"/>
      <c r="B772" s="2949"/>
      <c r="C772" s="2949"/>
      <c r="D772" s="2949"/>
      <c r="E772" s="2949"/>
      <c r="F772" s="2949"/>
      <c r="G772" s="2949"/>
      <c r="H772" s="2949"/>
      <c r="I772" s="2949"/>
      <c r="J772" s="2949"/>
      <c r="K772" s="2949"/>
      <c r="L772" s="2949"/>
      <c r="M772" s="2949"/>
      <c r="N772" s="2949"/>
      <c r="O772" s="2949"/>
      <c r="P772" s="156"/>
      <c r="Q772" s="1259"/>
      <c r="R772" s="1256"/>
      <c r="S772" s="1256"/>
      <c r="T772" s="1256"/>
      <c r="U772" s="1256"/>
      <c r="V772" s="156"/>
      <c r="W772" s="156"/>
      <c r="X772" s="156"/>
      <c r="Y772" s="156"/>
    </row>
    <row r="773" spans="1:25" ht="30" customHeight="1">
      <c r="A773" s="156"/>
      <c r="B773" s="156"/>
      <c r="C773" s="156"/>
      <c r="D773" s="156"/>
      <c r="E773" s="156"/>
      <c r="F773" s="156"/>
      <c r="G773" s="156"/>
      <c r="H773" s="156"/>
      <c r="I773" s="156"/>
      <c r="J773" s="156"/>
      <c r="K773" s="156"/>
      <c r="L773" s="156"/>
      <c r="M773" s="156"/>
      <c r="N773" s="156"/>
      <c r="O773" s="329"/>
      <c r="P773" s="156"/>
      <c r="Q773" s="1248"/>
      <c r="R773" s="1260"/>
      <c r="S773" s="1244"/>
      <c r="T773" s="1244"/>
      <c r="V773" s="156"/>
      <c r="W773" s="156"/>
      <c r="X773" s="156"/>
      <c r="Y773" s="156"/>
    </row>
    <row r="774" spans="1:25" ht="18" customHeight="1">
      <c r="A774" s="156"/>
      <c r="B774" s="156"/>
      <c r="C774" s="156"/>
      <c r="D774" s="156"/>
      <c r="E774" s="156"/>
      <c r="F774" s="156"/>
      <c r="G774" s="156"/>
      <c r="H774" s="156"/>
      <c r="I774" s="156"/>
      <c r="J774" s="156"/>
      <c r="K774" s="156"/>
      <c r="L774" s="156"/>
      <c r="M774" s="156"/>
      <c r="N774" s="156"/>
      <c r="O774" s="329"/>
      <c r="P774" s="156"/>
      <c r="Q774" s="1261"/>
      <c r="R774" s="1260"/>
      <c r="S774" s="1244"/>
      <c r="T774" s="1244"/>
      <c r="V774" s="156"/>
      <c r="W774" s="156"/>
      <c r="X774" s="156"/>
      <c r="Y774" s="156"/>
    </row>
    <row r="775" spans="1:25" ht="18" customHeight="1">
      <c r="A775" s="156"/>
      <c r="B775" s="156"/>
      <c r="C775" s="156"/>
      <c r="D775" s="156"/>
      <c r="E775" s="156"/>
      <c r="F775" s="156"/>
      <c r="G775" s="156"/>
      <c r="H775" s="156"/>
      <c r="I775" s="156"/>
      <c r="J775" s="156"/>
      <c r="K775" s="156"/>
      <c r="L775" s="156"/>
      <c r="M775" s="156"/>
      <c r="N775" s="156"/>
      <c r="O775" s="329"/>
      <c r="P775" s="156"/>
      <c r="Q775" s="1261"/>
      <c r="R775" s="1260"/>
      <c r="S775" s="1244"/>
      <c r="T775" s="1244"/>
      <c r="V775" s="156"/>
      <c r="W775" s="156"/>
      <c r="X775" s="156"/>
      <c r="Y775" s="156"/>
    </row>
    <row r="776" spans="1:25">
      <c r="A776" s="1" t="s">
        <v>175</v>
      </c>
      <c r="B776" s="2"/>
      <c r="C776" s="2"/>
      <c r="D776" s="2"/>
      <c r="E776" s="2"/>
      <c r="F776" s="2"/>
      <c r="G776" s="2"/>
      <c r="H776" s="2"/>
      <c r="I776" s="2"/>
      <c r="J776" s="2"/>
      <c r="K776" s="2"/>
      <c r="L776" s="2"/>
      <c r="M776" s="2"/>
      <c r="N776" s="2"/>
      <c r="O776" s="2"/>
      <c r="P776" s="156" t="str">
        <f>"個別票"&amp;Q776</f>
        <v>個別票32</v>
      </c>
      <c r="Q776" s="1242">
        <f>Q751+1</f>
        <v>32</v>
      </c>
      <c r="V776" s="156"/>
      <c r="W776" s="156"/>
      <c r="X776" s="156"/>
      <c r="Y776" s="156"/>
    </row>
    <row r="777" spans="1:25">
      <c r="A777" s="2" t="s">
        <v>150</v>
      </c>
      <c r="B777" s="4"/>
      <c r="C777" s="4"/>
      <c r="D777" s="4"/>
      <c r="E777" s="4"/>
      <c r="F777" s="4"/>
      <c r="G777" s="4"/>
      <c r="H777" s="4"/>
      <c r="I777" s="4"/>
      <c r="J777" s="4"/>
      <c r="K777" s="4"/>
      <c r="L777" s="4"/>
      <c r="M777" s="4"/>
      <c r="N777" s="2"/>
      <c r="O777" s="2"/>
      <c r="P777" s="156"/>
      <c r="V777" s="156"/>
      <c r="W777" s="156"/>
      <c r="X777" s="156"/>
      <c r="Y777" s="156"/>
    </row>
    <row r="778" spans="1:25" ht="17.25">
      <c r="A778" s="2983" t="s">
        <v>403</v>
      </c>
      <c r="B778" s="2983"/>
      <c r="C778" s="2983"/>
      <c r="D778" s="2983"/>
      <c r="E778" s="2983"/>
      <c r="F778" s="2983"/>
      <c r="G778" s="2983"/>
      <c r="H778" s="2983"/>
      <c r="I778" s="2983"/>
      <c r="J778" s="2983"/>
      <c r="K778" s="2983"/>
      <c r="L778" s="2983"/>
      <c r="M778" s="2983"/>
      <c r="N778" s="2983"/>
      <c r="O778" s="2983"/>
      <c r="P778" s="156"/>
      <c r="V778" s="156"/>
      <c r="W778" s="156"/>
      <c r="X778" s="156"/>
      <c r="Y778" s="156"/>
    </row>
    <row r="779" spans="1:25" ht="31.5" customHeight="1">
      <c r="A779" s="38"/>
      <c r="B779" s="38"/>
      <c r="C779" s="38"/>
      <c r="D779" s="38"/>
      <c r="E779" s="38"/>
      <c r="F779" s="38"/>
      <c r="G779" s="38"/>
      <c r="H779" s="38"/>
      <c r="I779" s="38"/>
      <c r="J779" s="38"/>
      <c r="K779" s="38"/>
      <c r="L779" s="38"/>
      <c r="M779" s="38"/>
      <c r="N779" s="38"/>
      <c r="O779" s="38"/>
      <c r="P779" s="156"/>
      <c r="V779" s="156"/>
      <c r="W779" s="156"/>
      <c r="X779" s="156"/>
      <c r="Y779" s="156"/>
    </row>
    <row r="780" spans="1:25" s="51" customFormat="1" ht="15.95" customHeight="1">
      <c r="A780" s="48" t="s">
        <v>151</v>
      </c>
      <c r="B780" s="80"/>
      <c r="C780" s="80"/>
      <c r="D780" s="80"/>
      <c r="E780" s="80"/>
      <c r="F780" s="80"/>
      <c r="G780" s="80"/>
      <c r="H780" s="80"/>
      <c r="I780" s="80"/>
      <c r="J780" s="80"/>
      <c r="K780" s="80"/>
      <c r="L780" s="80"/>
      <c r="M780" s="80"/>
      <c r="P780" s="324"/>
      <c r="Q780" s="1250"/>
      <c r="R780" s="1250"/>
      <c r="S780" s="1250"/>
      <c r="T780" s="1250"/>
      <c r="U780" s="1242"/>
      <c r="V780" s="324"/>
      <c r="W780" s="324"/>
      <c r="X780" s="324"/>
      <c r="Y780" s="324"/>
    </row>
    <row r="781" spans="1:25" ht="39.950000000000003" customHeight="1">
      <c r="A781" s="2984" t="s">
        <v>152</v>
      </c>
      <c r="B781" s="2985"/>
      <c r="C781" s="2986"/>
      <c r="D781" s="2987" t="str">
        <f>参照元個別!I36</f>
        <v>事業所名を入力32</v>
      </c>
      <c r="E781" s="2988"/>
      <c r="F781" s="2988"/>
      <c r="G781" s="2988"/>
      <c r="H781" s="2988"/>
      <c r="I781" s="2988"/>
      <c r="J781" s="2988"/>
      <c r="K781" s="2988"/>
      <c r="L781" s="2988"/>
      <c r="M781" s="2988"/>
      <c r="N781" s="2988"/>
      <c r="O781" s="2989"/>
      <c r="P781" s="156"/>
      <c r="V781" s="156"/>
      <c r="W781" s="156"/>
      <c r="X781" s="156"/>
      <c r="Y781" s="156"/>
    </row>
    <row r="782" spans="1:25" ht="39.950000000000003" customHeight="1">
      <c r="A782" s="2570" t="s">
        <v>153</v>
      </c>
      <c r="B782" s="2571"/>
      <c r="C782" s="2990"/>
      <c r="D782" s="2991"/>
      <c r="E782" s="2992"/>
      <c r="F782" s="2992"/>
      <c r="G782" s="2992"/>
      <c r="H782" s="2992"/>
      <c r="I782" s="2992"/>
      <c r="J782" s="2992"/>
      <c r="K782" s="2992"/>
      <c r="L782" s="2992"/>
      <c r="M782" s="2992"/>
      <c r="N782" s="2992"/>
      <c r="O782" s="2993"/>
      <c r="P782" s="156"/>
      <c r="V782" s="156"/>
      <c r="W782" s="156"/>
      <c r="X782" s="156"/>
      <c r="Y782" s="156"/>
    </row>
    <row r="783" spans="1:25" ht="39.950000000000003" customHeight="1">
      <c r="A783" s="2536" t="s">
        <v>154</v>
      </c>
      <c r="B783" s="2978"/>
      <c r="C783" s="2979"/>
      <c r="D783" s="2980"/>
      <c r="E783" s="101" t="s">
        <v>180</v>
      </c>
      <c r="F783" s="2974" t="s">
        <v>404</v>
      </c>
      <c r="G783" s="2975"/>
      <c r="H783" s="2981" t="str">
        <f ca="1">参照元個別!$P$36</f>
        <v/>
      </c>
      <c r="I783" s="2982"/>
      <c r="J783" s="58" t="s">
        <v>176</v>
      </c>
      <c r="K783" s="2974" t="s">
        <v>405</v>
      </c>
      <c r="L783" s="2975"/>
      <c r="M783" s="2971"/>
      <c r="N783" s="2972"/>
      <c r="O783" s="2973"/>
      <c r="P783" s="156" t="str">
        <f>IFERROR(VLOOKUP(M783,$U$1:$V$16,2,0),"")</f>
        <v/>
      </c>
      <c r="U783" s="1250"/>
      <c r="V783" s="156"/>
      <c r="W783" s="156"/>
      <c r="X783" s="156"/>
      <c r="Y783" s="156"/>
    </row>
    <row r="784" spans="1:25" ht="39.950000000000003" customHeight="1">
      <c r="A784" s="2974" t="s">
        <v>406</v>
      </c>
      <c r="B784" s="2975"/>
      <c r="C784" s="2976"/>
      <c r="D784" s="2896"/>
      <c r="E784" s="2897"/>
      <c r="F784" s="2974" t="s">
        <v>158</v>
      </c>
      <c r="G784" s="2975"/>
      <c r="H784" s="2976"/>
      <c r="I784" s="2896"/>
      <c r="J784" s="2897"/>
      <c r="K784" s="2580"/>
      <c r="L784" s="2977"/>
      <c r="M784" s="2977"/>
      <c r="N784" s="2977"/>
      <c r="O784" s="2977"/>
      <c r="P784" s="156"/>
      <c r="V784" s="156"/>
      <c r="W784" s="156"/>
      <c r="X784" s="156"/>
      <c r="Y784" s="156"/>
    </row>
    <row r="785" spans="1:28" ht="18.75" customHeight="1">
      <c r="A785" s="39"/>
      <c r="B785" s="39"/>
      <c r="C785" s="40"/>
      <c r="D785" s="41"/>
      <c r="E785" s="40"/>
      <c r="F785" s="42"/>
      <c r="P785" s="156"/>
      <c r="V785" s="325"/>
      <c r="W785" s="325"/>
      <c r="X785" s="156"/>
      <c r="Y785" s="156"/>
    </row>
    <row r="786" spans="1:28" ht="51.75" customHeight="1">
      <c r="A786" s="2950" t="s">
        <v>505</v>
      </c>
      <c r="B786" s="2951"/>
      <c r="C786" s="2951"/>
      <c r="D786" s="2951"/>
      <c r="E786" s="2951"/>
      <c r="F786" s="2951"/>
      <c r="G786" s="2951"/>
      <c r="H786" s="2951"/>
      <c r="I786" s="2951"/>
      <c r="J786" s="2951"/>
      <c r="K786" s="2951"/>
      <c r="L786" s="2951"/>
      <c r="M786" s="2951"/>
      <c r="N786" s="2951"/>
      <c r="O786" s="2951"/>
      <c r="P786" s="156"/>
      <c r="V786" s="325"/>
      <c r="W786" s="325"/>
      <c r="X786" s="156"/>
      <c r="Y786" s="156"/>
    </row>
    <row r="787" spans="1:28" ht="57.75" customHeight="1">
      <c r="A787" s="39"/>
      <c r="B787" s="39"/>
      <c r="C787" s="40"/>
      <c r="D787" s="41"/>
      <c r="E787" s="40"/>
      <c r="F787" s="42"/>
      <c r="P787" s="156"/>
      <c r="Q787" s="1251"/>
      <c r="R787" s="1251"/>
      <c r="S787" s="1251"/>
      <c r="T787" s="1251"/>
      <c r="V787" s="325"/>
      <c r="W787" s="325"/>
      <c r="X787" s="156"/>
      <c r="Y787" s="156"/>
    </row>
    <row r="788" spans="1:28" s="51" customFormat="1" ht="15.95" customHeight="1">
      <c r="A788" s="50" t="s">
        <v>509</v>
      </c>
      <c r="B788" s="52"/>
      <c r="C788" s="52"/>
      <c r="D788" s="52"/>
      <c r="E788" s="52"/>
      <c r="F788" s="52"/>
      <c r="G788" s="52"/>
      <c r="H788" s="52"/>
      <c r="I788" s="52"/>
      <c r="J788" s="52"/>
      <c r="K788" s="52"/>
      <c r="L788" s="50"/>
      <c r="M788" s="50"/>
      <c r="N788" s="50"/>
      <c r="O788" s="50"/>
      <c r="P788" s="324"/>
      <c r="Q788" s="1252"/>
      <c r="R788" s="1252"/>
      <c r="S788" s="1252"/>
      <c r="T788" s="1252"/>
      <c r="U788" s="1242"/>
      <c r="V788" s="326"/>
      <c r="W788" s="326"/>
      <c r="X788" s="324"/>
      <c r="Y788" s="324"/>
    </row>
    <row r="789" spans="1:28" ht="36" customHeight="1">
      <c r="A789" s="2654"/>
      <c r="B789" s="2655"/>
      <c r="C789" s="2674" t="s">
        <v>504</v>
      </c>
      <c r="D789" s="2674"/>
      <c r="E789" s="2674"/>
      <c r="F789" s="2674"/>
      <c r="G789" s="2674"/>
      <c r="H789" s="2952"/>
      <c r="I789" s="2673" t="s">
        <v>407</v>
      </c>
      <c r="J789" s="2953"/>
      <c r="K789" s="2953"/>
      <c r="L789" s="2953"/>
      <c r="M789" s="2953"/>
      <c r="N789" s="2953"/>
      <c r="O789" s="2952"/>
      <c r="P789" s="156"/>
      <c r="V789" s="156"/>
      <c r="W789" s="156"/>
      <c r="X789" s="156"/>
      <c r="Y789" s="156"/>
    </row>
    <row r="790" spans="1:28" ht="24" customHeight="1">
      <c r="A790" s="2633" t="s">
        <v>236</v>
      </c>
      <c r="B790" s="2954"/>
      <c r="C790" s="2955" t="str">
        <f ca="1">参照元個別!E36</f>
        <v/>
      </c>
      <c r="D790" s="2955"/>
      <c r="E790" s="2955"/>
      <c r="F790" s="2955"/>
      <c r="G790" s="2956"/>
      <c r="H790" s="2959" t="s">
        <v>414</v>
      </c>
      <c r="I790" s="2961" t="str">
        <f>参照元個別!F36</f>
        <v/>
      </c>
      <c r="J790" s="2962"/>
      <c r="K790" s="2962"/>
      <c r="L790" s="2962"/>
      <c r="M790" s="2965" t="s">
        <v>415</v>
      </c>
      <c r="N790" s="2967" t="str">
        <f>参照元個別!G36</f>
        <v/>
      </c>
      <c r="O790" s="2968"/>
      <c r="P790" s="165"/>
      <c r="V790" s="156"/>
      <c r="W790" s="156"/>
      <c r="X790" s="156"/>
      <c r="Y790" s="156"/>
    </row>
    <row r="791" spans="1:28" ht="23.1" customHeight="1">
      <c r="A791" s="2637">
        <f>IF( 報1!$L$28="","", 報1!$L$28 )</f>
        <v>2023</v>
      </c>
      <c r="B791" s="2638"/>
      <c r="C791" s="2957"/>
      <c r="D791" s="2957"/>
      <c r="E791" s="2957"/>
      <c r="F791" s="2957"/>
      <c r="G791" s="2958"/>
      <c r="H791" s="2960"/>
      <c r="I791" s="2963"/>
      <c r="J791" s="2964"/>
      <c r="K791" s="2964"/>
      <c r="L791" s="2964"/>
      <c r="M791" s="2966"/>
      <c r="N791" s="2969"/>
      <c r="O791" s="2970"/>
      <c r="P791" s="165"/>
      <c r="V791" s="156"/>
      <c r="W791" s="156"/>
      <c r="X791" s="156"/>
      <c r="Y791" s="156"/>
    </row>
    <row r="792" spans="1:28" ht="25.15" customHeight="1">
      <c r="A792" s="2938" t="s">
        <v>277</v>
      </c>
      <c r="B792" s="2939"/>
      <c r="C792" s="2940"/>
      <c r="D792" s="2941"/>
      <c r="E792" s="2941"/>
      <c r="F792" s="2941"/>
      <c r="G792" s="2941"/>
      <c r="H792" s="2941"/>
      <c r="I792" s="2941"/>
      <c r="J792" s="2941"/>
      <c r="K792" s="2941"/>
      <c r="L792" s="2941"/>
      <c r="M792" s="2941"/>
      <c r="N792" s="2941"/>
      <c r="O792" s="2942"/>
      <c r="P792" s="156"/>
      <c r="Q792" s="1253">
        <v>1</v>
      </c>
      <c r="R792" s="1245"/>
      <c r="S792" s="1254"/>
      <c r="T792" s="1255"/>
      <c r="U792" s="1256"/>
      <c r="V792" s="156"/>
      <c r="W792" s="156"/>
      <c r="X792" s="327"/>
      <c r="Y792" s="328"/>
      <c r="Z792" s="99"/>
      <c r="AA792" s="43"/>
      <c r="AB792" s="44"/>
    </row>
    <row r="793" spans="1:28" ht="25.15" customHeight="1">
      <c r="A793" s="2938"/>
      <c r="B793" s="2939"/>
      <c r="C793" s="2941"/>
      <c r="D793" s="2941"/>
      <c r="E793" s="2941"/>
      <c r="F793" s="2941"/>
      <c r="G793" s="2941"/>
      <c r="H793" s="2941"/>
      <c r="I793" s="2941"/>
      <c r="J793" s="2941"/>
      <c r="K793" s="2941"/>
      <c r="L793" s="2941"/>
      <c r="M793" s="2941"/>
      <c r="N793" s="2941"/>
      <c r="O793" s="2942"/>
      <c r="P793" s="156"/>
      <c r="Q793" s="1257"/>
      <c r="R793" s="1258"/>
      <c r="S793" s="1258"/>
      <c r="T793" s="1258"/>
      <c r="U793" s="1258"/>
      <c r="V793" s="156"/>
      <c r="W793" s="156"/>
      <c r="X793" s="156"/>
      <c r="Y793" s="156"/>
    </row>
    <row r="794" spans="1:28" ht="24.75" customHeight="1">
      <c r="A794" s="2938"/>
      <c r="B794" s="2939"/>
      <c r="C794" s="2941"/>
      <c r="D794" s="2941"/>
      <c r="E794" s="2941"/>
      <c r="F794" s="2941"/>
      <c r="G794" s="2941"/>
      <c r="H794" s="2941"/>
      <c r="I794" s="2941"/>
      <c r="J794" s="2941"/>
      <c r="K794" s="2941"/>
      <c r="L794" s="2941"/>
      <c r="M794" s="2941"/>
      <c r="N794" s="2941"/>
      <c r="O794" s="2942"/>
      <c r="P794" s="156"/>
      <c r="Q794" s="1257"/>
      <c r="R794" s="1256"/>
      <c r="S794" s="1256"/>
      <c r="T794" s="1256"/>
      <c r="U794" s="1256"/>
      <c r="V794" s="156"/>
      <c r="W794" s="156"/>
      <c r="X794" s="156"/>
      <c r="Y794" s="156"/>
    </row>
    <row r="795" spans="1:28" ht="10.15" customHeight="1">
      <c r="A795" s="2945"/>
      <c r="B795" s="2946"/>
      <c r="C795" s="2941"/>
      <c r="D795" s="2941"/>
      <c r="E795" s="2941"/>
      <c r="F795" s="2941"/>
      <c r="G795" s="2941"/>
      <c r="H795" s="2941"/>
      <c r="I795" s="2941"/>
      <c r="J795" s="2941"/>
      <c r="K795" s="2941"/>
      <c r="L795" s="2941"/>
      <c r="M795" s="2941"/>
      <c r="N795" s="2941"/>
      <c r="O795" s="2942"/>
      <c r="P795" s="156"/>
      <c r="Q795" s="1259"/>
      <c r="R795" s="1256"/>
      <c r="S795" s="1256"/>
      <c r="T795" s="1256"/>
      <c r="U795" s="1256"/>
      <c r="V795" s="156"/>
      <c r="W795" s="156"/>
      <c r="X795" s="156"/>
      <c r="Y795" s="156"/>
    </row>
    <row r="796" spans="1:28" ht="45" customHeight="1">
      <c r="A796" s="2947">
        <f>IF( 報1!$L$28="","", 報1!$L$28 )</f>
        <v>2023</v>
      </c>
      <c r="B796" s="2948"/>
      <c r="C796" s="2943"/>
      <c r="D796" s="2943"/>
      <c r="E796" s="2943"/>
      <c r="F796" s="2943"/>
      <c r="G796" s="2943"/>
      <c r="H796" s="2943"/>
      <c r="I796" s="2943"/>
      <c r="J796" s="2943"/>
      <c r="K796" s="2943"/>
      <c r="L796" s="2943"/>
      <c r="M796" s="2943"/>
      <c r="N796" s="2943"/>
      <c r="O796" s="2944"/>
      <c r="P796" s="156"/>
      <c r="Q796" s="1260"/>
      <c r="R796" s="1256"/>
      <c r="S796" s="1256"/>
      <c r="T796" s="1256"/>
      <c r="U796" s="1256"/>
      <c r="V796" s="156"/>
      <c r="W796" s="156"/>
      <c r="X796" s="156"/>
      <c r="Y796" s="156"/>
    </row>
    <row r="797" spans="1:28" ht="26.25" customHeight="1">
      <c r="A797" s="2949"/>
      <c r="B797" s="2949"/>
      <c r="C797" s="2949"/>
      <c r="D797" s="2949"/>
      <c r="E797" s="2949"/>
      <c r="F797" s="2949"/>
      <c r="G797" s="2949"/>
      <c r="H797" s="2949"/>
      <c r="I797" s="2949"/>
      <c r="J797" s="2949"/>
      <c r="K797" s="2949"/>
      <c r="L797" s="2949"/>
      <c r="M797" s="2949"/>
      <c r="N797" s="2949"/>
      <c r="O797" s="2949"/>
      <c r="P797" s="156"/>
      <c r="Q797" s="1259"/>
      <c r="R797" s="1256"/>
      <c r="S797" s="1256"/>
      <c r="T797" s="1256"/>
      <c r="U797" s="1256"/>
      <c r="V797" s="156"/>
      <c r="W797" s="156"/>
      <c r="X797" s="156"/>
      <c r="Y797" s="156"/>
    </row>
    <row r="798" spans="1:28" ht="30" customHeight="1">
      <c r="A798" s="156"/>
      <c r="B798" s="156"/>
      <c r="C798" s="156"/>
      <c r="D798" s="156"/>
      <c r="E798" s="156"/>
      <c r="F798" s="156"/>
      <c r="G798" s="156"/>
      <c r="H798" s="156"/>
      <c r="I798" s="156"/>
      <c r="J798" s="156"/>
      <c r="K798" s="156"/>
      <c r="L798" s="156"/>
      <c r="M798" s="156"/>
      <c r="N798" s="156"/>
      <c r="O798" s="329"/>
      <c r="P798" s="156"/>
      <c r="Q798" s="1248"/>
      <c r="R798" s="1260"/>
      <c r="S798" s="1244"/>
      <c r="T798" s="1244"/>
      <c r="V798" s="156"/>
      <c r="W798" s="156"/>
      <c r="X798" s="156"/>
      <c r="Y798" s="156"/>
    </row>
    <row r="799" spans="1:28" ht="18" customHeight="1">
      <c r="A799" s="156"/>
      <c r="B799" s="156"/>
      <c r="C799" s="156"/>
      <c r="D799" s="156"/>
      <c r="E799" s="156"/>
      <c r="F799" s="156"/>
      <c r="G799" s="156"/>
      <c r="H799" s="156"/>
      <c r="I799" s="156"/>
      <c r="J799" s="156"/>
      <c r="K799" s="156"/>
      <c r="L799" s="156"/>
      <c r="M799" s="156"/>
      <c r="N799" s="156"/>
      <c r="O799" s="329"/>
      <c r="P799" s="156"/>
      <c r="Q799" s="1261"/>
      <c r="R799" s="1260"/>
      <c r="S799" s="1244"/>
      <c r="T799" s="1244"/>
      <c r="V799" s="156"/>
      <c r="W799" s="156"/>
      <c r="X799" s="156"/>
      <c r="Y799" s="156"/>
    </row>
    <row r="800" spans="1:28" ht="18" customHeight="1">
      <c r="A800" s="156"/>
      <c r="B800" s="156"/>
      <c r="C800" s="156"/>
      <c r="D800" s="156"/>
      <c r="E800" s="156"/>
      <c r="F800" s="156"/>
      <c r="G800" s="156"/>
      <c r="H800" s="156"/>
      <c r="I800" s="156"/>
      <c r="J800" s="156"/>
      <c r="K800" s="156"/>
      <c r="L800" s="156"/>
      <c r="M800" s="156"/>
      <c r="N800" s="156"/>
      <c r="O800" s="329"/>
      <c r="P800" s="156"/>
      <c r="Q800" s="1261"/>
      <c r="R800" s="1260"/>
      <c r="S800" s="1244"/>
      <c r="T800" s="1244"/>
      <c r="V800" s="156"/>
      <c r="W800" s="156"/>
      <c r="X800" s="156"/>
      <c r="Y800" s="156"/>
    </row>
    <row r="801" spans="1:25">
      <c r="A801" s="1" t="s">
        <v>175</v>
      </c>
      <c r="B801" s="2"/>
      <c r="C801" s="2"/>
      <c r="D801" s="2"/>
      <c r="E801" s="2"/>
      <c r="F801" s="2"/>
      <c r="G801" s="2"/>
      <c r="H801" s="2"/>
      <c r="I801" s="2"/>
      <c r="J801" s="2"/>
      <c r="K801" s="2"/>
      <c r="L801" s="2"/>
      <c r="M801" s="2"/>
      <c r="N801" s="2"/>
      <c r="O801" s="2"/>
      <c r="P801" s="156" t="str">
        <f>"個別票"&amp;Q801</f>
        <v>個別票33</v>
      </c>
      <c r="Q801" s="1242">
        <f>Q776+1</f>
        <v>33</v>
      </c>
      <c r="V801" s="156"/>
      <c r="W801" s="156"/>
      <c r="X801" s="156"/>
      <c r="Y801" s="156"/>
    </row>
    <row r="802" spans="1:25">
      <c r="A802" s="2" t="s">
        <v>150</v>
      </c>
      <c r="B802" s="4"/>
      <c r="C802" s="4"/>
      <c r="D802" s="4"/>
      <c r="E802" s="4"/>
      <c r="F802" s="4"/>
      <c r="G802" s="4"/>
      <c r="H802" s="4"/>
      <c r="I802" s="4"/>
      <c r="J802" s="4"/>
      <c r="K802" s="4"/>
      <c r="L802" s="4"/>
      <c r="M802" s="4"/>
      <c r="N802" s="2"/>
      <c r="O802" s="2"/>
      <c r="P802" s="156"/>
      <c r="V802" s="156"/>
      <c r="W802" s="156"/>
      <c r="X802" s="156"/>
      <c r="Y802" s="156"/>
    </row>
    <row r="803" spans="1:25" ht="17.25">
      <c r="A803" s="2983" t="s">
        <v>403</v>
      </c>
      <c r="B803" s="2983"/>
      <c r="C803" s="2983"/>
      <c r="D803" s="2983"/>
      <c r="E803" s="2983"/>
      <c r="F803" s="2983"/>
      <c r="G803" s="2983"/>
      <c r="H803" s="2983"/>
      <c r="I803" s="2983"/>
      <c r="J803" s="2983"/>
      <c r="K803" s="2983"/>
      <c r="L803" s="2983"/>
      <c r="M803" s="2983"/>
      <c r="N803" s="2983"/>
      <c r="O803" s="2983"/>
      <c r="P803" s="156"/>
      <c r="V803" s="156"/>
      <c r="W803" s="156"/>
      <c r="X803" s="156"/>
      <c r="Y803" s="156"/>
    </row>
    <row r="804" spans="1:25" ht="31.5" customHeight="1">
      <c r="A804" s="38"/>
      <c r="B804" s="38"/>
      <c r="C804" s="38"/>
      <c r="D804" s="38"/>
      <c r="E804" s="38"/>
      <c r="F804" s="38"/>
      <c r="G804" s="38"/>
      <c r="H804" s="38"/>
      <c r="I804" s="38"/>
      <c r="J804" s="38"/>
      <c r="K804" s="38"/>
      <c r="L804" s="38"/>
      <c r="M804" s="38"/>
      <c r="N804" s="38"/>
      <c r="O804" s="38"/>
      <c r="P804" s="156"/>
      <c r="V804" s="156"/>
      <c r="W804" s="156"/>
      <c r="X804" s="156"/>
      <c r="Y804" s="156"/>
    </row>
    <row r="805" spans="1:25" s="51" customFormat="1" ht="15.95" customHeight="1">
      <c r="A805" s="48" t="s">
        <v>151</v>
      </c>
      <c r="B805" s="80"/>
      <c r="C805" s="80"/>
      <c r="D805" s="80"/>
      <c r="E805" s="80"/>
      <c r="F805" s="80"/>
      <c r="G805" s="80"/>
      <c r="H805" s="80"/>
      <c r="I805" s="80"/>
      <c r="J805" s="80"/>
      <c r="K805" s="80"/>
      <c r="L805" s="80"/>
      <c r="M805" s="80"/>
      <c r="P805" s="324"/>
      <c r="Q805" s="1250"/>
      <c r="R805" s="1250"/>
      <c r="S805" s="1250"/>
      <c r="T805" s="1250"/>
      <c r="U805" s="1242"/>
      <c r="V805" s="324"/>
      <c r="W805" s="324"/>
      <c r="X805" s="324"/>
      <c r="Y805" s="324"/>
    </row>
    <row r="806" spans="1:25" ht="39.950000000000003" customHeight="1">
      <c r="A806" s="2984" t="s">
        <v>152</v>
      </c>
      <c r="B806" s="2985"/>
      <c r="C806" s="2986"/>
      <c r="D806" s="2987" t="str">
        <f>参照元個別!I37</f>
        <v>事業所名を入力33</v>
      </c>
      <c r="E806" s="2988"/>
      <c r="F806" s="2988"/>
      <c r="G806" s="2988"/>
      <c r="H806" s="2988"/>
      <c r="I806" s="2988"/>
      <c r="J806" s="2988"/>
      <c r="K806" s="2988"/>
      <c r="L806" s="2988"/>
      <c r="M806" s="2988"/>
      <c r="N806" s="2988"/>
      <c r="O806" s="2989"/>
      <c r="P806" s="156"/>
      <c r="V806" s="156"/>
      <c r="W806" s="156"/>
      <c r="X806" s="156"/>
      <c r="Y806" s="156"/>
    </row>
    <row r="807" spans="1:25" ht="39.950000000000003" customHeight="1">
      <c r="A807" s="2570" t="s">
        <v>153</v>
      </c>
      <c r="B807" s="2571"/>
      <c r="C807" s="2990"/>
      <c r="D807" s="2991"/>
      <c r="E807" s="2992"/>
      <c r="F807" s="2992"/>
      <c r="G807" s="2992"/>
      <c r="H807" s="2992"/>
      <c r="I807" s="2992"/>
      <c r="J807" s="2992"/>
      <c r="K807" s="2992"/>
      <c r="L807" s="2992"/>
      <c r="M807" s="2992"/>
      <c r="N807" s="2992"/>
      <c r="O807" s="2993"/>
      <c r="P807" s="156"/>
      <c r="V807" s="156"/>
      <c r="W807" s="156"/>
      <c r="X807" s="156"/>
      <c r="Y807" s="156"/>
    </row>
    <row r="808" spans="1:25" ht="39.950000000000003" customHeight="1">
      <c r="A808" s="2536" t="s">
        <v>154</v>
      </c>
      <c r="B808" s="2978"/>
      <c r="C808" s="2979"/>
      <c r="D808" s="2980"/>
      <c r="E808" s="101" t="s">
        <v>180</v>
      </c>
      <c r="F808" s="2974" t="s">
        <v>404</v>
      </c>
      <c r="G808" s="2975"/>
      <c r="H808" s="2981" t="str">
        <f ca="1">参照元個別!$P$37</f>
        <v/>
      </c>
      <c r="I808" s="2982"/>
      <c r="J808" s="58" t="s">
        <v>176</v>
      </c>
      <c r="K808" s="2974" t="s">
        <v>405</v>
      </c>
      <c r="L808" s="2975"/>
      <c r="M808" s="2971"/>
      <c r="N808" s="2972"/>
      <c r="O808" s="2973"/>
      <c r="P808" s="156" t="str">
        <f>IFERROR(VLOOKUP(M808,$U$1:$V$16,2,0),"")</f>
        <v/>
      </c>
      <c r="U808" s="1250"/>
      <c r="V808" s="156"/>
      <c r="W808" s="156"/>
      <c r="X808" s="156"/>
      <c r="Y808" s="156"/>
    </row>
    <row r="809" spans="1:25" ht="39.950000000000003" customHeight="1">
      <c r="A809" s="2974" t="s">
        <v>406</v>
      </c>
      <c r="B809" s="2975"/>
      <c r="C809" s="2976"/>
      <c r="D809" s="2896"/>
      <c r="E809" s="2897"/>
      <c r="F809" s="2974" t="s">
        <v>158</v>
      </c>
      <c r="G809" s="2975"/>
      <c r="H809" s="2976"/>
      <c r="I809" s="2896"/>
      <c r="J809" s="2897"/>
      <c r="K809" s="2580"/>
      <c r="L809" s="2977"/>
      <c r="M809" s="2977"/>
      <c r="N809" s="2977"/>
      <c r="O809" s="2977"/>
      <c r="P809" s="156"/>
      <c r="V809" s="156"/>
      <c r="W809" s="156"/>
      <c r="X809" s="156"/>
      <c r="Y809" s="156"/>
    </row>
    <row r="810" spans="1:25" ht="18.75" customHeight="1">
      <c r="A810" s="39"/>
      <c r="B810" s="39"/>
      <c r="C810" s="40"/>
      <c r="D810" s="41"/>
      <c r="E810" s="40"/>
      <c r="F810" s="42"/>
      <c r="P810" s="156"/>
      <c r="V810" s="325"/>
      <c r="W810" s="325"/>
      <c r="X810" s="156"/>
      <c r="Y810" s="156"/>
    </row>
    <row r="811" spans="1:25" ht="51.75" customHeight="1">
      <c r="A811" s="2950" t="s">
        <v>505</v>
      </c>
      <c r="B811" s="2951"/>
      <c r="C811" s="2951"/>
      <c r="D811" s="2951"/>
      <c r="E811" s="2951"/>
      <c r="F811" s="2951"/>
      <c r="G811" s="2951"/>
      <c r="H811" s="2951"/>
      <c r="I811" s="2951"/>
      <c r="J811" s="2951"/>
      <c r="K811" s="2951"/>
      <c r="L811" s="2951"/>
      <c r="M811" s="2951"/>
      <c r="N811" s="2951"/>
      <c r="O811" s="2951"/>
      <c r="P811" s="156"/>
      <c r="V811" s="325"/>
      <c r="W811" s="325"/>
      <c r="X811" s="156"/>
      <c r="Y811" s="156"/>
    </row>
    <row r="812" spans="1:25" ht="57.75" customHeight="1">
      <c r="A812" s="39"/>
      <c r="B812" s="39"/>
      <c r="C812" s="40"/>
      <c r="D812" s="41"/>
      <c r="E812" s="40"/>
      <c r="F812" s="42"/>
      <c r="P812" s="156"/>
      <c r="Q812" s="1251"/>
      <c r="R812" s="1251"/>
      <c r="S812" s="1251"/>
      <c r="T812" s="1251"/>
      <c r="V812" s="325"/>
      <c r="W812" s="325"/>
      <c r="X812" s="156"/>
      <c r="Y812" s="156"/>
    </row>
    <row r="813" spans="1:25" s="51" customFormat="1" ht="15.95" customHeight="1">
      <c r="A813" s="50" t="s">
        <v>509</v>
      </c>
      <c r="B813" s="52"/>
      <c r="C813" s="52"/>
      <c r="D813" s="52"/>
      <c r="E813" s="52"/>
      <c r="F813" s="52"/>
      <c r="G813" s="52"/>
      <c r="H813" s="52"/>
      <c r="I813" s="52"/>
      <c r="J813" s="52"/>
      <c r="K813" s="52"/>
      <c r="L813" s="50"/>
      <c r="M813" s="50"/>
      <c r="N813" s="50"/>
      <c r="O813" s="50"/>
      <c r="P813" s="324"/>
      <c r="Q813" s="1252"/>
      <c r="R813" s="1252"/>
      <c r="S813" s="1252"/>
      <c r="T813" s="1252"/>
      <c r="U813" s="1242"/>
      <c r="V813" s="326"/>
      <c r="W813" s="326"/>
      <c r="X813" s="324"/>
      <c r="Y813" s="324"/>
    </row>
    <row r="814" spans="1:25" ht="36" customHeight="1">
      <c r="A814" s="2654"/>
      <c r="B814" s="2655"/>
      <c r="C814" s="2674" t="s">
        <v>504</v>
      </c>
      <c r="D814" s="2674"/>
      <c r="E814" s="2674"/>
      <c r="F814" s="2674"/>
      <c r="G814" s="2674"/>
      <c r="H814" s="2952"/>
      <c r="I814" s="2673" t="s">
        <v>407</v>
      </c>
      <c r="J814" s="2953"/>
      <c r="K814" s="2953"/>
      <c r="L814" s="2953"/>
      <c r="M814" s="2953"/>
      <c r="N814" s="2953"/>
      <c r="O814" s="2952"/>
      <c r="P814" s="156"/>
      <c r="V814" s="156"/>
      <c r="W814" s="156"/>
      <c r="X814" s="156"/>
      <c r="Y814" s="156"/>
    </row>
    <row r="815" spans="1:25" ht="24" customHeight="1">
      <c r="A815" s="2633" t="s">
        <v>236</v>
      </c>
      <c r="B815" s="2954"/>
      <c r="C815" s="2955" t="str">
        <f ca="1">参照元個別!E37</f>
        <v/>
      </c>
      <c r="D815" s="2955"/>
      <c r="E815" s="2955"/>
      <c r="F815" s="2955"/>
      <c r="G815" s="2956"/>
      <c r="H815" s="2959" t="s">
        <v>414</v>
      </c>
      <c r="I815" s="2961" t="str">
        <f>参照元個別!F37</f>
        <v/>
      </c>
      <c r="J815" s="2962"/>
      <c r="K815" s="2962"/>
      <c r="L815" s="2962"/>
      <c r="M815" s="2965" t="s">
        <v>415</v>
      </c>
      <c r="N815" s="2967" t="str">
        <f>参照元個別!G37</f>
        <v/>
      </c>
      <c r="O815" s="2968"/>
      <c r="P815" s="165"/>
      <c r="V815" s="156"/>
      <c r="W815" s="156"/>
      <c r="X815" s="156"/>
      <c r="Y815" s="156"/>
    </row>
    <row r="816" spans="1:25" ht="23.1" customHeight="1">
      <c r="A816" s="2637">
        <f>IF( 報1!$L$28="","", 報1!$L$28 )</f>
        <v>2023</v>
      </c>
      <c r="B816" s="2638"/>
      <c r="C816" s="2957"/>
      <c r="D816" s="2957"/>
      <c r="E816" s="2957"/>
      <c r="F816" s="2957"/>
      <c r="G816" s="2958"/>
      <c r="H816" s="2960"/>
      <c r="I816" s="2963"/>
      <c r="J816" s="2964"/>
      <c r="K816" s="2964"/>
      <c r="L816" s="2964"/>
      <c r="M816" s="2966"/>
      <c r="N816" s="2969"/>
      <c r="O816" s="2970"/>
      <c r="P816" s="165"/>
      <c r="V816" s="156"/>
      <c r="W816" s="156"/>
      <c r="X816" s="156"/>
      <c r="Y816" s="156"/>
    </row>
    <row r="817" spans="1:28" ht="25.15" customHeight="1">
      <c r="A817" s="2938" t="s">
        <v>277</v>
      </c>
      <c r="B817" s="2939"/>
      <c r="C817" s="2940"/>
      <c r="D817" s="2941"/>
      <c r="E817" s="2941"/>
      <c r="F817" s="2941"/>
      <c r="G817" s="2941"/>
      <c r="H817" s="2941"/>
      <c r="I817" s="2941"/>
      <c r="J817" s="2941"/>
      <c r="K817" s="2941"/>
      <c r="L817" s="2941"/>
      <c r="M817" s="2941"/>
      <c r="N817" s="2941"/>
      <c r="O817" s="2942"/>
      <c r="P817" s="156"/>
      <c r="Q817" s="1253">
        <v>1</v>
      </c>
      <c r="R817" s="1245"/>
      <c r="S817" s="1254"/>
      <c r="T817" s="1255"/>
      <c r="U817" s="1256"/>
      <c r="V817" s="156"/>
      <c r="W817" s="156"/>
      <c r="X817" s="327"/>
      <c r="Y817" s="328"/>
      <c r="Z817" s="99"/>
      <c r="AA817" s="43"/>
      <c r="AB817" s="44"/>
    </row>
    <row r="818" spans="1:28" ht="25.15" customHeight="1">
      <c r="A818" s="2938"/>
      <c r="B818" s="2939"/>
      <c r="C818" s="2941"/>
      <c r="D818" s="2941"/>
      <c r="E818" s="2941"/>
      <c r="F818" s="2941"/>
      <c r="G818" s="2941"/>
      <c r="H818" s="2941"/>
      <c r="I818" s="2941"/>
      <c r="J818" s="2941"/>
      <c r="K818" s="2941"/>
      <c r="L818" s="2941"/>
      <c r="M818" s="2941"/>
      <c r="N818" s="2941"/>
      <c r="O818" s="2942"/>
      <c r="P818" s="156"/>
      <c r="Q818" s="1257"/>
      <c r="R818" s="1258"/>
      <c r="S818" s="1258"/>
      <c r="T818" s="1258"/>
      <c r="U818" s="1258"/>
      <c r="V818" s="156"/>
      <c r="W818" s="156"/>
      <c r="X818" s="156"/>
      <c r="Y818" s="156"/>
    </row>
    <row r="819" spans="1:28" ht="24.75" customHeight="1">
      <c r="A819" s="2938"/>
      <c r="B819" s="2939"/>
      <c r="C819" s="2941"/>
      <c r="D819" s="2941"/>
      <c r="E819" s="2941"/>
      <c r="F819" s="2941"/>
      <c r="G819" s="2941"/>
      <c r="H819" s="2941"/>
      <c r="I819" s="2941"/>
      <c r="J819" s="2941"/>
      <c r="K819" s="2941"/>
      <c r="L819" s="2941"/>
      <c r="M819" s="2941"/>
      <c r="N819" s="2941"/>
      <c r="O819" s="2942"/>
      <c r="P819" s="156"/>
      <c r="Q819" s="1257"/>
      <c r="R819" s="1256"/>
      <c r="S819" s="1256"/>
      <c r="T819" s="1256"/>
      <c r="U819" s="1256"/>
      <c r="V819" s="156"/>
      <c r="W819" s="156"/>
      <c r="X819" s="156"/>
      <c r="Y819" s="156"/>
    </row>
    <row r="820" spans="1:28" ht="10.15" customHeight="1">
      <c r="A820" s="2945"/>
      <c r="B820" s="2946"/>
      <c r="C820" s="2941"/>
      <c r="D820" s="2941"/>
      <c r="E820" s="2941"/>
      <c r="F820" s="2941"/>
      <c r="G820" s="2941"/>
      <c r="H820" s="2941"/>
      <c r="I820" s="2941"/>
      <c r="J820" s="2941"/>
      <c r="K820" s="2941"/>
      <c r="L820" s="2941"/>
      <c r="M820" s="2941"/>
      <c r="N820" s="2941"/>
      <c r="O820" s="2942"/>
      <c r="P820" s="156"/>
      <c r="Q820" s="1259"/>
      <c r="R820" s="1256"/>
      <c r="S820" s="1256"/>
      <c r="T820" s="1256"/>
      <c r="U820" s="1256"/>
      <c r="V820" s="156"/>
      <c r="W820" s="156"/>
      <c r="X820" s="156"/>
      <c r="Y820" s="156"/>
    </row>
    <row r="821" spans="1:28" ht="45" customHeight="1">
      <c r="A821" s="2947">
        <f>IF( 報1!$L$28="","", 報1!$L$28 )</f>
        <v>2023</v>
      </c>
      <c r="B821" s="2948"/>
      <c r="C821" s="2943"/>
      <c r="D821" s="2943"/>
      <c r="E821" s="2943"/>
      <c r="F821" s="2943"/>
      <c r="G821" s="2943"/>
      <c r="H821" s="2943"/>
      <c r="I821" s="2943"/>
      <c r="J821" s="2943"/>
      <c r="K821" s="2943"/>
      <c r="L821" s="2943"/>
      <c r="M821" s="2943"/>
      <c r="N821" s="2943"/>
      <c r="O821" s="2944"/>
      <c r="P821" s="156"/>
      <c r="Q821" s="1260"/>
      <c r="R821" s="1256"/>
      <c r="S821" s="1256"/>
      <c r="T821" s="1256"/>
      <c r="U821" s="1256"/>
      <c r="V821" s="156"/>
      <c r="W821" s="156"/>
      <c r="X821" s="156"/>
      <c r="Y821" s="156"/>
    </row>
    <row r="822" spans="1:28" ht="26.25" customHeight="1">
      <c r="A822" s="2949"/>
      <c r="B822" s="2949"/>
      <c r="C822" s="2949"/>
      <c r="D822" s="2949"/>
      <c r="E822" s="2949"/>
      <c r="F822" s="2949"/>
      <c r="G822" s="2949"/>
      <c r="H822" s="2949"/>
      <c r="I822" s="2949"/>
      <c r="J822" s="2949"/>
      <c r="K822" s="2949"/>
      <c r="L822" s="2949"/>
      <c r="M822" s="2949"/>
      <c r="N822" s="2949"/>
      <c r="O822" s="2949"/>
      <c r="P822" s="156"/>
      <c r="Q822" s="1259"/>
      <c r="R822" s="1256"/>
      <c r="S822" s="1256"/>
      <c r="T822" s="1256"/>
      <c r="U822" s="1256"/>
      <c r="V822" s="156"/>
      <c r="W822" s="156"/>
      <c r="X822" s="156"/>
      <c r="Y822" s="156"/>
    </row>
    <row r="823" spans="1:28" ht="30" customHeight="1">
      <c r="A823" s="156"/>
      <c r="B823" s="156"/>
      <c r="C823" s="156"/>
      <c r="D823" s="156"/>
      <c r="E823" s="156"/>
      <c r="F823" s="156"/>
      <c r="G823" s="156"/>
      <c r="H823" s="156"/>
      <c r="I823" s="156"/>
      <c r="J823" s="156"/>
      <c r="K823" s="156"/>
      <c r="L823" s="156"/>
      <c r="M823" s="156"/>
      <c r="N823" s="156"/>
      <c r="O823" s="329"/>
      <c r="P823" s="156"/>
      <c r="Q823" s="1248"/>
      <c r="R823" s="1260"/>
      <c r="S823" s="1244"/>
      <c r="T823" s="1244"/>
      <c r="V823" s="156"/>
      <c r="W823" s="156"/>
      <c r="X823" s="156"/>
      <c r="Y823" s="156"/>
    </row>
    <row r="824" spans="1:28" ht="18" customHeight="1">
      <c r="A824" s="156"/>
      <c r="B824" s="156"/>
      <c r="C824" s="156"/>
      <c r="D824" s="156"/>
      <c r="E824" s="156"/>
      <c r="F824" s="156"/>
      <c r="G824" s="156"/>
      <c r="H824" s="156"/>
      <c r="I824" s="156"/>
      <c r="J824" s="156"/>
      <c r="K824" s="156"/>
      <c r="L824" s="156"/>
      <c r="M824" s="156"/>
      <c r="N824" s="156"/>
      <c r="O824" s="329"/>
      <c r="P824" s="156"/>
      <c r="Q824" s="1261"/>
      <c r="R824" s="1260"/>
      <c r="S824" s="1244"/>
      <c r="T824" s="1244"/>
      <c r="V824" s="156"/>
      <c r="W824" s="156"/>
      <c r="X824" s="156"/>
      <c r="Y824" s="156"/>
    </row>
    <row r="825" spans="1:28" ht="18" customHeight="1">
      <c r="A825" s="156"/>
      <c r="B825" s="156"/>
      <c r="C825" s="156"/>
      <c r="D825" s="156"/>
      <c r="E825" s="156"/>
      <c r="F825" s="156"/>
      <c r="G825" s="156"/>
      <c r="H825" s="156"/>
      <c r="I825" s="156"/>
      <c r="J825" s="156"/>
      <c r="K825" s="156"/>
      <c r="L825" s="156"/>
      <c r="M825" s="156"/>
      <c r="N825" s="156"/>
      <c r="O825" s="329"/>
      <c r="P825" s="156"/>
      <c r="Q825" s="1261"/>
      <c r="R825" s="1260"/>
      <c r="S825" s="1244"/>
      <c r="T825" s="1244"/>
      <c r="V825" s="156"/>
      <c r="W825" s="156"/>
      <c r="X825" s="156"/>
      <c r="Y825" s="156"/>
    </row>
    <row r="826" spans="1:28">
      <c r="A826" s="1" t="s">
        <v>175</v>
      </c>
      <c r="B826" s="2"/>
      <c r="C826" s="2"/>
      <c r="D826" s="2"/>
      <c r="E826" s="2"/>
      <c r="F826" s="2"/>
      <c r="G826" s="2"/>
      <c r="H826" s="2"/>
      <c r="I826" s="2"/>
      <c r="J826" s="2"/>
      <c r="K826" s="2"/>
      <c r="L826" s="2"/>
      <c r="M826" s="2"/>
      <c r="N826" s="2"/>
      <c r="O826" s="2"/>
      <c r="P826" s="156" t="str">
        <f>"個別票"&amp;Q826</f>
        <v>個別票34</v>
      </c>
      <c r="Q826" s="1242">
        <f>Q801+1</f>
        <v>34</v>
      </c>
      <c r="V826" s="156"/>
      <c r="W826" s="156"/>
      <c r="X826" s="156"/>
      <c r="Y826" s="156"/>
    </row>
    <row r="827" spans="1:28">
      <c r="A827" s="2" t="s">
        <v>150</v>
      </c>
      <c r="B827" s="4"/>
      <c r="C827" s="4"/>
      <c r="D827" s="4"/>
      <c r="E827" s="4"/>
      <c r="F827" s="4"/>
      <c r="G827" s="4"/>
      <c r="H827" s="4"/>
      <c r="I827" s="4"/>
      <c r="J827" s="4"/>
      <c r="K827" s="4"/>
      <c r="L827" s="4"/>
      <c r="M827" s="4"/>
      <c r="N827" s="2"/>
      <c r="O827" s="2"/>
      <c r="P827" s="156"/>
      <c r="V827" s="156"/>
      <c r="W827" s="156"/>
      <c r="X827" s="156"/>
      <c r="Y827" s="156"/>
    </row>
    <row r="828" spans="1:28" ht="17.25">
      <c r="A828" s="2983" t="s">
        <v>403</v>
      </c>
      <c r="B828" s="2983"/>
      <c r="C828" s="2983"/>
      <c r="D828" s="2983"/>
      <c r="E828" s="2983"/>
      <c r="F828" s="2983"/>
      <c r="G828" s="2983"/>
      <c r="H828" s="2983"/>
      <c r="I828" s="2983"/>
      <c r="J828" s="2983"/>
      <c r="K828" s="2983"/>
      <c r="L828" s="2983"/>
      <c r="M828" s="2983"/>
      <c r="N828" s="2983"/>
      <c r="O828" s="2983"/>
      <c r="P828" s="156"/>
      <c r="V828" s="156"/>
      <c r="W828" s="156"/>
      <c r="X828" s="156"/>
      <c r="Y828" s="156"/>
    </row>
    <row r="829" spans="1:28" ht="31.5" customHeight="1">
      <c r="A829" s="38"/>
      <c r="B829" s="38"/>
      <c r="C829" s="38"/>
      <c r="D829" s="38"/>
      <c r="E829" s="38"/>
      <c r="F829" s="38"/>
      <c r="G829" s="38"/>
      <c r="H829" s="38"/>
      <c r="I829" s="38"/>
      <c r="J829" s="38"/>
      <c r="K829" s="38"/>
      <c r="L829" s="38"/>
      <c r="M829" s="38"/>
      <c r="N829" s="38"/>
      <c r="O829" s="38"/>
      <c r="P829" s="156"/>
      <c r="V829" s="156"/>
      <c r="W829" s="156"/>
      <c r="X829" s="156"/>
      <c r="Y829" s="156"/>
    </row>
    <row r="830" spans="1:28" s="51" customFormat="1" ht="15.95" customHeight="1">
      <c r="A830" s="48" t="s">
        <v>151</v>
      </c>
      <c r="B830" s="80"/>
      <c r="C830" s="80"/>
      <c r="D830" s="80"/>
      <c r="E830" s="80"/>
      <c r="F830" s="80"/>
      <c r="G830" s="80"/>
      <c r="H830" s="80"/>
      <c r="I830" s="80"/>
      <c r="J830" s="80"/>
      <c r="K830" s="80"/>
      <c r="L830" s="80"/>
      <c r="M830" s="80"/>
      <c r="P830" s="324"/>
      <c r="Q830" s="1250"/>
      <c r="R830" s="1250"/>
      <c r="S830" s="1250"/>
      <c r="T830" s="1250"/>
      <c r="U830" s="1242"/>
      <c r="V830" s="324"/>
      <c r="W830" s="324"/>
      <c r="X830" s="324"/>
      <c r="Y830" s="324"/>
    </row>
    <row r="831" spans="1:28" ht="39.950000000000003" customHeight="1">
      <c r="A831" s="2984" t="s">
        <v>152</v>
      </c>
      <c r="B831" s="2985"/>
      <c r="C831" s="2986"/>
      <c r="D831" s="2987" t="str">
        <f>参照元個別!I38</f>
        <v>事業所名を入力34</v>
      </c>
      <c r="E831" s="2988"/>
      <c r="F831" s="2988"/>
      <c r="G831" s="2988"/>
      <c r="H831" s="2988"/>
      <c r="I831" s="2988"/>
      <c r="J831" s="2988"/>
      <c r="K831" s="2988"/>
      <c r="L831" s="2988"/>
      <c r="M831" s="2988"/>
      <c r="N831" s="2988"/>
      <c r="O831" s="2989"/>
      <c r="P831" s="156"/>
      <c r="V831" s="156"/>
      <c r="W831" s="156"/>
      <c r="X831" s="156"/>
      <c r="Y831" s="156"/>
    </row>
    <row r="832" spans="1:28" ht="39.950000000000003" customHeight="1">
      <c r="A832" s="2570" t="s">
        <v>153</v>
      </c>
      <c r="B832" s="2571"/>
      <c r="C832" s="2990"/>
      <c r="D832" s="2991"/>
      <c r="E832" s="2992"/>
      <c r="F832" s="2992"/>
      <c r="G832" s="2992"/>
      <c r="H832" s="2992"/>
      <c r="I832" s="2992"/>
      <c r="J832" s="2992"/>
      <c r="K832" s="2992"/>
      <c r="L832" s="2992"/>
      <c r="M832" s="2992"/>
      <c r="N832" s="2992"/>
      <c r="O832" s="2993"/>
      <c r="P832" s="156"/>
      <c r="V832" s="156"/>
      <c r="W832" s="156"/>
      <c r="X832" s="156"/>
      <c r="Y832" s="156"/>
    </row>
    <row r="833" spans="1:28" ht="39.950000000000003" customHeight="1">
      <c r="A833" s="2536" t="s">
        <v>154</v>
      </c>
      <c r="B833" s="2978"/>
      <c r="C833" s="2979"/>
      <c r="D833" s="2980"/>
      <c r="E833" s="101" t="s">
        <v>180</v>
      </c>
      <c r="F833" s="2974" t="s">
        <v>404</v>
      </c>
      <c r="G833" s="2975"/>
      <c r="H833" s="2981" t="str">
        <f ca="1">参照元個別!$P$38</f>
        <v/>
      </c>
      <c r="I833" s="2982"/>
      <c r="J833" s="58" t="s">
        <v>176</v>
      </c>
      <c r="K833" s="2974" t="s">
        <v>405</v>
      </c>
      <c r="L833" s="2975"/>
      <c r="M833" s="2971"/>
      <c r="N833" s="2972"/>
      <c r="O833" s="2973"/>
      <c r="P833" s="156" t="str">
        <f>IFERROR(VLOOKUP(M833,$U$1:$V$16,2,0),"")</f>
        <v/>
      </c>
      <c r="U833" s="1250"/>
      <c r="V833" s="156"/>
      <c r="W833" s="156"/>
      <c r="X833" s="156"/>
      <c r="Y833" s="156"/>
    </row>
    <row r="834" spans="1:28" ht="39.950000000000003" customHeight="1">
      <c r="A834" s="2974" t="s">
        <v>406</v>
      </c>
      <c r="B834" s="2975"/>
      <c r="C834" s="2976"/>
      <c r="D834" s="2896"/>
      <c r="E834" s="2897"/>
      <c r="F834" s="2974" t="s">
        <v>158</v>
      </c>
      <c r="G834" s="2975"/>
      <c r="H834" s="2976"/>
      <c r="I834" s="2896"/>
      <c r="J834" s="2897"/>
      <c r="K834" s="2580"/>
      <c r="L834" s="2977"/>
      <c r="M834" s="2977"/>
      <c r="N834" s="2977"/>
      <c r="O834" s="2977"/>
      <c r="P834" s="156"/>
      <c r="V834" s="156"/>
      <c r="W834" s="156"/>
      <c r="X834" s="156"/>
      <c r="Y834" s="156"/>
    </row>
    <row r="835" spans="1:28" ht="18.75" customHeight="1">
      <c r="A835" s="39"/>
      <c r="B835" s="39"/>
      <c r="C835" s="40"/>
      <c r="D835" s="41"/>
      <c r="E835" s="40"/>
      <c r="F835" s="42"/>
      <c r="P835" s="156"/>
      <c r="V835" s="325"/>
      <c r="W835" s="325"/>
      <c r="X835" s="156"/>
      <c r="Y835" s="156"/>
    </row>
    <row r="836" spans="1:28" ht="51.75" customHeight="1">
      <c r="A836" s="2950" t="s">
        <v>505</v>
      </c>
      <c r="B836" s="2951"/>
      <c r="C836" s="2951"/>
      <c r="D836" s="2951"/>
      <c r="E836" s="2951"/>
      <c r="F836" s="2951"/>
      <c r="G836" s="2951"/>
      <c r="H836" s="2951"/>
      <c r="I836" s="2951"/>
      <c r="J836" s="2951"/>
      <c r="K836" s="2951"/>
      <c r="L836" s="2951"/>
      <c r="M836" s="2951"/>
      <c r="N836" s="2951"/>
      <c r="O836" s="2951"/>
      <c r="P836" s="156"/>
      <c r="V836" s="325"/>
      <c r="W836" s="325"/>
      <c r="X836" s="156"/>
      <c r="Y836" s="156"/>
    </row>
    <row r="837" spans="1:28" ht="57.75" customHeight="1">
      <c r="A837" s="39"/>
      <c r="B837" s="39"/>
      <c r="C837" s="40"/>
      <c r="D837" s="41"/>
      <c r="E837" s="40"/>
      <c r="F837" s="42"/>
      <c r="P837" s="156"/>
      <c r="Q837" s="1251"/>
      <c r="R837" s="1251"/>
      <c r="S837" s="1251"/>
      <c r="T837" s="1251"/>
      <c r="V837" s="325"/>
      <c r="W837" s="325"/>
      <c r="X837" s="156"/>
      <c r="Y837" s="156"/>
    </row>
    <row r="838" spans="1:28" s="51" customFormat="1" ht="15.95" customHeight="1">
      <c r="A838" s="50" t="s">
        <v>509</v>
      </c>
      <c r="B838" s="52"/>
      <c r="C838" s="52"/>
      <c r="D838" s="52"/>
      <c r="E838" s="52"/>
      <c r="F838" s="52"/>
      <c r="G838" s="52"/>
      <c r="H838" s="52"/>
      <c r="I838" s="52"/>
      <c r="J838" s="52"/>
      <c r="K838" s="52"/>
      <c r="L838" s="50"/>
      <c r="M838" s="50"/>
      <c r="N838" s="50"/>
      <c r="O838" s="50"/>
      <c r="P838" s="324"/>
      <c r="Q838" s="1252"/>
      <c r="R838" s="1252"/>
      <c r="S838" s="1252"/>
      <c r="T838" s="1252"/>
      <c r="U838" s="1242"/>
      <c r="V838" s="326"/>
      <c r="W838" s="326"/>
      <c r="X838" s="324"/>
      <c r="Y838" s="324"/>
    </row>
    <row r="839" spans="1:28" ht="36" customHeight="1">
      <c r="A839" s="2654"/>
      <c r="B839" s="2655"/>
      <c r="C839" s="2674" t="s">
        <v>504</v>
      </c>
      <c r="D839" s="2674"/>
      <c r="E839" s="2674"/>
      <c r="F839" s="2674"/>
      <c r="G839" s="2674"/>
      <c r="H839" s="2952"/>
      <c r="I839" s="2673" t="s">
        <v>407</v>
      </c>
      <c r="J839" s="2953"/>
      <c r="K839" s="2953"/>
      <c r="L839" s="2953"/>
      <c r="M839" s="2953"/>
      <c r="N839" s="2953"/>
      <c r="O839" s="2952"/>
      <c r="P839" s="156"/>
      <c r="V839" s="156"/>
      <c r="W839" s="156"/>
      <c r="X839" s="156"/>
      <c r="Y839" s="156"/>
    </row>
    <row r="840" spans="1:28" ht="24" customHeight="1">
      <c r="A840" s="2633" t="s">
        <v>236</v>
      </c>
      <c r="B840" s="2954"/>
      <c r="C840" s="2955" t="str">
        <f ca="1">参照元個別!E38</f>
        <v/>
      </c>
      <c r="D840" s="2955"/>
      <c r="E840" s="2955"/>
      <c r="F840" s="2955"/>
      <c r="G840" s="2956"/>
      <c r="H840" s="2959" t="s">
        <v>414</v>
      </c>
      <c r="I840" s="2961" t="str">
        <f>参照元個別!F38</f>
        <v/>
      </c>
      <c r="J840" s="2962"/>
      <c r="K840" s="2962"/>
      <c r="L840" s="2962"/>
      <c r="M840" s="2965" t="s">
        <v>415</v>
      </c>
      <c r="N840" s="2967" t="str">
        <f>参照元個別!G38</f>
        <v/>
      </c>
      <c r="O840" s="2968"/>
      <c r="P840" s="165"/>
      <c r="V840" s="156"/>
      <c r="W840" s="156"/>
      <c r="X840" s="156"/>
      <c r="Y840" s="156"/>
    </row>
    <row r="841" spans="1:28" ht="23.1" customHeight="1">
      <c r="A841" s="2637">
        <f>IF( 報1!$L$28="","", 報1!$L$28 )</f>
        <v>2023</v>
      </c>
      <c r="B841" s="2638"/>
      <c r="C841" s="2957"/>
      <c r="D841" s="2957"/>
      <c r="E841" s="2957"/>
      <c r="F841" s="2957"/>
      <c r="G841" s="2958"/>
      <c r="H841" s="2960"/>
      <c r="I841" s="2963"/>
      <c r="J841" s="2964"/>
      <c r="K841" s="2964"/>
      <c r="L841" s="2964"/>
      <c r="M841" s="2966"/>
      <c r="N841" s="2969"/>
      <c r="O841" s="2970"/>
      <c r="P841" s="165"/>
      <c r="V841" s="156"/>
      <c r="W841" s="156"/>
      <c r="X841" s="156"/>
      <c r="Y841" s="156"/>
    </row>
    <row r="842" spans="1:28" ht="25.15" customHeight="1">
      <c r="A842" s="2938" t="s">
        <v>277</v>
      </c>
      <c r="B842" s="2939"/>
      <c r="C842" s="2940"/>
      <c r="D842" s="2941"/>
      <c r="E842" s="2941"/>
      <c r="F842" s="2941"/>
      <c r="G842" s="2941"/>
      <c r="H842" s="2941"/>
      <c r="I842" s="2941"/>
      <c r="J842" s="2941"/>
      <c r="K842" s="2941"/>
      <c r="L842" s="2941"/>
      <c r="M842" s="2941"/>
      <c r="N842" s="2941"/>
      <c r="O842" s="2942"/>
      <c r="P842" s="156"/>
      <c r="Q842" s="1253">
        <v>1</v>
      </c>
      <c r="R842" s="1245"/>
      <c r="S842" s="1254"/>
      <c r="T842" s="1255"/>
      <c r="U842" s="1256"/>
      <c r="V842" s="156"/>
      <c r="W842" s="156"/>
      <c r="X842" s="327"/>
      <c r="Y842" s="328"/>
      <c r="Z842" s="99"/>
      <c r="AA842" s="43"/>
      <c r="AB842" s="44"/>
    </row>
    <row r="843" spans="1:28" ht="25.15" customHeight="1">
      <c r="A843" s="2938"/>
      <c r="B843" s="2939"/>
      <c r="C843" s="2941"/>
      <c r="D843" s="2941"/>
      <c r="E843" s="2941"/>
      <c r="F843" s="2941"/>
      <c r="G843" s="2941"/>
      <c r="H843" s="2941"/>
      <c r="I843" s="2941"/>
      <c r="J843" s="2941"/>
      <c r="K843" s="2941"/>
      <c r="L843" s="2941"/>
      <c r="M843" s="2941"/>
      <c r="N843" s="2941"/>
      <c r="O843" s="2942"/>
      <c r="P843" s="156"/>
      <c r="Q843" s="1257"/>
      <c r="R843" s="1258"/>
      <c r="S843" s="1258"/>
      <c r="T843" s="1258"/>
      <c r="U843" s="1258"/>
      <c r="V843" s="156"/>
      <c r="W843" s="156"/>
      <c r="X843" s="156"/>
      <c r="Y843" s="156"/>
    </row>
    <row r="844" spans="1:28" ht="24.75" customHeight="1">
      <c r="A844" s="2938"/>
      <c r="B844" s="2939"/>
      <c r="C844" s="2941"/>
      <c r="D844" s="2941"/>
      <c r="E844" s="2941"/>
      <c r="F844" s="2941"/>
      <c r="G844" s="2941"/>
      <c r="H844" s="2941"/>
      <c r="I844" s="2941"/>
      <c r="J844" s="2941"/>
      <c r="K844" s="2941"/>
      <c r="L844" s="2941"/>
      <c r="M844" s="2941"/>
      <c r="N844" s="2941"/>
      <c r="O844" s="2942"/>
      <c r="P844" s="156"/>
      <c r="Q844" s="1257"/>
      <c r="R844" s="1256"/>
      <c r="S844" s="1256"/>
      <c r="T844" s="1256"/>
      <c r="U844" s="1256"/>
      <c r="V844" s="156"/>
      <c r="W844" s="156"/>
      <c r="X844" s="156"/>
      <c r="Y844" s="156"/>
    </row>
    <row r="845" spans="1:28" ht="10.15" customHeight="1">
      <c r="A845" s="2945"/>
      <c r="B845" s="2946"/>
      <c r="C845" s="2941"/>
      <c r="D845" s="2941"/>
      <c r="E845" s="2941"/>
      <c r="F845" s="2941"/>
      <c r="G845" s="2941"/>
      <c r="H845" s="2941"/>
      <c r="I845" s="2941"/>
      <c r="J845" s="2941"/>
      <c r="K845" s="2941"/>
      <c r="L845" s="2941"/>
      <c r="M845" s="2941"/>
      <c r="N845" s="2941"/>
      <c r="O845" s="2942"/>
      <c r="P845" s="156"/>
      <c r="Q845" s="1259"/>
      <c r="R845" s="1256"/>
      <c r="S845" s="1256"/>
      <c r="T845" s="1256"/>
      <c r="U845" s="1256"/>
      <c r="V845" s="156"/>
      <c r="W845" s="156"/>
      <c r="X845" s="156"/>
      <c r="Y845" s="156"/>
    </row>
    <row r="846" spans="1:28" ht="45" customHeight="1">
      <c r="A846" s="2947">
        <f>IF( 報1!$L$28="","", 報1!$L$28 )</f>
        <v>2023</v>
      </c>
      <c r="B846" s="2948"/>
      <c r="C846" s="2943"/>
      <c r="D846" s="2943"/>
      <c r="E846" s="2943"/>
      <c r="F846" s="2943"/>
      <c r="G846" s="2943"/>
      <c r="H846" s="2943"/>
      <c r="I846" s="2943"/>
      <c r="J846" s="2943"/>
      <c r="K846" s="2943"/>
      <c r="L846" s="2943"/>
      <c r="M846" s="2943"/>
      <c r="N846" s="2943"/>
      <c r="O846" s="2944"/>
      <c r="P846" s="156"/>
      <c r="Q846" s="1260"/>
      <c r="R846" s="1256"/>
      <c r="S846" s="1256"/>
      <c r="T846" s="1256"/>
      <c r="U846" s="1256"/>
      <c r="V846" s="156"/>
      <c r="W846" s="156"/>
      <c r="X846" s="156"/>
      <c r="Y846" s="156"/>
    </row>
    <row r="847" spans="1:28" ht="26.25" customHeight="1">
      <c r="A847" s="2949"/>
      <c r="B847" s="2949"/>
      <c r="C847" s="2949"/>
      <c r="D847" s="2949"/>
      <c r="E847" s="2949"/>
      <c r="F847" s="2949"/>
      <c r="G847" s="2949"/>
      <c r="H847" s="2949"/>
      <c r="I847" s="2949"/>
      <c r="J847" s="2949"/>
      <c r="K847" s="2949"/>
      <c r="L847" s="2949"/>
      <c r="M847" s="2949"/>
      <c r="N847" s="2949"/>
      <c r="O847" s="2949"/>
      <c r="P847" s="156"/>
      <c r="Q847" s="1259"/>
      <c r="R847" s="1256"/>
      <c r="S847" s="1256"/>
      <c r="T847" s="1256"/>
      <c r="U847" s="1256"/>
      <c r="V847" s="156"/>
      <c r="W847" s="156"/>
      <c r="X847" s="156"/>
      <c r="Y847" s="156"/>
    </row>
    <row r="848" spans="1:28" ht="30" customHeight="1">
      <c r="A848" s="156"/>
      <c r="B848" s="156"/>
      <c r="C848" s="156"/>
      <c r="D848" s="156"/>
      <c r="E848" s="156"/>
      <c r="F848" s="156"/>
      <c r="G848" s="156"/>
      <c r="H848" s="156"/>
      <c r="I848" s="156"/>
      <c r="J848" s="156"/>
      <c r="K848" s="156"/>
      <c r="L848" s="156"/>
      <c r="M848" s="156"/>
      <c r="N848" s="156"/>
      <c r="O848" s="329"/>
      <c r="P848" s="156"/>
      <c r="Q848" s="1248"/>
      <c r="R848" s="1260"/>
      <c r="S848" s="1244"/>
      <c r="T848" s="1244"/>
      <c r="V848" s="156"/>
      <c r="W848" s="156"/>
      <c r="X848" s="156"/>
      <c r="Y848" s="156"/>
    </row>
    <row r="849" spans="1:25" ht="18" customHeight="1">
      <c r="A849" s="156"/>
      <c r="B849" s="156"/>
      <c r="C849" s="156"/>
      <c r="D849" s="156"/>
      <c r="E849" s="156"/>
      <c r="F849" s="156"/>
      <c r="G849" s="156"/>
      <c r="H849" s="156"/>
      <c r="I849" s="156"/>
      <c r="J849" s="156"/>
      <c r="K849" s="156"/>
      <c r="L849" s="156"/>
      <c r="M849" s="156"/>
      <c r="N849" s="156"/>
      <c r="O849" s="329"/>
      <c r="P849" s="156"/>
      <c r="Q849" s="1261"/>
      <c r="R849" s="1260"/>
      <c r="S849" s="1244"/>
      <c r="T849" s="1244"/>
      <c r="V849" s="156"/>
      <c r="W849" s="156"/>
      <c r="X849" s="156"/>
      <c r="Y849" s="156"/>
    </row>
    <row r="850" spans="1:25" ht="18" customHeight="1">
      <c r="A850" s="156"/>
      <c r="B850" s="156"/>
      <c r="C850" s="156"/>
      <c r="D850" s="156"/>
      <c r="E850" s="156"/>
      <c r="F850" s="156"/>
      <c r="G850" s="156"/>
      <c r="H850" s="156"/>
      <c r="I850" s="156"/>
      <c r="J850" s="156"/>
      <c r="K850" s="156"/>
      <c r="L850" s="156"/>
      <c r="M850" s="156"/>
      <c r="N850" s="156"/>
      <c r="O850" s="329"/>
      <c r="P850" s="156"/>
      <c r="Q850" s="1261"/>
      <c r="R850" s="1260"/>
      <c r="S850" s="1244"/>
      <c r="T850" s="1244"/>
      <c r="V850" s="156"/>
      <c r="W850" s="156"/>
      <c r="X850" s="156"/>
      <c r="Y850" s="156"/>
    </row>
    <row r="851" spans="1:25">
      <c r="A851" s="1" t="s">
        <v>175</v>
      </c>
      <c r="B851" s="2"/>
      <c r="C851" s="2"/>
      <c r="D851" s="2"/>
      <c r="E851" s="2"/>
      <c r="F851" s="2"/>
      <c r="G851" s="2"/>
      <c r="H851" s="2"/>
      <c r="I851" s="2"/>
      <c r="J851" s="2"/>
      <c r="K851" s="2"/>
      <c r="L851" s="2"/>
      <c r="M851" s="2"/>
      <c r="N851" s="2"/>
      <c r="O851" s="2"/>
      <c r="P851" s="156" t="str">
        <f>"個別票"&amp;Q851</f>
        <v>個別票35</v>
      </c>
      <c r="Q851" s="1242">
        <f>Q826+1</f>
        <v>35</v>
      </c>
      <c r="V851" s="156"/>
      <c r="W851" s="156"/>
      <c r="X851" s="156"/>
      <c r="Y851" s="156"/>
    </row>
    <row r="852" spans="1:25">
      <c r="A852" s="2" t="s">
        <v>150</v>
      </c>
      <c r="B852" s="4"/>
      <c r="C852" s="4"/>
      <c r="D852" s="4"/>
      <c r="E852" s="4"/>
      <c r="F852" s="4"/>
      <c r="G852" s="4"/>
      <c r="H852" s="4"/>
      <c r="I852" s="4"/>
      <c r="J852" s="4"/>
      <c r="K852" s="4"/>
      <c r="L852" s="4"/>
      <c r="M852" s="4"/>
      <c r="N852" s="2"/>
      <c r="O852" s="2"/>
      <c r="P852" s="156"/>
      <c r="V852" s="156"/>
      <c r="W852" s="156"/>
      <c r="X852" s="156"/>
      <c r="Y852" s="156"/>
    </row>
    <row r="853" spans="1:25" ht="17.25">
      <c r="A853" s="2983" t="s">
        <v>403</v>
      </c>
      <c r="B853" s="2983"/>
      <c r="C853" s="2983"/>
      <c r="D853" s="2983"/>
      <c r="E853" s="2983"/>
      <c r="F853" s="2983"/>
      <c r="G853" s="2983"/>
      <c r="H853" s="2983"/>
      <c r="I853" s="2983"/>
      <c r="J853" s="2983"/>
      <c r="K853" s="2983"/>
      <c r="L853" s="2983"/>
      <c r="M853" s="2983"/>
      <c r="N853" s="2983"/>
      <c r="O853" s="2983"/>
      <c r="P853" s="156"/>
      <c r="V853" s="156"/>
      <c r="W853" s="156"/>
      <c r="X853" s="156"/>
      <c r="Y853" s="156"/>
    </row>
    <row r="854" spans="1:25" ht="31.5" customHeight="1">
      <c r="A854" s="38"/>
      <c r="B854" s="38"/>
      <c r="C854" s="38"/>
      <c r="D854" s="38"/>
      <c r="E854" s="38"/>
      <c r="F854" s="38"/>
      <c r="G854" s="38"/>
      <c r="H854" s="38"/>
      <c r="I854" s="38"/>
      <c r="J854" s="38"/>
      <c r="K854" s="38"/>
      <c r="L854" s="38"/>
      <c r="M854" s="38"/>
      <c r="N854" s="38"/>
      <c r="O854" s="38"/>
      <c r="P854" s="156"/>
      <c r="V854" s="156"/>
      <c r="W854" s="156"/>
      <c r="X854" s="156"/>
      <c r="Y854" s="156"/>
    </row>
    <row r="855" spans="1:25" s="51" customFormat="1" ht="15.95" customHeight="1">
      <c r="A855" s="48" t="s">
        <v>151</v>
      </c>
      <c r="B855" s="80"/>
      <c r="C855" s="80"/>
      <c r="D855" s="80"/>
      <c r="E855" s="80"/>
      <c r="F855" s="80"/>
      <c r="G855" s="80"/>
      <c r="H855" s="80"/>
      <c r="I855" s="80"/>
      <c r="J855" s="80"/>
      <c r="K855" s="80"/>
      <c r="L855" s="80"/>
      <c r="M855" s="80"/>
      <c r="P855" s="324"/>
      <c r="Q855" s="1250"/>
      <c r="R855" s="1250"/>
      <c r="S855" s="1250"/>
      <c r="T855" s="1250"/>
      <c r="U855" s="1242"/>
      <c r="V855" s="324"/>
      <c r="W855" s="324"/>
      <c r="X855" s="324"/>
      <c r="Y855" s="324"/>
    </row>
    <row r="856" spans="1:25" ht="39.950000000000003" customHeight="1">
      <c r="A856" s="2984" t="s">
        <v>152</v>
      </c>
      <c r="B856" s="2985"/>
      <c r="C856" s="2986"/>
      <c r="D856" s="2987" t="str">
        <f>参照元個別!I39</f>
        <v>事業所名を入力35</v>
      </c>
      <c r="E856" s="2988"/>
      <c r="F856" s="2988"/>
      <c r="G856" s="2988"/>
      <c r="H856" s="2988"/>
      <c r="I856" s="2988"/>
      <c r="J856" s="2988"/>
      <c r="K856" s="2988"/>
      <c r="L856" s="2988"/>
      <c r="M856" s="2988"/>
      <c r="N856" s="2988"/>
      <c r="O856" s="2989"/>
      <c r="P856" s="156"/>
      <c r="V856" s="156"/>
      <c r="W856" s="156"/>
      <c r="X856" s="156"/>
      <c r="Y856" s="156"/>
    </row>
    <row r="857" spans="1:25" ht="39.950000000000003" customHeight="1">
      <c r="A857" s="2570" t="s">
        <v>153</v>
      </c>
      <c r="B857" s="2571"/>
      <c r="C857" s="2990"/>
      <c r="D857" s="2991"/>
      <c r="E857" s="2992"/>
      <c r="F857" s="2992"/>
      <c r="G857" s="2992"/>
      <c r="H857" s="2992"/>
      <c r="I857" s="2992"/>
      <c r="J857" s="2992"/>
      <c r="K857" s="2992"/>
      <c r="L857" s="2992"/>
      <c r="M857" s="2992"/>
      <c r="N857" s="2992"/>
      <c r="O857" s="2993"/>
      <c r="P857" s="156"/>
      <c r="V857" s="156"/>
      <c r="W857" s="156"/>
      <c r="X857" s="156"/>
      <c r="Y857" s="156"/>
    </row>
    <row r="858" spans="1:25" ht="39.950000000000003" customHeight="1">
      <c r="A858" s="2536" t="s">
        <v>154</v>
      </c>
      <c r="B858" s="2978"/>
      <c r="C858" s="2979"/>
      <c r="D858" s="2980"/>
      <c r="E858" s="101" t="s">
        <v>180</v>
      </c>
      <c r="F858" s="2974" t="s">
        <v>404</v>
      </c>
      <c r="G858" s="2975"/>
      <c r="H858" s="2981" t="str">
        <f ca="1">参照元個別!$P$39</f>
        <v/>
      </c>
      <c r="I858" s="2982"/>
      <c r="J858" s="58" t="s">
        <v>176</v>
      </c>
      <c r="K858" s="2974" t="s">
        <v>405</v>
      </c>
      <c r="L858" s="2975"/>
      <c r="M858" s="2971"/>
      <c r="N858" s="2972"/>
      <c r="O858" s="2973"/>
      <c r="P858" s="156" t="str">
        <f>IFERROR(VLOOKUP(M858,$U$1:$V$16,2,0),"")</f>
        <v/>
      </c>
      <c r="U858" s="1250"/>
      <c r="V858" s="156"/>
      <c r="W858" s="156"/>
      <c r="X858" s="156"/>
      <c r="Y858" s="156"/>
    </row>
    <row r="859" spans="1:25" ht="39.950000000000003" customHeight="1">
      <c r="A859" s="2974" t="s">
        <v>406</v>
      </c>
      <c r="B859" s="2975"/>
      <c r="C859" s="2976"/>
      <c r="D859" s="2896"/>
      <c r="E859" s="2897"/>
      <c r="F859" s="2974" t="s">
        <v>158</v>
      </c>
      <c r="G859" s="2975"/>
      <c r="H859" s="2976"/>
      <c r="I859" s="2896"/>
      <c r="J859" s="2897"/>
      <c r="K859" s="2580"/>
      <c r="L859" s="2977"/>
      <c r="M859" s="2977"/>
      <c r="N859" s="2977"/>
      <c r="O859" s="2977"/>
      <c r="P859" s="156"/>
      <c r="V859" s="156"/>
      <c r="W859" s="156"/>
      <c r="X859" s="156"/>
      <c r="Y859" s="156"/>
    </row>
    <row r="860" spans="1:25" ht="18.75" customHeight="1">
      <c r="A860" s="39"/>
      <c r="B860" s="39"/>
      <c r="C860" s="40"/>
      <c r="D860" s="41"/>
      <c r="E860" s="40"/>
      <c r="F860" s="42"/>
      <c r="P860" s="156"/>
      <c r="V860" s="325"/>
      <c r="W860" s="325"/>
      <c r="X860" s="156"/>
      <c r="Y860" s="156"/>
    </row>
    <row r="861" spans="1:25" ht="51.75" customHeight="1">
      <c r="A861" s="2950" t="s">
        <v>505</v>
      </c>
      <c r="B861" s="2951"/>
      <c r="C861" s="2951"/>
      <c r="D861" s="2951"/>
      <c r="E861" s="2951"/>
      <c r="F861" s="2951"/>
      <c r="G861" s="2951"/>
      <c r="H861" s="2951"/>
      <c r="I861" s="2951"/>
      <c r="J861" s="2951"/>
      <c r="K861" s="2951"/>
      <c r="L861" s="2951"/>
      <c r="M861" s="2951"/>
      <c r="N861" s="2951"/>
      <c r="O861" s="2951"/>
      <c r="P861" s="156"/>
      <c r="V861" s="325"/>
      <c r="W861" s="325"/>
      <c r="X861" s="156"/>
      <c r="Y861" s="156"/>
    </row>
    <row r="862" spans="1:25" ht="57.75" customHeight="1">
      <c r="A862" s="39"/>
      <c r="B862" s="39"/>
      <c r="C862" s="40"/>
      <c r="D862" s="41"/>
      <c r="E862" s="40"/>
      <c r="F862" s="42"/>
      <c r="P862" s="156"/>
      <c r="Q862" s="1251"/>
      <c r="R862" s="1251"/>
      <c r="S862" s="1251"/>
      <c r="T862" s="1251"/>
      <c r="V862" s="325"/>
      <c r="W862" s="325"/>
      <c r="X862" s="156"/>
      <c r="Y862" s="156"/>
    </row>
    <row r="863" spans="1:25" s="51" customFormat="1" ht="15.95" customHeight="1">
      <c r="A863" s="50" t="s">
        <v>509</v>
      </c>
      <c r="B863" s="52"/>
      <c r="C863" s="52"/>
      <c r="D863" s="52"/>
      <c r="E863" s="52"/>
      <c r="F863" s="52"/>
      <c r="G863" s="52"/>
      <c r="H863" s="52"/>
      <c r="I863" s="52"/>
      <c r="J863" s="52"/>
      <c r="K863" s="52"/>
      <c r="L863" s="50"/>
      <c r="M863" s="50"/>
      <c r="N863" s="50"/>
      <c r="O863" s="50"/>
      <c r="P863" s="324"/>
      <c r="Q863" s="1252"/>
      <c r="R863" s="1252"/>
      <c r="S863" s="1252"/>
      <c r="T863" s="1252"/>
      <c r="U863" s="1242"/>
      <c r="V863" s="326"/>
      <c r="W863" s="326"/>
      <c r="X863" s="324"/>
      <c r="Y863" s="324"/>
    </row>
    <row r="864" spans="1:25" ht="36" customHeight="1">
      <c r="A864" s="2654"/>
      <c r="B864" s="2655"/>
      <c r="C864" s="2674" t="s">
        <v>504</v>
      </c>
      <c r="D864" s="2674"/>
      <c r="E864" s="2674"/>
      <c r="F864" s="2674"/>
      <c r="G864" s="2674"/>
      <c r="H864" s="2952"/>
      <c r="I864" s="2673" t="s">
        <v>407</v>
      </c>
      <c r="J864" s="2953"/>
      <c r="K864" s="2953"/>
      <c r="L864" s="2953"/>
      <c r="M864" s="2953"/>
      <c r="N864" s="2953"/>
      <c r="O864" s="2952"/>
      <c r="P864" s="156"/>
      <c r="V864" s="156"/>
      <c r="W864" s="156"/>
      <c r="X864" s="156"/>
      <c r="Y864" s="156"/>
    </row>
    <row r="865" spans="1:28" ht="24" customHeight="1">
      <c r="A865" s="2633" t="s">
        <v>236</v>
      </c>
      <c r="B865" s="2954"/>
      <c r="C865" s="2955" t="str">
        <f ca="1">参照元個別!E39</f>
        <v/>
      </c>
      <c r="D865" s="2955"/>
      <c r="E865" s="2955"/>
      <c r="F865" s="2955"/>
      <c r="G865" s="2956"/>
      <c r="H865" s="2959" t="s">
        <v>414</v>
      </c>
      <c r="I865" s="2961" t="str">
        <f>参照元個別!F39</f>
        <v/>
      </c>
      <c r="J865" s="2962"/>
      <c r="K865" s="2962"/>
      <c r="L865" s="2962"/>
      <c r="M865" s="2965" t="s">
        <v>415</v>
      </c>
      <c r="N865" s="2967" t="str">
        <f>参照元個別!G39</f>
        <v/>
      </c>
      <c r="O865" s="2968"/>
      <c r="P865" s="165"/>
      <c r="V865" s="156"/>
      <c r="W865" s="156"/>
      <c r="X865" s="156"/>
      <c r="Y865" s="156"/>
    </row>
    <row r="866" spans="1:28" ht="23.1" customHeight="1">
      <c r="A866" s="2637">
        <f>IF( 報1!$L$28="","", 報1!$L$28 )</f>
        <v>2023</v>
      </c>
      <c r="B866" s="2638"/>
      <c r="C866" s="2957"/>
      <c r="D866" s="2957"/>
      <c r="E866" s="2957"/>
      <c r="F866" s="2957"/>
      <c r="G866" s="2958"/>
      <c r="H866" s="2960"/>
      <c r="I866" s="2963"/>
      <c r="J866" s="2964"/>
      <c r="K866" s="2964"/>
      <c r="L866" s="2964"/>
      <c r="M866" s="2966"/>
      <c r="N866" s="2969"/>
      <c r="O866" s="2970"/>
      <c r="P866" s="165"/>
      <c r="V866" s="156"/>
      <c r="W866" s="156"/>
      <c r="X866" s="156"/>
      <c r="Y866" s="156"/>
    </row>
    <row r="867" spans="1:28" ht="25.15" customHeight="1">
      <c r="A867" s="2938" t="s">
        <v>277</v>
      </c>
      <c r="B867" s="2939"/>
      <c r="C867" s="2940"/>
      <c r="D867" s="2941"/>
      <c r="E867" s="2941"/>
      <c r="F867" s="2941"/>
      <c r="G867" s="2941"/>
      <c r="H867" s="2941"/>
      <c r="I867" s="2941"/>
      <c r="J867" s="2941"/>
      <c r="K867" s="2941"/>
      <c r="L867" s="2941"/>
      <c r="M867" s="2941"/>
      <c r="N867" s="2941"/>
      <c r="O867" s="2942"/>
      <c r="P867" s="156"/>
      <c r="Q867" s="1253">
        <v>1</v>
      </c>
      <c r="R867" s="1245"/>
      <c r="S867" s="1254"/>
      <c r="T867" s="1255"/>
      <c r="U867" s="1256"/>
      <c r="V867" s="156"/>
      <c r="W867" s="156"/>
      <c r="X867" s="327"/>
      <c r="Y867" s="328"/>
      <c r="Z867" s="99"/>
      <c r="AA867" s="43"/>
      <c r="AB867" s="44"/>
    </row>
    <row r="868" spans="1:28" ht="25.15" customHeight="1">
      <c r="A868" s="2938"/>
      <c r="B868" s="2939"/>
      <c r="C868" s="2941"/>
      <c r="D868" s="2941"/>
      <c r="E868" s="2941"/>
      <c r="F868" s="2941"/>
      <c r="G868" s="2941"/>
      <c r="H868" s="2941"/>
      <c r="I868" s="2941"/>
      <c r="J868" s="2941"/>
      <c r="K868" s="2941"/>
      <c r="L868" s="2941"/>
      <c r="M868" s="2941"/>
      <c r="N868" s="2941"/>
      <c r="O868" s="2942"/>
      <c r="P868" s="156"/>
      <c r="Q868" s="1257"/>
      <c r="R868" s="1258"/>
      <c r="S868" s="1258"/>
      <c r="T868" s="1258"/>
      <c r="U868" s="1258"/>
      <c r="V868" s="156"/>
      <c r="W868" s="156"/>
      <c r="X868" s="156"/>
      <c r="Y868" s="156"/>
    </row>
    <row r="869" spans="1:28" ht="24.75" customHeight="1">
      <c r="A869" s="2938"/>
      <c r="B869" s="2939"/>
      <c r="C869" s="2941"/>
      <c r="D869" s="2941"/>
      <c r="E869" s="2941"/>
      <c r="F869" s="2941"/>
      <c r="G869" s="2941"/>
      <c r="H869" s="2941"/>
      <c r="I869" s="2941"/>
      <c r="J869" s="2941"/>
      <c r="K869" s="2941"/>
      <c r="L869" s="2941"/>
      <c r="M869" s="2941"/>
      <c r="N869" s="2941"/>
      <c r="O869" s="2942"/>
      <c r="P869" s="156"/>
      <c r="Q869" s="1257"/>
      <c r="R869" s="1256"/>
      <c r="S869" s="1256"/>
      <c r="T869" s="1256"/>
      <c r="U869" s="1256"/>
      <c r="V869" s="156"/>
      <c r="W869" s="156"/>
      <c r="X869" s="156"/>
      <c r="Y869" s="156"/>
    </row>
    <row r="870" spans="1:28" ht="10.15" customHeight="1">
      <c r="A870" s="2945"/>
      <c r="B870" s="2946"/>
      <c r="C870" s="2941"/>
      <c r="D870" s="2941"/>
      <c r="E870" s="2941"/>
      <c r="F870" s="2941"/>
      <c r="G870" s="2941"/>
      <c r="H870" s="2941"/>
      <c r="I870" s="2941"/>
      <c r="J870" s="2941"/>
      <c r="K870" s="2941"/>
      <c r="L870" s="2941"/>
      <c r="M870" s="2941"/>
      <c r="N870" s="2941"/>
      <c r="O870" s="2942"/>
      <c r="P870" s="156"/>
      <c r="Q870" s="1259"/>
      <c r="R870" s="1256"/>
      <c r="S870" s="1256"/>
      <c r="T870" s="1256"/>
      <c r="U870" s="1256"/>
      <c r="V870" s="156"/>
      <c r="W870" s="156"/>
      <c r="X870" s="156"/>
      <c r="Y870" s="156"/>
    </row>
    <row r="871" spans="1:28" ht="45" customHeight="1">
      <c r="A871" s="2947">
        <f>IF( 報1!$L$28="","", 報1!$L$28 )</f>
        <v>2023</v>
      </c>
      <c r="B871" s="2948"/>
      <c r="C871" s="2943"/>
      <c r="D871" s="2943"/>
      <c r="E871" s="2943"/>
      <c r="F871" s="2943"/>
      <c r="G871" s="2943"/>
      <c r="H871" s="2943"/>
      <c r="I871" s="2943"/>
      <c r="J871" s="2943"/>
      <c r="K871" s="2943"/>
      <c r="L871" s="2943"/>
      <c r="M871" s="2943"/>
      <c r="N871" s="2943"/>
      <c r="O871" s="2944"/>
      <c r="P871" s="156"/>
      <c r="Q871" s="1260"/>
      <c r="R871" s="1256"/>
      <c r="S871" s="1256"/>
      <c r="T871" s="1256"/>
      <c r="U871" s="1256"/>
      <c r="V871" s="156"/>
      <c r="W871" s="156"/>
      <c r="X871" s="156"/>
      <c r="Y871" s="156"/>
    </row>
    <row r="872" spans="1:28" ht="26.25" customHeight="1">
      <c r="A872" s="2949"/>
      <c r="B872" s="2949"/>
      <c r="C872" s="2949"/>
      <c r="D872" s="2949"/>
      <c r="E872" s="2949"/>
      <c r="F872" s="2949"/>
      <c r="G872" s="2949"/>
      <c r="H872" s="2949"/>
      <c r="I872" s="2949"/>
      <c r="J872" s="2949"/>
      <c r="K872" s="2949"/>
      <c r="L872" s="2949"/>
      <c r="M872" s="2949"/>
      <c r="N872" s="2949"/>
      <c r="O872" s="2949"/>
      <c r="P872" s="156"/>
      <c r="Q872" s="1259"/>
      <c r="R872" s="1256"/>
      <c r="S872" s="1256"/>
      <c r="T872" s="1256"/>
      <c r="U872" s="1256"/>
      <c r="V872" s="156"/>
      <c r="W872" s="156"/>
      <c r="X872" s="156"/>
      <c r="Y872" s="156"/>
    </row>
    <row r="873" spans="1:28" ht="30" customHeight="1">
      <c r="A873" s="156"/>
      <c r="B873" s="156"/>
      <c r="C873" s="156"/>
      <c r="D873" s="156"/>
      <c r="E873" s="156"/>
      <c r="F873" s="156"/>
      <c r="G873" s="156"/>
      <c r="H873" s="156"/>
      <c r="I873" s="156"/>
      <c r="J873" s="156"/>
      <c r="K873" s="156"/>
      <c r="L873" s="156"/>
      <c r="M873" s="156"/>
      <c r="N873" s="156"/>
      <c r="O873" s="329"/>
      <c r="P873" s="156"/>
      <c r="Q873" s="1248"/>
      <c r="R873" s="1260"/>
      <c r="S873" s="1244"/>
      <c r="T873" s="1244"/>
      <c r="V873" s="156"/>
      <c r="W873" s="156"/>
      <c r="X873" s="156"/>
      <c r="Y873" s="156"/>
    </row>
    <row r="874" spans="1:28" ht="18" customHeight="1">
      <c r="A874" s="156"/>
      <c r="B874" s="156"/>
      <c r="C874" s="156"/>
      <c r="D874" s="156"/>
      <c r="E874" s="156"/>
      <c r="F874" s="156"/>
      <c r="G874" s="156"/>
      <c r="H874" s="156"/>
      <c r="I874" s="156"/>
      <c r="J874" s="156"/>
      <c r="K874" s="156"/>
      <c r="L874" s="156"/>
      <c r="M874" s="156"/>
      <c r="N874" s="156"/>
      <c r="O874" s="329"/>
      <c r="P874" s="156"/>
      <c r="Q874" s="1261"/>
      <c r="R874" s="1260"/>
      <c r="S874" s="1244"/>
      <c r="T874" s="1244"/>
      <c r="V874" s="156"/>
      <c r="W874" s="156"/>
      <c r="X874" s="156"/>
      <c r="Y874" s="156"/>
    </row>
    <row r="875" spans="1:28" ht="18" customHeight="1">
      <c r="A875" s="156"/>
      <c r="B875" s="156"/>
      <c r="C875" s="156"/>
      <c r="D875" s="156"/>
      <c r="E875" s="156"/>
      <c r="F875" s="156"/>
      <c r="G875" s="156"/>
      <c r="H875" s="156"/>
      <c r="I875" s="156"/>
      <c r="J875" s="156"/>
      <c r="K875" s="156"/>
      <c r="L875" s="156"/>
      <c r="M875" s="156"/>
      <c r="N875" s="156"/>
      <c r="O875" s="329"/>
      <c r="P875" s="156"/>
      <c r="Q875" s="1261"/>
      <c r="R875" s="1260"/>
      <c r="S875" s="1244"/>
      <c r="T875" s="1244"/>
      <c r="V875" s="156"/>
      <c r="W875" s="156"/>
      <c r="X875" s="156"/>
      <c r="Y875" s="156"/>
    </row>
    <row r="876" spans="1:28">
      <c r="A876" s="1" t="s">
        <v>175</v>
      </c>
      <c r="B876" s="2"/>
      <c r="C876" s="2"/>
      <c r="D876" s="2"/>
      <c r="E876" s="2"/>
      <c r="F876" s="2"/>
      <c r="G876" s="2"/>
      <c r="H876" s="2"/>
      <c r="I876" s="2"/>
      <c r="J876" s="2"/>
      <c r="K876" s="2"/>
      <c r="L876" s="2"/>
      <c r="M876" s="2"/>
      <c r="N876" s="2"/>
      <c r="O876" s="2"/>
      <c r="P876" s="156" t="str">
        <f>"個別票"&amp;Q876</f>
        <v>個別票36</v>
      </c>
      <c r="Q876" s="1242">
        <f>Q851+1</f>
        <v>36</v>
      </c>
      <c r="V876" s="156"/>
      <c r="W876" s="156"/>
      <c r="X876" s="156"/>
      <c r="Y876" s="156"/>
    </row>
    <row r="877" spans="1:28">
      <c r="A877" s="2" t="s">
        <v>150</v>
      </c>
      <c r="B877" s="4"/>
      <c r="C877" s="4"/>
      <c r="D877" s="4"/>
      <c r="E877" s="4"/>
      <c r="F877" s="4"/>
      <c r="G877" s="4"/>
      <c r="H877" s="4"/>
      <c r="I877" s="4"/>
      <c r="J877" s="4"/>
      <c r="K877" s="4"/>
      <c r="L877" s="4"/>
      <c r="M877" s="4"/>
      <c r="N877" s="2"/>
      <c r="O877" s="2"/>
      <c r="P877" s="156"/>
      <c r="V877" s="156"/>
      <c r="W877" s="156"/>
      <c r="X877" s="156"/>
      <c r="Y877" s="156"/>
    </row>
    <row r="878" spans="1:28" ht="17.25">
      <c r="A878" s="2983" t="s">
        <v>403</v>
      </c>
      <c r="B878" s="2983"/>
      <c r="C878" s="2983"/>
      <c r="D878" s="2983"/>
      <c r="E878" s="2983"/>
      <c r="F878" s="2983"/>
      <c r="G878" s="2983"/>
      <c r="H878" s="2983"/>
      <c r="I878" s="2983"/>
      <c r="J878" s="2983"/>
      <c r="K878" s="2983"/>
      <c r="L878" s="2983"/>
      <c r="M878" s="2983"/>
      <c r="N878" s="2983"/>
      <c r="O878" s="2983"/>
      <c r="P878" s="156"/>
      <c r="V878" s="156"/>
      <c r="W878" s="156"/>
      <c r="X878" s="156"/>
      <c r="Y878" s="156"/>
    </row>
    <row r="879" spans="1:28" ht="31.5" customHeight="1">
      <c r="A879" s="38"/>
      <c r="B879" s="38"/>
      <c r="C879" s="38"/>
      <c r="D879" s="38"/>
      <c r="E879" s="38"/>
      <c r="F879" s="38"/>
      <c r="G879" s="38"/>
      <c r="H879" s="38"/>
      <c r="I879" s="38"/>
      <c r="J879" s="38"/>
      <c r="K879" s="38"/>
      <c r="L879" s="38"/>
      <c r="M879" s="38"/>
      <c r="N879" s="38"/>
      <c r="O879" s="38"/>
      <c r="P879" s="156"/>
      <c r="V879" s="156"/>
      <c r="W879" s="156"/>
      <c r="X879" s="156"/>
      <c r="Y879" s="156"/>
    </row>
    <row r="880" spans="1:28" s="51" customFormat="1" ht="15.95" customHeight="1">
      <c r="A880" s="48" t="s">
        <v>151</v>
      </c>
      <c r="B880" s="80"/>
      <c r="C880" s="80"/>
      <c r="D880" s="80"/>
      <c r="E880" s="80"/>
      <c r="F880" s="80"/>
      <c r="G880" s="80"/>
      <c r="H880" s="80"/>
      <c r="I880" s="80"/>
      <c r="J880" s="80"/>
      <c r="K880" s="80"/>
      <c r="L880" s="80"/>
      <c r="M880" s="80"/>
      <c r="P880" s="324"/>
      <c r="Q880" s="1250"/>
      <c r="R880" s="1250"/>
      <c r="S880" s="1250"/>
      <c r="T880" s="1250"/>
      <c r="U880" s="1242"/>
      <c r="V880" s="324"/>
      <c r="W880" s="324"/>
      <c r="X880" s="324"/>
      <c r="Y880" s="324"/>
    </row>
    <row r="881" spans="1:28" ht="39.950000000000003" customHeight="1">
      <c r="A881" s="2984" t="s">
        <v>152</v>
      </c>
      <c r="B881" s="2985"/>
      <c r="C881" s="2986"/>
      <c r="D881" s="2987" t="str">
        <f>参照元個別!I40</f>
        <v>事業所名を入力36</v>
      </c>
      <c r="E881" s="2988"/>
      <c r="F881" s="2988"/>
      <c r="G881" s="2988"/>
      <c r="H881" s="2988"/>
      <c r="I881" s="2988"/>
      <c r="J881" s="2988"/>
      <c r="K881" s="2988"/>
      <c r="L881" s="2988"/>
      <c r="M881" s="2988"/>
      <c r="N881" s="2988"/>
      <c r="O881" s="2989"/>
      <c r="P881" s="156"/>
      <c r="V881" s="156"/>
      <c r="W881" s="156"/>
      <c r="X881" s="156"/>
      <c r="Y881" s="156"/>
    </row>
    <row r="882" spans="1:28" ht="39.950000000000003" customHeight="1">
      <c r="A882" s="2570" t="s">
        <v>153</v>
      </c>
      <c r="B882" s="2571"/>
      <c r="C882" s="2990"/>
      <c r="D882" s="2991"/>
      <c r="E882" s="2992"/>
      <c r="F882" s="2992"/>
      <c r="G882" s="2992"/>
      <c r="H882" s="2992"/>
      <c r="I882" s="2992"/>
      <c r="J882" s="2992"/>
      <c r="K882" s="2992"/>
      <c r="L882" s="2992"/>
      <c r="M882" s="2992"/>
      <c r="N882" s="2992"/>
      <c r="O882" s="2993"/>
      <c r="P882" s="156"/>
      <c r="V882" s="156"/>
      <c r="W882" s="156"/>
      <c r="X882" s="156"/>
      <c r="Y882" s="156"/>
    </row>
    <row r="883" spans="1:28" ht="39.950000000000003" customHeight="1">
      <c r="A883" s="2536" t="s">
        <v>154</v>
      </c>
      <c r="B883" s="2978"/>
      <c r="C883" s="2979"/>
      <c r="D883" s="2980"/>
      <c r="E883" s="101" t="s">
        <v>180</v>
      </c>
      <c r="F883" s="2974" t="s">
        <v>404</v>
      </c>
      <c r="G883" s="2975"/>
      <c r="H883" s="2981" t="str">
        <f ca="1">参照元個別!$P$40</f>
        <v/>
      </c>
      <c r="I883" s="2982"/>
      <c r="J883" s="58" t="s">
        <v>176</v>
      </c>
      <c r="K883" s="2974" t="s">
        <v>405</v>
      </c>
      <c r="L883" s="2975"/>
      <c r="M883" s="2971"/>
      <c r="N883" s="2972"/>
      <c r="O883" s="2973"/>
      <c r="P883" s="156" t="str">
        <f>IFERROR(VLOOKUP(M883,$U$1:$V$16,2,0),"")</f>
        <v/>
      </c>
      <c r="U883" s="1250"/>
      <c r="V883" s="156"/>
      <c r="W883" s="156"/>
      <c r="X883" s="156"/>
      <c r="Y883" s="156"/>
    </row>
    <row r="884" spans="1:28" ht="39.950000000000003" customHeight="1">
      <c r="A884" s="2974" t="s">
        <v>406</v>
      </c>
      <c r="B884" s="2975"/>
      <c r="C884" s="2976"/>
      <c r="D884" s="2896"/>
      <c r="E884" s="2897"/>
      <c r="F884" s="2974" t="s">
        <v>158</v>
      </c>
      <c r="G884" s="2975"/>
      <c r="H884" s="2976"/>
      <c r="I884" s="2896"/>
      <c r="J884" s="2897"/>
      <c r="K884" s="2580"/>
      <c r="L884" s="2977"/>
      <c r="M884" s="2977"/>
      <c r="N884" s="2977"/>
      <c r="O884" s="2977"/>
      <c r="P884" s="156"/>
      <c r="V884" s="156"/>
      <c r="W884" s="156"/>
      <c r="X884" s="156"/>
      <c r="Y884" s="156"/>
    </row>
    <row r="885" spans="1:28" ht="18.75" customHeight="1">
      <c r="A885" s="39"/>
      <c r="B885" s="39"/>
      <c r="C885" s="40"/>
      <c r="D885" s="41"/>
      <c r="E885" s="40"/>
      <c r="F885" s="42"/>
      <c r="P885" s="156"/>
      <c r="V885" s="325"/>
      <c r="W885" s="325"/>
      <c r="X885" s="156"/>
      <c r="Y885" s="156"/>
    </row>
    <row r="886" spans="1:28" ht="51.75" customHeight="1">
      <c r="A886" s="2950" t="s">
        <v>505</v>
      </c>
      <c r="B886" s="2951"/>
      <c r="C886" s="2951"/>
      <c r="D886" s="2951"/>
      <c r="E886" s="2951"/>
      <c r="F886" s="2951"/>
      <c r="G886" s="2951"/>
      <c r="H886" s="2951"/>
      <c r="I886" s="2951"/>
      <c r="J886" s="2951"/>
      <c r="K886" s="2951"/>
      <c r="L886" s="2951"/>
      <c r="M886" s="2951"/>
      <c r="N886" s="2951"/>
      <c r="O886" s="2951"/>
      <c r="P886" s="156"/>
      <c r="V886" s="325"/>
      <c r="W886" s="325"/>
      <c r="X886" s="156"/>
      <c r="Y886" s="156"/>
    </row>
    <row r="887" spans="1:28" ht="57.75" customHeight="1">
      <c r="A887" s="39"/>
      <c r="B887" s="39"/>
      <c r="C887" s="40"/>
      <c r="D887" s="41"/>
      <c r="E887" s="40"/>
      <c r="F887" s="42"/>
      <c r="P887" s="156"/>
      <c r="Q887" s="1251"/>
      <c r="R887" s="1251"/>
      <c r="S887" s="1251"/>
      <c r="T887" s="1251"/>
      <c r="V887" s="325"/>
      <c r="W887" s="325"/>
      <c r="X887" s="156"/>
      <c r="Y887" s="156"/>
    </row>
    <row r="888" spans="1:28" s="51" customFormat="1" ht="15.95" customHeight="1">
      <c r="A888" s="50" t="s">
        <v>509</v>
      </c>
      <c r="B888" s="52"/>
      <c r="C888" s="52"/>
      <c r="D888" s="52"/>
      <c r="E888" s="52"/>
      <c r="F888" s="52"/>
      <c r="G888" s="52"/>
      <c r="H888" s="52"/>
      <c r="I888" s="52"/>
      <c r="J888" s="52"/>
      <c r="K888" s="52"/>
      <c r="L888" s="50"/>
      <c r="M888" s="50"/>
      <c r="N888" s="50"/>
      <c r="O888" s="50"/>
      <c r="P888" s="324"/>
      <c r="Q888" s="1252"/>
      <c r="R888" s="1252"/>
      <c r="S888" s="1252"/>
      <c r="T888" s="1252"/>
      <c r="U888" s="1242"/>
      <c r="V888" s="326"/>
      <c r="W888" s="326"/>
      <c r="X888" s="324"/>
      <c r="Y888" s="324"/>
    </row>
    <row r="889" spans="1:28" ht="36" customHeight="1">
      <c r="A889" s="2654"/>
      <c r="B889" s="2655"/>
      <c r="C889" s="2674" t="s">
        <v>504</v>
      </c>
      <c r="D889" s="2674"/>
      <c r="E889" s="2674"/>
      <c r="F889" s="2674"/>
      <c r="G889" s="2674"/>
      <c r="H889" s="2952"/>
      <c r="I889" s="2673" t="s">
        <v>407</v>
      </c>
      <c r="J889" s="2953"/>
      <c r="K889" s="2953"/>
      <c r="L889" s="2953"/>
      <c r="M889" s="2953"/>
      <c r="N889" s="2953"/>
      <c r="O889" s="2952"/>
      <c r="P889" s="156"/>
      <c r="V889" s="156"/>
      <c r="W889" s="156"/>
      <c r="X889" s="156"/>
      <c r="Y889" s="156"/>
    </row>
    <row r="890" spans="1:28" ht="24" customHeight="1">
      <c r="A890" s="2633" t="s">
        <v>236</v>
      </c>
      <c r="B890" s="2954"/>
      <c r="C890" s="2955" t="str">
        <f ca="1">参照元個別!E40</f>
        <v/>
      </c>
      <c r="D890" s="2955"/>
      <c r="E890" s="2955"/>
      <c r="F890" s="2955"/>
      <c r="G890" s="2956"/>
      <c r="H890" s="2959" t="s">
        <v>414</v>
      </c>
      <c r="I890" s="2961" t="str">
        <f>参照元個別!F40</f>
        <v/>
      </c>
      <c r="J890" s="2962"/>
      <c r="K890" s="2962"/>
      <c r="L890" s="2962"/>
      <c r="M890" s="2965" t="s">
        <v>415</v>
      </c>
      <c r="N890" s="2967" t="str">
        <f>参照元個別!G40</f>
        <v/>
      </c>
      <c r="O890" s="2968"/>
      <c r="P890" s="165"/>
      <c r="V890" s="156"/>
      <c r="W890" s="156"/>
      <c r="X890" s="156"/>
      <c r="Y890" s="156"/>
    </row>
    <row r="891" spans="1:28" ht="23.1" customHeight="1">
      <c r="A891" s="2637">
        <f>IF( 報1!$L$28="","", 報1!$L$28 )</f>
        <v>2023</v>
      </c>
      <c r="B891" s="2638"/>
      <c r="C891" s="2957"/>
      <c r="D891" s="2957"/>
      <c r="E891" s="2957"/>
      <c r="F891" s="2957"/>
      <c r="G891" s="2958"/>
      <c r="H891" s="2960"/>
      <c r="I891" s="2963"/>
      <c r="J891" s="2964"/>
      <c r="K891" s="2964"/>
      <c r="L891" s="2964"/>
      <c r="M891" s="2966"/>
      <c r="N891" s="2969"/>
      <c r="O891" s="2970"/>
      <c r="P891" s="165"/>
      <c r="V891" s="156"/>
      <c r="W891" s="156"/>
      <c r="X891" s="156"/>
      <c r="Y891" s="156"/>
    </row>
    <row r="892" spans="1:28" ht="25.15" customHeight="1">
      <c r="A892" s="2938" t="s">
        <v>277</v>
      </c>
      <c r="B892" s="2939"/>
      <c r="C892" s="2940"/>
      <c r="D892" s="2941"/>
      <c r="E892" s="2941"/>
      <c r="F892" s="2941"/>
      <c r="G892" s="2941"/>
      <c r="H892" s="2941"/>
      <c r="I892" s="2941"/>
      <c r="J892" s="2941"/>
      <c r="K892" s="2941"/>
      <c r="L892" s="2941"/>
      <c r="M892" s="2941"/>
      <c r="N892" s="2941"/>
      <c r="O892" s="2942"/>
      <c r="P892" s="156"/>
      <c r="Q892" s="1253">
        <v>1</v>
      </c>
      <c r="R892" s="1245"/>
      <c r="S892" s="1254"/>
      <c r="T892" s="1255"/>
      <c r="U892" s="1256"/>
      <c r="V892" s="156"/>
      <c r="W892" s="156"/>
      <c r="X892" s="327"/>
      <c r="Y892" s="328"/>
      <c r="Z892" s="99"/>
      <c r="AA892" s="43"/>
      <c r="AB892" s="44"/>
    </row>
    <row r="893" spans="1:28" ht="25.15" customHeight="1">
      <c r="A893" s="2938"/>
      <c r="B893" s="2939"/>
      <c r="C893" s="2941"/>
      <c r="D893" s="2941"/>
      <c r="E893" s="2941"/>
      <c r="F893" s="2941"/>
      <c r="G893" s="2941"/>
      <c r="H893" s="2941"/>
      <c r="I893" s="2941"/>
      <c r="J893" s="2941"/>
      <c r="K893" s="2941"/>
      <c r="L893" s="2941"/>
      <c r="M893" s="2941"/>
      <c r="N893" s="2941"/>
      <c r="O893" s="2942"/>
      <c r="P893" s="156"/>
      <c r="Q893" s="1257"/>
      <c r="R893" s="1258"/>
      <c r="S893" s="1258"/>
      <c r="T893" s="1258"/>
      <c r="U893" s="1258"/>
      <c r="V893" s="156"/>
      <c r="W893" s="156"/>
      <c r="X893" s="156"/>
      <c r="Y893" s="156"/>
    </row>
    <row r="894" spans="1:28" ht="24.75" customHeight="1">
      <c r="A894" s="2938"/>
      <c r="B894" s="2939"/>
      <c r="C894" s="2941"/>
      <c r="D894" s="2941"/>
      <c r="E894" s="2941"/>
      <c r="F894" s="2941"/>
      <c r="G894" s="2941"/>
      <c r="H894" s="2941"/>
      <c r="I894" s="2941"/>
      <c r="J894" s="2941"/>
      <c r="K894" s="2941"/>
      <c r="L894" s="2941"/>
      <c r="M894" s="2941"/>
      <c r="N894" s="2941"/>
      <c r="O894" s="2942"/>
      <c r="P894" s="156"/>
      <c r="Q894" s="1257"/>
      <c r="R894" s="1256"/>
      <c r="S894" s="1256"/>
      <c r="T894" s="1256"/>
      <c r="U894" s="1256"/>
      <c r="V894" s="156"/>
      <c r="W894" s="156"/>
      <c r="X894" s="156"/>
      <c r="Y894" s="156"/>
    </row>
    <row r="895" spans="1:28" ht="10.15" customHeight="1">
      <c r="A895" s="2945"/>
      <c r="B895" s="2946"/>
      <c r="C895" s="2941"/>
      <c r="D895" s="2941"/>
      <c r="E895" s="2941"/>
      <c r="F895" s="2941"/>
      <c r="G895" s="2941"/>
      <c r="H895" s="2941"/>
      <c r="I895" s="2941"/>
      <c r="J895" s="2941"/>
      <c r="K895" s="2941"/>
      <c r="L895" s="2941"/>
      <c r="M895" s="2941"/>
      <c r="N895" s="2941"/>
      <c r="O895" s="2942"/>
      <c r="P895" s="156"/>
      <c r="Q895" s="1259"/>
      <c r="R895" s="1256"/>
      <c r="S895" s="1256"/>
      <c r="T895" s="1256"/>
      <c r="U895" s="1256"/>
      <c r="V895" s="156"/>
      <c r="W895" s="156"/>
      <c r="X895" s="156"/>
      <c r="Y895" s="156"/>
    </row>
    <row r="896" spans="1:28" ht="45" customHeight="1">
      <c r="A896" s="2947">
        <f>IF( 報1!$L$28="","", 報1!$L$28 )</f>
        <v>2023</v>
      </c>
      <c r="B896" s="2948"/>
      <c r="C896" s="2943"/>
      <c r="D896" s="2943"/>
      <c r="E896" s="2943"/>
      <c r="F896" s="2943"/>
      <c r="G896" s="2943"/>
      <c r="H896" s="2943"/>
      <c r="I896" s="2943"/>
      <c r="J896" s="2943"/>
      <c r="K896" s="2943"/>
      <c r="L896" s="2943"/>
      <c r="M896" s="2943"/>
      <c r="N896" s="2943"/>
      <c r="O896" s="2944"/>
      <c r="P896" s="156"/>
      <c r="Q896" s="1260"/>
      <c r="R896" s="1256"/>
      <c r="S896" s="1256"/>
      <c r="T896" s="1256"/>
      <c r="U896" s="1256"/>
      <c r="V896" s="156"/>
      <c r="W896" s="156"/>
      <c r="X896" s="156"/>
      <c r="Y896" s="156"/>
    </row>
    <row r="897" spans="1:25" ht="26.25" customHeight="1">
      <c r="A897" s="2949"/>
      <c r="B897" s="2949"/>
      <c r="C897" s="2949"/>
      <c r="D897" s="2949"/>
      <c r="E897" s="2949"/>
      <c r="F897" s="2949"/>
      <c r="G897" s="2949"/>
      <c r="H897" s="2949"/>
      <c r="I897" s="2949"/>
      <c r="J897" s="2949"/>
      <c r="K897" s="2949"/>
      <c r="L897" s="2949"/>
      <c r="M897" s="2949"/>
      <c r="N897" s="2949"/>
      <c r="O897" s="2949"/>
      <c r="P897" s="156"/>
      <c r="Q897" s="1259"/>
      <c r="R897" s="1256"/>
      <c r="S897" s="1256"/>
      <c r="T897" s="1256"/>
      <c r="U897" s="1256"/>
      <c r="V897" s="156"/>
      <c r="W897" s="156"/>
      <c r="X897" s="156"/>
      <c r="Y897" s="156"/>
    </row>
    <row r="898" spans="1:25" ht="30" customHeight="1">
      <c r="A898" s="156"/>
      <c r="B898" s="156"/>
      <c r="C898" s="156"/>
      <c r="D898" s="156"/>
      <c r="E898" s="156"/>
      <c r="F898" s="156"/>
      <c r="G898" s="156"/>
      <c r="H898" s="156"/>
      <c r="I898" s="156"/>
      <c r="J898" s="156"/>
      <c r="K898" s="156"/>
      <c r="L898" s="156"/>
      <c r="M898" s="156"/>
      <c r="N898" s="156"/>
      <c r="O898" s="329"/>
      <c r="P898" s="156"/>
      <c r="Q898" s="1248"/>
      <c r="R898" s="1260"/>
      <c r="S898" s="1244"/>
      <c r="T898" s="1244"/>
      <c r="V898" s="156"/>
      <c r="W898" s="156"/>
      <c r="X898" s="156"/>
      <c r="Y898" s="156"/>
    </row>
    <row r="899" spans="1:25" ht="18" customHeight="1">
      <c r="A899" s="156"/>
      <c r="B899" s="156"/>
      <c r="C899" s="156"/>
      <c r="D899" s="156"/>
      <c r="E899" s="156"/>
      <c r="F899" s="156"/>
      <c r="G899" s="156"/>
      <c r="H899" s="156"/>
      <c r="I899" s="156"/>
      <c r="J899" s="156"/>
      <c r="K899" s="156"/>
      <c r="L899" s="156"/>
      <c r="M899" s="156"/>
      <c r="N899" s="156"/>
      <c r="O899" s="329"/>
      <c r="P899" s="156"/>
      <c r="Q899" s="1261"/>
      <c r="R899" s="1260"/>
      <c r="S899" s="1244"/>
      <c r="T899" s="1244"/>
      <c r="V899" s="156"/>
      <c r="W899" s="156"/>
      <c r="X899" s="156"/>
      <c r="Y899" s="156"/>
    </row>
    <row r="900" spans="1:25" ht="18" customHeight="1">
      <c r="A900" s="156"/>
      <c r="B900" s="156"/>
      <c r="C900" s="156"/>
      <c r="D900" s="156"/>
      <c r="E900" s="156"/>
      <c r="F900" s="156"/>
      <c r="G900" s="156"/>
      <c r="H900" s="156"/>
      <c r="I900" s="156"/>
      <c r="J900" s="156"/>
      <c r="K900" s="156"/>
      <c r="L900" s="156"/>
      <c r="M900" s="156"/>
      <c r="N900" s="156"/>
      <c r="O900" s="329"/>
      <c r="P900" s="156"/>
      <c r="Q900" s="1261"/>
      <c r="R900" s="1260"/>
      <c r="S900" s="1244"/>
      <c r="T900" s="1244"/>
      <c r="V900" s="156"/>
      <c r="W900" s="156"/>
      <c r="X900" s="156"/>
      <c r="Y900" s="156"/>
    </row>
    <row r="901" spans="1:25">
      <c r="A901" s="1" t="s">
        <v>175</v>
      </c>
      <c r="B901" s="2"/>
      <c r="C901" s="2"/>
      <c r="D901" s="2"/>
      <c r="E901" s="2"/>
      <c r="F901" s="2"/>
      <c r="G901" s="2"/>
      <c r="H901" s="2"/>
      <c r="I901" s="2"/>
      <c r="J901" s="2"/>
      <c r="K901" s="2"/>
      <c r="L901" s="2"/>
      <c r="M901" s="2"/>
      <c r="N901" s="2"/>
      <c r="O901" s="2"/>
      <c r="P901" s="156" t="str">
        <f>"個別票"&amp;Q901</f>
        <v>個別票37</v>
      </c>
      <c r="Q901" s="1242">
        <f>Q876+1</f>
        <v>37</v>
      </c>
      <c r="V901" s="156"/>
      <c r="W901" s="156"/>
      <c r="X901" s="156"/>
      <c r="Y901" s="156"/>
    </row>
    <row r="902" spans="1:25">
      <c r="A902" s="2" t="s">
        <v>150</v>
      </c>
      <c r="B902" s="4"/>
      <c r="C902" s="4"/>
      <c r="D902" s="4"/>
      <c r="E902" s="4"/>
      <c r="F902" s="4"/>
      <c r="G902" s="4"/>
      <c r="H902" s="4"/>
      <c r="I902" s="4"/>
      <c r="J902" s="4"/>
      <c r="K902" s="4"/>
      <c r="L902" s="4"/>
      <c r="M902" s="4"/>
      <c r="N902" s="2"/>
      <c r="O902" s="2"/>
      <c r="P902" s="156"/>
      <c r="V902" s="156"/>
      <c r="W902" s="156"/>
      <c r="X902" s="156"/>
      <c r="Y902" s="156"/>
    </row>
    <row r="903" spans="1:25" ht="17.25">
      <c r="A903" s="2983" t="s">
        <v>403</v>
      </c>
      <c r="B903" s="2983"/>
      <c r="C903" s="2983"/>
      <c r="D903" s="2983"/>
      <c r="E903" s="2983"/>
      <c r="F903" s="2983"/>
      <c r="G903" s="2983"/>
      <c r="H903" s="2983"/>
      <c r="I903" s="2983"/>
      <c r="J903" s="2983"/>
      <c r="K903" s="2983"/>
      <c r="L903" s="2983"/>
      <c r="M903" s="2983"/>
      <c r="N903" s="2983"/>
      <c r="O903" s="2983"/>
      <c r="P903" s="156"/>
      <c r="V903" s="156"/>
      <c r="W903" s="156"/>
      <c r="X903" s="156"/>
      <c r="Y903" s="156"/>
    </row>
    <row r="904" spans="1:25" ht="31.5" customHeight="1">
      <c r="A904" s="38"/>
      <c r="B904" s="38"/>
      <c r="C904" s="38"/>
      <c r="D904" s="38"/>
      <c r="E904" s="38"/>
      <c r="F904" s="38"/>
      <c r="G904" s="38"/>
      <c r="H904" s="38"/>
      <c r="I904" s="38"/>
      <c r="J904" s="38"/>
      <c r="K904" s="38"/>
      <c r="L904" s="38"/>
      <c r="M904" s="38"/>
      <c r="N904" s="38"/>
      <c r="O904" s="38"/>
      <c r="P904" s="156"/>
      <c r="V904" s="156"/>
      <c r="W904" s="156"/>
      <c r="X904" s="156"/>
      <c r="Y904" s="156"/>
    </row>
    <row r="905" spans="1:25" s="51" customFormat="1" ht="15.95" customHeight="1">
      <c r="A905" s="48" t="s">
        <v>151</v>
      </c>
      <c r="B905" s="80"/>
      <c r="C905" s="80"/>
      <c r="D905" s="80"/>
      <c r="E905" s="80"/>
      <c r="F905" s="80"/>
      <c r="G905" s="80"/>
      <c r="H905" s="80"/>
      <c r="I905" s="80"/>
      <c r="J905" s="80"/>
      <c r="K905" s="80"/>
      <c r="L905" s="80"/>
      <c r="M905" s="80"/>
      <c r="P905" s="324"/>
      <c r="Q905" s="1250"/>
      <c r="R905" s="1250"/>
      <c r="S905" s="1250"/>
      <c r="T905" s="1250"/>
      <c r="U905" s="1242"/>
      <c r="V905" s="324"/>
      <c r="W905" s="324"/>
      <c r="X905" s="324"/>
      <c r="Y905" s="324"/>
    </row>
    <row r="906" spans="1:25" ht="39.950000000000003" customHeight="1">
      <c r="A906" s="2984" t="s">
        <v>152</v>
      </c>
      <c r="B906" s="2985"/>
      <c r="C906" s="2986"/>
      <c r="D906" s="2987" t="str">
        <f>参照元個別!I41</f>
        <v>事業所名を入力37</v>
      </c>
      <c r="E906" s="2988"/>
      <c r="F906" s="2988"/>
      <c r="G906" s="2988"/>
      <c r="H906" s="2988"/>
      <c r="I906" s="2988"/>
      <c r="J906" s="2988"/>
      <c r="K906" s="2988"/>
      <c r="L906" s="2988"/>
      <c r="M906" s="2988"/>
      <c r="N906" s="2988"/>
      <c r="O906" s="2989"/>
      <c r="P906" s="156"/>
      <c r="V906" s="156"/>
      <c r="W906" s="156"/>
      <c r="X906" s="156"/>
      <c r="Y906" s="156"/>
    </row>
    <row r="907" spans="1:25" ht="39.950000000000003" customHeight="1">
      <c r="A907" s="2570" t="s">
        <v>153</v>
      </c>
      <c r="B907" s="2571"/>
      <c r="C907" s="2990"/>
      <c r="D907" s="2991"/>
      <c r="E907" s="2992"/>
      <c r="F907" s="2992"/>
      <c r="G907" s="2992"/>
      <c r="H907" s="2992"/>
      <c r="I907" s="2992"/>
      <c r="J907" s="2992"/>
      <c r="K907" s="2992"/>
      <c r="L907" s="2992"/>
      <c r="M907" s="2992"/>
      <c r="N907" s="2992"/>
      <c r="O907" s="2993"/>
      <c r="P907" s="156"/>
      <c r="V907" s="156"/>
      <c r="W907" s="156"/>
      <c r="X907" s="156"/>
      <c r="Y907" s="156"/>
    </row>
    <row r="908" spans="1:25" ht="39.950000000000003" customHeight="1">
      <c r="A908" s="2536" t="s">
        <v>154</v>
      </c>
      <c r="B908" s="2978"/>
      <c r="C908" s="2979"/>
      <c r="D908" s="2980"/>
      <c r="E908" s="101" t="s">
        <v>180</v>
      </c>
      <c r="F908" s="2974" t="s">
        <v>404</v>
      </c>
      <c r="G908" s="2975"/>
      <c r="H908" s="2981" t="str">
        <f ca="1">参照元個別!$P$41</f>
        <v/>
      </c>
      <c r="I908" s="2982"/>
      <c r="J908" s="58" t="s">
        <v>176</v>
      </c>
      <c r="K908" s="2974" t="s">
        <v>405</v>
      </c>
      <c r="L908" s="2975"/>
      <c r="M908" s="2971"/>
      <c r="N908" s="2972"/>
      <c r="O908" s="2973"/>
      <c r="P908" s="156" t="str">
        <f>IFERROR(VLOOKUP(M908,$U$1:$V$16,2,0),"")</f>
        <v/>
      </c>
      <c r="U908" s="1250"/>
      <c r="V908" s="156"/>
      <c r="W908" s="156"/>
      <c r="X908" s="156"/>
      <c r="Y908" s="156"/>
    </row>
    <row r="909" spans="1:25" ht="39.950000000000003" customHeight="1">
      <c r="A909" s="2974" t="s">
        <v>406</v>
      </c>
      <c r="B909" s="2975"/>
      <c r="C909" s="2976"/>
      <c r="D909" s="2896"/>
      <c r="E909" s="2897"/>
      <c r="F909" s="2974" t="s">
        <v>158</v>
      </c>
      <c r="G909" s="2975"/>
      <c r="H909" s="2976"/>
      <c r="I909" s="2896"/>
      <c r="J909" s="2897"/>
      <c r="K909" s="2580"/>
      <c r="L909" s="2977"/>
      <c r="M909" s="2977"/>
      <c r="N909" s="2977"/>
      <c r="O909" s="2977"/>
      <c r="P909" s="156"/>
      <c r="V909" s="156"/>
      <c r="W909" s="156"/>
      <c r="X909" s="156"/>
      <c r="Y909" s="156"/>
    </row>
    <row r="910" spans="1:25" ht="18.75" customHeight="1">
      <c r="A910" s="39"/>
      <c r="B910" s="39"/>
      <c r="C910" s="40"/>
      <c r="D910" s="41"/>
      <c r="E910" s="40"/>
      <c r="F910" s="42"/>
      <c r="P910" s="156"/>
      <c r="V910" s="325"/>
      <c r="W910" s="325"/>
      <c r="X910" s="156"/>
      <c r="Y910" s="156"/>
    </row>
    <row r="911" spans="1:25" ht="51.75" customHeight="1">
      <c r="A911" s="2950" t="s">
        <v>505</v>
      </c>
      <c r="B911" s="2951"/>
      <c r="C911" s="2951"/>
      <c r="D911" s="2951"/>
      <c r="E911" s="2951"/>
      <c r="F911" s="2951"/>
      <c r="G911" s="2951"/>
      <c r="H911" s="2951"/>
      <c r="I911" s="2951"/>
      <c r="J911" s="2951"/>
      <c r="K911" s="2951"/>
      <c r="L911" s="2951"/>
      <c r="M911" s="2951"/>
      <c r="N911" s="2951"/>
      <c r="O911" s="2951"/>
      <c r="P911" s="156"/>
      <c r="V911" s="325"/>
      <c r="W911" s="325"/>
      <c r="X911" s="156"/>
      <c r="Y911" s="156"/>
    </row>
    <row r="912" spans="1:25" ht="57.75" customHeight="1">
      <c r="A912" s="39"/>
      <c r="B912" s="39"/>
      <c r="C912" s="40"/>
      <c r="D912" s="41"/>
      <c r="E912" s="40"/>
      <c r="F912" s="42"/>
      <c r="P912" s="156"/>
      <c r="Q912" s="1251"/>
      <c r="R912" s="1251"/>
      <c r="S912" s="1251"/>
      <c r="T912" s="1251"/>
      <c r="V912" s="325"/>
      <c r="W912" s="325"/>
      <c r="X912" s="156"/>
      <c r="Y912" s="156"/>
    </row>
    <row r="913" spans="1:28" s="51" customFormat="1" ht="15.95" customHeight="1">
      <c r="A913" s="50" t="s">
        <v>509</v>
      </c>
      <c r="B913" s="52"/>
      <c r="C913" s="52"/>
      <c r="D913" s="52"/>
      <c r="E913" s="52"/>
      <c r="F913" s="52"/>
      <c r="G913" s="52"/>
      <c r="H913" s="52"/>
      <c r="I913" s="52"/>
      <c r="J913" s="52"/>
      <c r="K913" s="52"/>
      <c r="L913" s="50"/>
      <c r="M913" s="50"/>
      <c r="N913" s="50"/>
      <c r="O913" s="50"/>
      <c r="P913" s="324"/>
      <c r="Q913" s="1252"/>
      <c r="R913" s="1252"/>
      <c r="S913" s="1252"/>
      <c r="T913" s="1252"/>
      <c r="U913" s="1242"/>
      <c r="V913" s="326"/>
      <c r="W913" s="326"/>
      <c r="X913" s="324"/>
      <c r="Y913" s="324"/>
    </row>
    <row r="914" spans="1:28" ht="36" customHeight="1">
      <c r="A914" s="2654"/>
      <c r="B914" s="2655"/>
      <c r="C914" s="2674" t="s">
        <v>504</v>
      </c>
      <c r="D914" s="2674"/>
      <c r="E914" s="2674"/>
      <c r="F914" s="2674"/>
      <c r="G914" s="2674"/>
      <c r="H914" s="2952"/>
      <c r="I914" s="2673" t="s">
        <v>407</v>
      </c>
      <c r="J914" s="2953"/>
      <c r="K914" s="2953"/>
      <c r="L914" s="2953"/>
      <c r="M914" s="2953"/>
      <c r="N914" s="2953"/>
      <c r="O914" s="2952"/>
      <c r="P914" s="156"/>
      <c r="V914" s="156"/>
      <c r="W914" s="156"/>
      <c r="X914" s="156"/>
      <c r="Y914" s="156"/>
    </row>
    <row r="915" spans="1:28" ht="24" customHeight="1">
      <c r="A915" s="2633" t="s">
        <v>236</v>
      </c>
      <c r="B915" s="2954"/>
      <c r="C915" s="2955" t="str">
        <f ca="1">参照元個別!E41</f>
        <v/>
      </c>
      <c r="D915" s="2955"/>
      <c r="E915" s="2955"/>
      <c r="F915" s="2955"/>
      <c r="G915" s="2956"/>
      <c r="H915" s="2959" t="s">
        <v>414</v>
      </c>
      <c r="I915" s="2961" t="str">
        <f>参照元個別!F41</f>
        <v/>
      </c>
      <c r="J915" s="2962"/>
      <c r="K915" s="2962"/>
      <c r="L915" s="2962"/>
      <c r="M915" s="2965" t="s">
        <v>415</v>
      </c>
      <c r="N915" s="2967" t="str">
        <f>参照元個別!G41</f>
        <v/>
      </c>
      <c r="O915" s="2968"/>
      <c r="P915" s="165"/>
      <c r="V915" s="156"/>
      <c r="W915" s="156"/>
      <c r="X915" s="156"/>
      <c r="Y915" s="156"/>
    </row>
    <row r="916" spans="1:28" ht="23.1" customHeight="1">
      <c r="A916" s="2637">
        <f>IF( 報1!$L$28="","", 報1!$L$28 )</f>
        <v>2023</v>
      </c>
      <c r="B916" s="2638"/>
      <c r="C916" s="2957"/>
      <c r="D916" s="2957"/>
      <c r="E916" s="2957"/>
      <c r="F916" s="2957"/>
      <c r="G916" s="2958"/>
      <c r="H916" s="2960"/>
      <c r="I916" s="2963"/>
      <c r="J916" s="2964"/>
      <c r="K916" s="2964"/>
      <c r="L916" s="2964"/>
      <c r="M916" s="2966"/>
      <c r="N916" s="2969"/>
      <c r="O916" s="2970"/>
      <c r="P916" s="165"/>
      <c r="V916" s="156"/>
      <c r="W916" s="156"/>
      <c r="X916" s="156"/>
      <c r="Y916" s="156"/>
    </row>
    <row r="917" spans="1:28" ht="25.15" customHeight="1">
      <c r="A917" s="2938" t="s">
        <v>277</v>
      </c>
      <c r="B917" s="2939"/>
      <c r="C917" s="2940"/>
      <c r="D917" s="2941"/>
      <c r="E917" s="2941"/>
      <c r="F917" s="2941"/>
      <c r="G917" s="2941"/>
      <c r="H917" s="2941"/>
      <c r="I917" s="2941"/>
      <c r="J917" s="2941"/>
      <c r="K917" s="2941"/>
      <c r="L917" s="2941"/>
      <c r="M917" s="2941"/>
      <c r="N917" s="2941"/>
      <c r="O917" s="2942"/>
      <c r="P917" s="156"/>
      <c r="Q917" s="1253">
        <v>1</v>
      </c>
      <c r="R917" s="1245"/>
      <c r="S917" s="1254"/>
      <c r="T917" s="1255"/>
      <c r="U917" s="1256"/>
      <c r="V917" s="156"/>
      <c r="W917" s="156"/>
      <c r="X917" s="327"/>
      <c r="Y917" s="328"/>
      <c r="Z917" s="99"/>
      <c r="AA917" s="43"/>
      <c r="AB917" s="44"/>
    </row>
    <row r="918" spans="1:28" ht="25.15" customHeight="1">
      <c r="A918" s="2938"/>
      <c r="B918" s="2939"/>
      <c r="C918" s="2941"/>
      <c r="D918" s="2941"/>
      <c r="E918" s="2941"/>
      <c r="F918" s="2941"/>
      <c r="G918" s="2941"/>
      <c r="H918" s="2941"/>
      <c r="I918" s="2941"/>
      <c r="J918" s="2941"/>
      <c r="K918" s="2941"/>
      <c r="L918" s="2941"/>
      <c r="M918" s="2941"/>
      <c r="N918" s="2941"/>
      <c r="O918" s="2942"/>
      <c r="P918" s="156"/>
      <c r="Q918" s="1257"/>
      <c r="R918" s="1258"/>
      <c r="S918" s="1258"/>
      <c r="T918" s="1258"/>
      <c r="U918" s="1258"/>
      <c r="V918" s="156"/>
      <c r="W918" s="156"/>
      <c r="X918" s="156"/>
      <c r="Y918" s="156"/>
    </row>
    <row r="919" spans="1:28" ht="24.75" customHeight="1">
      <c r="A919" s="2938"/>
      <c r="B919" s="2939"/>
      <c r="C919" s="2941"/>
      <c r="D919" s="2941"/>
      <c r="E919" s="2941"/>
      <c r="F919" s="2941"/>
      <c r="G919" s="2941"/>
      <c r="H919" s="2941"/>
      <c r="I919" s="2941"/>
      <c r="J919" s="2941"/>
      <c r="K919" s="2941"/>
      <c r="L919" s="2941"/>
      <c r="M919" s="2941"/>
      <c r="N919" s="2941"/>
      <c r="O919" s="2942"/>
      <c r="P919" s="156"/>
      <c r="Q919" s="1257"/>
      <c r="R919" s="1256"/>
      <c r="S919" s="1256"/>
      <c r="T919" s="1256"/>
      <c r="U919" s="1256"/>
      <c r="V919" s="156"/>
      <c r="W919" s="156"/>
      <c r="X919" s="156"/>
      <c r="Y919" s="156"/>
    </row>
    <row r="920" spans="1:28" ht="10.15" customHeight="1">
      <c r="A920" s="2945"/>
      <c r="B920" s="2946"/>
      <c r="C920" s="2941"/>
      <c r="D920" s="2941"/>
      <c r="E920" s="2941"/>
      <c r="F920" s="2941"/>
      <c r="G920" s="2941"/>
      <c r="H920" s="2941"/>
      <c r="I920" s="2941"/>
      <c r="J920" s="2941"/>
      <c r="K920" s="2941"/>
      <c r="L920" s="2941"/>
      <c r="M920" s="2941"/>
      <c r="N920" s="2941"/>
      <c r="O920" s="2942"/>
      <c r="P920" s="156"/>
      <c r="Q920" s="1259"/>
      <c r="R920" s="1256"/>
      <c r="S920" s="1256"/>
      <c r="T920" s="1256"/>
      <c r="U920" s="1256"/>
      <c r="V920" s="156"/>
      <c r="W920" s="156"/>
      <c r="X920" s="156"/>
      <c r="Y920" s="156"/>
    </row>
    <row r="921" spans="1:28" ht="45" customHeight="1">
      <c r="A921" s="2947">
        <f>IF( 報1!$L$28="","", 報1!$L$28 )</f>
        <v>2023</v>
      </c>
      <c r="B921" s="2948"/>
      <c r="C921" s="2943"/>
      <c r="D921" s="2943"/>
      <c r="E921" s="2943"/>
      <c r="F921" s="2943"/>
      <c r="G921" s="2943"/>
      <c r="H921" s="2943"/>
      <c r="I921" s="2943"/>
      <c r="J921" s="2943"/>
      <c r="K921" s="2943"/>
      <c r="L921" s="2943"/>
      <c r="M921" s="2943"/>
      <c r="N921" s="2943"/>
      <c r="O921" s="2944"/>
      <c r="P921" s="156"/>
      <c r="Q921" s="1260"/>
      <c r="R921" s="1256"/>
      <c r="S921" s="1256"/>
      <c r="T921" s="1256"/>
      <c r="U921" s="1256"/>
      <c r="V921" s="156"/>
      <c r="W921" s="156"/>
      <c r="X921" s="156"/>
      <c r="Y921" s="156"/>
    </row>
    <row r="922" spans="1:28" ht="26.25" customHeight="1">
      <c r="A922" s="2949"/>
      <c r="B922" s="2949"/>
      <c r="C922" s="2949"/>
      <c r="D922" s="2949"/>
      <c r="E922" s="2949"/>
      <c r="F922" s="2949"/>
      <c r="G922" s="2949"/>
      <c r="H922" s="2949"/>
      <c r="I922" s="2949"/>
      <c r="J922" s="2949"/>
      <c r="K922" s="2949"/>
      <c r="L922" s="2949"/>
      <c r="M922" s="2949"/>
      <c r="N922" s="2949"/>
      <c r="O922" s="2949"/>
      <c r="P922" s="156"/>
      <c r="Q922" s="1259"/>
      <c r="R922" s="1256"/>
      <c r="S922" s="1256"/>
      <c r="T922" s="1256"/>
      <c r="U922" s="1256"/>
      <c r="V922" s="156"/>
      <c r="W922" s="156"/>
      <c r="X922" s="156"/>
      <c r="Y922" s="156"/>
    </row>
    <row r="923" spans="1:28" ht="30" customHeight="1">
      <c r="A923" s="156"/>
      <c r="B923" s="156"/>
      <c r="C923" s="156"/>
      <c r="D923" s="156"/>
      <c r="E923" s="156"/>
      <c r="F923" s="156"/>
      <c r="G923" s="156"/>
      <c r="H923" s="156"/>
      <c r="I923" s="156"/>
      <c r="J923" s="156"/>
      <c r="K923" s="156"/>
      <c r="L923" s="156"/>
      <c r="M923" s="156"/>
      <c r="N923" s="156"/>
      <c r="O923" s="329"/>
      <c r="P923" s="156"/>
      <c r="Q923" s="1248"/>
      <c r="R923" s="1260"/>
      <c r="S923" s="1244"/>
      <c r="T923" s="1244"/>
      <c r="V923" s="156"/>
      <c r="W923" s="156"/>
      <c r="X923" s="156"/>
      <c r="Y923" s="156"/>
    </row>
    <row r="924" spans="1:28" ht="18" customHeight="1">
      <c r="A924" s="156"/>
      <c r="B924" s="156"/>
      <c r="C924" s="156"/>
      <c r="D924" s="156"/>
      <c r="E924" s="156"/>
      <c r="F924" s="156"/>
      <c r="G924" s="156"/>
      <c r="H924" s="156"/>
      <c r="I924" s="156"/>
      <c r="J924" s="156"/>
      <c r="K924" s="156"/>
      <c r="L924" s="156"/>
      <c r="M924" s="156"/>
      <c r="N924" s="156"/>
      <c r="O924" s="329"/>
      <c r="P924" s="156"/>
      <c r="Q924" s="1261"/>
      <c r="R924" s="1260"/>
      <c r="S924" s="1244"/>
      <c r="T924" s="1244"/>
      <c r="V924" s="156"/>
      <c r="W924" s="156"/>
      <c r="X924" s="156"/>
      <c r="Y924" s="156"/>
    </row>
    <row r="925" spans="1:28" ht="18" customHeight="1">
      <c r="A925" s="156"/>
      <c r="B925" s="156"/>
      <c r="C925" s="156"/>
      <c r="D925" s="156"/>
      <c r="E925" s="156"/>
      <c r="F925" s="156"/>
      <c r="G925" s="156"/>
      <c r="H925" s="156"/>
      <c r="I925" s="156"/>
      <c r="J925" s="156"/>
      <c r="K925" s="156"/>
      <c r="L925" s="156"/>
      <c r="M925" s="156"/>
      <c r="N925" s="156"/>
      <c r="O925" s="329"/>
      <c r="P925" s="156"/>
      <c r="Q925" s="1261"/>
      <c r="R925" s="1260"/>
      <c r="S925" s="1244"/>
      <c r="T925" s="1244"/>
      <c r="V925" s="156"/>
      <c r="W925" s="156"/>
      <c r="X925" s="156"/>
      <c r="Y925" s="156"/>
    </row>
    <row r="926" spans="1:28">
      <c r="A926" s="1" t="s">
        <v>175</v>
      </c>
      <c r="B926" s="2"/>
      <c r="C926" s="2"/>
      <c r="D926" s="2"/>
      <c r="E926" s="2"/>
      <c r="F926" s="2"/>
      <c r="G926" s="2"/>
      <c r="H926" s="2"/>
      <c r="I926" s="2"/>
      <c r="J926" s="2"/>
      <c r="K926" s="2"/>
      <c r="L926" s="2"/>
      <c r="M926" s="2"/>
      <c r="N926" s="2"/>
      <c r="O926" s="2"/>
      <c r="P926" s="156" t="str">
        <f>"個別票"&amp;Q926</f>
        <v>個別票38</v>
      </c>
      <c r="Q926" s="1242">
        <f>Q901+1</f>
        <v>38</v>
      </c>
      <c r="V926" s="156"/>
      <c r="W926" s="156"/>
      <c r="X926" s="156"/>
      <c r="Y926" s="156"/>
    </row>
    <row r="927" spans="1:28">
      <c r="A927" s="2" t="s">
        <v>150</v>
      </c>
      <c r="B927" s="4"/>
      <c r="C927" s="4"/>
      <c r="D927" s="4"/>
      <c r="E927" s="4"/>
      <c r="F927" s="4"/>
      <c r="G927" s="4"/>
      <c r="H927" s="4"/>
      <c r="I927" s="4"/>
      <c r="J927" s="4"/>
      <c r="K927" s="4"/>
      <c r="L927" s="4"/>
      <c r="M927" s="4"/>
      <c r="N927" s="2"/>
      <c r="O927" s="2"/>
      <c r="P927" s="156"/>
      <c r="V927" s="156"/>
      <c r="W927" s="156"/>
      <c r="X927" s="156"/>
      <c r="Y927" s="156"/>
    </row>
    <row r="928" spans="1:28" ht="17.25">
      <c r="A928" s="2983" t="s">
        <v>403</v>
      </c>
      <c r="B928" s="2983"/>
      <c r="C928" s="2983"/>
      <c r="D928" s="2983"/>
      <c r="E928" s="2983"/>
      <c r="F928" s="2983"/>
      <c r="G928" s="2983"/>
      <c r="H928" s="2983"/>
      <c r="I928" s="2983"/>
      <c r="J928" s="2983"/>
      <c r="K928" s="2983"/>
      <c r="L928" s="2983"/>
      <c r="M928" s="2983"/>
      <c r="N928" s="2983"/>
      <c r="O928" s="2983"/>
      <c r="P928" s="156"/>
      <c r="V928" s="156"/>
      <c r="W928" s="156"/>
      <c r="X928" s="156"/>
      <c r="Y928" s="156"/>
    </row>
    <row r="929" spans="1:28" ht="31.5" customHeight="1">
      <c r="A929" s="38"/>
      <c r="B929" s="38"/>
      <c r="C929" s="38"/>
      <c r="D929" s="38"/>
      <c r="E929" s="38"/>
      <c r="F929" s="38"/>
      <c r="G929" s="38"/>
      <c r="H929" s="38"/>
      <c r="I929" s="38"/>
      <c r="J929" s="38"/>
      <c r="K929" s="38"/>
      <c r="L929" s="38"/>
      <c r="M929" s="38"/>
      <c r="N929" s="38"/>
      <c r="O929" s="38"/>
      <c r="P929" s="156"/>
      <c r="V929" s="156"/>
      <c r="W929" s="156"/>
      <c r="X929" s="156"/>
      <c r="Y929" s="156"/>
    </row>
    <row r="930" spans="1:28" s="51" customFormat="1" ht="15.95" customHeight="1">
      <c r="A930" s="48" t="s">
        <v>151</v>
      </c>
      <c r="B930" s="80"/>
      <c r="C930" s="80"/>
      <c r="D930" s="80"/>
      <c r="E930" s="80"/>
      <c r="F930" s="80"/>
      <c r="G930" s="80"/>
      <c r="H930" s="80"/>
      <c r="I930" s="80"/>
      <c r="J930" s="80"/>
      <c r="K930" s="80"/>
      <c r="L930" s="80"/>
      <c r="M930" s="80"/>
      <c r="P930" s="324"/>
      <c r="Q930" s="1250"/>
      <c r="R930" s="1250"/>
      <c r="S930" s="1250"/>
      <c r="T930" s="1250"/>
      <c r="U930" s="1242"/>
      <c r="V930" s="324"/>
      <c r="W930" s="324"/>
      <c r="X930" s="324"/>
      <c r="Y930" s="324"/>
    </row>
    <row r="931" spans="1:28" ht="39.950000000000003" customHeight="1">
      <c r="A931" s="2984" t="s">
        <v>152</v>
      </c>
      <c r="B931" s="2985"/>
      <c r="C931" s="2986"/>
      <c r="D931" s="2987" t="str">
        <f>参照元個別!I42</f>
        <v>事業所名を入力38</v>
      </c>
      <c r="E931" s="2988"/>
      <c r="F931" s="2988"/>
      <c r="G931" s="2988"/>
      <c r="H931" s="2988"/>
      <c r="I931" s="2988"/>
      <c r="J931" s="2988"/>
      <c r="K931" s="2988"/>
      <c r="L931" s="2988"/>
      <c r="M931" s="2988"/>
      <c r="N931" s="2988"/>
      <c r="O931" s="2989"/>
      <c r="P931" s="156"/>
      <c r="V931" s="156"/>
      <c r="W931" s="156"/>
      <c r="X931" s="156"/>
      <c r="Y931" s="156"/>
    </row>
    <row r="932" spans="1:28" ht="39.950000000000003" customHeight="1">
      <c r="A932" s="2570" t="s">
        <v>153</v>
      </c>
      <c r="B932" s="2571"/>
      <c r="C932" s="2990"/>
      <c r="D932" s="2991"/>
      <c r="E932" s="2992"/>
      <c r="F932" s="2992"/>
      <c r="G932" s="2992"/>
      <c r="H932" s="2992"/>
      <c r="I932" s="2992"/>
      <c r="J932" s="2992"/>
      <c r="K932" s="2992"/>
      <c r="L932" s="2992"/>
      <c r="M932" s="2992"/>
      <c r="N932" s="2992"/>
      <c r="O932" s="2993"/>
      <c r="P932" s="156"/>
      <c r="V932" s="156"/>
      <c r="W932" s="156"/>
      <c r="X932" s="156"/>
      <c r="Y932" s="156"/>
    </row>
    <row r="933" spans="1:28" ht="39.950000000000003" customHeight="1">
      <c r="A933" s="2536" t="s">
        <v>154</v>
      </c>
      <c r="B933" s="2978"/>
      <c r="C933" s="2979"/>
      <c r="D933" s="2980"/>
      <c r="E933" s="101" t="s">
        <v>180</v>
      </c>
      <c r="F933" s="2974" t="s">
        <v>404</v>
      </c>
      <c r="G933" s="2975"/>
      <c r="H933" s="2981" t="str">
        <f ca="1">参照元個別!$P$42</f>
        <v/>
      </c>
      <c r="I933" s="2982"/>
      <c r="J933" s="58" t="s">
        <v>176</v>
      </c>
      <c r="K933" s="2974" t="s">
        <v>405</v>
      </c>
      <c r="L933" s="2975"/>
      <c r="M933" s="2971"/>
      <c r="N933" s="2972"/>
      <c r="O933" s="2973"/>
      <c r="P933" s="156" t="str">
        <f>IFERROR(VLOOKUP(M933,$U$1:$V$16,2,0),"")</f>
        <v/>
      </c>
      <c r="U933" s="1250"/>
      <c r="V933" s="156"/>
      <c r="W933" s="156"/>
      <c r="X933" s="156"/>
      <c r="Y933" s="156"/>
    </row>
    <row r="934" spans="1:28" ht="39.950000000000003" customHeight="1">
      <c r="A934" s="2974" t="s">
        <v>406</v>
      </c>
      <c r="B934" s="2975"/>
      <c r="C934" s="2976"/>
      <c r="D934" s="2896"/>
      <c r="E934" s="2897"/>
      <c r="F934" s="2974" t="s">
        <v>158</v>
      </c>
      <c r="G934" s="2975"/>
      <c r="H934" s="2976"/>
      <c r="I934" s="2896"/>
      <c r="J934" s="2897"/>
      <c r="K934" s="2580"/>
      <c r="L934" s="2977"/>
      <c r="M934" s="2977"/>
      <c r="N934" s="2977"/>
      <c r="O934" s="2977"/>
      <c r="P934" s="156"/>
      <c r="V934" s="156"/>
      <c r="W934" s="156"/>
      <c r="X934" s="156"/>
      <c r="Y934" s="156"/>
    </row>
    <row r="935" spans="1:28" ht="18.75" customHeight="1">
      <c r="A935" s="39"/>
      <c r="B935" s="39"/>
      <c r="C935" s="40"/>
      <c r="D935" s="41"/>
      <c r="E935" s="40"/>
      <c r="F935" s="42"/>
      <c r="P935" s="156"/>
      <c r="V935" s="325"/>
      <c r="W935" s="325"/>
      <c r="X935" s="156"/>
      <c r="Y935" s="156"/>
    </row>
    <row r="936" spans="1:28" ht="51.75" customHeight="1">
      <c r="A936" s="2950" t="s">
        <v>505</v>
      </c>
      <c r="B936" s="2951"/>
      <c r="C936" s="2951"/>
      <c r="D936" s="2951"/>
      <c r="E936" s="2951"/>
      <c r="F936" s="2951"/>
      <c r="G936" s="2951"/>
      <c r="H936" s="2951"/>
      <c r="I936" s="2951"/>
      <c r="J936" s="2951"/>
      <c r="K936" s="2951"/>
      <c r="L936" s="2951"/>
      <c r="M936" s="2951"/>
      <c r="N936" s="2951"/>
      <c r="O936" s="2951"/>
      <c r="P936" s="156"/>
      <c r="V936" s="325"/>
      <c r="W936" s="325"/>
      <c r="X936" s="156"/>
      <c r="Y936" s="156"/>
    </row>
    <row r="937" spans="1:28" ht="57.75" customHeight="1">
      <c r="A937" s="39"/>
      <c r="B937" s="39"/>
      <c r="C937" s="40"/>
      <c r="D937" s="41"/>
      <c r="E937" s="40"/>
      <c r="F937" s="42"/>
      <c r="P937" s="156"/>
      <c r="Q937" s="1251"/>
      <c r="R937" s="1251"/>
      <c r="S937" s="1251"/>
      <c r="T937" s="1251"/>
      <c r="V937" s="325"/>
      <c r="W937" s="325"/>
      <c r="X937" s="156"/>
      <c r="Y937" s="156"/>
    </row>
    <row r="938" spans="1:28" s="51" customFormat="1" ht="15.95" customHeight="1">
      <c r="A938" s="50" t="s">
        <v>509</v>
      </c>
      <c r="B938" s="52"/>
      <c r="C938" s="52"/>
      <c r="D938" s="52"/>
      <c r="E938" s="52"/>
      <c r="F938" s="52"/>
      <c r="G938" s="52"/>
      <c r="H938" s="52"/>
      <c r="I938" s="52"/>
      <c r="J938" s="52"/>
      <c r="K938" s="52"/>
      <c r="L938" s="50"/>
      <c r="M938" s="50"/>
      <c r="N938" s="50"/>
      <c r="O938" s="50"/>
      <c r="P938" s="324"/>
      <c r="Q938" s="1252"/>
      <c r="R938" s="1252"/>
      <c r="S938" s="1252"/>
      <c r="T938" s="1252"/>
      <c r="U938" s="1242"/>
      <c r="V938" s="326"/>
      <c r="W938" s="326"/>
      <c r="X938" s="324"/>
      <c r="Y938" s="324"/>
    </row>
    <row r="939" spans="1:28" ht="36" customHeight="1">
      <c r="A939" s="2654"/>
      <c r="B939" s="2655"/>
      <c r="C939" s="2674" t="s">
        <v>504</v>
      </c>
      <c r="D939" s="2674"/>
      <c r="E939" s="2674"/>
      <c r="F939" s="2674"/>
      <c r="G939" s="2674"/>
      <c r="H939" s="2952"/>
      <c r="I939" s="2673" t="s">
        <v>407</v>
      </c>
      <c r="J939" s="2953"/>
      <c r="K939" s="2953"/>
      <c r="L939" s="2953"/>
      <c r="M939" s="2953"/>
      <c r="N939" s="2953"/>
      <c r="O939" s="2952"/>
      <c r="P939" s="156"/>
      <c r="V939" s="156"/>
      <c r="W939" s="156"/>
      <c r="X939" s="156"/>
      <c r="Y939" s="156"/>
    </row>
    <row r="940" spans="1:28" ht="24" customHeight="1">
      <c r="A940" s="2633" t="s">
        <v>236</v>
      </c>
      <c r="B940" s="2954"/>
      <c r="C940" s="2955" t="str">
        <f ca="1">参照元個別!E42</f>
        <v/>
      </c>
      <c r="D940" s="2955"/>
      <c r="E940" s="2955"/>
      <c r="F940" s="2955"/>
      <c r="G940" s="2956"/>
      <c r="H940" s="2959" t="s">
        <v>414</v>
      </c>
      <c r="I940" s="2961" t="str">
        <f>参照元個別!F42</f>
        <v/>
      </c>
      <c r="J940" s="2962"/>
      <c r="K940" s="2962"/>
      <c r="L940" s="2962"/>
      <c r="M940" s="2965" t="s">
        <v>415</v>
      </c>
      <c r="N940" s="2967" t="str">
        <f>参照元個別!G42</f>
        <v/>
      </c>
      <c r="O940" s="2968"/>
      <c r="P940" s="165"/>
      <c r="V940" s="156"/>
      <c r="W940" s="156"/>
      <c r="X940" s="156"/>
      <c r="Y940" s="156"/>
    </row>
    <row r="941" spans="1:28" ht="23.1" customHeight="1">
      <c r="A941" s="2637">
        <f>IF( 報1!$L$28="","", 報1!$L$28 )</f>
        <v>2023</v>
      </c>
      <c r="B941" s="2638"/>
      <c r="C941" s="2957"/>
      <c r="D941" s="2957"/>
      <c r="E941" s="2957"/>
      <c r="F941" s="2957"/>
      <c r="G941" s="2958"/>
      <c r="H941" s="2960"/>
      <c r="I941" s="2963"/>
      <c r="J941" s="2964"/>
      <c r="K941" s="2964"/>
      <c r="L941" s="2964"/>
      <c r="M941" s="2966"/>
      <c r="N941" s="2969"/>
      <c r="O941" s="2970"/>
      <c r="P941" s="165"/>
      <c r="V941" s="156"/>
      <c r="W941" s="156"/>
      <c r="X941" s="156"/>
      <c r="Y941" s="156"/>
    </row>
    <row r="942" spans="1:28" ht="25.15" customHeight="1">
      <c r="A942" s="2938" t="s">
        <v>277</v>
      </c>
      <c r="B942" s="2939"/>
      <c r="C942" s="2940"/>
      <c r="D942" s="2941"/>
      <c r="E942" s="2941"/>
      <c r="F942" s="2941"/>
      <c r="G942" s="2941"/>
      <c r="H942" s="2941"/>
      <c r="I942" s="2941"/>
      <c r="J942" s="2941"/>
      <c r="K942" s="2941"/>
      <c r="L942" s="2941"/>
      <c r="M942" s="2941"/>
      <c r="N942" s="2941"/>
      <c r="O942" s="2942"/>
      <c r="P942" s="156"/>
      <c r="Q942" s="1253">
        <v>1</v>
      </c>
      <c r="R942" s="1245"/>
      <c r="S942" s="1254"/>
      <c r="T942" s="1255"/>
      <c r="U942" s="1256"/>
      <c r="V942" s="156"/>
      <c r="W942" s="156"/>
      <c r="X942" s="327"/>
      <c r="Y942" s="328"/>
      <c r="Z942" s="99"/>
      <c r="AA942" s="43"/>
      <c r="AB942" s="44"/>
    </row>
    <row r="943" spans="1:28" ht="25.15" customHeight="1">
      <c r="A943" s="2938"/>
      <c r="B943" s="2939"/>
      <c r="C943" s="2941"/>
      <c r="D943" s="2941"/>
      <c r="E943" s="2941"/>
      <c r="F943" s="2941"/>
      <c r="G943" s="2941"/>
      <c r="H943" s="2941"/>
      <c r="I943" s="2941"/>
      <c r="J943" s="2941"/>
      <c r="K943" s="2941"/>
      <c r="L943" s="2941"/>
      <c r="M943" s="2941"/>
      <c r="N943" s="2941"/>
      <c r="O943" s="2942"/>
      <c r="P943" s="156"/>
      <c r="Q943" s="1257"/>
      <c r="R943" s="1258"/>
      <c r="S943" s="1258"/>
      <c r="T943" s="1258"/>
      <c r="U943" s="1258"/>
      <c r="V943" s="156"/>
      <c r="W943" s="156"/>
      <c r="X943" s="156"/>
      <c r="Y943" s="156"/>
    </row>
    <row r="944" spans="1:28" ht="24.75" customHeight="1">
      <c r="A944" s="2938"/>
      <c r="B944" s="2939"/>
      <c r="C944" s="2941"/>
      <c r="D944" s="2941"/>
      <c r="E944" s="2941"/>
      <c r="F944" s="2941"/>
      <c r="G944" s="2941"/>
      <c r="H944" s="2941"/>
      <c r="I944" s="2941"/>
      <c r="J944" s="2941"/>
      <c r="K944" s="2941"/>
      <c r="L944" s="2941"/>
      <c r="M944" s="2941"/>
      <c r="N944" s="2941"/>
      <c r="O944" s="2942"/>
      <c r="P944" s="156"/>
      <c r="Q944" s="1257"/>
      <c r="R944" s="1256"/>
      <c r="S944" s="1256"/>
      <c r="T944" s="1256"/>
      <c r="U944" s="1256"/>
      <c r="V944" s="156"/>
      <c r="W944" s="156"/>
      <c r="X944" s="156"/>
      <c r="Y944" s="156"/>
    </row>
    <row r="945" spans="1:25" ht="10.15" customHeight="1">
      <c r="A945" s="2945"/>
      <c r="B945" s="2946"/>
      <c r="C945" s="2941"/>
      <c r="D945" s="2941"/>
      <c r="E945" s="2941"/>
      <c r="F945" s="2941"/>
      <c r="G945" s="2941"/>
      <c r="H945" s="2941"/>
      <c r="I945" s="2941"/>
      <c r="J945" s="2941"/>
      <c r="K945" s="2941"/>
      <c r="L945" s="2941"/>
      <c r="M945" s="2941"/>
      <c r="N945" s="2941"/>
      <c r="O945" s="2942"/>
      <c r="P945" s="156"/>
      <c r="Q945" s="1259"/>
      <c r="R945" s="1256"/>
      <c r="S945" s="1256"/>
      <c r="T945" s="1256"/>
      <c r="U945" s="1256"/>
      <c r="V945" s="156"/>
      <c r="W945" s="156"/>
      <c r="X945" s="156"/>
      <c r="Y945" s="156"/>
    </row>
    <row r="946" spans="1:25" ht="45" customHeight="1">
      <c r="A946" s="2947">
        <f>IF( 報1!$L$28="","", 報1!$L$28 )</f>
        <v>2023</v>
      </c>
      <c r="B946" s="2948"/>
      <c r="C946" s="2943"/>
      <c r="D946" s="2943"/>
      <c r="E946" s="2943"/>
      <c r="F946" s="2943"/>
      <c r="G946" s="2943"/>
      <c r="H946" s="2943"/>
      <c r="I946" s="2943"/>
      <c r="J946" s="2943"/>
      <c r="K946" s="2943"/>
      <c r="L946" s="2943"/>
      <c r="M946" s="2943"/>
      <c r="N946" s="2943"/>
      <c r="O946" s="2944"/>
      <c r="P946" s="156"/>
      <c r="Q946" s="1260"/>
      <c r="R946" s="1256"/>
      <c r="S946" s="1256"/>
      <c r="T946" s="1256"/>
      <c r="U946" s="1256"/>
      <c r="V946" s="156"/>
      <c r="W946" s="156"/>
      <c r="X946" s="156"/>
      <c r="Y946" s="156"/>
    </row>
    <row r="947" spans="1:25" ht="26.25" customHeight="1">
      <c r="A947" s="2949"/>
      <c r="B947" s="2949"/>
      <c r="C947" s="2949"/>
      <c r="D947" s="2949"/>
      <c r="E947" s="2949"/>
      <c r="F947" s="2949"/>
      <c r="G947" s="2949"/>
      <c r="H947" s="2949"/>
      <c r="I947" s="2949"/>
      <c r="J947" s="2949"/>
      <c r="K947" s="2949"/>
      <c r="L947" s="2949"/>
      <c r="M947" s="2949"/>
      <c r="N947" s="2949"/>
      <c r="O947" s="2949"/>
      <c r="P947" s="156"/>
      <c r="Q947" s="1259"/>
      <c r="R947" s="1256"/>
      <c r="S947" s="1256"/>
      <c r="T947" s="1256"/>
      <c r="U947" s="1256"/>
      <c r="V947" s="156"/>
      <c r="W947" s="156"/>
      <c r="X947" s="156"/>
      <c r="Y947" s="156"/>
    </row>
    <row r="948" spans="1:25" ht="30" customHeight="1">
      <c r="A948" s="156"/>
      <c r="B948" s="156"/>
      <c r="C948" s="156"/>
      <c r="D948" s="156"/>
      <c r="E948" s="156"/>
      <c r="F948" s="156"/>
      <c r="G948" s="156"/>
      <c r="H948" s="156"/>
      <c r="I948" s="156"/>
      <c r="J948" s="156"/>
      <c r="K948" s="156"/>
      <c r="L948" s="156"/>
      <c r="M948" s="156"/>
      <c r="N948" s="156"/>
      <c r="O948" s="329"/>
      <c r="P948" s="156"/>
      <c r="Q948" s="1248"/>
      <c r="R948" s="1260"/>
      <c r="S948" s="1244"/>
      <c r="T948" s="1244"/>
      <c r="V948" s="156"/>
      <c r="W948" s="156"/>
      <c r="X948" s="156"/>
      <c r="Y948" s="156"/>
    </row>
    <row r="949" spans="1:25" ht="18" customHeight="1">
      <c r="A949" s="156"/>
      <c r="B949" s="156"/>
      <c r="C949" s="156"/>
      <c r="D949" s="156"/>
      <c r="E949" s="156"/>
      <c r="F949" s="156"/>
      <c r="G949" s="156"/>
      <c r="H949" s="156"/>
      <c r="I949" s="156"/>
      <c r="J949" s="156"/>
      <c r="K949" s="156"/>
      <c r="L949" s="156"/>
      <c r="M949" s="156"/>
      <c r="N949" s="156"/>
      <c r="O949" s="329"/>
      <c r="P949" s="156"/>
      <c r="Q949" s="1261"/>
      <c r="R949" s="1260"/>
      <c r="S949" s="1244"/>
      <c r="T949" s="1244"/>
      <c r="V949" s="156"/>
      <c r="W949" s="156"/>
      <c r="X949" s="156"/>
      <c r="Y949" s="156"/>
    </row>
    <row r="950" spans="1:25" ht="18" customHeight="1">
      <c r="A950" s="156"/>
      <c r="B950" s="156"/>
      <c r="C950" s="156"/>
      <c r="D950" s="156"/>
      <c r="E950" s="156"/>
      <c r="F950" s="156"/>
      <c r="G950" s="156"/>
      <c r="H950" s="156"/>
      <c r="I950" s="156"/>
      <c r="J950" s="156"/>
      <c r="K950" s="156"/>
      <c r="L950" s="156"/>
      <c r="M950" s="156"/>
      <c r="N950" s="156"/>
      <c r="O950" s="329"/>
      <c r="P950" s="156"/>
      <c r="Q950" s="1261"/>
      <c r="R950" s="1260"/>
      <c r="S950" s="1244"/>
      <c r="T950" s="1244"/>
      <c r="V950" s="156"/>
      <c r="W950" s="156"/>
      <c r="X950" s="156"/>
      <c r="Y950" s="156"/>
    </row>
    <row r="951" spans="1:25">
      <c r="A951" s="1" t="s">
        <v>175</v>
      </c>
      <c r="B951" s="2"/>
      <c r="C951" s="2"/>
      <c r="D951" s="2"/>
      <c r="E951" s="2"/>
      <c r="F951" s="2"/>
      <c r="G951" s="2"/>
      <c r="H951" s="2"/>
      <c r="I951" s="2"/>
      <c r="J951" s="2"/>
      <c r="K951" s="2"/>
      <c r="L951" s="2"/>
      <c r="M951" s="2"/>
      <c r="N951" s="2"/>
      <c r="O951" s="2"/>
      <c r="P951" s="156" t="str">
        <f>"個別票"&amp;Q951</f>
        <v>個別票39</v>
      </c>
      <c r="Q951" s="1242">
        <f>Q926+1</f>
        <v>39</v>
      </c>
      <c r="V951" s="156"/>
      <c r="W951" s="156"/>
      <c r="X951" s="156"/>
      <c r="Y951" s="156"/>
    </row>
    <row r="952" spans="1:25">
      <c r="A952" s="2" t="s">
        <v>150</v>
      </c>
      <c r="B952" s="4"/>
      <c r="C952" s="4"/>
      <c r="D952" s="4"/>
      <c r="E952" s="4"/>
      <c r="F952" s="4"/>
      <c r="G952" s="4"/>
      <c r="H952" s="4"/>
      <c r="I952" s="4"/>
      <c r="J952" s="4"/>
      <c r="K952" s="4"/>
      <c r="L952" s="4"/>
      <c r="M952" s="4"/>
      <c r="N952" s="2"/>
      <c r="O952" s="2"/>
      <c r="P952" s="156"/>
      <c r="V952" s="156"/>
      <c r="W952" s="156"/>
      <c r="X952" s="156"/>
      <c r="Y952" s="156"/>
    </row>
    <row r="953" spans="1:25" ht="17.25">
      <c r="A953" s="2983" t="s">
        <v>403</v>
      </c>
      <c r="B953" s="2983"/>
      <c r="C953" s="2983"/>
      <c r="D953" s="2983"/>
      <c r="E953" s="2983"/>
      <c r="F953" s="2983"/>
      <c r="G953" s="2983"/>
      <c r="H953" s="2983"/>
      <c r="I953" s="2983"/>
      <c r="J953" s="2983"/>
      <c r="K953" s="2983"/>
      <c r="L953" s="2983"/>
      <c r="M953" s="2983"/>
      <c r="N953" s="2983"/>
      <c r="O953" s="2983"/>
      <c r="P953" s="156"/>
      <c r="V953" s="156"/>
      <c r="W953" s="156"/>
      <c r="X953" s="156"/>
      <c r="Y953" s="156"/>
    </row>
    <row r="954" spans="1:25" ht="31.5" customHeight="1">
      <c r="A954" s="38"/>
      <c r="B954" s="38"/>
      <c r="C954" s="38"/>
      <c r="D954" s="38"/>
      <c r="E954" s="38"/>
      <c r="F954" s="38"/>
      <c r="G954" s="38"/>
      <c r="H954" s="38"/>
      <c r="I954" s="38"/>
      <c r="J954" s="38"/>
      <c r="K954" s="38"/>
      <c r="L954" s="38"/>
      <c r="M954" s="38"/>
      <c r="N954" s="38"/>
      <c r="O954" s="38"/>
      <c r="P954" s="156"/>
      <c r="V954" s="156"/>
      <c r="W954" s="156"/>
      <c r="X954" s="156"/>
      <c r="Y954" s="156"/>
    </row>
    <row r="955" spans="1:25" s="51" customFormat="1" ht="15.95" customHeight="1">
      <c r="A955" s="48" t="s">
        <v>151</v>
      </c>
      <c r="B955" s="80"/>
      <c r="C955" s="80"/>
      <c r="D955" s="80"/>
      <c r="E955" s="80"/>
      <c r="F955" s="80"/>
      <c r="G955" s="80"/>
      <c r="H955" s="80"/>
      <c r="I955" s="80"/>
      <c r="J955" s="80"/>
      <c r="K955" s="80"/>
      <c r="L955" s="80"/>
      <c r="M955" s="80"/>
      <c r="P955" s="324"/>
      <c r="Q955" s="1250"/>
      <c r="R955" s="1250"/>
      <c r="S955" s="1250"/>
      <c r="T955" s="1250"/>
      <c r="U955" s="1242"/>
      <c r="V955" s="324"/>
      <c r="W955" s="324"/>
      <c r="X955" s="324"/>
      <c r="Y955" s="324"/>
    </row>
    <row r="956" spans="1:25" ht="39.950000000000003" customHeight="1">
      <c r="A956" s="2984" t="s">
        <v>152</v>
      </c>
      <c r="B956" s="2985"/>
      <c r="C956" s="2986"/>
      <c r="D956" s="2987" t="str">
        <f>参照元個別!I43</f>
        <v>事業所名を入力39</v>
      </c>
      <c r="E956" s="2988"/>
      <c r="F956" s="2988"/>
      <c r="G956" s="2988"/>
      <c r="H956" s="2988"/>
      <c r="I956" s="2988"/>
      <c r="J956" s="2988"/>
      <c r="K956" s="2988"/>
      <c r="L956" s="2988"/>
      <c r="M956" s="2988"/>
      <c r="N956" s="2988"/>
      <c r="O956" s="2989"/>
      <c r="P956" s="156"/>
      <c r="V956" s="156"/>
      <c r="W956" s="156"/>
      <c r="X956" s="156"/>
      <c r="Y956" s="156"/>
    </row>
    <row r="957" spans="1:25" ht="39.950000000000003" customHeight="1">
      <c r="A957" s="2570" t="s">
        <v>153</v>
      </c>
      <c r="B957" s="2571"/>
      <c r="C957" s="2990"/>
      <c r="D957" s="2991"/>
      <c r="E957" s="2992"/>
      <c r="F957" s="2992"/>
      <c r="G957" s="2992"/>
      <c r="H957" s="2992"/>
      <c r="I957" s="2992"/>
      <c r="J957" s="2992"/>
      <c r="K957" s="2992"/>
      <c r="L957" s="2992"/>
      <c r="M957" s="2992"/>
      <c r="N957" s="2992"/>
      <c r="O957" s="2993"/>
      <c r="P957" s="156"/>
      <c r="V957" s="156"/>
      <c r="W957" s="156"/>
      <c r="X957" s="156"/>
      <c r="Y957" s="156"/>
    </row>
    <row r="958" spans="1:25" ht="39.950000000000003" customHeight="1">
      <c r="A958" s="2536" t="s">
        <v>154</v>
      </c>
      <c r="B958" s="2978"/>
      <c r="C958" s="2979"/>
      <c r="D958" s="2980"/>
      <c r="E958" s="101" t="s">
        <v>180</v>
      </c>
      <c r="F958" s="2974" t="s">
        <v>404</v>
      </c>
      <c r="G958" s="2975"/>
      <c r="H958" s="2981" t="str">
        <f ca="1">参照元個別!$P$43</f>
        <v/>
      </c>
      <c r="I958" s="2982"/>
      <c r="J958" s="58" t="s">
        <v>176</v>
      </c>
      <c r="K958" s="2974" t="s">
        <v>405</v>
      </c>
      <c r="L958" s="2975"/>
      <c r="M958" s="2971"/>
      <c r="N958" s="2972"/>
      <c r="O958" s="2973"/>
      <c r="P958" s="156" t="str">
        <f>IFERROR(VLOOKUP(M958,$U$1:$V$16,2,0),"")</f>
        <v/>
      </c>
      <c r="U958" s="1250"/>
      <c r="V958" s="156"/>
      <c r="W958" s="156"/>
      <c r="X958" s="156"/>
      <c r="Y958" s="156"/>
    </row>
    <row r="959" spans="1:25" ht="39.950000000000003" customHeight="1">
      <c r="A959" s="2974" t="s">
        <v>406</v>
      </c>
      <c r="B959" s="2975"/>
      <c r="C959" s="2976"/>
      <c r="D959" s="2896"/>
      <c r="E959" s="2897"/>
      <c r="F959" s="2974" t="s">
        <v>158</v>
      </c>
      <c r="G959" s="2975"/>
      <c r="H959" s="2976"/>
      <c r="I959" s="2896"/>
      <c r="J959" s="2897"/>
      <c r="K959" s="2580"/>
      <c r="L959" s="2977"/>
      <c r="M959" s="2977"/>
      <c r="N959" s="2977"/>
      <c r="O959" s="2977"/>
      <c r="P959" s="156"/>
      <c r="V959" s="156"/>
      <c r="W959" s="156"/>
      <c r="X959" s="156"/>
      <c r="Y959" s="156"/>
    </row>
    <row r="960" spans="1:25" ht="18.75" customHeight="1">
      <c r="A960" s="39"/>
      <c r="B960" s="39"/>
      <c r="C960" s="40"/>
      <c r="D960" s="41"/>
      <c r="E960" s="40"/>
      <c r="F960" s="42"/>
      <c r="P960" s="156"/>
      <c r="V960" s="325"/>
      <c r="W960" s="325"/>
      <c r="X960" s="156"/>
      <c r="Y960" s="156"/>
    </row>
    <row r="961" spans="1:28" ht="51.75" customHeight="1">
      <c r="A961" s="2950" t="s">
        <v>505</v>
      </c>
      <c r="B961" s="2951"/>
      <c r="C961" s="2951"/>
      <c r="D961" s="2951"/>
      <c r="E961" s="2951"/>
      <c r="F961" s="2951"/>
      <c r="G961" s="2951"/>
      <c r="H961" s="2951"/>
      <c r="I961" s="2951"/>
      <c r="J961" s="2951"/>
      <c r="K961" s="2951"/>
      <c r="L961" s="2951"/>
      <c r="M961" s="2951"/>
      <c r="N961" s="2951"/>
      <c r="O961" s="2951"/>
      <c r="P961" s="156"/>
      <c r="V961" s="325"/>
      <c r="W961" s="325"/>
      <c r="X961" s="156"/>
      <c r="Y961" s="156"/>
    </row>
    <row r="962" spans="1:28" ht="57.75" customHeight="1">
      <c r="A962" s="39"/>
      <c r="B962" s="39"/>
      <c r="C962" s="40"/>
      <c r="D962" s="41"/>
      <c r="E962" s="40"/>
      <c r="F962" s="42"/>
      <c r="P962" s="156"/>
      <c r="Q962" s="1251"/>
      <c r="R962" s="1251"/>
      <c r="S962" s="1251"/>
      <c r="T962" s="1251"/>
      <c r="V962" s="325"/>
      <c r="W962" s="325"/>
      <c r="X962" s="156"/>
      <c r="Y962" s="156"/>
    </row>
    <row r="963" spans="1:28" s="51" customFormat="1" ht="15.95" customHeight="1">
      <c r="A963" s="50" t="s">
        <v>509</v>
      </c>
      <c r="B963" s="52"/>
      <c r="C963" s="52"/>
      <c r="D963" s="52"/>
      <c r="E963" s="52"/>
      <c r="F963" s="52"/>
      <c r="G963" s="52"/>
      <c r="H963" s="52"/>
      <c r="I963" s="52"/>
      <c r="J963" s="52"/>
      <c r="K963" s="52"/>
      <c r="L963" s="50"/>
      <c r="M963" s="50"/>
      <c r="N963" s="50"/>
      <c r="O963" s="50"/>
      <c r="P963" s="324"/>
      <c r="Q963" s="1252"/>
      <c r="R963" s="1252"/>
      <c r="S963" s="1252"/>
      <c r="T963" s="1252"/>
      <c r="U963" s="1242"/>
      <c r="V963" s="326"/>
      <c r="W963" s="326"/>
      <c r="X963" s="324"/>
      <c r="Y963" s="324"/>
    </row>
    <row r="964" spans="1:28" ht="36" customHeight="1">
      <c r="A964" s="2654"/>
      <c r="B964" s="2655"/>
      <c r="C964" s="2674" t="s">
        <v>504</v>
      </c>
      <c r="D964" s="2674"/>
      <c r="E964" s="2674"/>
      <c r="F964" s="2674"/>
      <c r="G964" s="2674"/>
      <c r="H964" s="2952"/>
      <c r="I964" s="2673" t="s">
        <v>407</v>
      </c>
      <c r="J964" s="2953"/>
      <c r="K964" s="2953"/>
      <c r="L964" s="2953"/>
      <c r="M964" s="2953"/>
      <c r="N964" s="2953"/>
      <c r="O964" s="2952"/>
      <c r="P964" s="156"/>
      <c r="V964" s="156"/>
      <c r="W964" s="156"/>
      <c r="X964" s="156"/>
      <c r="Y964" s="156"/>
    </row>
    <row r="965" spans="1:28" ht="24" customHeight="1">
      <c r="A965" s="2633" t="s">
        <v>236</v>
      </c>
      <c r="B965" s="2954"/>
      <c r="C965" s="2955" t="str">
        <f ca="1">参照元個別!E43</f>
        <v/>
      </c>
      <c r="D965" s="2955"/>
      <c r="E965" s="2955"/>
      <c r="F965" s="2955"/>
      <c r="G965" s="2956"/>
      <c r="H965" s="2959" t="s">
        <v>414</v>
      </c>
      <c r="I965" s="2961" t="str">
        <f>参照元個別!F43</f>
        <v/>
      </c>
      <c r="J965" s="2962"/>
      <c r="K965" s="2962"/>
      <c r="L965" s="2962"/>
      <c r="M965" s="2965" t="s">
        <v>415</v>
      </c>
      <c r="N965" s="2967" t="str">
        <f>参照元個別!G43</f>
        <v/>
      </c>
      <c r="O965" s="2968"/>
      <c r="P965" s="165"/>
      <c r="V965" s="156"/>
      <c r="W965" s="156"/>
      <c r="X965" s="156"/>
      <c r="Y965" s="156"/>
    </row>
    <row r="966" spans="1:28" ht="23.1" customHeight="1">
      <c r="A966" s="2637">
        <f>IF( 報1!$L$28="","", 報1!$L$28 )</f>
        <v>2023</v>
      </c>
      <c r="B966" s="2638"/>
      <c r="C966" s="2957"/>
      <c r="D966" s="2957"/>
      <c r="E966" s="2957"/>
      <c r="F966" s="2957"/>
      <c r="G966" s="2958"/>
      <c r="H966" s="2960"/>
      <c r="I966" s="2963"/>
      <c r="J966" s="2964"/>
      <c r="K966" s="2964"/>
      <c r="L966" s="2964"/>
      <c r="M966" s="2966"/>
      <c r="N966" s="2969"/>
      <c r="O966" s="2970"/>
      <c r="P966" s="165"/>
      <c r="V966" s="156"/>
      <c r="W966" s="156"/>
      <c r="X966" s="156"/>
      <c r="Y966" s="156"/>
    </row>
    <row r="967" spans="1:28" ht="25.15" customHeight="1">
      <c r="A967" s="2938" t="s">
        <v>277</v>
      </c>
      <c r="B967" s="2939"/>
      <c r="C967" s="2940"/>
      <c r="D967" s="2941"/>
      <c r="E967" s="2941"/>
      <c r="F967" s="2941"/>
      <c r="G967" s="2941"/>
      <c r="H967" s="2941"/>
      <c r="I967" s="2941"/>
      <c r="J967" s="2941"/>
      <c r="K967" s="2941"/>
      <c r="L967" s="2941"/>
      <c r="M967" s="2941"/>
      <c r="N967" s="2941"/>
      <c r="O967" s="2942"/>
      <c r="P967" s="156"/>
      <c r="Q967" s="1253">
        <v>1</v>
      </c>
      <c r="R967" s="1245"/>
      <c r="S967" s="1254"/>
      <c r="T967" s="1255"/>
      <c r="U967" s="1256"/>
      <c r="V967" s="156"/>
      <c r="W967" s="156"/>
      <c r="X967" s="327"/>
      <c r="Y967" s="328"/>
      <c r="Z967" s="99"/>
      <c r="AA967" s="43"/>
      <c r="AB967" s="44"/>
    </row>
    <row r="968" spans="1:28" ht="25.15" customHeight="1">
      <c r="A968" s="2938"/>
      <c r="B968" s="2939"/>
      <c r="C968" s="2941"/>
      <c r="D968" s="2941"/>
      <c r="E968" s="2941"/>
      <c r="F968" s="2941"/>
      <c r="G968" s="2941"/>
      <c r="H968" s="2941"/>
      <c r="I968" s="2941"/>
      <c r="J968" s="2941"/>
      <c r="K968" s="2941"/>
      <c r="L968" s="2941"/>
      <c r="M968" s="2941"/>
      <c r="N968" s="2941"/>
      <c r="O968" s="2942"/>
      <c r="P968" s="156"/>
      <c r="Q968" s="1257"/>
      <c r="R968" s="1258"/>
      <c r="S968" s="1258"/>
      <c r="T968" s="1258"/>
      <c r="U968" s="1258"/>
      <c r="V968" s="156"/>
      <c r="W968" s="156"/>
      <c r="X968" s="156"/>
      <c r="Y968" s="156"/>
    </row>
    <row r="969" spans="1:28" ht="24.75" customHeight="1">
      <c r="A969" s="2938"/>
      <c r="B969" s="2939"/>
      <c r="C969" s="2941"/>
      <c r="D969" s="2941"/>
      <c r="E969" s="2941"/>
      <c r="F969" s="2941"/>
      <c r="G969" s="2941"/>
      <c r="H969" s="2941"/>
      <c r="I969" s="2941"/>
      <c r="J969" s="2941"/>
      <c r="K969" s="2941"/>
      <c r="L969" s="2941"/>
      <c r="M969" s="2941"/>
      <c r="N969" s="2941"/>
      <c r="O969" s="2942"/>
      <c r="P969" s="156"/>
      <c r="Q969" s="1257"/>
      <c r="R969" s="1256"/>
      <c r="S969" s="1256"/>
      <c r="T969" s="1256"/>
      <c r="U969" s="1256"/>
      <c r="V969" s="156"/>
      <c r="W969" s="156"/>
      <c r="X969" s="156"/>
      <c r="Y969" s="156"/>
    </row>
    <row r="970" spans="1:28" ht="10.15" customHeight="1">
      <c r="A970" s="2945"/>
      <c r="B970" s="2946"/>
      <c r="C970" s="2941"/>
      <c r="D970" s="2941"/>
      <c r="E970" s="2941"/>
      <c r="F970" s="2941"/>
      <c r="G970" s="2941"/>
      <c r="H970" s="2941"/>
      <c r="I970" s="2941"/>
      <c r="J970" s="2941"/>
      <c r="K970" s="2941"/>
      <c r="L970" s="2941"/>
      <c r="M970" s="2941"/>
      <c r="N970" s="2941"/>
      <c r="O970" s="2942"/>
      <c r="P970" s="156"/>
      <c r="Q970" s="1259"/>
      <c r="R970" s="1256"/>
      <c r="S970" s="1256"/>
      <c r="T970" s="1256"/>
      <c r="U970" s="1256"/>
      <c r="V970" s="156"/>
      <c r="W970" s="156"/>
      <c r="X970" s="156"/>
      <c r="Y970" s="156"/>
    </row>
    <row r="971" spans="1:28" ht="45" customHeight="1">
      <c r="A971" s="2947">
        <f>IF( 報1!$L$28="","", 報1!$L$28 )</f>
        <v>2023</v>
      </c>
      <c r="B971" s="2948"/>
      <c r="C971" s="2943"/>
      <c r="D971" s="2943"/>
      <c r="E971" s="2943"/>
      <c r="F971" s="2943"/>
      <c r="G971" s="2943"/>
      <c r="H971" s="2943"/>
      <c r="I971" s="2943"/>
      <c r="J971" s="2943"/>
      <c r="K971" s="2943"/>
      <c r="L971" s="2943"/>
      <c r="M971" s="2943"/>
      <c r="N971" s="2943"/>
      <c r="O971" s="2944"/>
      <c r="P971" s="156"/>
      <c r="Q971" s="1260"/>
      <c r="R971" s="1256"/>
      <c r="S971" s="1256"/>
      <c r="T971" s="1256"/>
      <c r="U971" s="1256"/>
      <c r="V971" s="156"/>
      <c r="W971" s="156"/>
      <c r="X971" s="156"/>
      <c r="Y971" s="156"/>
    </row>
    <row r="972" spans="1:28" ht="26.25" customHeight="1">
      <c r="A972" s="2949"/>
      <c r="B972" s="2949"/>
      <c r="C972" s="2949"/>
      <c r="D972" s="2949"/>
      <c r="E972" s="2949"/>
      <c r="F972" s="2949"/>
      <c r="G972" s="2949"/>
      <c r="H972" s="2949"/>
      <c r="I972" s="2949"/>
      <c r="J972" s="2949"/>
      <c r="K972" s="2949"/>
      <c r="L972" s="2949"/>
      <c r="M972" s="2949"/>
      <c r="N972" s="2949"/>
      <c r="O972" s="2949"/>
      <c r="P972" s="156"/>
      <c r="Q972" s="1259"/>
      <c r="R972" s="1256"/>
      <c r="S972" s="1256"/>
      <c r="T972" s="1256"/>
      <c r="U972" s="1256"/>
      <c r="V972" s="156"/>
      <c r="W972" s="156"/>
      <c r="X972" s="156"/>
      <c r="Y972" s="156"/>
    </row>
    <row r="973" spans="1:28" ht="30" customHeight="1">
      <c r="A973" s="156"/>
      <c r="B973" s="156"/>
      <c r="C973" s="156"/>
      <c r="D973" s="156"/>
      <c r="E973" s="156"/>
      <c r="F973" s="156"/>
      <c r="G973" s="156"/>
      <c r="H973" s="156"/>
      <c r="I973" s="156"/>
      <c r="J973" s="156"/>
      <c r="K973" s="156"/>
      <c r="L973" s="156"/>
      <c r="M973" s="156"/>
      <c r="N973" s="156"/>
      <c r="O973" s="329"/>
      <c r="P973" s="156"/>
      <c r="Q973" s="1248"/>
      <c r="R973" s="1260"/>
      <c r="S973" s="1244"/>
      <c r="T973" s="1244"/>
      <c r="V973" s="156"/>
      <c r="W973" s="156"/>
      <c r="X973" s="156"/>
      <c r="Y973" s="156"/>
    </row>
    <row r="974" spans="1:28" ht="18" customHeight="1">
      <c r="A974" s="156"/>
      <c r="B974" s="156"/>
      <c r="C974" s="156"/>
      <c r="D974" s="156"/>
      <c r="E974" s="156"/>
      <c r="F974" s="156"/>
      <c r="G974" s="156"/>
      <c r="H974" s="156"/>
      <c r="I974" s="156"/>
      <c r="J974" s="156"/>
      <c r="K974" s="156"/>
      <c r="L974" s="156"/>
      <c r="M974" s="156"/>
      <c r="N974" s="156"/>
      <c r="O974" s="329"/>
      <c r="P974" s="156"/>
      <c r="Q974" s="1261"/>
      <c r="R974" s="1260"/>
      <c r="S974" s="1244"/>
      <c r="T974" s="1244"/>
      <c r="V974" s="156"/>
      <c r="W974" s="156"/>
      <c r="X974" s="156"/>
      <c r="Y974" s="156"/>
    </row>
    <row r="975" spans="1:28" ht="18" customHeight="1">
      <c r="A975" s="156"/>
      <c r="B975" s="156"/>
      <c r="C975" s="156"/>
      <c r="D975" s="156"/>
      <c r="E975" s="156"/>
      <c r="F975" s="156"/>
      <c r="G975" s="156"/>
      <c r="H975" s="156"/>
      <c r="I975" s="156"/>
      <c r="J975" s="156"/>
      <c r="K975" s="156"/>
      <c r="L975" s="156"/>
      <c r="M975" s="156"/>
      <c r="N975" s="156"/>
      <c r="O975" s="329"/>
      <c r="P975" s="156"/>
      <c r="Q975" s="1261"/>
      <c r="R975" s="1260"/>
      <c r="S975" s="1244"/>
      <c r="T975" s="1244"/>
      <c r="V975" s="156"/>
      <c r="W975" s="156"/>
      <c r="X975" s="156"/>
      <c r="Y975" s="156"/>
    </row>
    <row r="976" spans="1:28">
      <c r="A976" s="1" t="s">
        <v>175</v>
      </c>
      <c r="B976" s="2"/>
      <c r="C976" s="2"/>
      <c r="D976" s="2"/>
      <c r="E976" s="2"/>
      <c r="F976" s="2"/>
      <c r="G976" s="2"/>
      <c r="H976" s="2"/>
      <c r="I976" s="2"/>
      <c r="J976" s="2"/>
      <c r="K976" s="2"/>
      <c r="L976" s="2"/>
      <c r="M976" s="2"/>
      <c r="N976" s="2"/>
      <c r="O976" s="2"/>
      <c r="P976" s="156" t="str">
        <f>"個別票"&amp;Q976</f>
        <v>個別票40</v>
      </c>
      <c r="Q976" s="1242">
        <f>Q951+1</f>
        <v>40</v>
      </c>
      <c r="V976" s="156"/>
      <c r="W976" s="156"/>
      <c r="X976" s="156"/>
      <c r="Y976" s="156"/>
    </row>
    <row r="977" spans="1:28">
      <c r="A977" s="2" t="s">
        <v>150</v>
      </c>
      <c r="B977" s="4"/>
      <c r="C977" s="4"/>
      <c r="D977" s="4"/>
      <c r="E977" s="4"/>
      <c r="F977" s="4"/>
      <c r="G977" s="4"/>
      <c r="H977" s="4"/>
      <c r="I977" s="4"/>
      <c r="J977" s="4"/>
      <c r="K977" s="4"/>
      <c r="L977" s="4"/>
      <c r="M977" s="4"/>
      <c r="N977" s="2"/>
      <c r="O977" s="2"/>
      <c r="P977" s="156"/>
      <c r="V977" s="156"/>
      <c r="W977" s="156"/>
      <c r="X977" s="156"/>
      <c r="Y977" s="156"/>
    </row>
    <row r="978" spans="1:28" ht="17.25">
      <c r="A978" s="2983" t="s">
        <v>403</v>
      </c>
      <c r="B978" s="2983"/>
      <c r="C978" s="2983"/>
      <c r="D978" s="2983"/>
      <c r="E978" s="2983"/>
      <c r="F978" s="2983"/>
      <c r="G978" s="2983"/>
      <c r="H978" s="2983"/>
      <c r="I978" s="2983"/>
      <c r="J978" s="2983"/>
      <c r="K978" s="2983"/>
      <c r="L978" s="2983"/>
      <c r="M978" s="2983"/>
      <c r="N978" s="2983"/>
      <c r="O978" s="2983"/>
      <c r="P978" s="156"/>
      <c r="V978" s="156"/>
      <c r="W978" s="156"/>
      <c r="X978" s="156"/>
      <c r="Y978" s="156"/>
    </row>
    <row r="979" spans="1:28" ht="31.5" customHeight="1">
      <c r="A979" s="38"/>
      <c r="B979" s="38"/>
      <c r="C979" s="38"/>
      <c r="D979" s="38"/>
      <c r="E979" s="38"/>
      <c r="F979" s="38"/>
      <c r="G979" s="38"/>
      <c r="H979" s="38"/>
      <c r="I979" s="38"/>
      <c r="J979" s="38"/>
      <c r="K979" s="38"/>
      <c r="L979" s="38"/>
      <c r="M979" s="38"/>
      <c r="N979" s="38"/>
      <c r="O979" s="38"/>
      <c r="P979" s="156"/>
      <c r="V979" s="156"/>
      <c r="W979" s="156"/>
      <c r="X979" s="156"/>
      <c r="Y979" s="156"/>
    </row>
    <row r="980" spans="1:28" s="51" customFormat="1" ht="15.95" customHeight="1">
      <c r="A980" s="48" t="s">
        <v>151</v>
      </c>
      <c r="B980" s="80"/>
      <c r="C980" s="80"/>
      <c r="D980" s="80"/>
      <c r="E980" s="80"/>
      <c r="F980" s="80"/>
      <c r="G980" s="80"/>
      <c r="H980" s="80"/>
      <c r="I980" s="80"/>
      <c r="J980" s="80"/>
      <c r="K980" s="80"/>
      <c r="L980" s="80"/>
      <c r="M980" s="80"/>
      <c r="P980" s="324"/>
      <c r="Q980" s="1250"/>
      <c r="R980" s="1250"/>
      <c r="S980" s="1250"/>
      <c r="T980" s="1250"/>
      <c r="U980" s="1242"/>
      <c r="V980" s="324"/>
      <c r="W980" s="324"/>
      <c r="X980" s="324"/>
      <c r="Y980" s="324"/>
    </row>
    <row r="981" spans="1:28" ht="39.950000000000003" customHeight="1">
      <c r="A981" s="2984" t="s">
        <v>152</v>
      </c>
      <c r="B981" s="2985"/>
      <c r="C981" s="2986"/>
      <c r="D981" s="2987" t="str">
        <f>参照元個別!I44</f>
        <v>事業所名を入力40</v>
      </c>
      <c r="E981" s="2988"/>
      <c r="F981" s="2988"/>
      <c r="G981" s="2988"/>
      <c r="H981" s="2988"/>
      <c r="I981" s="2988"/>
      <c r="J981" s="2988"/>
      <c r="K981" s="2988"/>
      <c r="L981" s="2988"/>
      <c r="M981" s="2988"/>
      <c r="N981" s="2988"/>
      <c r="O981" s="2989"/>
      <c r="P981" s="156"/>
      <c r="V981" s="156"/>
      <c r="W981" s="156"/>
      <c r="X981" s="156"/>
      <c r="Y981" s="156"/>
    </row>
    <row r="982" spans="1:28" ht="39.950000000000003" customHeight="1">
      <c r="A982" s="2570" t="s">
        <v>153</v>
      </c>
      <c r="B982" s="2571"/>
      <c r="C982" s="2990"/>
      <c r="D982" s="2991"/>
      <c r="E982" s="2992"/>
      <c r="F982" s="2992"/>
      <c r="G982" s="2992"/>
      <c r="H982" s="2992"/>
      <c r="I982" s="2992"/>
      <c r="J982" s="2992"/>
      <c r="K982" s="2992"/>
      <c r="L982" s="2992"/>
      <c r="M982" s="2992"/>
      <c r="N982" s="2992"/>
      <c r="O982" s="2993"/>
      <c r="P982" s="156"/>
      <c r="V982" s="156"/>
      <c r="W982" s="156"/>
      <c r="X982" s="156"/>
      <c r="Y982" s="156"/>
    </row>
    <row r="983" spans="1:28" ht="39.950000000000003" customHeight="1">
      <c r="A983" s="2536" t="s">
        <v>154</v>
      </c>
      <c r="B983" s="2978"/>
      <c r="C983" s="2979"/>
      <c r="D983" s="2980"/>
      <c r="E983" s="101" t="s">
        <v>180</v>
      </c>
      <c r="F983" s="2974" t="s">
        <v>404</v>
      </c>
      <c r="G983" s="2975"/>
      <c r="H983" s="2981" t="str">
        <f ca="1">参照元個別!$P$44</f>
        <v/>
      </c>
      <c r="I983" s="2982"/>
      <c r="J983" s="58" t="s">
        <v>176</v>
      </c>
      <c r="K983" s="2974" t="s">
        <v>405</v>
      </c>
      <c r="L983" s="2975"/>
      <c r="M983" s="2971"/>
      <c r="N983" s="2972"/>
      <c r="O983" s="2973"/>
      <c r="P983" s="156" t="str">
        <f>IFERROR(VLOOKUP(M983,$U$1:$V$16,2,0),"")</f>
        <v/>
      </c>
      <c r="U983" s="1250"/>
      <c r="V983" s="156"/>
      <c r="W983" s="156"/>
      <c r="X983" s="156"/>
      <c r="Y983" s="156"/>
    </row>
    <row r="984" spans="1:28" ht="39.950000000000003" customHeight="1">
      <c r="A984" s="2974" t="s">
        <v>406</v>
      </c>
      <c r="B984" s="2975"/>
      <c r="C984" s="2976"/>
      <c r="D984" s="2896"/>
      <c r="E984" s="2897"/>
      <c r="F984" s="2974" t="s">
        <v>158</v>
      </c>
      <c r="G984" s="2975"/>
      <c r="H984" s="2976"/>
      <c r="I984" s="2896"/>
      <c r="J984" s="2897"/>
      <c r="K984" s="2580"/>
      <c r="L984" s="2977"/>
      <c r="M984" s="2977"/>
      <c r="N984" s="2977"/>
      <c r="O984" s="2977"/>
      <c r="P984" s="156"/>
      <c r="V984" s="156"/>
      <c r="W984" s="156"/>
      <c r="X984" s="156"/>
      <c r="Y984" s="156"/>
    </row>
    <row r="985" spans="1:28" ht="18.75" customHeight="1">
      <c r="A985" s="39"/>
      <c r="B985" s="39"/>
      <c r="C985" s="40"/>
      <c r="D985" s="41"/>
      <c r="E985" s="40"/>
      <c r="F985" s="42"/>
      <c r="P985" s="156"/>
      <c r="V985" s="325"/>
      <c r="W985" s="325"/>
      <c r="X985" s="156"/>
      <c r="Y985" s="156"/>
    </row>
    <row r="986" spans="1:28" ht="51.75" customHeight="1">
      <c r="A986" s="2950" t="s">
        <v>505</v>
      </c>
      <c r="B986" s="2951"/>
      <c r="C986" s="2951"/>
      <c r="D986" s="2951"/>
      <c r="E986" s="2951"/>
      <c r="F986" s="2951"/>
      <c r="G986" s="2951"/>
      <c r="H986" s="2951"/>
      <c r="I986" s="2951"/>
      <c r="J986" s="2951"/>
      <c r="K986" s="2951"/>
      <c r="L986" s="2951"/>
      <c r="M986" s="2951"/>
      <c r="N986" s="2951"/>
      <c r="O986" s="2951"/>
      <c r="P986" s="156"/>
      <c r="V986" s="325"/>
      <c r="W986" s="325"/>
      <c r="X986" s="156"/>
      <c r="Y986" s="156"/>
    </row>
    <row r="987" spans="1:28" ht="57.75" customHeight="1">
      <c r="A987" s="39"/>
      <c r="B987" s="39"/>
      <c r="C987" s="40"/>
      <c r="D987" s="41"/>
      <c r="E987" s="40"/>
      <c r="F987" s="42"/>
      <c r="P987" s="156"/>
      <c r="Q987" s="1251"/>
      <c r="R987" s="1251"/>
      <c r="S987" s="1251"/>
      <c r="T987" s="1251"/>
      <c r="V987" s="325"/>
      <c r="W987" s="325"/>
      <c r="X987" s="156"/>
      <c r="Y987" s="156"/>
    </row>
    <row r="988" spans="1:28" s="51" customFormat="1" ht="15.95" customHeight="1">
      <c r="A988" s="50" t="s">
        <v>509</v>
      </c>
      <c r="B988" s="52"/>
      <c r="C988" s="52"/>
      <c r="D988" s="52"/>
      <c r="E988" s="52"/>
      <c r="F988" s="52"/>
      <c r="G988" s="52"/>
      <c r="H988" s="52"/>
      <c r="I988" s="52"/>
      <c r="J988" s="52"/>
      <c r="K988" s="52"/>
      <c r="L988" s="50"/>
      <c r="M988" s="50"/>
      <c r="N988" s="50"/>
      <c r="O988" s="50"/>
      <c r="P988" s="324"/>
      <c r="Q988" s="1252"/>
      <c r="R988" s="1252"/>
      <c r="S988" s="1252"/>
      <c r="T988" s="1252"/>
      <c r="U988" s="1242"/>
      <c r="V988" s="326"/>
      <c r="W988" s="326"/>
      <c r="X988" s="324"/>
      <c r="Y988" s="324"/>
    </row>
    <row r="989" spans="1:28" ht="36" customHeight="1">
      <c r="A989" s="2654"/>
      <c r="B989" s="2655"/>
      <c r="C989" s="2674" t="s">
        <v>504</v>
      </c>
      <c r="D989" s="2674"/>
      <c r="E989" s="2674"/>
      <c r="F989" s="2674"/>
      <c r="G989" s="2674"/>
      <c r="H989" s="2952"/>
      <c r="I989" s="2673" t="s">
        <v>407</v>
      </c>
      <c r="J989" s="2953"/>
      <c r="K989" s="2953"/>
      <c r="L989" s="2953"/>
      <c r="M989" s="2953"/>
      <c r="N989" s="2953"/>
      <c r="O989" s="2952"/>
      <c r="P989" s="156"/>
      <c r="V989" s="156"/>
      <c r="W989" s="156"/>
      <c r="X989" s="156"/>
      <c r="Y989" s="156"/>
    </row>
    <row r="990" spans="1:28" ht="24" customHeight="1">
      <c r="A990" s="2633" t="s">
        <v>236</v>
      </c>
      <c r="B990" s="2954"/>
      <c r="C990" s="2955" t="str">
        <f ca="1">参照元個別!E44</f>
        <v/>
      </c>
      <c r="D990" s="2955"/>
      <c r="E990" s="2955"/>
      <c r="F990" s="2955"/>
      <c r="G990" s="2956"/>
      <c r="H990" s="2959" t="s">
        <v>414</v>
      </c>
      <c r="I990" s="2961" t="str">
        <f>参照元個別!F44</f>
        <v/>
      </c>
      <c r="J990" s="2962"/>
      <c r="K990" s="2962"/>
      <c r="L990" s="2962"/>
      <c r="M990" s="2965" t="s">
        <v>415</v>
      </c>
      <c r="N990" s="2967" t="str">
        <f>参照元個別!G44</f>
        <v/>
      </c>
      <c r="O990" s="2968"/>
      <c r="P990" s="165"/>
      <c r="V990" s="156"/>
      <c r="W990" s="156"/>
      <c r="X990" s="156"/>
      <c r="Y990" s="156"/>
    </row>
    <row r="991" spans="1:28" ht="23.1" customHeight="1">
      <c r="A991" s="2637">
        <f>IF( 報1!$L$28="","", 報1!$L$28 )</f>
        <v>2023</v>
      </c>
      <c r="B991" s="2638"/>
      <c r="C991" s="2957"/>
      <c r="D991" s="2957"/>
      <c r="E991" s="2957"/>
      <c r="F991" s="2957"/>
      <c r="G991" s="2958"/>
      <c r="H991" s="2960"/>
      <c r="I991" s="2963"/>
      <c r="J991" s="2964"/>
      <c r="K991" s="2964"/>
      <c r="L991" s="2964"/>
      <c r="M991" s="2966"/>
      <c r="N991" s="2969"/>
      <c r="O991" s="2970"/>
      <c r="P991" s="165"/>
      <c r="V991" s="156"/>
      <c r="W991" s="156"/>
      <c r="X991" s="156"/>
      <c r="Y991" s="156"/>
    </row>
    <row r="992" spans="1:28" ht="25.15" customHeight="1">
      <c r="A992" s="2938" t="s">
        <v>277</v>
      </c>
      <c r="B992" s="2939"/>
      <c r="C992" s="2940"/>
      <c r="D992" s="2941"/>
      <c r="E992" s="2941"/>
      <c r="F992" s="2941"/>
      <c r="G992" s="2941"/>
      <c r="H992" s="2941"/>
      <c r="I992" s="2941"/>
      <c r="J992" s="2941"/>
      <c r="K992" s="2941"/>
      <c r="L992" s="2941"/>
      <c r="M992" s="2941"/>
      <c r="N992" s="2941"/>
      <c r="O992" s="2942"/>
      <c r="P992" s="156"/>
      <c r="Q992" s="1253">
        <v>1</v>
      </c>
      <c r="R992" s="1245"/>
      <c r="S992" s="1254"/>
      <c r="T992" s="1255"/>
      <c r="U992" s="1256"/>
      <c r="V992" s="156"/>
      <c r="W992" s="156"/>
      <c r="X992" s="327"/>
      <c r="Y992" s="328"/>
      <c r="Z992" s="99"/>
      <c r="AA992" s="43"/>
      <c r="AB992" s="44"/>
    </row>
    <row r="993" spans="1:25" ht="25.15" customHeight="1">
      <c r="A993" s="2938"/>
      <c r="B993" s="2939"/>
      <c r="C993" s="2941"/>
      <c r="D993" s="2941"/>
      <c r="E993" s="2941"/>
      <c r="F993" s="2941"/>
      <c r="G993" s="2941"/>
      <c r="H993" s="2941"/>
      <c r="I993" s="2941"/>
      <c r="J993" s="2941"/>
      <c r="K993" s="2941"/>
      <c r="L993" s="2941"/>
      <c r="M993" s="2941"/>
      <c r="N993" s="2941"/>
      <c r="O993" s="2942"/>
      <c r="P993" s="156"/>
      <c r="Q993" s="1257"/>
      <c r="R993" s="1258"/>
      <c r="S993" s="1258"/>
      <c r="T993" s="1258"/>
      <c r="U993" s="1258"/>
      <c r="V993" s="156"/>
      <c r="W993" s="156"/>
      <c r="X993" s="156"/>
      <c r="Y993" s="156"/>
    </row>
    <row r="994" spans="1:25" ht="24.75" customHeight="1">
      <c r="A994" s="2938"/>
      <c r="B994" s="2939"/>
      <c r="C994" s="2941"/>
      <c r="D994" s="2941"/>
      <c r="E994" s="2941"/>
      <c r="F994" s="2941"/>
      <c r="G994" s="2941"/>
      <c r="H994" s="2941"/>
      <c r="I994" s="2941"/>
      <c r="J994" s="2941"/>
      <c r="K994" s="2941"/>
      <c r="L994" s="2941"/>
      <c r="M994" s="2941"/>
      <c r="N994" s="2941"/>
      <c r="O994" s="2942"/>
      <c r="P994" s="156"/>
      <c r="Q994" s="1257"/>
      <c r="R994" s="1256"/>
      <c r="S994" s="1256"/>
      <c r="T994" s="1256"/>
      <c r="U994" s="1256"/>
      <c r="V994" s="156"/>
      <c r="W994" s="156"/>
      <c r="X994" s="156"/>
      <c r="Y994" s="156"/>
    </row>
    <row r="995" spans="1:25" ht="10.15" customHeight="1">
      <c r="A995" s="2945"/>
      <c r="B995" s="2946"/>
      <c r="C995" s="2941"/>
      <c r="D995" s="2941"/>
      <c r="E995" s="2941"/>
      <c r="F995" s="2941"/>
      <c r="G995" s="2941"/>
      <c r="H995" s="2941"/>
      <c r="I995" s="2941"/>
      <c r="J995" s="2941"/>
      <c r="K995" s="2941"/>
      <c r="L995" s="2941"/>
      <c r="M995" s="2941"/>
      <c r="N995" s="2941"/>
      <c r="O995" s="2942"/>
      <c r="P995" s="156"/>
      <c r="Q995" s="1259"/>
      <c r="R995" s="1256"/>
      <c r="S995" s="1256"/>
      <c r="T995" s="1256"/>
      <c r="U995" s="1256"/>
      <c r="V995" s="156"/>
      <c r="W995" s="156"/>
      <c r="X995" s="156"/>
      <c r="Y995" s="156"/>
    </row>
    <row r="996" spans="1:25" ht="45" customHeight="1">
      <c r="A996" s="2947">
        <f>IF( 報1!$L$28="","", 報1!$L$28 )</f>
        <v>2023</v>
      </c>
      <c r="B996" s="2948"/>
      <c r="C996" s="2943"/>
      <c r="D996" s="2943"/>
      <c r="E996" s="2943"/>
      <c r="F996" s="2943"/>
      <c r="G996" s="2943"/>
      <c r="H996" s="2943"/>
      <c r="I996" s="2943"/>
      <c r="J996" s="2943"/>
      <c r="K996" s="2943"/>
      <c r="L996" s="2943"/>
      <c r="M996" s="2943"/>
      <c r="N996" s="2943"/>
      <c r="O996" s="2944"/>
      <c r="P996" s="156"/>
      <c r="Q996" s="1260"/>
      <c r="R996" s="1256"/>
      <c r="S996" s="1256"/>
      <c r="T996" s="1256"/>
      <c r="U996" s="1256"/>
      <c r="V996" s="156"/>
      <c r="W996" s="156"/>
      <c r="X996" s="156"/>
      <c r="Y996" s="156"/>
    </row>
    <row r="997" spans="1:25" ht="26.25" customHeight="1">
      <c r="A997" s="2949"/>
      <c r="B997" s="2949"/>
      <c r="C997" s="2949"/>
      <c r="D997" s="2949"/>
      <c r="E997" s="2949"/>
      <c r="F997" s="2949"/>
      <c r="G997" s="2949"/>
      <c r="H997" s="2949"/>
      <c r="I997" s="2949"/>
      <c r="J997" s="2949"/>
      <c r="K997" s="2949"/>
      <c r="L997" s="2949"/>
      <c r="M997" s="2949"/>
      <c r="N997" s="2949"/>
      <c r="O997" s="2949"/>
      <c r="P997" s="156"/>
      <c r="Q997" s="1259"/>
      <c r="R997" s="1256"/>
      <c r="S997" s="1256"/>
      <c r="T997" s="1256"/>
      <c r="U997" s="1256"/>
      <c r="V997" s="156"/>
      <c r="W997" s="156"/>
      <c r="X997" s="156"/>
      <c r="Y997" s="156"/>
    </row>
    <row r="998" spans="1:25" ht="30" customHeight="1">
      <c r="A998" s="156"/>
      <c r="B998" s="156"/>
      <c r="C998" s="156"/>
      <c r="D998" s="156"/>
      <c r="E998" s="156"/>
      <c r="F998" s="156"/>
      <c r="G998" s="156"/>
      <c r="H998" s="156"/>
      <c r="I998" s="156"/>
      <c r="J998" s="156"/>
      <c r="K998" s="156"/>
      <c r="L998" s="156"/>
      <c r="M998" s="156"/>
      <c r="N998" s="156"/>
      <c r="O998" s="329"/>
      <c r="P998" s="156"/>
      <c r="Q998" s="1248"/>
      <c r="R998" s="1260"/>
      <c r="S998" s="1244"/>
      <c r="T998" s="1244"/>
      <c r="V998" s="156"/>
      <c r="W998" s="156"/>
      <c r="X998" s="156"/>
      <c r="Y998" s="156"/>
    </row>
    <row r="999" spans="1:25" ht="18" customHeight="1">
      <c r="A999" s="156"/>
      <c r="B999" s="156"/>
      <c r="C999" s="156"/>
      <c r="D999" s="156"/>
      <c r="E999" s="156"/>
      <c r="F999" s="156"/>
      <c r="G999" s="156"/>
      <c r="H999" s="156"/>
      <c r="I999" s="156"/>
      <c r="J999" s="156"/>
      <c r="K999" s="156"/>
      <c r="L999" s="156"/>
      <c r="M999" s="156"/>
      <c r="N999" s="156"/>
      <c r="O999" s="329"/>
      <c r="P999" s="156"/>
      <c r="Q999" s="1261"/>
      <c r="R999" s="1260"/>
      <c r="S999" s="1244"/>
      <c r="T999" s="1244"/>
      <c r="V999" s="156"/>
      <c r="W999" s="156"/>
      <c r="X999" s="156"/>
      <c r="Y999" s="156"/>
    </row>
    <row r="1000" spans="1:25" ht="18" customHeight="1">
      <c r="A1000" s="156"/>
      <c r="B1000" s="156"/>
      <c r="C1000" s="156"/>
      <c r="D1000" s="156"/>
      <c r="E1000" s="156"/>
      <c r="F1000" s="156"/>
      <c r="G1000" s="156"/>
      <c r="H1000" s="156"/>
      <c r="I1000" s="156"/>
      <c r="J1000" s="156"/>
      <c r="K1000" s="156"/>
      <c r="L1000" s="156"/>
      <c r="M1000" s="156"/>
      <c r="N1000" s="156"/>
      <c r="O1000" s="329"/>
      <c r="P1000" s="156"/>
      <c r="Q1000" s="1261"/>
      <c r="R1000" s="1260"/>
      <c r="S1000" s="1244"/>
      <c r="T1000" s="1244"/>
      <c r="V1000" s="156"/>
      <c r="W1000" s="156"/>
      <c r="X1000" s="156"/>
      <c r="Y1000" s="156"/>
    </row>
  </sheetData>
  <sheetProtection algorithmName="SHA-512" hashValue="3ENR+vyYN+yYN0da+FrafcLVQzWYPMulizsNJXqo4UyqkH0bjkLWQWToNkJDbDOuLwICxK5/Jb3F7FfTZwiTbw==" saltValue="me0UiidjSw1eeOu8sCkO2A==" spinCount="100000" sheet="1" objects="1" scenarios="1"/>
  <mergeCells count="1280">
    <mergeCell ref="A3:O3"/>
    <mergeCell ref="A6:C6"/>
    <mergeCell ref="D6:O6"/>
    <mergeCell ref="A7:C7"/>
    <mergeCell ref="D7:O7"/>
    <mergeCell ref="M8:O8"/>
    <mergeCell ref="A9:B9"/>
    <mergeCell ref="C9:E9"/>
    <mergeCell ref="F9:G9"/>
    <mergeCell ref="H9:J9"/>
    <mergeCell ref="K9:O9"/>
    <mergeCell ref="A8:B8"/>
    <mergeCell ref="C8:D8"/>
    <mergeCell ref="F8:G8"/>
    <mergeCell ref="H8:I8"/>
    <mergeCell ref="K8:L8"/>
    <mergeCell ref="A22:O22"/>
    <mergeCell ref="A11:O11"/>
    <mergeCell ref="A14:B14"/>
    <mergeCell ref="C14:H14"/>
    <mergeCell ref="I14:O14"/>
    <mergeCell ref="A15:B15"/>
    <mergeCell ref="C15:G16"/>
    <mergeCell ref="H15:H16"/>
    <mergeCell ref="I15:L16"/>
    <mergeCell ref="M15:M16"/>
    <mergeCell ref="N15:O16"/>
    <mergeCell ref="A16:B16"/>
    <mergeCell ref="A17:B19"/>
    <mergeCell ref="C17:O21"/>
    <mergeCell ref="A20:B20"/>
    <mergeCell ref="A21:B21"/>
    <mergeCell ref="H40:H41"/>
    <mergeCell ref="I40:L41"/>
    <mergeCell ref="M40:M41"/>
    <mergeCell ref="N40:O41"/>
    <mergeCell ref="A41:B41"/>
    <mergeCell ref="M33:O33"/>
    <mergeCell ref="A34:B34"/>
    <mergeCell ref="C34:E34"/>
    <mergeCell ref="F34:G34"/>
    <mergeCell ref="H34:J34"/>
    <mergeCell ref="K34:O34"/>
    <mergeCell ref="A33:B33"/>
    <mergeCell ref="C33:D33"/>
    <mergeCell ref="F33:G33"/>
    <mergeCell ref="H33:I33"/>
    <mergeCell ref="K33:L33"/>
    <mergeCell ref="A28:O28"/>
    <mergeCell ref="A31:C31"/>
    <mergeCell ref="D31:O31"/>
    <mergeCell ref="A32:C32"/>
    <mergeCell ref="D32:O32"/>
    <mergeCell ref="A36:O36"/>
    <mergeCell ref="A39:B39"/>
    <mergeCell ref="C39:H39"/>
    <mergeCell ref="I39:O39"/>
    <mergeCell ref="A40:B40"/>
    <mergeCell ref="C40:G41"/>
    <mergeCell ref="M58:O58"/>
    <mergeCell ref="A59:B59"/>
    <mergeCell ref="C59:E59"/>
    <mergeCell ref="F59:G59"/>
    <mergeCell ref="H59:J59"/>
    <mergeCell ref="K59:O59"/>
    <mergeCell ref="A58:B58"/>
    <mergeCell ref="C58:D58"/>
    <mergeCell ref="F58:G58"/>
    <mergeCell ref="H58:I58"/>
    <mergeCell ref="K58:L58"/>
    <mergeCell ref="A53:O53"/>
    <mergeCell ref="A56:C56"/>
    <mergeCell ref="D56:O56"/>
    <mergeCell ref="A57:C57"/>
    <mergeCell ref="D57:O57"/>
    <mergeCell ref="A42:B44"/>
    <mergeCell ref="C42:O46"/>
    <mergeCell ref="A45:B45"/>
    <mergeCell ref="A46:B46"/>
    <mergeCell ref="A47:O47"/>
    <mergeCell ref="A78:O78"/>
    <mergeCell ref="A81:C81"/>
    <mergeCell ref="D81:O81"/>
    <mergeCell ref="A82:C82"/>
    <mergeCell ref="D82:O82"/>
    <mergeCell ref="A67:B69"/>
    <mergeCell ref="C67:O71"/>
    <mergeCell ref="A70:B70"/>
    <mergeCell ref="A71:B71"/>
    <mergeCell ref="A72:O72"/>
    <mergeCell ref="A61:O61"/>
    <mergeCell ref="A64:B64"/>
    <mergeCell ref="C64:H64"/>
    <mergeCell ref="I64:O64"/>
    <mergeCell ref="A65:B65"/>
    <mergeCell ref="C65:G66"/>
    <mergeCell ref="H65:H66"/>
    <mergeCell ref="I65:L66"/>
    <mergeCell ref="M65:M66"/>
    <mergeCell ref="N65:O66"/>
    <mergeCell ref="A66:B66"/>
    <mergeCell ref="A86:O86"/>
    <mergeCell ref="A89:B89"/>
    <mergeCell ref="C89:H89"/>
    <mergeCell ref="I89:O89"/>
    <mergeCell ref="A90:B90"/>
    <mergeCell ref="C90:G91"/>
    <mergeCell ref="H90:H91"/>
    <mergeCell ref="I90:L91"/>
    <mergeCell ref="M90:M91"/>
    <mergeCell ref="N90:O91"/>
    <mergeCell ref="A91:B91"/>
    <mergeCell ref="M83:O83"/>
    <mergeCell ref="A84:B84"/>
    <mergeCell ref="C84:E84"/>
    <mergeCell ref="F84:G84"/>
    <mergeCell ref="H84:J84"/>
    <mergeCell ref="K84:O84"/>
    <mergeCell ref="A83:B83"/>
    <mergeCell ref="C83:D83"/>
    <mergeCell ref="F83:G83"/>
    <mergeCell ref="H83:I83"/>
    <mergeCell ref="K83:L83"/>
    <mergeCell ref="M108:O108"/>
    <mergeCell ref="A109:B109"/>
    <mergeCell ref="C109:E109"/>
    <mergeCell ref="F109:G109"/>
    <mergeCell ref="H109:J109"/>
    <mergeCell ref="K109:O109"/>
    <mergeCell ref="A108:B108"/>
    <mergeCell ref="C108:D108"/>
    <mergeCell ref="F108:G108"/>
    <mergeCell ref="H108:I108"/>
    <mergeCell ref="K108:L108"/>
    <mergeCell ref="A103:O103"/>
    <mergeCell ref="A106:C106"/>
    <mergeCell ref="D106:O106"/>
    <mergeCell ref="A107:C107"/>
    <mergeCell ref="D107:O107"/>
    <mergeCell ref="A92:B94"/>
    <mergeCell ref="C92:O96"/>
    <mergeCell ref="A95:B95"/>
    <mergeCell ref="A96:B96"/>
    <mergeCell ref="A97:O97"/>
    <mergeCell ref="A128:O128"/>
    <mergeCell ref="A131:C131"/>
    <mergeCell ref="D131:O131"/>
    <mergeCell ref="A132:C132"/>
    <mergeCell ref="D132:O132"/>
    <mergeCell ref="A117:B119"/>
    <mergeCell ref="C117:O121"/>
    <mergeCell ref="A120:B120"/>
    <mergeCell ref="A121:B121"/>
    <mergeCell ref="A122:O122"/>
    <mergeCell ref="A111:O111"/>
    <mergeCell ref="A114:B114"/>
    <mergeCell ref="C114:H114"/>
    <mergeCell ref="I114:O114"/>
    <mergeCell ref="A115:B115"/>
    <mergeCell ref="C115:G116"/>
    <mergeCell ref="H115:H116"/>
    <mergeCell ref="I115:L116"/>
    <mergeCell ref="M115:M116"/>
    <mergeCell ref="N115:O116"/>
    <mergeCell ref="A116:B116"/>
    <mergeCell ref="A136:O136"/>
    <mergeCell ref="A139:B139"/>
    <mergeCell ref="C139:H139"/>
    <mergeCell ref="I139:O139"/>
    <mergeCell ref="A140:B140"/>
    <mergeCell ref="C140:G141"/>
    <mergeCell ref="H140:H141"/>
    <mergeCell ref="I140:L141"/>
    <mergeCell ref="M140:M141"/>
    <mergeCell ref="N140:O141"/>
    <mergeCell ref="A141:B141"/>
    <mergeCell ref="M133:O133"/>
    <mergeCell ref="A134:B134"/>
    <mergeCell ref="C134:E134"/>
    <mergeCell ref="F134:G134"/>
    <mergeCell ref="H134:J134"/>
    <mergeCell ref="K134:O134"/>
    <mergeCell ref="A133:B133"/>
    <mergeCell ref="C133:D133"/>
    <mergeCell ref="F133:G133"/>
    <mergeCell ref="H133:I133"/>
    <mergeCell ref="K133:L133"/>
    <mergeCell ref="M158:O158"/>
    <mergeCell ref="A159:B159"/>
    <mergeCell ref="C159:E159"/>
    <mergeCell ref="F159:G159"/>
    <mergeCell ref="H159:J159"/>
    <mergeCell ref="K159:O159"/>
    <mergeCell ref="A158:B158"/>
    <mergeCell ref="C158:D158"/>
    <mergeCell ref="F158:G158"/>
    <mergeCell ref="H158:I158"/>
    <mergeCell ref="K158:L158"/>
    <mergeCell ref="A153:O153"/>
    <mergeCell ref="A156:C156"/>
    <mergeCell ref="D156:O156"/>
    <mergeCell ref="A157:C157"/>
    <mergeCell ref="D157:O157"/>
    <mergeCell ref="A142:B144"/>
    <mergeCell ref="C142:O146"/>
    <mergeCell ref="A145:B145"/>
    <mergeCell ref="A146:B146"/>
    <mergeCell ref="A147:O147"/>
    <mergeCell ref="A178:O178"/>
    <mergeCell ref="A181:C181"/>
    <mergeCell ref="D181:O181"/>
    <mergeCell ref="A182:C182"/>
    <mergeCell ref="D182:O182"/>
    <mergeCell ref="A167:B169"/>
    <mergeCell ref="C167:O171"/>
    <mergeCell ref="A170:B170"/>
    <mergeCell ref="A171:B171"/>
    <mergeCell ref="A172:O172"/>
    <mergeCell ref="A161:O161"/>
    <mergeCell ref="A164:B164"/>
    <mergeCell ref="C164:H164"/>
    <mergeCell ref="I164:O164"/>
    <mergeCell ref="A165:B165"/>
    <mergeCell ref="C165:G166"/>
    <mergeCell ref="H165:H166"/>
    <mergeCell ref="I165:L166"/>
    <mergeCell ref="M165:M166"/>
    <mergeCell ref="N165:O166"/>
    <mergeCell ref="A166:B166"/>
    <mergeCell ref="A186:O186"/>
    <mergeCell ref="A189:B189"/>
    <mergeCell ref="C189:H189"/>
    <mergeCell ref="I189:O189"/>
    <mergeCell ref="A190:B190"/>
    <mergeCell ref="C190:G191"/>
    <mergeCell ref="H190:H191"/>
    <mergeCell ref="I190:L191"/>
    <mergeCell ref="M190:M191"/>
    <mergeCell ref="N190:O191"/>
    <mergeCell ref="A191:B191"/>
    <mergeCell ref="M183:O183"/>
    <mergeCell ref="A184:B184"/>
    <mergeCell ref="C184:E184"/>
    <mergeCell ref="F184:G184"/>
    <mergeCell ref="H184:J184"/>
    <mergeCell ref="K184:O184"/>
    <mergeCell ref="A183:B183"/>
    <mergeCell ref="C183:D183"/>
    <mergeCell ref="F183:G183"/>
    <mergeCell ref="H183:I183"/>
    <mergeCell ref="K183:L183"/>
    <mergeCell ref="M208:O208"/>
    <mergeCell ref="A209:B209"/>
    <mergeCell ref="C209:E209"/>
    <mergeCell ref="F209:G209"/>
    <mergeCell ref="H209:J209"/>
    <mergeCell ref="K209:O209"/>
    <mergeCell ref="A208:B208"/>
    <mergeCell ref="C208:D208"/>
    <mergeCell ref="F208:G208"/>
    <mergeCell ref="H208:I208"/>
    <mergeCell ref="K208:L208"/>
    <mergeCell ref="A203:O203"/>
    <mergeCell ref="A206:C206"/>
    <mergeCell ref="D206:O206"/>
    <mergeCell ref="A207:C207"/>
    <mergeCell ref="D207:O207"/>
    <mergeCell ref="A192:B194"/>
    <mergeCell ref="C192:O196"/>
    <mergeCell ref="A195:B195"/>
    <mergeCell ref="A196:B196"/>
    <mergeCell ref="A197:O197"/>
    <mergeCell ref="A228:O228"/>
    <mergeCell ref="A231:C231"/>
    <mergeCell ref="D231:O231"/>
    <mergeCell ref="A232:C232"/>
    <mergeCell ref="D232:O232"/>
    <mergeCell ref="A217:B219"/>
    <mergeCell ref="C217:O221"/>
    <mergeCell ref="A220:B220"/>
    <mergeCell ref="A221:B221"/>
    <mergeCell ref="A222:O222"/>
    <mergeCell ref="A211:O211"/>
    <mergeCell ref="A214:B214"/>
    <mergeCell ref="C214:H214"/>
    <mergeCell ref="I214:O214"/>
    <mergeCell ref="A215:B215"/>
    <mergeCell ref="C215:G216"/>
    <mergeCell ref="H215:H216"/>
    <mergeCell ref="I215:L216"/>
    <mergeCell ref="M215:M216"/>
    <mergeCell ref="N215:O216"/>
    <mergeCell ref="A216:B216"/>
    <mergeCell ref="A236:O236"/>
    <mergeCell ref="A239:B239"/>
    <mergeCell ref="C239:H239"/>
    <mergeCell ref="I239:O239"/>
    <mergeCell ref="A240:B240"/>
    <mergeCell ref="C240:G241"/>
    <mergeCell ref="H240:H241"/>
    <mergeCell ref="I240:L241"/>
    <mergeCell ref="M240:M241"/>
    <mergeCell ref="N240:O241"/>
    <mergeCell ref="A241:B241"/>
    <mergeCell ref="M233:O233"/>
    <mergeCell ref="A234:B234"/>
    <mergeCell ref="C234:E234"/>
    <mergeCell ref="F234:G234"/>
    <mergeCell ref="H234:J234"/>
    <mergeCell ref="K234:O234"/>
    <mergeCell ref="A233:B233"/>
    <mergeCell ref="C233:D233"/>
    <mergeCell ref="F233:G233"/>
    <mergeCell ref="H233:I233"/>
    <mergeCell ref="K233:L233"/>
    <mergeCell ref="M258:O258"/>
    <mergeCell ref="A259:B259"/>
    <mergeCell ref="C259:E259"/>
    <mergeCell ref="F259:G259"/>
    <mergeCell ref="H259:J259"/>
    <mergeCell ref="K259:O259"/>
    <mergeCell ref="A258:B258"/>
    <mergeCell ref="C258:D258"/>
    <mergeCell ref="F258:G258"/>
    <mergeCell ref="H258:I258"/>
    <mergeCell ref="K258:L258"/>
    <mergeCell ref="A253:O253"/>
    <mergeCell ref="A256:C256"/>
    <mergeCell ref="D256:O256"/>
    <mergeCell ref="A257:C257"/>
    <mergeCell ref="D257:O257"/>
    <mergeCell ref="A242:B244"/>
    <mergeCell ref="C242:O246"/>
    <mergeCell ref="A245:B245"/>
    <mergeCell ref="A246:B246"/>
    <mergeCell ref="A247:O247"/>
    <mergeCell ref="A278:O278"/>
    <mergeCell ref="A281:C281"/>
    <mergeCell ref="D281:O281"/>
    <mergeCell ref="A282:C282"/>
    <mergeCell ref="D282:O282"/>
    <mergeCell ref="A267:B269"/>
    <mergeCell ref="C267:O271"/>
    <mergeCell ref="A270:B270"/>
    <mergeCell ref="A271:B271"/>
    <mergeCell ref="A272:O272"/>
    <mergeCell ref="A261:O261"/>
    <mergeCell ref="A264:B264"/>
    <mergeCell ref="C264:H264"/>
    <mergeCell ref="I264:O264"/>
    <mergeCell ref="A265:B265"/>
    <mergeCell ref="C265:G266"/>
    <mergeCell ref="H265:H266"/>
    <mergeCell ref="I265:L266"/>
    <mergeCell ref="M265:M266"/>
    <mergeCell ref="N265:O266"/>
    <mergeCell ref="A266:B266"/>
    <mergeCell ref="A286:O286"/>
    <mergeCell ref="A289:B289"/>
    <mergeCell ref="C289:H289"/>
    <mergeCell ref="I289:O289"/>
    <mergeCell ref="A290:B290"/>
    <mergeCell ref="C290:G291"/>
    <mergeCell ref="H290:H291"/>
    <mergeCell ref="I290:L291"/>
    <mergeCell ref="M290:M291"/>
    <mergeCell ref="N290:O291"/>
    <mergeCell ref="A291:B291"/>
    <mergeCell ref="M283:O283"/>
    <mergeCell ref="A284:B284"/>
    <mergeCell ref="C284:E284"/>
    <mergeCell ref="F284:G284"/>
    <mergeCell ref="H284:J284"/>
    <mergeCell ref="K284:O284"/>
    <mergeCell ref="A283:B283"/>
    <mergeCell ref="C283:D283"/>
    <mergeCell ref="F283:G283"/>
    <mergeCell ref="H283:I283"/>
    <mergeCell ref="K283:L283"/>
    <mergeCell ref="M308:O308"/>
    <mergeCell ref="A309:B309"/>
    <mergeCell ref="C309:E309"/>
    <mergeCell ref="F309:G309"/>
    <mergeCell ref="H309:J309"/>
    <mergeCell ref="K309:O309"/>
    <mergeCell ref="A308:B308"/>
    <mergeCell ref="C308:D308"/>
    <mergeCell ref="F308:G308"/>
    <mergeCell ref="H308:I308"/>
    <mergeCell ref="K308:L308"/>
    <mergeCell ref="A303:O303"/>
    <mergeCell ref="A306:C306"/>
    <mergeCell ref="D306:O306"/>
    <mergeCell ref="A307:C307"/>
    <mergeCell ref="D307:O307"/>
    <mergeCell ref="A292:B294"/>
    <mergeCell ref="C292:O296"/>
    <mergeCell ref="A295:B295"/>
    <mergeCell ref="A296:B296"/>
    <mergeCell ref="A297:O297"/>
    <mergeCell ref="A328:O328"/>
    <mergeCell ref="A331:C331"/>
    <mergeCell ref="D331:O331"/>
    <mergeCell ref="A332:C332"/>
    <mergeCell ref="D332:O332"/>
    <mergeCell ref="A317:B319"/>
    <mergeCell ref="C317:O321"/>
    <mergeCell ref="A320:B320"/>
    <mergeCell ref="A321:B321"/>
    <mergeCell ref="A322:O322"/>
    <mergeCell ref="A311:O311"/>
    <mergeCell ref="A314:B314"/>
    <mergeCell ref="C314:H314"/>
    <mergeCell ref="I314:O314"/>
    <mergeCell ref="A315:B315"/>
    <mergeCell ref="C315:G316"/>
    <mergeCell ref="H315:H316"/>
    <mergeCell ref="I315:L316"/>
    <mergeCell ref="M315:M316"/>
    <mergeCell ref="N315:O316"/>
    <mergeCell ref="A316:B316"/>
    <mergeCell ref="A336:O336"/>
    <mergeCell ref="A339:B339"/>
    <mergeCell ref="C339:H339"/>
    <mergeCell ref="I339:O339"/>
    <mergeCell ref="A340:B340"/>
    <mergeCell ref="C340:G341"/>
    <mergeCell ref="H340:H341"/>
    <mergeCell ref="I340:L341"/>
    <mergeCell ref="M340:M341"/>
    <mergeCell ref="N340:O341"/>
    <mergeCell ref="A341:B341"/>
    <mergeCell ref="M333:O333"/>
    <mergeCell ref="A334:B334"/>
    <mergeCell ref="C334:E334"/>
    <mergeCell ref="F334:G334"/>
    <mergeCell ref="H334:J334"/>
    <mergeCell ref="K334:O334"/>
    <mergeCell ref="A333:B333"/>
    <mergeCell ref="C333:D333"/>
    <mergeCell ref="F333:G333"/>
    <mergeCell ref="H333:I333"/>
    <mergeCell ref="K333:L333"/>
    <mergeCell ref="M358:O358"/>
    <mergeCell ref="A359:B359"/>
    <mergeCell ref="C359:E359"/>
    <mergeCell ref="F359:G359"/>
    <mergeCell ref="H359:J359"/>
    <mergeCell ref="K359:O359"/>
    <mergeCell ref="A358:B358"/>
    <mergeCell ref="C358:D358"/>
    <mergeCell ref="F358:G358"/>
    <mergeCell ref="H358:I358"/>
    <mergeCell ref="K358:L358"/>
    <mergeCell ref="A353:O353"/>
    <mergeCell ref="A356:C356"/>
    <mergeCell ref="D356:O356"/>
    <mergeCell ref="A357:C357"/>
    <mergeCell ref="D357:O357"/>
    <mergeCell ref="A342:B344"/>
    <mergeCell ref="C342:O346"/>
    <mergeCell ref="A345:B345"/>
    <mergeCell ref="A346:B346"/>
    <mergeCell ref="A347:O347"/>
    <mergeCell ref="A378:O378"/>
    <mergeCell ref="A381:C381"/>
    <mergeCell ref="D381:O381"/>
    <mergeCell ref="A382:C382"/>
    <mergeCell ref="D382:O382"/>
    <mergeCell ref="A367:B369"/>
    <mergeCell ref="C367:O371"/>
    <mergeCell ref="A370:B370"/>
    <mergeCell ref="A371:B371"/>
    <mergeCell ref="A372:O372"/>
    <mergeCell ref="A361:O361"/>
    <mergeCell ref="A364:B364"/>
    <mergeCell ref="C364:H364"/>
    <mergeCell ref="I364:O364"/>
    <mergeCell ref="A365:B365"/>
    <mergeCell ref="C365:G366"/>
    <mergeCell ref="H365:H366"/>
    <mergeCell ref="I365:L366"/>
    <mergeCell ref="M365:M366"/>
    <mergeCell ref="N365:O366"/>
    <mergeCell ref="A366:B366"/>
    <mergeCell ref="A386:O386"/>
    <mergeCell ref="A389:B389"/>
    <mergeCell ref="C389:H389"/>
    <mergeCell ref="I389:O389"/>
    <mergeCell ref="A390:B390"/>
    <mergeCell ref="C390:G391"/>
    <mergeCell ref="H390:H391"/>
    <mergeCell ref="I390:L391"/>
    <mergeCell ref="M390:M391"/>
    <mergeCell ref="N390:O391"/>
    <mergeCell ref="A391:B391"/>
    <mergeCell ref="M383:O383"/>
    <mergeCell ref="A384:B384"/>
    <mergeCell ref="C384:E384"/>
    <mergeCell ref="F384:G384"/>
    <mergeCell ref="H384:J384"/>
    <mergeCell ref="K384:O384"/>
    <mergeCell ref="A383:B383"/>
    <mergeCell ref="C383:D383"/>
    <mergeCell ref="F383:G383"/>
    <mergeCell ref="H383:I383"/>
    <mergeCell ref="K383:L383"/>
    <mergeCell ref="M408:O408"/>
    <mergeCell ref="A409:B409"/>
    <mergeCell ref="C409:E409"/>
    <mergeCell ref="F409:G409"/>
    <mergeCell ref="H409:J409"/>
    <mergeCell ref="K409:O409"/>
    <mergeCell ref="A408:B408"/>
    <mergeCell ref="C408:D408"/>
    <mergeCell ref="F408:G408"/>
    <mergeCell ref="H408:I408"/>
    <mergeCell ref="K408:L408"/>
    <mergeCell ref="A403:O403"/>
    <mergeCell ref="A406:C406"/>
    <mergeCell ref="D406:O406"/>
    <mergeCell ref="A407:C407"/>
    <mergeCell ref="D407:O407"/>
    <mergeCell ref="A392:B394"/>
    <mergeCell ref="C392:O396"/>
    <mergeCell ref="A395:B395"/>
    <mergeCell ref="A396:B396"/>
    <mergeCell ref="A397:O397"/>
    <mergeCell ref="A428:O428"/>
    <mergeCell ref="A431:C431"/>
    <mergeCell ref="D431:O431"/>
    <mergeCell ref="A432:C432"/>
    <mergeCell ref="D432:O432"/>
    <mergeCell ref="A417:B419"/>
    <mergeCell ref="C417:O421"/>
    <mergeCell ref="A420:B420"/>
    <mergeCell ref="A421:B421"/>
    <mergeCell ref="A422:O422"/>
    <mergeCell ref="A411:O411"/>
    <mergeCell ref="A414:B414"/>
    <mergeCell ref="C414:H414"/>
    <mergeCell ref="I414:O414"/>
    <mergeCell ref="A415:B415"/>
    <mergeCell ref="C415:G416"/>
    <mergeCell ref="H415:H416"/>
    <mergeCell ref="I415:L416"/>
    <mergeCell ref="M415:M416"/>
    <mergeCell ref="N415:O416"/>
    <mergeCell ref="A416:B416"/>
    <mergeCell ref="A436:O436"/>
    <mergeCell ref="A439:B439"/>
    <mergeCell ref="C439:H439"/>
    <mergeCell ref="I439:O439"/>
    <mergeCell ref="A440:B440"/>
    <mergeCell ref="C440:G441"/>
    <mergeCell ref="H440:H441"/>
    <mergeCell ref="I440:L441"/>
    <mergeCell ref="M440:M441"/>
    <mergeCell ref="N440:O441"/>
    <mergeCell ref="A441:B441"/>
    <mergeCell ref="M433:O433"/>
    <mergeCell ref="A434:B434"/>
    <mergeCell ref="C434:E434"/>
    <mergeCell ref="F434:G434"/>
    <mergeCell ref="H434:J434"/>
    <mergeCell ref="K434:O434"/>
    <mergeCell ref="A433:B433"/>
    <mergeCell ref="C433:D433"/>
    <mergeCell ref="F433:G433"/>
    <mergeCell ref="H433:I433"/>
    <mergeCell ref="K433:L433"/>
    <mergeCell ref="M458:O458"/>
    <mergeCell ref="A459:B459"/>
    <mergeCell ref="C459:E459"/>
    <mergeCell ref="F459:G459"/>
    <mergeCell ref="H459:J459"/>
    <mergeCell ref="K459:O459"/>
    <mergeCell ref="A458:B458"/>
    <mergeCell ref="C458:D458"/>
    <mergeCell ref="F458:G458"/>
    <mergeCell ref="H458:I458"/>
    <mergeCell ref="K458:L458"/>
    <mergeCell ref="A453:O453"/>
    <mergeCell ref="A456:C456"/>
    <mergeCell ref="D456:O456"/>
    <mergeCell ref="A457:C457"/>
    <mergeCell ref="D457:O457"/>
    <mergeCell ref="A442:B444"/>
    <mergeCell ref="C442:O446"/>
    <mergeCell ref="A445:B445"/>
    <mergeCell ref="A446:B446"/>
    <mergeCell ref="A447:O447"/>
    <mergeCell ref="A478:O478"/>
    <mergeCell ref="A481:C481"/>
    <mergeCell ref="D481:O481"/>
    <mergeCell ref="A482:C482"/>
    <mergeCell ref="D482:O482"/>
    <mergeCell ref="A467:B469"/>
    <mergeCell ref="C467:O471"/>
    <mergeCell ref="A470:B470"/>
    <mergeCell ref="A471:B471"/>
    <mergeCell ref="A472:O472"/>
    <mergeCell ref="A461:O461"/>
    <mergeCell ref="A464:B464"/>
    <mergeCell ref="C464:H464"/>
    <mergeCell ref="I464:O464"/>
    <mergeCell ref="A465:B465"/>
    <mergeCell ref="C465:G466"/>
    <mergeCell ref="H465:H466"/>
    <mergeCell ref="I465:L466"/>
    <mergeCell ref="M465:M466"/>
    <mergeCell ref="N465:O466"/>
    <mergeCell ref="A466:B466"/>
    <mergeCell ref="A486:O486"/>
    <mergeCell ref="A489:B489"/>
    <mergeCell ref="C489:H489"/>
    <mergeCell ref="I489:O489"/>
    <mergeCell ref="A490:B490"/>
    <mergeCell ref="C490:G491"/>
    <mergeCell ref="H490:H491"/>
    <mergeCell ref="I490:L491"/>
    <mergeCell ref="M490:M491"/>
    <mergeCell ref="N490:O491"/>
    <mergeCell ref="A491:B491"/>
    <mergeCell ref="M483:O483"/>
    <mergeCell ref="A484:B484"/>
    <mergeCell ref="C484:E484"/>
    <mergeCell ref="F484:G484"/>
    <mergeCell ref="H484:J484"/>
    <mergeCell ref="K484:O484"/>
    <mergeCell ref="A483:B483"/>
    <mergeCell ref="C483:D483"/>
    <mergeCell ref="F483:G483"/>
    <mergeCell ref="H483:I483"/>
    <mergeCell ref="K483:L483"/>
    <mergeCell ref="M508:O508"/>
    <mergeCell ref="A509:B509"/>
    <mergeCell ref="C509:E509"/>
    <mergeCell ref="F509:G509"/>
    <mergeCell ref="H509:J509"/>
    <mergeCell ref="K509:O509"/>
    <mergeCell ref="A508:B508"/>
    <mergeCell ref="C508:D508"/>
    <mergeCell ref="F508:G508"/>
    <mergeCell ref="H508:I508"/>
    <mergeCell ref="K508:L508"/>
    <mergeCell ref="A503:O503"/>
    <mergeCell ref="A506:C506"/>
    <mergeCell ref="D506:O506"/>
    <mergeCell ref="A507:C507"/>
    <mergeCell ref="D507:O507"/>
    <mergeCell ref="A492:B494"/>
    <mergeCell ref="C492:O496"/>
    <mergeCell ref="A495:B495"/>
    <mergeCell ref="A496:B496"/>
    <mergeCell ref="A497:O497"/>
    <mergeCell ref="A528:O528"/>
    <mergeCell ref="A531:C531"/>
    <mergeCell ref="D531:O531"/>
    <mergeCell ref="A532:C532"/>
    <mergeCell ref="D532:O532"/>
    <mergeCell ref="A517:B519"/>
    <mergeCell ref="C517:O521"/>
    <mergeCell ref="A520:B520"/>
    <mergeCell ref="A521:B521"/>
    <mergeCell ref="A522:O522"/>
    <mergeCell ref="A511:O511"/>
    <mergeCell ref="A514:B514"/>
    <mergeCell ref="C514:H514"/>
    <mergeCell ref="I514:O514"/>
    <mergeCell ref="A515:B515"/>
    <mergeCell ref="C515:G516"/>
    <mergeCell ref="H515:H516"/>
    <mergeCell ref="I515:L516"/>
    <mergeCell ref="M515:M516"/>
    <mergeCell ref="N515:O516"/>
    <mergeCell ref="A516:B516"/>
    <mergeCell ref="A536:O536"/>
    <mergeCell ref="A539:B539"/>
    <mergeCell ref="C539:H539"/>
    <mergeCell ref="I539:O539"/>
    <mergeCell ref="A540:B540"/>
    <mergeCell ref="C540:G541"/>
    <mergeCell ref="H540:H541"/>
    <mergeCell ref="I540:L541"/>
    <mergeCell ref="M540:M541"/>
    <mergeCell ref="N540:O541"/>
    <mergeCell ref="A541:B541"/>
    <mergeCell ref="M533:O533"/>
    <mergeCell ref="A534:B534"/>
    <mergeCell ref="C534:E534"/>
    <mergeCell ref="F534:G534"/>
    <mergeCell ref="H534:J534"/>
    <mergeCell ref="K534:O534"/>
    <mergeCell ref="A533:B533"/>
    <mergeCell ref="C533:D533"/>
    <mergeCell ref="F533:G533"/>
    <mergeCell ref="H533:I533"/>
    <mergeCell ref="K533:L533"/>
    <mergeCell ref="M558:O558"/>
    <mergeCell ref="A559:B559"/>
    <mergeCell ref="C559:E559"/>
    <mergeCell ref="F559:G559"/>
    <mergeCell ref="H559:J559"/>
    <mergeCell ref="K559:O559"/>
    <mergeCell ref="A558:B558"/>
    <mergeCell ref="C558:D558"/>
    <mergeCell ref="F558:G558"/>
    <mergeCell ref="H558:I558"/>
    <mergeCell ref="K558:L558"/>
    <mergeCell ref="A553:O553"/>
    <mergeCell ref="A556:C556"/>
    <mergeCell ref="D556:O556"/>
    <mergeCell ref="A557:C557"/>
    <mergeCell ref="D557:O557"/>
    <mergeCell ref="A542:B544"/>
    <mergeCell ref="C542:O546"/>
    <mergeCell ref="A545:B545"/>
    <mergeCell ref="A546:B546"/>
    <mergeCell ref="A547:O547"/>
    <mergeCell ref="A578:O578"/>
    <mergeCell ref="A581:C581"/>
    <mergeCell ref="D581:O581"/>
    <mergeCell ref="A582:C582"/>
    <mergeCell ref="D582:O582"/>
    <mergeCell ref="A567:B569"/>
    <mergeCell ref="C567:O571"/>
    <mergeCell ref="A570:B570"/>
    <mergeCell ref="A571:B571"/>
    <mergeCell ref="A572:O572"/>
    <mergeCell ref="A561:O561"/>
    <mergeCell ref="A564:B564"/>
    <mergeCell ref="C564:H564"/>
    <mergeCell ref="I564:O564"/>
    <mergeCell ref="A565:B565"/>
    <mergeCell ref="C565:G566"/>
    <mergeCell ref="H565:H566"/>
    <mergeCell ref="I565:L566"/>
    <mergeCell ref="M565:M566"/>
    <mergeCell ref="N565:O566"/>
    <mergeCell ref="A566:B566"/>
    <mergeCell ref="A586:O586"/>
    <mergeCell ref="A589:B589"/>
    <mergeCell ref="C589:H589"/>
    <mergeCell ref="I589:O589"/>
    <mergeCell ref="A590:B590"/>
    <mergeCell ref="C590:G591"/>
    <mergeCell ref="H590:H591"/>
    <mergeCell ref="I590:L591"/>
    <mergeCell ref="M590:M591"/>
    <mergeCell ref="N590:O591"/>
    <mergeCell ref="A591:B591"/>
    <mergeCell ref="M583:O583"/>
    <mergeCell ref="A584:B584"/>
    <mergeCell ref="C584:E584"/>
    <mergeCell ref="F584:G584"/>
    <mergeCell ref="H584:J584"/>
    <mergeCell ref="K584:O584"/>
    <mergeCell ref="A583:B583"/>
    <mergeCell ref="C583:D583"/>
    <mergeCell ref="F583:G583"/>
    <mergeCell ref="H583:I583"/>
    <mergeCell ref="K583:L583"/>
    <mergeCell ref="M608:O608"/>
    <mergeCell ref="A609:B609"/>
    <mergeCell ref="C609:E609"/>
    <mergeCell ref="F609:G609"/>
    <mergeCell ref="H609:J609"/>
    <mergeCell ref="K609:O609"/>
    <mergeCell ref="A608:B608"/>
    <mergeCell ref="C608:D608"/>
    <mergeCell ref="F608:G608"/>
    <mergeCell ref="H608:I608"/>
    <mergeCell ref="K608:L608"/>
    <mergeCell ref="A603:O603"/>
    <mergeCell ref="A606:C606"/>
    <mergeCell ref="D606:O606"/>
    <mergeCell ref="A607:C607"/>
    <mergeCell ref="D607:O607"/>
    <mergeCell ref="A592:B594"/>
    <mergeCell ref="C592:O596"/>
    <mergeCell ref="A595:B595"/>
    <mergeCell ref="A596:B596"/>
    <mergeCell ref="A597:O597"/>
    <mergeCell ref="A628:O628"/>
    <mergeCell ref="A631:C631"/>
    <mergeCell ref="D631:O631"/>
    <mergeCell ref="A632:C632"/>
    <mergeCell ref="D632:O632"/>
    <mergeCell ref="A617:B619"/>
    <mergeCell ref="C617:O621"/>
    <mergeCell ref="A620:B620"/>
    <mergeCell ref="A621:B621"/>
    <mergeCell ref="A622:O622"/>
    <mergeCell ref="A611:O611"/>
    <mergeCell ref="A614:B614"/>
    <mergeCell ref="C614:H614"/>
    <mergeCell ref="I614:O614"/>
    <mergeCell ref="A615:B615"/>
    <mergeCell ref="C615:G616"/>
    <mergeCell ref="H615:H616"/>
    <mergeCell ref="I615:L616"/>
    <mergeCell ref="M615:M616"/>
    <mergeCell ref="N615:O616"/>
    <mergeCell ref="A616:B616"/>
    <mergeCell ref="A636:O636"/>
    <mergeCell ref="A639:B639"/>
    <mergeCell ref="C639:H639"/>
    <mergeCell ref="I639:O639"/>
    <mergeCell ref="A640:B640"/>
    <mergeCell ref="C640:G641"/>
    <mergeCell ref="H640:H641"/>
    <mergeCell ref="I640:L641"/>
    <mergeCell ref="M640:M641"/>
    <mergeCell ref="N640:O641"/>
    <mergeCell ref="A641:B641"/>
    <mergeCell ref="M633:O633"/>
    <mergeCell ref="A634:B634"/>
    <mergeCell ref="C634:E634"/>
    <mergeCell ref="F634:G634"/>
    <mergeCell ref="H634:J634"/>
    <mergeCell ref="K634:O634"/>
    <mergeCell ref="A633:B633"/>
    <mergeCell ref="C633:D633"/>
    <mergeCell ref="F633:G633"/>
    <mergeCell ref="H633:I633"/>
    <mergeCell ref="K633:L633"/>
    <mergeCell ref="M658:O658"/>
    <mergeCell ref="A659:B659"/>
    <mergeCell ref="C659:E659"/>
    <mergeCell ref="F659:G659"/>
    <mergeCell ref="H659:J659"/>
    <mergeCell ref="K659:O659"/>
    <mergeCell ref="A658:B658"/>
    <mergeCell ref="C658:D658"/>
    <mergeCell ref="F658:G658"/>
    <mergeCell ref="H658:I658"/>
    <mergeCell ref="K658:L658"/>
    <mergeCell ref="A653:O653"/>
    <mergeCell ref="A656:C656"/>
    <mergeCell ref="D656:O656"/>
    <mergeCell ref="A657:C657"/>
    <mergeCell ref="D657:O657"/>
    <mergeCell ref="A642:B644"/>
    <mergeCell ref="C642:O646"/>
    <mergeCell ref="A645:B645"/>
    <mergeCell ref="A646:B646"/>
    <mergeCell ref="A647:O647"/>
    <mergeCell ref="A678:O678"/>
    <mergeCell ref="A681:C681"/>
    <mergeCell ref="D681:O681"/>
    <mergeCell ref="A682:C682"/>
    <mergeCell ref="D682:O682"/>
    <mergeCell ref="A667:B669"/>
    <mergeCell ref="C667:O671"/>
    <mergeCell ref="A670:B670"/>
    <mergeCell ref="A671:B671"/>
    <mergeCell ref="A672:O672"/>
    <mergeCell ref="A661:O661"/>
    <mergeCell ref="A664:B664"/>
    <mergeCell ref="C664:H664"/>
    <mergeCell ref="I664:O664"/>
    <mergeCell ref="A665:B665"/>
    <mergeCell ref="C665:G666"/>
    <mergeCell ref="H665:H666"/>
    <mergeCell ref="I665:L666"/>
    <mergeCell ref="M665:M666"/>
    <mergeCell ref="N665:O666"/>
    <mergeCell ref="A666:B666"/>
    <mergeCell ref="A686:O686"/>
    <mergeCell ref="A689:B689"/>
    <mergeCell ref="C689:H689"/>
    <mergeCell ref="I689:O689"/>
    <mergeCell ref="A690:B690"/>
    <mergeCell ref="C690:G691"/>
    <mergeCell ref="H690:H691"/>
    <mergeCell ref="I690:L691"/>
    <mergeCell ref="M690:M691"/>
    <mergeCell ref="N690:O691"/>
    <mergeCell ref="A691:B691"/>
    <mergeCell ref="M683:O683"/>
    <mergeCell ref="A684:B684"/>
    <mergeCell ref="C684:E684"/>
    <mergeCell ref="F684:G684"/>
    <mergeCell ref="H684:J684"/>
    <mergeCell ref="K684:O684"/>
    <mergeCell ref="A683:B683"/>
    <mergeCell ref="C683:D683"/>
    <mergeCell ref="F683:G683"/>
    <mergeCell ref="H683:I683"/>
    <mergeCell ref="K683:L683"/>
    <mergeCell ref="M708:O708"/>
    <mergeCell ref="A709:B709"/>
    <mergeCell ref="C709:E709"/>
    <mergeCell ref="F709:G709"/>
    <mergeCell ref="H709:J709"/>
    <mergeCell ref="K709:O709"/>
    <mergeCell ref="A708:B708"/>
    <mergeCell ref="C708:D708"/>
    <mergeCell ref="F708:G708"/>
    <mergeCell ref="H708:I708"/>
    <mergeCell ref="K708:L708"/>
    <mergeCell ref="A703:O703"/>
    <mergeCell ref="A706:C706"/>
    <mergeCell ref="D706:O706"/>
    <mergeCell ref="A707:C707"/>
    <mergeCell ref="D707:O707"/>
    <mergeCell ref="A692:B694"/>
    <mergeCell ref="C692:O696"/>
    <mergeCell ref="A695:B695"/>
    <mergeCell ref="A696:B696"/>
    <mergeCell ref="A697:O697"/>
    <mergeCell ref="A728:O728"/>
    <mergeCell ref="A731:C731"/>
    <mergeCell ref="D731:O731"/>
    <mergeCell ref="A732:C732"/>
    <mergeCell ref="D732:O732"/>
    <mergeCell ref="A717:B719"/>
    <mergeCell ref="C717:O721"/>
    <mergeCell ref="A720:B720"/>
    <mergeCell ref="A721:B721"/>
    <mergeCell ref="A722:O722"/>
    <mergeCell ref="A711:O711"/>
    <mergeCell ref="A714:B714"/>
    <mergeCell ref="C714:H714"/>
    <mergeCell ref="I714:O714"/>
    <mergeCell ref="A715:B715"/>
    <mergeCell ref="C715:G716"/>
    <mergeCell ref="H715:H716"/>
    <mergeCell ref="I715:L716"/>
    <mergeCell ref="M715:M716"/>
    <mergeCell ref="N715:O716"/>
    <mergeCell ref="A716:B716"/>
    <mergeCell ref="A736:O736"/>
    <mergeCell ref="A739:B739"/>
    <mergeCell ref="C739:H739"/>
    <mergeCell ref="I739:O739"/>
    <mergeCell ref="A740:B740"/>
    <mergeCell ref="C740:G741"/>
    <mergeCell ref="H740:H741"/>
    <mergeCell ref="I740:L741"/>
    <mergeCell ref="M740:M741"/>
    <mergeCell ref="N740:O741"/>
    <mergeCell ref="A741:B741"/>
    <mergeCell ref="M733:O733"/>
    <mergeCell ref="A734:B734"/>
    <mergeCell ref="C734:E734"/>
    <mergeCell ref="F734:G734"/>
    <mergeCell ref="H734:J734"/>
    <mergeCell ref="K734:O734"/>
    <mergeCell ref="A733:B733"/>
    <mergeCell ref="C733:D733"/>
    <mergeCell ref="F733:G733"/>
    <mergeCell ref="H733:I733"/>
    <mergeCell ref="K733:L733"/>
    <mergeCell ref="M758:O758"/>
    <mergeCell ref="A759:B759"/>
    <mergeCell ref="C759:E759"/>
    <mergeCell ref="F759:G759"/>
    <mergeCell ref="H759:J759"/>
    <mergeCell ref="K759:O759"/>
    <mergeCell ref="A758:B758"/>
    <mergeCell ref="C758:D758"/>
    <mergeCell ref="F758:G758"/>
    <mergeCell ref="H758:I758"/>
    <mergeCell ref="K758:L758"/>
    <mergeCell ref="A753:O753"/>
    <mergeCell ref="A756:C756"/>
    <mergeCell ref="D756:O756"/>
    <mergeCell ref="A757:C757"/>
    <mergeCell ref="D757:O757"/>
    <mergeCell ref="A742:B744"/>
    <mergeCell ref="C742:O746"/>
    <mergeCell ref="A745:B745"/>
    <mergeCell ref="A746:B746"/>
    <mergeCell ref="A747:O747"/>
    <mergeCell ref="A778:O778"/>
    <mergeCell ref="A781:C781"/>
    <mergeCell ref="D781:O781"/>
    <mergeCell ref="A782:C782"/>
    <mergeCell ref="D782:O782"/>
    <mergeCell ref="A767:B769"/>
    <mergeCell ref="C767:O771"/>
    <mergeCell ref="A770:B770"/>
    <mergeCell ref="A771:B771"/>
    <mergeCell ref="A772:O772"/>
    <mergeCell ref="A761:O761"/>
    <mergeCell ref="A764:B764"/>
    <mergeCell ref="C764:H764"/>
    <mergeCell ref="I764:O764"/>
    <mergeCell ref="A765:B765"/>
    <mergeCell ref="C765:G766"/>
    <mergeCell ref="H765:H766"/>
    <mergeCell ref="I765:L766"/>
    <mergeCell ref="M765:M766"/>
    <mergeCell ref="N765:O766"/>
    <mergeCell ref="A766:B766"/>
    <mergeCell ref="A786:O786"/>
    <mergeCell ref="A789:B789"/>
    <mergeCell ref="C789:H789"/>
    <mergeCell ref="I789:O789"/>
    <mergeCell ref="A790:B790"/>
    <mergeCell ref="C790:G791"/>
    <mergeCell ref="H790:H791"/>
    <mergeCell ref="I790:L791"/>
    <mergeCell ref="M790:M791"/>
    <mergeCell ref="N790:O791"/>
    <mergeCell ref="A791:B791"/>
    <mergeCell ref="M783:O783"/>
    <mergeCell ref="A784:B784"/>
    <mergeCell ref="C784:E784"/>
    <mergeCell ref="F784:G784"/>
    <mergeCell ref="H784:J784"/>
    <mergeCell ref="K784:O784"/>
    <mergeCell ref="A783:B783"/>
    <mergeCell ref="C783:D783"/>
    <mergeCell ref="F783:G783"/>
    <mergeCell ref="H783:I783"/>
    <mergeCell ref="K783:L783"/>
    <mergeCell ref="M808:O808"/>
    <mergeCell ref="A809:B809"/>
    <mergeCell ref="C809:E809"/>
    <mergeCell ref="F809:G809"/>
    <mergeCell ref="H809:J809"/>
    <mergeCell ref="K809:O809"/>
    <mergeCell ref="A808:B808"/>
    <mergeCell ref="C808:D808"/>
    <mergeCell ref="F808:G808"/>
    <mergeCell ref="H808:I808"/>
    <mergeCell ref="K808:L808"/>
    <mergeCell ref="A803:O803"/>
    <mergeCell ref="A806:C806"/>
    <mergeCell ref="D806:O806"/>
    <mergeCell ref="A807:C807"/>
    <mergeCell ref="D807:O807"/>
    <mergeCell ref="A792:B794"/>
    <mergeCell ref="C792:O796"/>
    <mergeCell ref="A795:B795"/>
    <mergeCell ref="A796:B796"/>
    <mergeCell ref="A797:O797"/>
    <mergeCell ref="A828:O828"/>
    <mergeCell ref="A831:C831"/>
    <mergeCell ref="D831:O831"/>
    <mergeCell ref="A832:C832"/>
    <mergeCell ref="D832:O832"/>
    <mergeCell ref="A817:B819"/>
    <mergeCell ref="C817:O821"/>
    <mergeCell ref="A820:B820"/>
    <mergeCell ref="A821:B821"/>
    <mergeCell ref="A822:O822"/>
    <mergeCell ref="A811:O811"/>
    <mergeCell ref="A814:B814"/>
    <mergeCell ref="C814:H814"/>
    <mergeCell ref="I814:O814"/>
    <mergeCell ref="A815:B815"/>
    <mergeCell ref="C815:G816"/>
    <mergeCell ref="H815:H816"/>
    <mergeCell ref="I815:L816"/>
    <mergeCell ref="M815:M816"/>
    <mergeCell ref="N815:O816"/>
    <mergeCell ref="A816:B816"/>
    <mergeCell ref="A836:O836"/>
    <mergeCell ref="A839:B839"/>
    <mergeCell ref="C839:H839"/>
    <mergeCell ref="I839:O839"/>
    <mergeCell ref="A840:B840"/>
    <mergeCell ref="C840:G841"/>
    <mergeCell ref="H840:H841"/>
    <mergeCell ref="I840:L841"/>
    <mergeCell ref="M840:M841"/>
    <mergeCell ref="N840:O841"/>
    <mergeCell ref="A841:B841"/>
    <mergeCell ref="M833:O833"/>
    <mergeCell ref="A834:B834"/>
    <mergeCell ref="C834:E834"/>
    <mergeCell ref="F834:G834"/>
    <mergeCell ref="H834:J834"/>
    <mergeCell ref="K834:O834"/>
    <mergeCell ref="A833:B833"/>
    <mergeCell ref="C833:D833"/>
    <mergeCell ref="F833:G833"/>
    <mergeCell ref="H833:I833"/>
    <mergeCell ref="K833:L833"/>
    <mergeCell ref="M858:O858"/>
    <mergeCell ref="A859:B859"/>
    <mergeCell ref="C859:E859"/>
    <mergeCell ref="F859:G859"/>
    <mergeCell ref="H859:J859"/>
    <mergeCell ref="K859:O859"/>
    <mergeCell ref="A858:B858"/>
    <mergeCell ref="C858:D858"/>
    <mergeCell ref="F858:G858"/>
    <mergeCell ref="H858:I858"/>
    <mergeCell ref="K858:L858"/>
    <mergeCell ref="A853:O853"/>
    <mergeCell ref="A856:C856"/>
    <mergeCell ref="D856:O856"/>
    <mergeCell ref="A857:C857"/>
    <mergeCell ref="D857:O857"/>
    <mergeCell ref="A842:B844"/>
    <mergeCell ref="C842:O846"/>
    <mergeCell ref="A845:B845"/>
    <mergeCell ref="A846:B846"/>
    <mergeCell ref="A847:O847"/>
    <mergeCell ref="A878:O878"/>
    <mergeCell ref="A881:C881"/>
    <mergeCell ref="D881:O881"/>
    <mergeCell ref="A882:C882"/>
    <mergeCell ref="D882:O882"/>
    <mergeCell ref="A867:B869"/>
    <mergeCell ref="C867:O871"/>
    <mergeCell ref="A870:B870"/>
    <mergeCell ref="A871:B871"/>
    <mergeCell ref="A872:O872"/>
    <mergeCell ref="A861:O861"/>
    <mergeCell ref="A864:B864"/>
    <mergeCell ref="C864:H864"/>
    <mergeCell ref="I864:O864"/>
    <mergeCell ref="A865:B865"/>
    <mergeCell ref="C865:G866"/>
    <mergeCell ref="H865:H866"/>
    <mergeCell ref="I865:L866"/>
    <mergeCell ref="M865:M866"/>
    <mergeCell ref="N865:O866"/>
    <mergeCell ref="A866:B866"/>
    <mergeCell ref="A886:O886"/>
    <mergeCell ref="A889:B889"/>
    <mergeCell ref="C889:H889"/>
    <mergeCell ref="I889:O889"/>
    <mergeCell ref="A890:B890"/>
    <mergeCell ref="C890:G891"/>
    <mergeCell ref="H890:H891"/>
    <mergeCell ref="I890:L891"/>
    <mergeCell ref="M890:M891"/>
    <mergeCell ref="N890:O891"/>
    <mergeCell ref="A891:B891"/>
    <mergeCell ref="M883:O883"/>
    <mergeCell ref="A884:B884"/>
    <mergeCell ref="C884:E884"/>
    <mergeCell ref="F884:G884"/>
    <mergeCell ref="H884:J884"/>
    <mergeCell ref="K884:O884"/>
    <mergeCell ref="A883:B883"/>
    <mergeCell ref="C883:D883"/>
    <mergeCell ref="F883:G883"/>
    <mergeCell ref="H883:I883"/>
    <mergeCell ref="K883:L883"/>
    <mergeCell ref="M908:O908"/>
    <mergeCell ref="A909:B909"/>
    <mergeCell ref="C909:E909"/>
    <mergeCell ref="F909:G909"/>
    <mergeCell ref="H909:J909"/>
    <mergeCell ref="K909:O909"/>
    <mergeCell ref="A908:B908"/>
    <mergeCell ref="C908:D908"/>
    <mergeCell ref="F908:G908"/>
    <mergeCell ref="H908:I908"/>
    <mergeCell ref="K908:L908"/>
    <mergeCell ref="A903:O903"/>
    <mergeCell ref="A906:C906"/>
    <mergeCell ref="D906:O906"/>
    <mergeCell ref="A907:C907"/>
    <mergeCell ref="D907:O907"/>
    <mergeCell ref="A892:B894"/>
    <mergeCell ref="C892:O896"/>
    <mergeCell ref="A895:B895"/>
    <mergeCell ref="A896:B896"/>
    <mergeCell ref="A897:O897"/>
    <mergeCell ref="A928:O928"/>
    <mergeCell ref="A931:C931"/>
    <mergeCell ref="D931:O931"/>
    <mergeCell ref="A932:C932"/>
    <mergeCell ref="D932:O932"/>
    <mergeCell ref="A917:B919"/>
    <mergeCell ref="C917:O921"/>
    <mergeCell ref="A920:B920"/>
    <mergeCell ref="A921:B921"/>
    <mergeCell ref="A922:O922"/>
    <mergeCell ref="A911:O911"/>
    <mergeCell ref="A914:B914"/>
    <mergeCell ref="C914:H914"/>
    <mergeCell ref="I914:O914"/>
    <mergeCell ref="A915:B915"/>
    <mergeCell ref="C915:G916"/>
    <mergeCell ref="H915:H916"/>
    <mergeCell ref="I915:L916"/>
    <mergeCell ref="M915:M916"/>
    <mergeCell ref="N915:O916"/>
    <mergeCell ref="A916:B916"/>
    <mergeCell ref="A936:O936"/>
    <mergeCell ref="A939:B939"/>
    <mergeCell ref="C939:H939"/>
    <mergeCell ref="I939:O939"/>
    <mergeCell ref="A940:B940"/>
    <mergeCell ref="C940:G941"/>
    <mergeCell ref="H940:H941"/>
    <mergeCell ref="I940:L941"/>
    <mergeCell ref="M940:M941"/>
    <mergeCell ref="N940:O941"/>
    <mergeCell ref="A941:B941"/>
    <mergeCell ref="M933:O933"/>
    <mergeCell ref="A934:B934"/>
    <mergeCell ref="C934:E934"/>
    <mergeCell ref="F934:G934"/>
    <mergeCell ref="H934:J934"/>
    <mergeCell ref="K934:O934"/>
    <mergeCell ref="A933:B933"/>
    <mergeCell ref="C933:D933"/>
    <mergeCell ref="F933:G933"/>
    <mergeCell ref="H933:I933"/>
    <mergeCell ref="K933:L933"/>
    <mergeCell ref="M958:O958"/>
    <mergeCell ref="A959:B959"/>
    <mergeCell ref="C959:E959"/>
    <mergeCell ref="F959:G959"/>
    <mergeCell ref="H959:J959"/>
    <mergeCell ref="K959:O959"/>
    <mergeCell ref="A958:B958"/>
    <mergeCell ref="C958:D958"/>
    <mergeCell ref="F958:G958"/>
    <mergeCell ref="H958:I958"/>
    <mergeCell ref="K958:L958"/>
    <mergeCell ref="A953:O953"/>
    <mergeCell ref="A956:C956"/>
    <mergeCell ref="D956:O956"/>
    <mergeCell ref="A957:C957"/>
    <mergeCell ref="D957:O957"/>
    <mergeCell ref="A942:B944"/>
    <mergeCell ref="C942:O946"/>
    <mergeCell ref="A945:B945"/>
    <mergeCell ref="A946:B946"/>
    <mergeCell ref="A947:O947"/>
    <mergeCell ref="A978:O978"/>
    <mergeCell ref="A981:C981"/>
    <mergeCell ref="D981:O981"/>
    <mergeCell ref="A982:C982"/>
    <mergeCell ref="D982:O982"/>
    <mergeCell ref="A967:B969"/>
    <mergeCell ref="C967:O971"/>
    <mergeCell ref="A970:B970"/>
    <mergeCell ref="A971:B971"/>
    <mergeCell ref="A972:O972"/>
    <mergeCell ref="A961:O961"/>
    <mergeCell ref="A964:B964"/>
    <mergeCell ref="C964:H964"/>
    <mergeCell ref="I964:O964"/>
    <mergeCell ref="A965:B965"/>
    <mergeCell ref="C965:G966"/>
    <mergeCell ref="H965:H966"/>
    <mergeCell ref="I965:L966"/>
    <mergeCell ref="M965:M966"/>
    <mergeCell ref="N965:O966"/>
    <mergeCell ref="A966:B966"/>
    <mergeCell ref="A992:B994"/>
    <mergeCell ref="C992:O996"/>
    <mergeCell ref="A995:B995"/>
    <mergeCell ref="A996:B996"/>
    <mergeCell ref="A997:O997"/>
    <mergeCell ref="A986:O986"/>
    <mergeCell ref="A989:B989"/>
    <mergeCell ref="C989:H989"/>
    <mergeCell ref="I989:O989"/>
    <mergeCell ref="A990:B990"/>
    <mergeCell ref="C990:G991"/>
    <mergeCell ref="H990:H991"/>
    <mergeCell ref="I990:L991"/>
    <mergeCell ref="M990:M991"/>
    <mergeCell ref="N990:O991"/>
    <mergeCell ref="A991:B991"/>
    <mergeCell ref="M983:O983"/>
    <mergeCell ref="A984:B984"/>
    <mergeCell ref="C984:E984"/>
    <mergeCell ref="F984:G984"/>
    <mergeCell ref="H984:J984"/>
    <mergeCell ref="K984:O984"/>
    <mergeCell ref="A983:B983"/>
    <mergeCell ref="C983:D983"/>
    <mergeCell ref="F983:G983"/>
    <mergeCell ref="H983:I983"/>
    <mergeCell ref="K983:L983"/>
  </mergeCells>
  <phoneticPr fontId="15"/>
  <conditionalFormatting sqref="C17:O17 I15 N15">
    <cfRule type="expression" dxfId="253" priority="165">
      <formula>AND($H$8&lt;1500,$Q$23&lt;&gt;1)</formula>
    </cfRule>
  </conditionalFormatting>
  <conditionalFormatting sqref="C42:O46 I40 N40">
    <cfRule type="expression" dxfId="252" priority="162">
      <formula>AND($H$33&lt;1500,$Q$48&lt;&gt;1)</formula>
    </cfRule>
  </conditionalFormatting>
  <conditionalFormatting sqref="C67:O71 I65 N65">
    <cfRule type="expression" dxfId="251" priority="158">
      <formula>AND($H$58&lt;1500,$Q$73&lt;&gt;1)</formula>
    </cfRule>
  </conditionalFormatting>
  <conditionalFormatting sqref="C92:O96 I90 N90">
    <cfRule type="expression" dxfId="250" priority="154">
      <formula>AND($H$83&lt;1500,$Q$98&lt;&gt;1)</formula>
    </cfRule>
  </conditionalFormatting>
  <conditionalFormatting sqref="C117:O121 I115 N115">
    <cfRule type="expression" dxfId="249" priority="150">
      <formula>AND($H$108&lt;1500,$Q$123&lt;&gt;1)</formula>
    </cfRule>
  </conditionalFormatting>
  <conditionalFormatting sqref="C142:O146 I140 N140">
    <cfRule type="expression" dxfId="248" priority="146">
      <formula>AND($H$133&lt;1500,$Q$148&lt;&gt;1)</formula>
    </cfRule>
  </conditionalFormatting>
  <conditionalFormatting sqref="C167:O171 I165 N165">
    <cfRule type="expression" dxfId="247" priority="142">
      <formula>AND($H$158&lt;1500,$Q$173&lt;&gt;1)</formula>
    </cfRule>
  </conditionalFormatting>
  <conditionalFormatting sqref="C192:O196 I190 N190">
    <cfRule type="expression" dxfId="246" priority="138">
      <formula>AND($H$183&lt;1500,$Q$198&lt;&gt;1)</formula>
    </cfRule>
  </conditionalFormatting>
  <conditionalFormatting sqref="C217:O221 I215 N215">
    <cfRule type="expression" dxfId="245" priority="134">
      <formula>AND($H$208&lt;1500,$Q$223&lt;&gt;1)</formula>
    </cfRule>
  </conditionalFormatting>
  <conditionalFormatting sqref="C242:O246 I240 N240">
    <cfRule type="expression" dxfId="244" priority="130">
      <formula>AND($H$233&lt;1500,$Q$248&lt;&gt;1)</formula>
    </cfRule>
  </conditionalFormatting>
  <conditionalFormatting sqref="C267:O271 I265 N265">
    <cfRule type="expression" dxfId="243" priority="126">
      <formula>AND($H$258&lt;1500,$Q$273&lt;&gt;1)</formula>
    </cfRule>
  </conditionalFormatting>
  <conditionalFormatting sqref="C292:O296 I290 N290">
    <cfRule type="expression" dxfId="242" priority="122">
      <formula>AND($H$283&lt;1500,$Q$298&lt;&gt;1)</formula>
    </cfRule>
  </conditionalFormatting>
  <conditionalFormatting sqref="C317:O321 I315 N315">
    <cfRule type="expression" dxfId="241" priority="118">
      <formula>AND($H$308&lt;1500,$Q$323&lt;&gt;1)</formula>
    </cfRule>
  </conditionalFormatting>
  <conditionalFormatting sqref="C342:O346 I340 N340">
    <cfRule type="expression" dxfId="240" priority="114">
      <formula>AND($H$333&lt;1500,$Q$348&lt;&gt;1)</formula>
    </cfRule>
  </conditionalFormatting>
  <conditionalFormatting sqref="C367:O371 I365 N365">
    <cfRule type="expression" dxfId="239" priority="110">
      <formula>AND($H$358&lt;1500,$Q$373&lt;&gt;1)</formula>
    </cfRule>
  </conditionalFormatting>
  <conditionalFormatting sqref="C392:O396 I390 N390">
    <cfRule type="expression" dxfId="238" priority="106">
      <formula>AND($H$383&lt;1500,$Q$398&lt;&gt;1)</formula>
    </cfRule>
  </conditionalFormatting>
  <conditionalFormatting sqref="C417:O421 I415 N415">
    <cfRule type="expression" dxfId="237" priority="102">
      <formula>AND($H$408&lt;1500,$Q$423&lt;&gt;1)</formula>
    </cfRule>
  </conditionalFormatting>
  <conditionalFormatting sqref="C442:O446 I440 N440">
    <cfRule type="expression" dxfId="236" priority="98">
      <formula>AND($H$433&lt;1500,$Q$448&lt;&gt;1)</formula>
    </cfRule>
  </conditionalFormatting>
  <conditionalFormatting sqref="C467:O471 I465 N465">
    <cfRule type="expression" dxfId="235" priority="94">
      <formula>AND($H$458&lt;1500,$Q$473&lt;&gt;1)</formula>
    </cfRule>
  </conditionalFormatting>
  <conditionalFormatting sqref="C492:O496 I490 N490">
    <cfRule type="expression" dxfId="234" priority="90">
      <formula>AND($H$483&lt;1500,$Q$498&lt;&gt;1)</formula>
    </cfRule>
  </conditionalFormatting>
  <conditionalFormatting sqref="C517:O521 I515 N515">
    <cfRule type="expression" dxfId="233" priority="86">
      <formula>AND($H$508&lt;1500,$Q$523&lt;&gt;1)</formula>
    </cfRule>
  </conditionalFormatting>
  <conditionalFormatting sqref="C542:O546 I540 N540">
    <cfRule type="expression" dxfId="232" priority="82">
      <formula>AND($H$533&lt;1500,$Q$548&lt;&gt;1)</formula>
    </cfRule>
  </conditionalFormatting>
  <conditionalFormatting sqref="C567:O571 I565 N565">
    <cfRule type="expression" dxfId="231" priority="78">
      <formula>AND($H$558&lt;1500,$Q$573&lt;&gt;1)</formula>
    </cfRule>
  </conditionalFormatting>
  <conditionalFormatting sqref="C592:O596 I590 N590">
    <cfRule type="expression" dxfId="230" priority="74">
      <formula>AND($H$583&lt;1500,$Q$598&lt;&gt;1)</formula>
    </cfRule>
  </conditionalFormatting>
  <conditionalFormatting sqref="C617:O621 I615 N615">
    <cfRule type="expression" dxfId="229" priority="70">
      <formula>AND($H$608&lt;1500,$Q$623&lt;&gt;1)</formula>
    </cfRule>
  </conditionalFormatting>
  <conditionalFormatting sqref="C642:O646 I640 N640">
    <cfRule type="expression" dxfId="228" priority="66">
      <formula>AND($H$633&lt;1500,$Q$648&lt;&gt;1)</formula>
    </cfRule>
  </conditionalFormatting>
  <conditionalFormatting sqref="C667:O671 I665 N665">
    <cfRule type="expression" dxfId="227" priority="62">
      <formula>AND($H$658&lt;1500,$Q$673&lt;&gt;1)</formula>
    </cfRule>
  </conditionalFormatting>
  <conditionalFormatting sqref="C692:O696 I690 N690">
    <cfRule type="expression" dxfId="226" priority="58">
      <formula>AND($H$683&lt;1500,$Q$698&lt;&gt;1)</formula>
    </cfRule>
  </conditionalFormatting>
  <conditionalFormatting sqref="C717:O721 I715 N715">
    <cfRule type="expression" dxfId="225" priority="54">
      <formula>AND($H$708&lt;1500,$Q$723&lt;&gt;1)</formula>
    </cfRule>
  </conditionalFormatting>
  <conditionalFormatting sqref="C742:O746 I740 N740">
    <cfRule type="expression" dxfId="224" priority="50">
      <formula>AND($H$733&lt;1500,$Q$748&lt;&gt;1)</formula>
    </cfRule>
  </conditionalFormatting>
  <conditionalFormatting sqref="C767:O771 I765 N765">
    <cfRule type="expression" dxfId="223" priority="46">
      <formula>AND($H$758&lt;1500,$Q$773&lt;&gt;1)</formula>
    </cfRule>
  </conditionalFormatting>
  <conditionalFormatting sqref="C792:O796 I790 N790">
    <cfRule type="expression" dxfId="222" priority="42">
      <formula>AND($H$783&lt;1500,$Q$798&lt;&gt;1)</formula>
    </cfRule>
  </conditionalFormatting>
  <conditionalFormatting sqref="C817:O821 I815 N815">
    <cfRule type="expression" dxfId="221" priority="38">
      <formula>AND($H$808&lt;1500,$Q$823&lt;&gt;1)</formula>
    </cfRule>
  </conditionalFormatting>
  <conditionalFormatting sqref="C842:O846 I840 N840">
    <cfRule type="expression" dxfId="220" priority="34">
      <formula>AND($H$833&lt;1500,$Q$848&lt;&gt;1)</formula>
    </cfRule>
  </conditionalFormatting>
  <conditionalFormatting sqref="C867:O871 I865 N865">
    <cfRule type="expression" dxfId="219" priority="30">
      <formula>AND($H$858&lt;1500,$Q$873&lt;&gt;1)</formula>
    </cfRule>
  </conditionalFormatting>
  <conditionalFormatting sqref="C892:O896 I890 N890">
    <cfRule type="expression" dxfId="218" priority="26">
      <formula>AND($H$883&lt;1500,$Q$898&lt;&gt;1)</formula>
    </cfRule>
  </conditionalFormatting>
  <conditionalFormatting sqref="C917:O921 I915 N915">
    <cfRule type="expression" dxfId="217" priority="22">
      <formula>AND($H$908&lt;1500,$Q$923&lt;&gt;1)</formula>
    </cfRule>
  </conditionalFormatting>
  <conditionalFormatting sqref="C942:O946 I940 N940">
    <cfRule type="expression" dxfId="216" priority="18">
      <formula>AND($H$933&lt;1500,$Q$948&lt;&gt;1)</formula>
    </cfRule>
  </conditionalFormatting>
  <conditionalFormatting sqref="C967:O971 I965 N965">
    <cfRule type="expression" dxfId="215" priority="14">
      <formula>AND($H$958&lt;1500,$Q$973&lt;&gt;1)</formula>
    </cfRule>
  </conditionalFormatting>
  <conditionalFormatting sqref="C992 I990 N990">
    <cfRule type="expression" dxfId="214" priority="494">
      <formula>AND($H$983&lt;1500,$Q$998&lt;&gt;1)</formula>
    </cfRule>
  </conditionalFormatting>
  <dataValidations count="4">
    <dataValidation type="list" allowBlank="1" showInputMessage="1" showErrorMessage="1" sqref="M8:O8 M33:O33 M58:O58 M83:O83 M108:O108 M133:O133 M158:O158 M183:O183 M208:O208 M233:O233 M258:O258 M283:O283 M308:O308 M333:O333 M358:O358 M383:O383 M408:O408 M433:O433 M458:O458 M483:O483 M508:O508 M533:O533 M558:O558 M583:O583 M608:O608 M633:O633 M658:O658 M683:O683 M708:O708 M733:O733 M758:O758 M783:O783 M808:O808 M833:O833 M858:O858 M883:O883 M908:O908 M933:O933 M958:O958 M983:O983" xr:uid="{00000000-0002-0000-4100-000000000000}">
      <formula1>$U$1:$U$17</formula1>
    </dataValidation>
    <dataValidation type="custom" allowBlank="1" showInputMessage="1" showErrorMessage="1" error="寄与度が設定されています。" sqref="Z17 Z42 Z67 Z92 Z117 Z142 Z167 Z192 Z217 Z242 Z267 Z292 Z317 Z342 Z367 Z392 Z417 Z442 Z467 Z492 Z517 Z542 Z567 Z592 Z617 Z642 Z667 Z692 Z717 Z742 Z767 Z792 Z817 Z842 Z867 Z892 Z917 Z942 Z967 Z992" xr:uid="{00000000-0002-0000-4100-000001000000}">
      <formula1>#REF!=""</formula1>
    </dataValidation>
    <dataValidation type="list" allowBlank="1" showInputMessage="1" showErrorMessage="1" sqref="C9:E9 C34:E34 C59:E59 C84:E84 C109:E109 C134:E134 C159:E159 C184:E184 C209:E209 C234:E234 C259:E259 C284:E284 C309:E309 C334:E334 C359:E359 C384:E384 C409:E409 C434:E434 C459:E459 C484:E484 C509:E509 C534:E534 C559:E559 C584:E584 C609:E609 C634:E634 C659:E659 C684:E684 C709:E709 C734:E734 C759:E759 C784:E784 C809:E809 C834:E834 C859:E859 C884:E884 C909:E909 C934:E934 C959:E959 C984:E984" xr:uid="{00000000-0002-0000-4100-000002000000}">
      <formula1>$T$8:$T$10</formula1>
    </dataValidation>
    <dataValidation type="list" allowBlank="1" showInputMessage="1" showErrorMessage="1" sqref="H9:J9 H34:J34 H59:J59 H84:J84 H109:J109 H134:J134 H159:J159 H184:J184 H209:J209 H234:J234 H259:J259 H284:J284 H309:J309 H334:J334 H359:J359 H384:J384 H409:J409 H434:J434 H459:J459 H484:J484 H509:J509 H534:J534 H559:J559 H584:J584 H609:J609 H634:J634 H659:J659 H684:J684 H709:J709 H734:J734 H759:J759 H784:J784 H809:J809 H834:J834 H859:J859 H884:J884 H909:J909 H934:J934 H959:J959 H984:J984" xr:uid="{00000000-0002-0000-4100-000003000000}">
      <formula1>$R$8:$R$10</formula1>
    </dataValidation>
  </dataValidations>
  <printOptions horizontalCentered="1"/>
  <pageMargins left="0.59055118110236227" right="0.59055118110236227" top="0.39370078740157483" bottom="0.59055118110236227" header="0.31496062992125984" footer="0.23622047244094491"/>
  <pageSetup paperSize="9" scale="9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9442" r:id="rId4" name="Option Button 1記入する">
              <controlPr defaultSize="0" autoFill="0" autoLine="0" autoPict="0">
                <anchor moveWithCells="1">
                  <from>
                    <xdr:col>15</xdr:col>
                    <xdr:colOff>895350</xdr:colOff>
                    <xdr:row>18</xdr:row>
                    <xdr:rowOff>228600</xdr:rowOff>
                  </from>
                  <to>
                    <xdr:col>15</xdr:col>
                    <xdr:colOff>2600325</xdr:colOff>
                    <xdr:row>20</xdr:row>
                    <xdr:rowOff>57150</xdr:rowOff>
                  </to>
                </anchor>
              </controlPr>
            </control>
          </mc:Choice>
        </mc:AlternateContent>
        <mc:AlternateContent xmlns:mc="http://schemas.openxmlformats.org/markup-compatibility/2006">
          <mc:Choice Requires="x14">
            <control shapeId="189443" r:id="rId5" name="Option Button 1記入しない">
              <controlPr defaultSize="0" autoFill="0" autoLine="0" autoPict="0">
                <anchor moveWithCells="1">
                  <from>
                    <xdr:col>15</xdr:col>
                    <xdr:colOff>895350</xdr:colOff>
                    <xdr:row>20</xdr:row>
                    <xdr:rowOff>114300</xdr:rowOff>
                  </from>
                  <to>
                    <xdr:col>15</xdr:col>
                    <xdr:colOff>1914525</xdr:colOff>
                    <xdr:row>20</xdr:row>
                    <xdr:rowOff>381000</xdr:rowOff>
                  </to>
                </anchor>
              </controlPr>
            </control>
          </mc:Choice>
        </mc:AlternateContent>
        <mc:AlternateContent xmlns:mc="http://schemas.openxmlformats.org/markup-compatibility/2006">
          <mc:Choice Requires="x14">
            <control shapeId="189446" r:id="rId6" name="Option Button 2記入する">
              <controlPr defaultSize="0" autoFill="0" autoLine="0" autoPict="0">
                <anchor moveWithCells="1">
                  <from>
                    <xdr:col>15</xdr:col>
                    <xdr:colOff>895350</xdr:colOff>
                    <xdr:row>43</xdr:row>
                    <xdr:rowOff>228600</xdr:rowOff>
                  </from>
                  <to>
                    <xdr:col>15</xdr:col>
                    <xdr:colOff>2600325</xdr:colOff>
                    <xdr:row>45</xdr:row>
                    <xdr:rowOff>57150</xdr:rowOff>
                  </to>
                </anchor>
              </controlPr>
            </control>
          </mc:Choice>
        </mc:AlternateContent>
        <mc:AlternateContent xmlns:mc="http://schemas.openxmlformats.org/markup-compatibility/2006">
          <mc:Choice Requires="x14">
            <control shapeId="189447" r:id="rId7" name="Option Button 2記入しない">
              <controlPr defaultSize="0" autoFill="0" autoLine="0" autoPict="0">
                <anchor moveWithCells="1">
                  <from>
                    <xdr:col>15</xdr:col>
                    <xdr:colOff>895350</xdr:colOff>
                    <xdr:row>45</xdr:row>
                    <xdr:rowOff>114300</xdr:rowOff>
                  </from>
                  <to>
                    <xdr:col>15</xdr:col>
                    <xdr:colOff>1914525</xdr:colOff>
                    <xdr:row>45</xdr:row>
                    <xdr:rowOff>381000</xdr:rowOff>
                  </to>
                </anchor>
              </controlPr>
            </control>
          </mc:Choice>
        </mc:AlternateContent>
        <mc:AlternateContent xmlns:mc="http://schemas.openxmlformats.org/markup-compatibility/2006">
          <mc:Choice Requires="x14">
            <control shapeId="189451" r:id="rId8" name="Group Box 2">
              <controlPr defaultSize="0" autoFill="0" autoPict="0">
                <anchor moveWithCells="1">
                  <from>
                    <xdr:col>15</xdr:col>
                    <xdr:colOff>704850</xdr:colOff>
                    <xdr:row>43</xdr:row>
                    <xdr:rowOff>133350</xdr:rowOff>
                  </from>
                  <to>
                    <xdr:col>15</xdr:col>
                    <xdr:colOff>2828925</xdr:colOff>
                    <xdr:row>45</xdr:row>
                    <xdr:rowOff>390525</xdr:rowOff>
                  </to>
                </anchor>
              </controlPr>
            </control>
          </mc:Choice>
        </mc:AlternateContent>
        <mc:AlternateContent xmlns:mc="http://schemas.openxmlformats.org/markup-compatibility/2006">
          <mc:Choice Requires="x14">
            <control shapeId="189453" r:id="rId9" name="Group Box 1">
              <controlPr defaultSize="0" autoFill="0" autoPict="0">
                <anchor moveWithCells="1">
                  <from>
                    <xdr:col>15</xdr:col>
                    <xdr:colOff>647700</xdr:colOff>
                    <xdr:row>18</xdr:row>
                    <xdr:rowOff>123825</xdr:rowOff>
                  </from>
                  <to>
                    <xdr:col>15</xdr:col>
                    <xdr:colOff>2838450</xdr:colOff>
                    <xdr:row>20</xdr:row>
                    <xdr:rowOff>400050</xdr:rowOff>
                  </to>
                </anchor>
              </controlPr>
            </control>
          </mc:Choice>
        </mc:AlternateContent>
        <mc:AlternateContent xmlns:mc="http://schemas.openxmlformats.org/markup-compatibility/2006">
          <mc:Choice Requires="x14">
            <control shapeId="189458" r:id="rId10" name="Option Button 18">
              <controlPr defaultSize="0" autoFill="0" autoLine="0" autoPict="0">
                <anchor moveWithCells="1">
                  <from>
                    <xdr:col>15</xdr:col>
                    <xdr:colOff>895350</xdr:colOff>
                    <xdr:row>68</xdr:row>
                    <xdr:rowOff>228600</xdr:rowOff>
                  </from>
                  <to>
                    <xdr:col>15</xdr:col>
                    <xdr:colOff>2600325</xdr:colOff>
                    <xdr:row>70</xdr:row>
                    <xdr:rowOff>57150</xdr:rowOff>
                  </to>
                </anchor>
              </controlPr>
            </control>
          </mc:Choice>
        </mc:AlternateContent>
        <mc:AlternateContent xmlns:mc="http://schemas.openxmlformats.org/markup-compatibility/2006">
          <mc:Choice Requires="x14">
            <control shapeId="189459" r:id="rId11" name="Option Button 19">
              <controlPr defaultSize="0" autoFill="0" autoLine="0" autoPict="0">
                <anchor moveWithCells="1">
                  <from>
                    <xdr:col>15</xdr:col>
                    <xdr:colOff>895350</xdr:colOff>
                    <xdr:row>70</xdr:row>
                    <xdr:rowOff>114300</xdr:rowOff>
                  </from>
                  <to>
                    <xdr:col>15</xdr:col>
                    <xdr:colOff>1914525</xdr:colOff>
                    <xdr:row>70</xdr:row>
                    <xdr:rowOff>381000</xdr:rowOff>
                  </to>
                </anchor>
              </controlPr>
            </control>
          </mc:Choice>
        </mc:AlternateContent>
        <mc:AlternateContent xmlns:mc="http://schemas.openxmlformats.org/markup-compatibility/2006">
          <mc:Choice Requires="x14">
            <control shapeId="189460" r:id="rId12" name="Group Box 20">
              <controlPr defaultSize="0" autoFill="0" autoPict="0">
                <anchor moveWithCells="1">
                  <from>
                    <xdr:col>15</xdr:col>
                    <xdr:colOff>704850</xdr:colOff>
                    <xdr:row>68</xdr:row>
                    <xdr:rowOff>133350</xdr:rowOff>
                  </from>
                  <to>
                    <xdr:col>15</xdr:col>
                    <xdr:colOff>2828925</xdr:colOff>
                    <xdr:row>70</xdr:row>
                    <xdr:rowOff>390525</xdr:rowOff>
                  </to>
                </anchor>
              </controlPr>
            </control>
          </mc:Choice>
        </mc:AlternateContent>
        <mc:AlternateContent xmlns:mc="http://schemas.openxmlformats.org/markup-compatibility/2006">
          <mc:Choice Requires="x14">
            <control shapeId="189461" r:id="rId13" name="Option Button 21">
              <controlPr defaultSize="0" autoFill="0" autoLine="0" autoPict="0">
                <anchor moveWithCells="1">
                  <from>
                    <xdr:col>15</xdr:col>
                    <xdr:colOff>895350</xdr:colOff>
                    <xdr:row>93</xdr:row>
                    <xdr:rowOff>228600</xdr:rowOff>
                  </from>
                  <to>
                    <xdr:col>15</xdr:col>
                    <xdr:colOff>2600325</xdr:colOff>
                    <xdr:row>95</xdr:row>
                    <xdr:rowOff>57150</xdr:rowOff>
                  </to>
                </anchor>
              </controlPr>
            </control>
          </mc:Choice>
        </mc:AlternateContent>
        <mc:AlternateContent xmlns:mc="http://schemas.openxmlformats.org/markup-compatibility/2006">
          <mc:Choice Requires="x14">
            <control shapeId="189462" r:id="rId14" name="Option Button 22">
              <controlPr defaultSize="0" autoFill="0" autoLine="0" autoPict="0">
                <anchor moveWithCells="1">
                  <from>
                    <xdr:col>15</xdr:col>
                    <xdr:colOff>895350</xdr:colOff>
                    <xdr:row>95</xdr:row>
                    <xdr:rowOff>114300</xdr:rowOff>
                  </from>
                  <to>
                    <xdr:col>15</xdr:col>
                    <xdr:colOff>1914525</xdr:colOff>
                    <xdr:row>95</xdr:row>
                    <xdr:rowOff>381000</xdr:rowOff>
                  </to>
                </anchor>
              </controlPr>
            </control>
          </mc:Choice>
        </mc:AlternateContent>
        <mc:AlternateContent xmlns:mc="http://schemas.openxmlformats.org/markup-compatibility/2006">
          <mc:Choice Requires="x14">
            <control shapeId="189463" r:id="rId15" name="Group Box 23">
              <controlPr defaultSize="0" autoFill="0" autoPict="0">
                <anchor moveWithCells="1">
                  <from>
                    <xdr:col>15</xdr:col>
                    <xdr:colOff>704850</xdr:colOff>
                    <xdr:row>93</xdr:row>
                    <xdr:rowOff>133350</xdr:rowOff>
                  </from>
                  <to>
                    <xdr:col>15</xdr:col>
                    <xdr:colOff>2828925</xdr:colOff>
                    <xdr:row>95</xdr:row>
                    <xdr:rowOff>390525</xdr:rowOff>
                  </to>
                </anchor>
              </controlPr>
            </control>
          </mc:Choice>
        </mc:AlternateContent>
        <mc:AlternateContent xmlns:mc="http://schemas.openxmlformats.org/markup-compatibility/2006">
          <mc:Choice Requires="x14">
            <control shapeId="189464" r:id="rId16" name="Option Button 24">
              <controlPr defaultSize="0" autoFill="0" autoLine="0" autoPict="0">
                <anchor moveWithCells="1">
                  <from>
                    <xdr:col>15</xdr:col>
                    <xdr:colOff>895350</xdr:colOff>
                    <xdr:row>118</xdr:row>
                    <xdr:rowOff>228600</xdr:rowOff>
                  </from>
                  <to>
                    <xdr:col>15</xdr:col>
                    <xdr:colOff>2600325</xdr:colOff>
                    <xdr:row>120</xdr:row>
                    <xdr:rowOff>57150</xdr:rowOff>
                  </to>
                </anchor>
              </controlPr>
            </control>
          </mc:Choice>
        </mc:AlternateContent>
        <mc:AlternateContent xmlns:mc="http://schemas.openxmlformats.org/markup-compatibility/2006">
          <mc:Choice Requires="x14">
            <control shapeId="189465" r:id="rId17" name="Option Button 25">
              <controlPr defaultSize="0" autoFill="0" autoLine="0" autoPict="0">
                <anchor moveWithCells="1">
                  <from>
                    <xdr:col>15</xdr:col>
                    <xdr:colOff>895350</xdr:colOff>
                    <xdr:row>120</xdr:row>
                    <xdr:rowOff>114300</xdr:rowOff>
                  </from>
                  <to>
                    <xdr:col>15</xdr:col>
                    <xdr:colOff>1914525</xdr:colOff>
                    <xdr:row>120</xdr:row>
                    <xdr:rowOff>381000</xdr:rowOff>
                  </to>
                </anchor>
              </controlPr>
            </control>
          </mc:Choice>
        </mc:AlternateContent>
        <mc:AlternateContent xmlns:mc="http://schemas.openxmlformats.org/markup-compatibility/2006">
          <mc:Choice Requires="x14">
            <control shapeId="189466" r:id="rId18" name="Group Box 26">
              <controlPr defaultSize="0" autoFill="0" autoPict="0">
                <anchor moveWithCells="1">
                  <from>
                    <xdr:col>15</xdr:col>
                    <xdr:colOff>704850</xdr:colOff>
                    <xdr:row>118</xdr:row>
                    <xdr:rowOff>133350</xdr:rowOff>
                  </from>
                  <to>
                    <xdr:col>15</xdr:col>
                    <xdr:colOff>2828925</xdr:colOff>
                    <xdr:row>120</xdr:row>
                    <xdr:rowOff>390525</xdr:rowOff>
                  </to>
                </anchor>
              </controlPr>
            </control>
          </mc:Choice>
        </mc:AlternateContent>
        <mc:AlternateContent xmlns:mc="http://schemas.openxmlformats.org/markup-compatibility/2006">
          <mc:Choice Requires="x14">
            <control shapeId="189467" r:id="rId19" name="Option Button 27">
              <controlPr defaultSize="0" autoFill="0" autoLine="0" autoPict="0">
                <anchor moveWithCells="1">
                  <from>
                    <xdr:col>15</xdr:col>
                    <xdr:colOff>895350</xdr:colOff>
                    <xdr:row>143</xdr:row>
                    <xdr:rowOff>228600</xdr:rowOff>
                  </from>
                  <to>
                    <xdr:col>15</xdr:col>
                    <xdr:colOff>2600325</xdr:colOff>
                    <xdr:row>145</xdr:row>
                    <xdr:rowOff>57150</xdr:rowOff>
                  </to>
                </anchor>
              </controlPr>
            </control>
          </mc:Choice>
        </mc:AlternateContent>
        <mc:AlternateContent xmlns:mc="http://schemas.openxmlformats.org/markup-compatibility/2006">
          <mc:Choice Requires="x14">
            <control shapeId="189468" r:id="rId20" name="Option Button 28">
              <controlPr defaultSize="0" autoFill="0" autoLine="0" autoPict="0">
                <anchor moveWithCells="1">
                  <from>
                    <xdr:col>15</xdr:col>
                    <xdr:colOff>895350</xdr:colOff>
                    <xdr:row>145</xdr:row>
                    <xdr:rowOff>114300</xdr:rowOff>
                  </from>
                  <to>
                    <xdr:col>15</xdr:col>
                    <xdr:colOff>1914525</xdr:colOff>
                    <xdr:row>145</xdr:row>
                    <xdr:rowOff>381000</xdr:rowOff>
                  </to>
                </anchor>
              </controlPr>
            </control>
          </mc:Choice>
        </mc:AlternateContent>
        <mc:AlternateContent xmlns:mc="http://schemas.openxmlformats.org/markup-compatibility/2006">
          <mc:Choice Requires="x14">
            <control shapeId="189469" r:id="rId21" name="Group Box 29">
              <controlPr defaultSize="0" autoFill="0" autoPict="0">
                <anchor moveWithCells="1">
                  <from>
                    <xdr:col>15</xdr:col>
                    <xdr:colOff>704850</xdr:colOff>
                    <xdr:row>143</xdr:row>
                    <xdr:rowOff>133350</xdr:rowOff>
                  </from>
                  <to>
                    <xdr:col>15</xdr:col>
                    <xdr:colOff>2828925</xdr:colOff>
                    <xdr:row>145</xdr:row>
                    <xdr:rowOff>390525</xdr:rowOff>
                  </to>
                </anchor>
              </controlPr>
            </control>
          </mc:Choice>
        </mc:AlternateContent>
        <mc:AlternateContent xmlns:mc="http://schemas.openxmlformats.org/markup-compatibility/2006">
          <mc:Choice Requires="x14">
            <control shapeId="189470" r:id="rId22" name="Option Button 30">
              <controlPr defaultSize="0" autoFill="0" autoLine="0" autoPict="0">
                <anchor moveWithCells="1">
                  <from>
                    <xdr:col>15</xdr:col>
                    <xdr:colOff>895350</xdr:colOff>
                    <xdr:row>168</xdr:row>
                    <xdr:rowOff>228600</xdr:rowOff>
                  </from>
                  <to>
                    <xdr:col>15</xdr:col>
                    <xdr:colOff>2600325</xdr:colOff>
                    <xdr:row>170</xdr:row>
                    <xdr:rowOff>57150</xdr:rowOff>
                  </to>
                </anchor>
              </controlPr>
            </control>
          </mc:Choice>
        </mc:AlternateContent>
        <mc:AlternateContent xmlns:mc="http://schemas.openxmlformats.org/markup-compatibility/2006">
          <mc:Choice Requires="x14">
            <control shapeId="189471" r:id="rId23" name="Option Button 31">
              <controlPr defaultSize="0" autoFill="0" autoLine="0" autoPict="0">
                <anchor moveWithCells="1">
                  <from>
                    <xdr:col>15</xdr:col>
                    <xdr:colOff>895350</xdr:colOff>
                    <xdr:row>170</xdr:row>
                    <xdr:rowOff>114300</xdr:rowOff>
                  </from>
                  <to>
                    <xdr:col>15</xdr:col>
                    <xdr:colOff>1914525</xdr:colOff>
                    <xdr:row>170</xdr:row>
                    <xdr:rowOff>381000</xdr:rowOff>
                  </to>
                </anchor>
              </controlPr>
            </control>
          </mc:Choice>
        </mc:AlternateContent>
        <mc:AlternateContent xmlns:mc="http://schemas.openxmlformats.org/markup-compatibility/2006">
          <mc:Choice Requires="x14">
            <control shapeId="189472" r:id="rId24" name="Group Box 32">
              <controlPr defaultSize="0" autoFill="0" autoPict="0">
                <anchor moveWithCells="1">
                  <from>
                    <xdr:col>15</xdr:col>
                    <xdr:colOff>704850</xdr:colOff>
                    <xdr:row>168</xdr:row>
                    <xdr:rowOff>133350</xdr:rowOff>
                  </from>
                  <to>
                    <xdr:col>15</xdr:col>
                    <xdr:colOff>2828925</xdr:colOff>
                    <xdr:row>170</xdr:row>
                    <xdr:rowOff>390525</xdr:rowOff>
                  </to>
                </anchor>
              </controlPr>
            </control>
          </mc:Choice>
        </mc:AlternateContent>
        <mc:AlternateContent xmlns:mc="http://schemas.openxmlformats.org/markup-compatibility/2006">
          <mc:Choice Requires="x14">
            <control shapeId="189473" r:id="rId25" name="Option Button 33">
              <controlPr defaultSize="0" autoFill="0" autoLine="0" autoPict="0">
                <anchor moveWithCells="1">
                  <from>
                    <xdr:col>15</xdr:col>
                    <xdr:colOff>895350</xdr:colOff>
                    <xdr:row>193</xdr:row>
                    <xdr:rowOff>228600</xdr:rowOff>
                  </from>
                  <to>
                    <xdr:col>15</xdr:col>
                    <xdr:colOff>2600325</xdr:colOff>
                    <xdr:row>195</xdr:row>
                    <xdr:rowOff>57150</xdr:rowOff>
                  </to>
                </anchor>
              </controlPr>
            </control>
          </mc:Choice>
        </mc:AlternateContent>
        <mc:AlternateContent xmlns:mc="http://schemas.openxmlformats.org/markup-compatibility/2006">
          <mc:Choice Requires="x14">
            <control shapeId="189474" r:id="rId26" name="Option Button 34">
              <controlPr defaultSize="0" autoFill="0" autoLine="0" autoPict="0">
                <anchor moveWithCells="1">
                  <from>
                    <xdr:col>15</xdr:col>
                    <xdr:colOff>895350</xdr:colOff>
                    <xdr:row>195</xdr:row>
                    <xdr:rowOff>114300</xdr:rowOff>
                  </from>
                  <to>
                    <xdr:col>15</xdr:col>
                    <xdr:colOff>1914525</xdr:colOff>
                    <xdr:row>195</xdr:row>
                    <xdr:rowOff>381000</xdr:rowOff>
                  </to>
                </anchor>
              </controlPr>
            </control>
          </mc:Choice>
        </mc:AlternateContent>
        <mc:AlternateContent xmlns:mc="http://schemas.openxmlformats.org/markup-compatibility/2006">
          <mc:Choice Requires="x14">
            <control shapeId="189475" r:id="rId27" name="Group Box 35">
              <controlPr defaultSize="0" autoFill="0" autoPict="0">
                <anchor moveWithCells="1">
                  <from>
                    <xdr:col>15</xdr:col>
                    <xdr:colOff>704850</xdr:colOff>
                    <xdr:row>193</xdr:row>
                    <xdr:rowOff>133350</xdr:rowOff>
                  </from>
                  <to>
                    <xdr:col>15</xdr:col>
                    <xdr:colOff>2828925</xdr:colOff>
                    <xdr:row>195</xdr:row>
                    <xdr:rowOff>390525</xdr:rowOff>
                  </to>
                </anchor>
              </controlPr>
            </control>
          </mc:Choice>
        </mc:AlternateContent>
        <mc:AlternateContent xmlns:mc="http://schemas.openxmlformats.org/markup-compatibility/2006">
          <mc:Choice Requires="x14">
            <control shapeId="189476" r:id="rId28" name="Option Button 36">
              <controlPr defaultSize="0" autoFill="0" autoLine="0" autoPict="0">
                <anchor moveWithCells="1">
                  <from>
                    <xdr:col>15</xdr:col>
                    <xdr:colOff>895350</xdr:colOff>
                    <xdr:row>218</xdr:row>
                    <xdr:rowOff>228600</xdr:rowOff>
                  </from>
                  <to>
                    <xdr:col>15</xdr:col>
                    <xdr:colOff>2600325</xdr:colOff>
                    <xdr:row>220</xdr:row>
                    <xdr:rowOff>57150</xdr:rowOff>
                  </to>
                </anchor>
              </controlPr>
            </control>
          </mc:Choice>
        </mc:AlternateContent>
        <mc:AlternateContent xmlns:mc="http://schemas.openxmlformats.org/markup-compatibility/2006">
          <mc:Choice Requires="x14">
            <control shapeId="189477" r:id="rId29" name="Option Button 37">
              <controlPr defaultSize="0" autoFill="0" autoLine="0" autoPict="0">
                <anchor moveWithCells="1">
                  <from>
                    <xdr:col>15</xdr:col>
                    <xdr:colOff>895350</xdr:colOff>
                    <xdr:row>220</xdr:row>
                    <xdr:rowOff>114300</xdr:rowOff>
                  </from>
                  <to>
                    <xdr:col>15</xdr:col>
                    <xdr:colOff>1914525</xdr:colOff>
                    <xdr:row>220</xdr:row>
                    <xdr:rowOff>381000</xdr:rowOff>
                  </to>
                </anchor>
              </controlPr>
            </control>
          </mc:Choice>
        </mc:AlternateContent>
        <mc:AlternateContent xmlns:mc="http://schemas.openxmlformats.org/markup-compatibility/2006">
          <mc:Choice Requires="x14">
            <control shapeId="189478" r:id="rId30" name="Group Box 38">
              <controlPr defaultSize="0" autoFill="0" autoPict="0">
                <anchor moveWithCells="1">
                  <from>
                    <xdr:col>15</xdr:col>
                    <xdr:colOff>704850</xdr:colOff>
                    <xdr:row>218</xdr:row>
                    <xdr:rowOff>133350</xdr:rowOff>
                  </from>
                  <to>
                    <xdr:col>15</xdr:col>
                    <xdr:colOff>2828925</xdr:colOff>
                    <xdr:row>220</xdr:row>
                    <xdr:rowOff>390525</xdr:rowOff>
                  </to>
                </anchor>
              </controlPr>
            </control>
          </mc:Choice>
        </mc:AlternateContent>
        <mc:AlternateContent xmlns:mc="http://schemas.openxmlformats.org/markup-compatibility/2006">
          <mc:Choice Requires="x14">
            <control shapeId="189479" r:id="rId31" name="Option Button 39">
              <controlPr defaultSize="0" autoFill="0" autoLine="0" autoPict="0">
                <anchor moveWithCells="1">
                  <from>
                    <xdr:col>15</xdr:col>
                    <xdr:colOff>895350</xdr:colOff>
                    <xdr:row>243</xdr:row>
                    <xdr:rowOff>228600</xdr:rowOff>
                  </from>
                  <to>
                    <xdr:col>15</xdr:col>
                    <xdr:colOff>2600325</xdr:colOff>
                    <xdr:row>245</xdr:row>
                    <xdr:rowOff>57150</xdr:rowOff>
                  </to>
                </anchor>
              </controlPr>
            </control>
          </mc:Choice>
        </mc:AlternateContent>
        <mc:AlternateContent xmlns:mc="http://schemas.openxmlformats.org/markup-compatibility/2006">
          <mc:Choice Requires="x14">
            <control shapeId="189480" r:id="rId32" name="Option Button 40">
              <controlPr defaultSize="0" autoFill="0" autoLine="0" autoPict="0">
                <anchor moveWithCells="1">
                  <from>
                    <xdr:col>15</xdr:col>
                    <xdr:colOff>895350</xdr:colOff>
                    <xdr:row>245</xdr:row>
                    <xdr:rowOff>114300</xdr:rowOff>
                  </from>
                  <to>
                    <xdr:col>15</xdr:col>
                    <xdr:colOff>1914525</xdr:colOff>
                    <xdr:row>245</xdr:row>
                    <xdr:rowOff>381000</xdr:rowOff>
                  </to>
                </anchor>
              </controlPr>
            </control>
          </mc:Choice>
        </mc:AlternateContent>
        <mc:AlternateContent xmlns:mc="http://schemas.openxmlformats.org/markup-compatibility/2006">
          <mc:Choice Requires="x14">
            <control shapeId="189481" r:id="rId33" name="Group Box 41">
              <controlPr defaultSize="0" autoFill="0" autoPict="0">
                <anchor moveWithCells="1">
                  <from>
                    <xdr:col>15</xdr:col>
                    <xdr:colOff>704850</xdr:colOff>
                    <xdr:row>243</xdr:row>
                    <xdr:rowOff>133350</xdr:rowOff>
                  </from>
                  <to>
                    <xdr:col>15</xdr:col>
                    <xdr:colOff>2828925</xdr:colOff>
                    <xdr:row>245</xdr:row>
                    <xdr:rowOff>390525</xdr:rowOff>
                  </to>
                </anchor>
              </controlPr>
            </control>
          </mc:Choice>
        </mc:AlternateContent>
        <mc:AlternateContent xmlns:mc="http://schemas.openxmlformats.org/markup-compatibility/2006">
          <mc:Choice Requires="x14">
            <control shapeId="189482" r:id="rId34" name="Option Button 42">
              <controlPr defaultSize="0" autoFill="0" autoLine="0" autoPict="0">
                <anchor moveWithCells="1">
                  <from>
                    <xdr:col>15</xdr:col>
                    <xdr:colOff>895350</xdr:colOff>
                    <xdr:row>268</xdr:row>
                    <xdr:rowOff>228600</xdr:rowOff>
                  </from>
                  <to>
                    <xdr:col>15</xdr:col>
                    <xdr:colOff>2600325</xdr:colOff>
                    <xdr:row>270</xdr:row>
                    <xdr:rowOff>57150</xdr:rowOff>
                  </to>
                </anchor>
              </controlPr>
            </control>
          </mc:Choice>
        </mc:AlternateContent>
        <mc:AlternateContent xmlns:mc="http://schemas.openxmlformats.org/markup-compatibility/2006">
          <mc:Choice Requires="x14">
            <control shapeId="189483" r:id="rId35" name="Option Button 43">
              <controlPr defaultSize="0" autoFill="0" autoLine="0" autoPict="0">
                <anchor moveWithCells="1">
                  <from>
                    <xdr:col>15</xdr:col>
                    <xdr:colOff>895350</xdr:colOff>
                    <xdr:row>270</xdr:row>
                    <xdr:rowOff>114300</xdr:rowOff>
                  </from>
                  <to>
                    <xdr:col>15</xdr:col>
                    <xdr:colOff>1914525</xdr:colOff>
                    <xdr:row>270</xdr:row>
                    <xdr:rowOff>381000</xdr:rowOff>
                  </to>
                </anchor>
              </controlPr>
            </control>
          </mc:Choice>
        </mc:AlternateContent>
        <mc:AlternateContent xmlns:mc="http://schemas.openxmlformats.org/markup-compatibility/2006">
          <mc:Choice Requires="x14">
            <control shapeId="189484" r:id="rId36" name="Group Box 44">
              <controlPr defaultSize="0" autoFill="0" autoPict="0">
                <anchor moveWithCells="1">
                  <from>
                    <xdr:col>15</xdr:col>
                    <xdr:colOff>704850</xdr:colOff>
                    <xdr:row>268</xdr:row>
                    <xdr:rowOff>133350</xdr:rowOff>
                  </from>
                  <to>
                    <xdr:col>15</xdr:col>
                    <xdr:colOff>2828925</xdr:colOff>
                    <xdr:row>270</xdr:row>
                    <xdr:rowOff>390525</xdr:rowOff>
                  </to>
                </anchor>
              </controlPr>
            </control>
          </mc:Choice>
        </mc:AlternateContent>
        <mc:AlternateContent xmlns:mc="http://schemas.openxmlformats.org/markup-compatibility/2006">
          <mc:Choice Requires="x14">
            <control shapeId="189485" r:id="rId37" name="Option Button 45">
              <controlPr defaultSize="0" autoFill="0" autoLine="0" autoPict="0">
                <anchor moveWithCells="1">
                  <from>
                    <xdr:col>15</xdr:col>
                    <xdr:colOff>895350</xdr:colOff>
                    <xdr:row>293</xdr:row>
                    <xdr:rowOff>228600</xdr:rowOff>
                  </from>
                  <to>
                    <xdr:col>15</xdr:col>
                    <xdr:colOff>2600325</xdr:colOff>
                    <xdr:row>295</xdr:row>
                    <xdr:rowOff>57150</xdr:rowOff>
                  </to>
                </anchor>
              </controlPr>
            </control>
          </mc:Choice>
        </mc:AlternateContent>
        <mc:AlternateContent xmlns:mc="http://schemas.openxmlformats.org/markup-compatibility/2006">
          <mc:Choice Requires="x14">
            <control shapeId="189486" r:id="rId38" name="Option Button 46">
              <controlPr defaultSize="0" autoFill="0" autoLine="0" autoPict="0">
                <anchor moveWithCells="1">
                  <from>
                    <xdr:col>15</xdr:col>
                    <xdr:colOff>895350</xdr:colOff>
                    <xdr:row>295</xdr:row>
                    <xdr:rowOff>114300</xdr:rowOff>
                  </from>
                  <to>
                    <xdr:col>15</xdr:col>
                    <xdr:colOff>1914525</xdr:colOff>
                    <xdr:row>295</xdr:row>
                    <xdr:rowOff>381000</xdr:rowOff>
                  </to>
                </anchor>
              </controlPr>
            </control>
          </mc:Choice>
        </mc:AlternateContent>
        <mc:AlternateContent xmlns:mc="http://schemas.openxmlformats.org/markup-compatibility/2006">
          <mc:Choice Requires="x14">
            <control shapeId="189487" r:id="rId39" name="Group Box 47">
              <controlPr defaultSize="0" autoFill="0" autoPict="0">
                <anchor moveWithCells="1">
                  <from>
                    <xdr:col>15</xdr:col>
                    <xdr:colOff>704850</xdr:colOff>
                    <xdr:row>293</xdr:row>
                    <xdr:rowOff>133350</xdr:rowOff>
                  </from>
                  <to>
                    <xdr:col>15</xdr:col>
                    <xdr:colOff>2828925</xdr:colOff>
                    <xdr:row>295</xdr:row>
                    <xdr:rowOff>390525</xdr:rowOff>
                  </to>
                </anchor>
              </controlPr>
            </control>
          </mc:Choice>
        </mc:AlternateContent>
        <mc:AlternateContent xmlns:mc="http://schemas.openxmlformats.org/markup-compatibility/2006">
          <mc:Choice Requires="x14">
            <control shapeId="189488" r:id="rId40" name="Option Button 48">
              <controlPr defaultSize="0" autoFill="0" autoLine="0" autoPict="0">
                <anchor moveWithCells="1">
                  <from>
                    <xdr:col>15</xdr:col>
                    <xdr:colOff>895350</xdr:colOff>
                    <xdr:row>318</xdr:row>
                    <xdr:rowOff>228600</xdr:rowOff>
                  </from>
                  <to>
                    <xdr:col>15</xdr:col>
                    <xdr:colOff>2600325</xdr:colOff>
                    <xdr:row>320</xdr:row>
                    <xdr:rowOff>57150</xdr:rowOff>
                  </to>
                </anchor>
              </controlPr>
            </control>
          </mc:Choice>
        </mc:AlternateContent>
        <mc:AlternateContent xmlns:mc="http://schemas.openxmlformats.org/markup-compatibility/2006">
          <mc:Choice Requires="x14">
            <control shapeId="189489" r:id="rId41" name="Option Button 49">
              <controlPr defaultSize="0" autoFill="0" autoLine="0" autoPict="0">
                <anchor moveWithCells="1">
                  <from>
                    <xdr:col>15</xdr:col>
                    <xdr:colOff>895350</xdr:colOff>
                    <xdr:row>320</xdr:row>
                    <xdr:rowOff>114300</xdr:rowOff>
                  </from>
                  <to>
                    <xdr:col>15</xdr:col>
                    <xdr:colOff>1914525</xdr:colOff>
                    <xdr:row>320</xdr:row>
                    <xdr:rowOff>381000</xdr:rowOff>
                  </to>
                </anchor>
              </controlPr>
            </control>
          </mc:Choice>
        </mc:AlternateContent>
        <mc:AlternateContent xmlns:mc="http://schemas.openxmlformats.org/markup-compatibility/2006">
          <mc:Choice Requires="x14">
            <control shapeId="189490" r:id="rId42" name="Group Box 50">
              <controlPr defaultSize="0" autoFill="0" autoPict="0">
                <anchor moveWithCells="1">
                  <from>
                    <xdr:col>15</xdr:col>
                    <xdr:colOff>704850</xdr:colOff>
                    <xdr:row>318</xdr:row>
                    <xdr:rowOff>133350</xdr:rowOff>
                  </from>
                  <to>
                    <xdr:col>15</xdr:col>
                    <xdr:colOff>2828925</xdr:colOff>
                    <xdr:row>320</xdr:row>
                    <xdr:rowOff>390525</xdr:rowOff>
                  </to>
                </anchor>
              </controlPr>
            </control>
          </mc:Choice>
        </mc:AlternateContent>
        <mc:AlternateContent xmlns:mc="http://schemas.openxmlformats.org/markup-compatibility/2006">
          <mc:Choice Requires="x14">
            <control shapeId="189491" r:id="rId43" name="Option Button 51">
              <controlPr defaultSize="0" autoFill="0" autoLine="0" autoPict="0">
                <anchor moveWithCells="1">
                  <from>
                    <xdr:col>15</xdr:col>
                    <xdr:colOff>895350</xdr:colOff>
                    <xdr:row>343</xdr:row>
                    <xdr:rowOff>228600</xdr:rowOff>
                  </from>
                  <to>
                    <xdr:col>15</xdr:col>
                    <xdr:colOff>2600325</xdr:colOff>
                    <xdr:row>345</xdr:row>
                    <xdr:rowOff>57150</xdr:rowOff>
                  </to>
                </anchor>
              </controlPr>
            </control>
          </mc:Choice>
        </mc:AlternateContent>
        <mc:AlternateContent xmlns:mc="http://schemas.openxmlformats.org/markup-compatibility/2006">
          <mc:Choice Requires="x14">
            <control shapeId="189492" r:id="rId44" name="Option Button 52">
              <controlPr defaultSize="0" autoFill="0" autoLine="0" autoPict="0">
                <anchor moveWithCells="1">
                  <from>
                    <xdr:col>15</xdr:col>
                    <xdr:colOff>895350</xdr:colOff>
                    <xdr:row>345</xdr:row>
                    <xdr:rowOff>114300</xdr:rowOff>
                  </from>
                  <to>
                    <xdr:col>15</xdr:col>
                    <xdr:colOff>1914525</xdr:colOff>
                    <xdr:row>345</xdr:row>
                    <xdr:rowOff>381000</xdr:rowOff>
                  </to>
                </anchor>
              </controlPr>
            </control>
          </mc:Choice>
        </mc:AlternateContent>
        <mc:AlternateContent xmlns:mc="http://schemas.openxmlformats.org/markup-compatibility/2006">
          <mc:Choice Requires="x14">
            <control shapeId="189493" r:id="rId45" name="Group Box 53">
              <controlPr defaultSize="0" autoFill="0" autoPict="0">
                <anchor moveWithCells="1">
                  <from>
                    <xdr:col>15</xdr:col>
                    <xdr:colOff>704850</xdr:colOff>
                    <xdr:row>343</xdr:row>
                    <xdr:rowOff>133350</xdr:rowOff>
                  </from>
                  <to>
                    <xdr:col>15</xdr:col>
                    <xdr:colOff>2828925</xdr:colOff>
                    <xdr:row>345</xdr:row>
                    <xdr:rowOff>390525</xdr:rowOff>
                  </to>
                </anchor>
              </controlPr>
            </control>
          </mc:Choice>
        </mc:AlternateContent>
        <mc:AlternateContent xmlns:mc="http://schemas.openxmlformats.org/markup-compatibility/2006">
          <mc:Choice Requires="x14">
            <control shapeId="189494" r:id="rId46" name="Option Button 54">
              <controlPr defaultSize="0" autoFill="0" autoLine="0" autoPict="0">
                <anchor moveWithCells="1">
                  <from>
                    <xdr:col>15</xdr:col>
                    <xdr:colOff>895350</xdr:colOff>
                    <xdr:row>368</xdr:row>
                    <xdr:rowOff>228600</xdr:rowOff>
                  </from>
                  <to>
                    <xdr:col>15</xdr:col>
                    <xdr:colOff>2600325</xdr:colOff>
                    <xdr:row>370</xdr:row>
                    <xdr:rowOff>57150</xdr:rowOff>
                  </to>
                </anchor>
              </controlPr>
            </control>
          </mc:Choice>
        </mc:AlternateContent>
        <mc:AlternateContent xmlns:mc="http://schemas.openxmlformats.org/markup-compatibility/2006">
          <mc:Choice Requires="x14">
            <control shapeId="189495" r:id="rId47" name="Option Button 55">
              <controlPr defaultSize="0" autoFill="0" autoLine="0" autoPict="0">
                <anchor moveWithCells="1">
                  <from>
                    <xdr:col>15</xdr:col>
                    <xdr:colOff>895350</xdr:colOff>
                    <xdr:row>370</xdr:row>
                    <xdr:rowOff>114300</xdr:rowOff>
                  </from>
                  <to>
                    <xdr:col>15</xdr:col>
                    <xdr:colOff>1914525</xdr:colOff>
                    <xdr:row>370</xdr:row>
                    <xdr:rowOff>381000</xdr:rowOff>
                  </to>
                </anchor>
              </controlPr>
            </control>
          </mc:Choice>
        </mc:AlternateContent>
        <mc:AlternateContent xmlns:mc="http://schemas.openxmlformats.org/markup-compatibility/2006">
          <mc:Choice Requires="x14">
            <control shapeId="189496" r:id="rId48" name="Group Box 56">
              <controlPr defaultSize="0" autoFill="0" autoPict="0">
                <anchor moveWithCells="1">
                  <from>
                    <xdr:col>15</xdr:col>
                    <xdr:colOff>704850</xdr:colOff>
                    <xdr:row>368</xdr:row>
                    <xdr:rowOff>133350</xdr:rowOff>
                  </from>
                  <to>
                    <xdr:col>15</xdr:col>
                    <xdr:colOff>2828925</xdr:colOff>
                    <xdr:row>370</xdr:row>
                    <xdr:rowOff>390525</xdr:rowOff>
                  </to>
                </anchor>
              </controlPr>
            </control>
          </mc:Choice>
        </mc:AlternateContent>
        <mc:AlternateContent xmlns:mc="http://schemas.openxmlformats.org/markup-compatibility/2006">
          <mc:Choice Requires="x14">
            <control shapeId="189497" r:id="rId49" name="Option Button 57">
              <controlPr defaultSize="0" autoFill="0" autoLine="0" autoPict="0">
                <anchor moveWithCells="1">
                  <from>
                    <xdr:col>15</xdr:col>
                    <xdr:colOff>895350</xdr:colOff>
                    <xdr:row>393</xdr:row>
                    <xdr:rowOff>228600</xdr:rowOff>
                  </from>
                  <to>
                    <xdr:col>15</xdr:col>
                    <xdr:colOff>2600325</xdr:colOff>
                    <xdr:row>395</xdr:row>
                    <xdr:rowOff>57150</xdr:rowOff>
                  </to>
                </anchor>
              </controlPr>
            </control>
          </mc:Choice>
        </mc:AlternateContent>
        <mc:AlternateContent xmlns:mc="http://schemas.openxmlformats.org/markup-compatibility/2006">
          <mc:Choice Requires="x14">
            <control shapeId="189498" r:id="rId50" name="Option Button 58">
              <controlPr defaultSize="0" autoFill="0" autoLine="0" autoPict="0">
                <anchor moveWithCells="1">
                  <from>
                    <xdr:col>15</xdr:col>
                    <xdr:colOff>895350</xdr:colOff>
                    <xdr:row>395</xdr:row>
                    <xdr:rowOff>114300</xdr:rowOff>
                  </from>
                  <to>
                    <xdr:col>15</xdr:col>
                    <xdr:colOff>1914525</xdr:colOff>
                    <xdr:row>395</xdr:row>
                    <xdr:rowOff>381000</xdr:rowOff>
                  </to>
                </anchor>
              </controlPr>
            </control>
          </mc:Choice>
        </mc:AlternateContent>
        <mc:AlternateContent xmlns:mc="http://schemas.openxmlformats.org/markup-compatibility/2006">
          <mc:Choice Requires="x14">
            <control shapeId="189499" r:id="rId51" name="Group Box 59">
              <controlPr defaultSize="0" autoFill="0" autoPict="0">
                <anchor moveWithCells="1">
                  <from>
                    <xdr:col>15</xdr:col>
                    <xdr:colOff>704850</xdr:colOff>
                    <xdr:row>393</xdr:row>
                    <xdr:rowOff>133350</xdr:rowOff>
                  </from>
                  <to>
                    <xdr:col>15</xdr:col>
                    <xdr:colOff>2828925</xdr:colOff>
                    <xdr:row>395</xdr:row>
                    <xdr:rowOff>390525</xdr:rowOff>
                  </to>
                </anchor>
              </controlPr>
            </control>
          </mc:Choice>
        </mc:AlternateContent>
        <mc:AlternateContent xmlns:mc="http://schemas.openxmlformats.org/markup-compatibility/2006">
          <mc:Choice Requires="x14">
            <control shapeId="189500" r:id="rId52" name="Option Button 60">
              <controlPr defaultSize="0" autoFill="0" autoLine="0" autoPict="0">
                <anchor moveWithCells="1">
                  <from>
                    <xdr:col>15</xdr:col>
                    <xdr:colOff>895350</xdr:colOff>
                    <xdr:row>418</xdr:row>
                    <xdr:rowOff>228600</xdr:rowOff>
                  </from>
                  <to>
                    <xdr:col>15</xdr:col>
                    <xdr:colOff>2600325</xdr:colOff>
                    <xdr:row>420</xdr:row>
                    <xdr:rowOff>57150</xdr:rowOff>
                  </to>
                </anchor>
              </controlPr>
            </control>
          </mc:Choice>
        </mc:AlternateContent>
        <mc:AlternateContent xmlns:mc="http://schemas.openxmlformats.org/markup-compatibility/2006">
          <mc:Choice Requires="x14">
            <control shapeId="189501" r:id="rId53" name="Option Button 61">
              <controlPr defaultSize="0" autoFill="0" autoLine="0" autoPict="0">
                <anchor moveWithCells="1">
                  <from>
                    <xdr:col>15</xdr:col>
                    <xdr:colOff>895350</xdr:colOff>
                    <xdr:row>420</xdr:row>
                    <xdr:rowOff>114300</xdr:rowOff>
                  </from>
                  <to>
                    <xdr:col>15</xdr:col>
                    <xdr:colOff>1914525</xdr:colOff>
                    <xdr:row>420</xdr:row>
                    <xdr:rowOff>381000</xdr:rowOff>
                  </to>
                </anchor>
              </controlPr>
            </control>
          </mc:Choice>
        </mc:AlternateContent>
        <mc:AlternateContent xmlns:mc="http://schemas.openxmlformats.org/markup-compatibility/2006">
          <mc:Choice Requires="x14">
            <control shapeId="189502" r:id="rId54" name="Group Box 62">
              <controlPr defaultSize="0" autoFill="0" autoPict="0">
                <anchor moveWithCells="1">
                  <from>
                    <xdr:col>15</xdr:col>
                    <xdr:colOff>704850</xdr:colOff>
                    <xdr:row>418</xdr:row>
                    <xdr:rowOff>133350</xdr:rowOff>
                  </from>
                  <to>
                    <xdr:col>15</xdr:col>
                    <xdr:colOff>2828925</xdr:colOff>
                    <xdr:row>420</xdr:row>
                    <xdr:rowOff>390525</xdr:rowOff>
                  </to>
                </anchor>
              </controlPr>
            </control>
          </mc:Choice>
        </mc:AlternateContent>
        <mc:AlternateContent xmlns:mc="http://schemas.openxmlformats.org/markup-compatibility/2006">
          <mc:Choice Requires="x14">
            <control shapeId="189503" r:id="rId55" name="Option Button 63">
              <controlPr defaultSize="0" autoFill="0" autoLine="0" autoPict="0">
                <anchor moveWithCells="1">
                  <from>
                    <xdr:col>15</xdr:col>
                    <xdr:colOff>895350</xdr:colOff>
                    <xdr:row>443</xdr:row>
                    <xdr:rowOff>228600</xdr:rowOff>
                  </from>
                  <to>
                    <xdr:col>15</xdr:col>
                    <xdr:colOff>2600325</xdr:colOff>
                    <xdr:row>445</xdr:row>
                    <xdr:rowOff>57150</xdr:rowOff>
                  </to>
                </anchor>
              </controlPr>
            </control>
          </mc:Choice>
        </mc:AlternateContent>
        <mc:AlternateContent xmlns:mc="http://schemas.openxmlformats.org/markup-compatibility/2006">
          <mc:Choice Requires="x14">
            <control shapeId="189504" r:id="rId56" name="Option Button 64">
              <controlPr defaultSize="0" autoFill="0" autoLine="0" autoPict="0">
                <anchor moveWithCells="1">
                  <from>
                    <xdr:col>15</xdr:col>
                    <xdr:colOff>895350</xdr:colOff>
                    <xdr:row>445</xdr:row>
                    <xdr:rowOff>114300</xdr:rowOff>
                  </from>
                  <to>
                    <xdr:col>15</xdr:col>
                    <xdr:colOff>1914525</xdr:colOff>
                    <xdr:row>445</xdr:row>
                    <xdr:rowOff>381000</xdr:rowOff>
                  </to>
                </anchor>
              </controlPr>
            </control>
          </mc:Choice>
        </mc:AlternateContent>
        <mc:AlternateContent xmlns:mc="http://schemas.openxmlformats.org/markup-compatibility/2006">
          <mc:Choice Requires="x14">
            <control shapeId="189505" r:id="rId57" name="Group Box 65">
              <controlPr defaultSize="0" autoFill="0" autoPict="0">
                <anchor moveWithCells="1">
                  <from>
                    <xdr:col>15</xdr:col>
                    <xdr:colOff>704850</xdr:colOff>
                    <xdr:row>443</xdr:row>
                    <xdr:rowOff>133350</xdr:rowOff>
                  </from>
                  <to>
                    <xdr:col>15</xdr:col>
                    <xdr:colOff>2828925</xdr:colOff>
                    <xdr:row>445</xdr:row>
                    <xdr:rowOff>390525</xdr:rowOff>
                  </to>
                </anchor>
              </controlPr>
            </control>
          </mc:Choice>
        </mc:AlternateContent>
        <mc:AlternateContent xmlns:mc="http://schemas.openxmlformats.org/markup-compatibility/2006">
          <mc:Choice Requires="x14">
            <control shapeId="189506" r:id="rId58" name="Option Button 66">
              <controlPr defaultSize="0" autoFill="0" autoLine="0" autoPict="0">
                <anchor moveWithCells="1">
                  <from>
                    <xdr:col>15</xdr:col>
                    <xdr:colOff>895350</xdr:colOff>
                    <xdr:row>468</xdr:row>
                    <xdr:rowOff>228600</xdr:rowOff>
                  </from>
                  <to>
                    <xdr:col>15</xdr:col>
                    <xdr:colOff>2600325</xdr:colOff>
                    <xdr:row>470</xdr:row>
                    <xdr:rowOff>57150</xdr:rowOff>
                  </to>
                </anchor>
              </controlPr>
            </control>
          </mc:Choice>
        </mc:AlternateContent>
        <mc:AlternateContent xmlns:mc="http://schemas.openxmlformats.org/markup-compatibility/2006">
          <mc:Choice Requires="x14">
            <control shapeId="189507" r:id="rId59" name="Option Button 67">
              <controlPr defaultSize="0" autoFill="0" autoLine="0" autoPict="0">
                <anchor moveWithCells="1">
                  <from>
                    <xdr:col>15</xdr:col>
                    <xdr:colOff>895350</xdr:colOff>
                    <xdr:row>470</xdr:row>
                    <xdr:rowOff>114300</xdr:rowOff>
                  </from>
                  <to>
                    <xdr:col>15</xdr:col>
                    <xdr:colOff>1914525</xdr:colOff>
                    <xdr:row>470</xdr:row>
                    <xdr:rowOff>381000</xdr:rowOff>
                  </to>
                </anchor>
              </controlPr>
            </control>
          </mc:Choice>
        </mc:AlternateContent>
        <mc:AlternateContent xmlns:mc="http://schemas.openxmlformats.org/markup-compatibility/2006">
          <mc:Choice Requires="x14">
            <control shapeId="189508" r:id="rId60" name="Group Box 68">
              <controlPr defaultSize="0" autoFill="0" autoPict="0">
                <anchor moveWithCells="1">
                  <from>
                    <xdr:col>15</xdr:col>
                    <xdr:colOff>704850</xdr:colOff>
                    <xdr:row>468</xdr:row>
                    <xdr:rowOff>133350</xdr:rowOff>
                  </from>
                  <to>
                    <xdr:col>15</xdr:col>
                    <xdr:colOff>2828925</xdr:colOff>
                    <xdr:row>470</xdr:row>
                    <xdr:rowOff>390525</xdr:rowOff>
                  </to>
                </anchor>
              </controlPr>
            </control>
          </mc:Choice>
        </mc:AlternateContent>
        <mc:AlternateContent xmlns:mc="http://schemas.openxmlformats.org/markup-compatibility/2006">
          <mc:Choice Requires="x14">
            <control shapeId="189509" r:id="rId61" name="Option Button 69">
              <controlPr defaultSize="0" autoFill="0" autoLine="0" autoPict="0">
                <anchor moveWithCells="1">
                  <from>
                    <xdr:col>15</xdr:col>
                    <xdr:colOff>895350</xdr:colOff>
                    <xdr:row>493</xdr:row>
                    <xdr:rowOff>228600</xdr:rowOff>
                  </from>
                  <to>
                    <xdr:col>15</xdr:col>
                    <xdr:colOff>2600325</xdr:colOff>
                    <xdr:row>495</xdr:row>
                    <xdr:rowOff>57150</xdr:rowOff>
                  </to>
                </anchor>
              </controlPr>
            </control>
          </mc:Choice>
        </mc:AlternateContent>
        <mc:AlternateContent xmlns:mc="http://schemas.openxmlformats.org/markup-compatibility/2006">
          <mc:Choice Requires="x14">
            <control shapeId="189510" r:id="rId62" name="Option Button 70">
              <controlPr defaultSize="0" autoFill="0" autoLine="0" autoPict="0">
                <anchor moveWithCells="1">
                  <from>
                    <xdr:col>15</xdr:col>
                    <xdr:colOff>895350</xdr:colOff>
                    <xdr:row>495</xdr:row>
                    <xdr:rowOff>114300</xdr:rowOff>
                  </from>
                  <to>
                    <xdr:col>15</xdr:col>
                    <xdr:colOff>1914525</xdr:colOff>
                    <xdr:row>495</xdr:row>
                    <xdr:rowOff>381000</xdr:rowOff>
                  </to>
                </anchor>
              </controlPr>
            </control>
          </mc:Choice>
        </mc:AlternateContent>
        <mc:AlternateContent xmlns:mc="http://schemas.openxmlformats.org/markup-compatibility/2006">
          <mc:Choice Requires="x14">
            <control shapeId="189511" r:id="rId63" name="Group Box 71">
              <controlPr defaultSize="0" autoFill="0" autoPict="0">
                <anchor moveWithCells="1">
                  <from>
                    <xdr:col>15</xdr:col>
                    <xdr:colOff>704850</xdr:colOff>
                    <xdr:row>493</xdr:row>
                    <xdr:rowOff>133350</xdr:rowOff>
                  </from>
                  <to>
                    <xdr:col>15</xdr:col>
                    <xdr:colOff>2828925</xdr:colOff>
                    <xdr:row>495</xdr:row>
                    <xdr:rowOff>390525</xdr:rowOff>
                  </to>
                </anchor>
              </controlPr>
            </control>
          </mc:Choice>
        </mc:AlternateContent>
        <mc:AlternateContent xmlns:mc="http://schemas.openxmlformats.org/markup-compatibility/2006">
          <mc:Choice Requires="x14">
            <control shapeId="189512" r:id="rId64" name="Option Button 72">
              <controlPr defaultSize="0" autoFill="0" autoLine="0" autoPict="0">
                <anchor moveWithCells="1">
                  <from>
                    <xdr:col>15</xdr:col>
                    <xdr:colOff>895350</xdr:colOff>
                    <xdr:row>518</xdr:row>
                    <xdr:rowOff>228600</xdr:rowOff>
                  </from>
                  <to>
                    <xdr:col>15</xdr:col>
                    <xdr:colOff>2600325</xdr:colOff>
                    <xdr:row>520</xdr:row>
                    <xdr:rowOff>57150</xdr:rowOff>
                  </to>
                </anchor>
              </controlPr>
            </control>
          </mc:Choice>
        </mc:AlternateContent>
        <mc:AlternateContent xmlns:mc="http://schemas.openxmlformats.org/markup-compatibility/2006">
          <mc:Choice Requires="x14">
            <control shapeId="189513" r:id="rId65" name="Option Button 73">
              <controlPr defaultSize="0" autoFill="0" autoLine="0" autoPict="0">
                <anchor moveWithCells="1">
                  <from>
                    <xdr:col>15</xdr:col>
                    <xdr:colOff>895350</xdr:colOff>
                    <xdr:row>520</xdr:row>
                    <xdr:rowOff>114300</xdr:rowOff>
                  </from>
                  <to>
                    <xdr:col>15</xdr:col>
                    <xdr:colOff>1914525</xdr:colOff>
                    <xdr:row>520</xdr:row>
                    <xdr:rowOff>381000</xdr:rowOff>
                  </to>
                </anchor>
              </controlPr>
            </control>
          </mc:Choice>
        </mc:AlternateContent>
        <mc:AlternateContent xmlns:mc="http://schemas.openxmlformats.org/markup-compatibility/2006">
          <mc:Choice Requires="x14">
            <control shapeId="189514" r:id="rId66" name="Group Box 74">
              <controlPr defaultSize="0" autoFill="0" autoPict="0">
                <anchor moveWithCells="1">
                  <from>
                    <xdr:col>15</xdr:col>
                    <xdr:colOff>704850</xdr:colOff>
                    <xdr:row>518</xdr:row>
                    <xdr:rowOff>133350</xdr:rowOff>
                  </from>
                  <to>
                    <xdr:col>15</xdr:col>
                    <xdr:colOff>2828925</xdr:colOff>
                    <xdr:row>520</xdr:row>
                    <xdr:rowOff>390525</xdr:rowOff>
                  </to>
                </anchor>
              </controlPr>
            </control>
          </mc:Choice>
        </mc:AlternateContent>
        <mc:AlternateContent xmlns:mc="http://schemas.openxmlformats.org/markup-compatibility/2006">
          <mc:Choice Requires="x14">
            <control shapeId="189515" r:id="rId67" name="Option Button 75">
              <controlPr defaultSize="0" autoFill="0" autoLine="0" autoPict="0">
                <anchor moveWithCells="1">
                  <from>
                    <xdr:col>15</xdr:col>
                    <xdr:colOff>895350</xdr:colOff>
                    <xdr:row>543</xdr:row>
                    <xdr:rowOff>228600</xdr:rowOff>
                  </from>
                  <to>
                    <xdr:col>15</xdr:col>
                    <xdr:colOff>2600325</xdr:colOff>
                    <xdr:row>545</xdr:row>
                    <xdr:rowOff>57150</xdr:rowOff>
                  </to>
                </anchor>
              </controlPr>
            </control>
          </mc:Choice>
        </mc:AlternateContent>
        <mc:AlternateContent xmlns:mc="http://schemas.openxmlformats.org/markup-compatibility/2006">
          <mc:Choice Requires="x14">
            <control shapeId="189516" r:id="rId68" name="Option Button 76">
              <controlPr defaultSize="0" autoFill="0" autoLine="0" autoPict="0">
                <anchor moveWithCells="1">
                  <from>
                    <xdr:col>15</xdr:col>
                    <xdr:colOff>895350</xdr:colOff>
                    <xdr:row>545</xdr:row>
                    <xdr:rowOff>114300</xdr:rowOff>
                  </from>
                  <to>
                    <xdr:col>15</xdr:col>
                    <xdr:colOff>1914525</xdr:colOff>
                    <xdr:row>545</xdr:row>
                    <xdr:rowOff>381000</xdr:rowOff>
                  </to>
                </anchor>
              </controlPr>
            </control>
          </mc:Choice>
        </mc:AlternateContent>
        <mc:AlternateContent xmlns:mc="http://schemas.openxmlformats.org/markup-compatibility/2006">
          <mc:Choice Requires="x14">
            <control shapeId="189517" r:id="rId69" name="Group Box 77">
              <controlPr defaultSize="0" autoFill="0" autoPict="0">
                <anchor moveWithCells="1">
                  <from>
                    <xdr:col>15</xdr:col>
                    <xdr:colOff>704850</xdr:colOff>
                    <xdr:row>543</xdr:row>
                    <xdr:rowOff>133350</xdr:rowOff>
                  </from>
                  <to>
                    <xdr:col>15</xdr:col>
                    <xdr:colOff>2828925</xdr:colOff>
                    <xdr:row>545</xdr:row>
                    <xdr:rowOff>390525</xdr:rowOff>
                  </to>
                </anchor>
              </controlPr>
            </control>
          </mc:Choice>
        </mc:AlternateContent>
        <mc:AlternateContent xmlns:mc="http://schemas.openxmlformats.org/markup-compatibility/2006">
          <mc:Choice Requires="x14">
            <control shapeId="189518" r:id="rId70" name="Option Button 78">
              <controlPr defaultSize="0" autoFill="0" autoLine="0" autoPict="0">
                <anchor moveWithCells="1">
                  <from>
                    <xdr:col>15</xdr:col>
                    <xdr:colOff>895350</xdr:colOff>
                    <xdr:row>568</xdr:row>
                    <xdr:rowOff>228600</xdr:rowOff>
                  </from>
                  <to>
                    <xdr:col>15</xdr:col>
                    <xdr:colOff>2600325</xdr:colOff>
                    <xdr:row>570</xdr:row>
                    <xdr:rowOff>57150</xdr:rowOff>
                  </to>
                </anchor>
              </controlPr>
            </control>
          </mc:Choice>
        </mc:AlternateContent>
        <mc:AlternateContent xmlns:mc="http://schemas.openxmlformats.org/markup-compatibility/2006">
          <mc:Choice Requires="x14">
            <control shapeId="189519" r:id="rId71" name="Option Button 79">
              <controlPr defaultSize="0" autoFill="0" autoLine="0" autoPict="0">
                <anchor moveWithCells="1">
                  <from>
                    <xdr:col>15</xdr:col>
                    <xdr:colOff>895350</xdr:colOff>
                    <xdr:row>570</xdr:row>
                    <xdr:rowOff>114300</xdr:rowOff>
                  </from>
                  <to>
                    <xdr:col>15</xdr:col>
                    <xdr:colOff>1914525</xdr:colOff>
                    <xdr:row>570</xdr:row>
                    <xdr:rowOff>381000</xdr:rowOff>
                  </to>
                </anchor>
              </controlPr>
            </control>
          </mc:Choice>
        </mc:AlternateContent>
        <mc:AlternateContent xmlns:mc="http://schemas.openxmlformats.org/markup-compatibility/2006">
          <mc:Choice Requires="x14">
            <control shapeId="189520" r:id="rId72" name="Group Box 80">
              <controlPr defaultSize="0" autoFill="0" autoPict="0">
                <anchor moveWithCells="1">
                  <from>
                    <xdr:col>15</xdr:col>
                    <xdr:colOff>704850</xdr:colOff>
                    <xdr:row>568</xdr:row>
                    <xdr:rowOff>133350</xdr:rowOff>
                  </from>
                  <to>
                    <xdr:col>15</xdr:col>
                    <xdr:colOff>2828925</xdr:colOff>
                    <xdr:row>570</xdr:row>
                    <xdr:rowOff>390525</xdr:rowOff>
                  </to>
                </anchor>
              </controlPr>
            </control>
          </mc:Choice>
        </mc:AlternateContent>
        <mc:AlternateContent xmlns:mc="http://schemas.openxmlformats.org/markup-compatibility/2006">
          <mc:Choice Requires="x14">
            <control shapeId="189521" r:id="rId73" name="Option Button 81">
              <controlPr defaultSize="0" autoFill="0" autoLine="0" autoPict="0">
                <anchor moveWithCells="1">
                  <from>
                    <xdr:col>15</xdr:col>
                    <xdr:colOff>895350</xdr:colOff>
                    <xdr:row>593</xdr:row>
                    <xdr:rowOff>228600</xdr:rowOff>
                  </from>
                  <to>
                    <xdr:col>15</xdr:col>
                    <xdr:colOff>2600325</xdr:colOff>
                    <xdr:row>595</xdr:row>
                    <xdr:rowOff>57150</xdr:rowOff>
                  </to>
                </anchor>
              </controlPr>
            </control>
          </mc:Choice>
        </mc:AlternateContent>
        <mc:AlternateContent xmlns:mc="http://schemas.openxmlformats.org/markup-compatibility/2006">
          <mc:Choice Requires="x14">
            <control shapeId="189522" r:id="rId74" name="Option Button 82">
              <controlPr defaultSize="0" autoFill="0" autoLine="0" autoPict="0">
                <anchor moveWithCells="1">
                  <from>
                    <xdr:col>15</xdr:col>
                    <xdr:colOff>895350</xdr:colOff>
                    <xdr:row>595</xdr:row>
                    <xdr:rowOff>114300</xdr:rowOff>
                  </from>
                  <to>
                    <xdr:col>15</xdr:col>
                    <xdr:colOff>1914525</xdr:colOff>
                    <xdr:row>595</xdr:row>
                    <xdr:rowOff>381000</xdr:rowOff>
                  </to>
                </anchor>
              </controlPr>
            </control>
          </mc:Choice>
        </mc:AlternateContent>
        <mc:AlternateContent xmlns:mc="http://schemas.openxmlformats.org/markup-compatibility/2006">
          <mc:Choice Requires="x14">
            <control shapeId="189523" r:id="rId75" name="Group Box 83">
              <controlPr defaultSize="0" autoFill="0" autoPict="0">
                <anchor moveWithCells="1">
                  <from>
                    <xdr:col>15</xdr:col>
                    <xdr:colOff>704850</xdr:colOff>
                    <xdr:row>593</xdr:row>
                    <xdr:rowOff>133350</xdr:rowOff>
                  </from>
                  <to>
                    <xdr:col>15</xdr:col>
                    <xdr:colOff>2828925</xdr:colOff>
                    <xdr:row>595</xdr:row>
                    <xdr:rowOff>390525</xdr:rowOff>
                  </to>
                </anchor>
              </controlPr>
            </control>
          </mc:Choice>
        </mc:AlternateContent>
        <mc:AlternateContent xmlns:mc="http://schemas.openxmlformats.org/markup-compatibility/2006">
          <mc:Choice Requires="x14">
            <control shapeId="189524" r:id="rId76" name="Option Button 84">
              <controlPr defaultSize="0" autoFill="0" autoLine="0" autoPict="0">
                <anchor moveWithCells="1">
                  <from>
                    <xdr:col>15</xdr:col>
                    <xdr:colOff>895350</xdr:colOff>
                    <xdr:row>618</xdr:row>
                    <xdr:rowOff>228600</xdr:rowOff>
                  </from>
                  <to>
                    <xdr:col>15</xdr:col>
                    <xdr:colOff>2600325</xdr:colOff>
                    <xdr:row>620</xdr:row>
                    <xdr:rowOff>57150</xdr:rowOff>
                  </to>
                </anchor>
              </controlPr>
            </control>
          </mc:Choice>
        </mc:AlternateContent>
        <mc:AlternateContent xmlns:mc="http://schemas.openxmlformats.org/markup-compatibility/2006">
          <mc:Choice Requires="x14">
            <control shapeId="189525" r:id="rId77" name="Option Button 85">
              <controlPr defaultSize="0" autoFill="0" autoLine="0" autoPict="0">
                <anchor moveWithCells="1">
                  <from>
                    <xdr:col>15</xdr:col>
                    <xdr:colOff>895350</xdr:colOff>
                    <xdr:row>620</xdr:row>
                    <xdr:rowOff>114300</xdr:rowOff>
                  </from>
                  <to>
                    <xdr:col>15</xdr:col>
                    <xdr:colOff>1914525</xdr:colOff>
                    <xdr:row>620</xdr:row>
                    <xdr:rowOff>381000</xdr:rowOff>
                  </to>
                </anchor>
              </controlPr>
            </control>
          </mc:Choice>
        </mc:AlternateContent>
        <mc:AlternateContent xmlns:mc="http://schemas.openxmlformats.org/markup-compatibility/2006">
          <mc:Choice Requires="x14">
            <control shapeId="189526" r:id="rId78" name="Group Box 86">
              <controlPr defaultSize="0" autoFill="0" autoPict="0">
                <anchor moveWithCells="1">
                  <from>
                    <xdr:col>15</xdr:col>
                    <xdr:colOff>704850</xdr:colOff>
                    <xdr:row>618</xdr:row>
                    <xdr:rowOff>133350</xdr:rowOff>
                  </from>
                  <to>
                    <xdr:col>15</xdr:col>
                    <xdr:colOff>2828925</xdr:colOff>
                    <xdr:row>620</xdr:row>
                    <xdr:rowOff>390525</xdr:rowOff>
                  </to>
                </anchor>
              </controlPr>
            </control>
          </mc:Choice>
        </mc:AlternateContent>
        <mc:AlternateContent xmlns:mc="http://schemas.openxmlformats.org/markup-compatibility/2006">
          <mc:Choice Requires="x14">
            <control shapeId="189527" r:id="rId79" name="Option Button 87">
              <controlPr defaultSize="0" autoFill="0" autoLine="0" autoPict="0">
                <anchor moveWithCells="1">
                  <from>
                    <xdr:col>15</xdr:col>
                    <xdr:colOff>895350</xdr:colOff>
                    <xdr:row>643</xdr:row>
                    <xdr:rowOff>228600</xdr:rowOff>
                  </from>
                  <to>
                    <xdr:col>15</xdr:col>
                    <xdr:colOff>2600325</xdr:colOff>
                    <xdr:row>645</xdr:row>
                    <xdr:rowOff>57150</xdr:rowOff>
                  </to>
                </anchor>
              </controlPr>
            </control>
          </mc:Choice>
        </mc:AlternateContent>
        <mc:AlternateContent xmlns:mc="http://schemas.openxmlformats.org/markup-compatibility/2006">
          <mc:Choice Requires="x14">
            <control shapeId="189528" r:id="rId80" name="Option Button 88">
              <controlPr defaultSize="0" autoFill="0" autoLine="0" autoPict="0">
                <anchor moveWithCells="1">
                  <from>
                    <xdr:col>15</xdr:col>
                    <xdr:colOff>895350</xdr:colOff>
                    <xdr:row>645</xdr:row>
                    <xdr:rowOff>114300</xdr:rowOff>
                  </from>
                  <to>
                    <xdr:col>15</xdr:col>
                    <xdr:colOff>1914525</xdr:colOff>
                    <xdr:row>645</xdr:row>
                    <xdr:rowOff>381000</xdr:rowOff>
                  </to>
                </anchor>
              </controlPr>
            </control>
          </mc:Choice>
        </mc:AlternateContent>
        <mc:AlternateContent xmlns:mc="http://schemas.openxmlformats.org/markup-compatibility/2006">
          <mc:Choice Requires="x14">
            <control shapeId="189529" r:id="rId81" name="Group Box 89">
              <controlPr defaultSize="0" autoFill="0" autoPict="0">
                <anchor moveWithCells="1">
                  <from>
                    <xdr:col>15</xdr:col>
                    <xdr:colOff>704850</xdr:colOff>
                    <xdr:row>643</xdr:row>
                    <xdr:rowOff>133350</xdr:rowOff>
                  </from>
                  <to>
                    <xdr:col>15</xdr:col>
                    <xdr:colOff>2828925</xdr:colOff>
                    <xdr:row>645</xdr:row>
                    <xdr:rowOff>390525</xdr:rowOff>
                  </to>
                </anchor>
              </controlPr>
            </control>
          </mc:Choice>
        </mc:AlternateContent>
        <mc:AlternateContent xmlns:mc="http://schemas.openxmlformats.org/markup-compatibility/2006">
          <mc:Choice Requires="x14">
            <control shapeId="189530" r:id="rId82" name="Option Button 90">
              <controlPr defaultSize="0" autoFill="0" autoLine="0" autoPict="0">
                <anchor moveWithCells="1">
                  <from>
                    <xdr:col>15</xdr:col>
                    <xdr:colOff>895350</xdr:colOff>
                    <xdr:row>668</xdr:row>
                    <xdr:rowOff>228600</xdr:rowOff>
                  </from>
                  <to>
                    <xdr:col>15</xdr:col>
                    <xdr:colOff>2600325</xdr:colOff>
                    <xdr:row>670</xdr:row>
                    <xdr:rowOff>57150</xdr:rowOff>
                  </to>
                </anchor>
              </controlPr>
            </control>
          </mc:Choice>
        </mc:AlternateContent>
        <mc:AlternateContent xmlns:mc="http://schemas.openxmlformats.org/markup-compatibility/2006">
          <mc:Choice Requires="x14">
            <control shapeId="189531" r:id="rId83" name="Option Button 91">
              <controlPr defaultSize="0" autoFill="0" autoLine="0" autoPict="0">
                <anchor moveWithCells="1">
                  <from>
                    <xdr:col>15</xdr:col>
                    <xdr:colOff>895350</xdr:colOff>
                    <xdr:row>670</xdr:row>
                    <xdr:rowOff>114300</xdr:rowOff>
                  </from>
                  <to>
                    <xdr:col>15</xdr:col>
                    <xdr:colOff>1914525</xdr:colOff>
                    <xdr:row>670</xdr:row>
                    <xdr:rowOff>381000</xdr:rowOff>
                  </to>
                </anchor>
              </controlPr>
            </control>
          </mc:Choice>
        </mc:AlternateContent>
        <mc:AlternateContent xmlns:mc="http://schemas.openxmlformats.org/markup-compatibility/2006">
          <mc:Choice Requires="x14">
            <control shapeId="189532" r:id="rId84" name="Group Box 92">
              <controlPr defaultSize="0" autoFill="0" autoPict="0">
                <anchor moveWithCells="1">
                  <from>
                    <xdr:col>15</xdr:col>
                    <xdr:colOff>704850</xdr:colOff>
                    <xdr:row>668</xdr:row>
                    <xdr:rowOff>133350</xdr:rowOff>
                  </from>
                  <to>
                    <xdr:col>15</xdr:col>
                    <xdr:colOff>2828925</xdr:colOff>
                    <xdr:row>670</xdr:row>
                    <xdr:rowOff>390525</xdr:rowOff>
                  </to>
                </anchor>
              </controlPr>
            </control>
          </mc:Choice>
        </mc:AlternateContent>
        <mc:AlternateContent xmlns:mc="http://schemas.openxmlformats.org/markup-compatibility/2006">
          <mc:Choice Requires="x14">
            <control shapeId="189533" r:id="rId85" name="Option Button 93">
              <controlPr defaultSize="0" autoFill="0" autoLine="0" autoPict="0">
                <anchor moveWithCells="1">
                  <from>
                    <xdr:col>15</xdr:col>
                    <xdr:colOff>895350</xdr:colOff>
                    <xdr:row>693</xdr:row>
                    <xdr:rowOff>228600</xdr:rowOff>
                  </from>
                  <to>
                    <xdr:col>15</xdr:col>
                    <xdr:colOff>2600325</xdr:colOff>
                    <xdr:row>695</xdr:row>
                    <xdr:rowOff>57150</xdr:rowOff>
                  </to>
                </anchor>
              </controlPr>
            </control>
          </mc:Choice>
        </mc:AlternateContent>
        <mc:AlternateContent xmlns:mc="http://schemas.openxmlformats.org/markup-compatibility/2006">
          <mc:Choice Requires="x14">
            <control shapeId="189534" r:id="rId86" name="Option Button 94">
              <controlPr defaultSize="0" autoFill="0" autoLine="0" autoPict="0">
                <anchor moveWithCells="1">
                  <from>
                    <xdr:col>15</xdr:col>
                    <xdr:colOff>895350</xdr:colOff>
                    <xdr:row>695</xdr:row>
                    <xdr:rowOff>114300</xdr:rowOff>
                  </from>
                  <to>
                    <xdr:col>15</xdr:col>
                    <xdr:colOff>1914525</xdr:colOff>
                    <xdr:row>695</xdr:row>
                    <xdr:rowOff>381000</xdr:rowOff>
                  </to>
                </anchor>
              </controlPr>
            </control>
          </mc:Choice>
        </mc:AlternateContent>
        <mc:AlternateContent xmlns:mc="http://schemas.openxmlformats.org/markup-compatibility/2006">
          <mc:Choice Requires="x14">
            <control shapeId="189535" r:id="rId87" name="Group Box 95">
              <controlPr defaultSize="0" autoFill="0" autoPict="0">
                <anchor moveWithCells="1">
                  <from>
                    <xdr:col>15</xdr:col>
                    <xdr:colOff>704850</xdr:colOff>
                    <xdr:row>693</xdr:row>
                    <xdr:rowOff>133350</xdr:rowOff>
                  </from>
                  <to>
                    <xdr:col>15</xdr:col>
                    <xdr:colOff>2828925</xdr:colOff>
                    <xdr:row>695</xdr:row>
                    <xdr:rowOff>390525</xdr:rowOff>
                  </to>
                </anchor>
              </controlPr>
            </control>
          </mc:Choice>
        </mc:AlternateContent>
        <mc:AlternateContent xmlns:mc="http://schemas.openxmlformats.org/markup-compatibility/2006">
          <mc:Choice Requires="x14">
            <control shapeId="189536" r:id="rId88" name="Option Button 96">
              <controlPr defaultSize="0" autoFill="0" autoLine="0" autoPict="0">
                <anchor moveWithCells="1">
                  <from>
                    <xdr:col>15</xdr:col>
                    <xdr:colOff>895350</xdr:colOff>
                    <xdr:row>718</xdr:row>
                    <xdr:rowOff>228600</xdr:rowOff>
                  </from>
                  <to>
                    <xdr:col>15</xdr:col>
                    <xdr:colOff>2600325</xdr:colOff>
                    <xdr:row>720</xdr:row>
                    <xdr:rowOff>57150</xdr:rowOff>
                  </to>
                </anchor>
              </controlPr>
            </control>
          </mc:Choice>
        </mc:AlternateContent>
        <mc:AlternateContent xmlns:mc="http://schemas.openxmlformats.org/markup-compatibility/2006">
          <mc:Choice Requires="x14">
            <control shapeId="189537" r:id="rId89" name="Option Button 97">
              <controlPr defaultSize="0" autoFill="0" autoLine="0" autoPict="0">
                <anchor moveWithCells="1">
                  <from>
                    <xdr:col>15</xdr:col>
                    <xdr:colOff>895350</xdr:colOff>
                    <xdr:row>720</xdr:row>
                    <xdr:rowOff>114300</xdr:rowOff>
                  </from>
                  <to>
                    <xdr:col>15</xdr:col>
                    <xdr:colOff>1914525</xdr:colOff>
                    <xdr:row>720</xdr:row>
                    <xdr:rowOff>381000</xdr:rowOff>
                  </to>
                </anchor>
              </controlPr>
            </control>
          </mc:Choice>
        </mc:AlternateContent>
        <mc:AlternateContent xmlns:mc="http://schemas.openxmlformats.org/markup-compatibility/2006">
          <mc:Choice Requires="x14">
            <control shapeId="189538" r:id="rId90" name="Group Box 98">
              <controlPr defaultSize="0" autoFill="0" autoPict="0">
                <anchor moveWithCells="1">
                  <from>
                    <xdr:col>15</xdr:col>
                    <xdr:colOff>704850</xdr:colOff>
                    <xdr:row>718</xdr:row>
                    <xdr:rowOff>133350</xdr:rowOff>
                  </from>
                  <to>
                    <xdr:col>15</xdr:col>
                    <xdr:colOff>2828925</xdr:colOff>
                    <xdr:row>720</xdr:row>
                    <xdr:rowOff>390525</xdr:rowOff>
                  </to>
                </anchor>
              </controlPr>
            </control>
          </mc:Choice>
        </mc:AlternateContent>
        <mc:AlternateContent xmlns:mc="http://schemas.openxmlformats.org/markup-compatibility/2006">
          <mc:Choice Requires="x14">
            <control shapeId="189539" r:id="rId91" name="Option Button 99">
              <controlPr defaultSize="0" autoFill="0" autoLine="0" autoPict="0">
                <anchor moveWithCells="1">
                  <from>
                    <xdr:col>15</xdr:col>
                    <xdr:colOff>895350</xdr:colOff>
                    <xdr:row>743</xdr:row>
                    <xdr:rowOff>228600</xdr:rowOff>
                  </from>
                  <to>
                    <xdr:col>15</xdr:col>
                    <xdr:colOff>2600325</xdr:colOff>
                    <xdr:row>745</xdr:row>
                    <xdr:rowOff>57150</xdr:rowOff>
                  </to>
                </anchor>
              </controlPr>
            </control>
          </mc:Choice>
        </mc:AlternateContent>
        <mc:AlternateContent xmlns:mc="http://schemas.openxmlformats.org/markup-compatibility/2006">
          <mc:Choice Requires="x14">
            <control shapeId="189540" r:id="rId92" name="Option Button 100">
              <controlPr defaultSize="0" autoFill="0" autoLine="0" autoPict="0">
                <anchor moveWithCells="1">
                  <from>
                    <xdr:col>15</xdr:col>
                    <xdr:colOff>895350</xdr:colOff>
                    <xdr:row>745</xdr:row>
                    <xdr:rowOff>114300</xdr:rowOff>
                  </from>
                  <to>
                    <xdr:col>15</xdr:col>
                    <xdr:colOff>1914525</xdr:colOff>
                    <xdr:row>745</xdr:row>
                    <xdr:rowOff>381000</xdr:rowOff>
                  </to>
                </anchor>
              </controlPr>
            </control>
          </mc:Choice>
        </mc:AlternateContent>
        <mc:AlternateContent xmlns:mc="http://schemas.openxmlformats.org/markup-compatibility/2006">
          <mc:Choice Requires="x14">
            <control shapeId="189541" r:id="rId93" name="Group Box 101">
              <controlPr defaultSize="0" autoFill="0" autoPict="0">
                <anchor moveWithCells="1">
                  <from>
                    <xdr:col>15</xdr:col>
                    <xdr:colOff>704850</xdr:colOff>
                    <xdr:row>743</xdr:row>
                    <xdr:rowOff>133350</xdr:rowOff>
                  </from>
                  <to>
                    <xdr:col>15</xdr:col>
                    <xdr:colOff>2828925</xdr:colOff>
                    <xdr:row>745</xdr:row>
                    <xdr:rowOff>390525</xdr:rowOff>
                  </to>
                </anchor>
              </controlPr>
            </control>
          </mc:Choice>
        </mc:AlternateContent>
        <mc:AlternateContent xmlns:mc="http://schemas.openxmlformats.org/markup-compatibility/2006">
          <mc:Choice Requires="x14">
            <control shapeId="189542" r:id="rId94" name="Option Button 102">
              <controlPr defaultSize="0" autoFill="0" autoLine="0" autoPict="0">
                <anchor moveWithCells="1">
                  <from>
                    <xdr:col>15</xdr:col>
                    <xdr:colOff>895350</xdr:colOff>
                    <xdr:row>768</xdr:row>
                    <xdr:rowOff>228600</xdr:rowOff>
                  </from>
                  <to>
                    <xdr:col>15</xdr:col>
                    <xdr:colOff>2600325</xdr:colOff>
                    <xdr:row>770</xdr:row>
                    <xdr:rowOff>57150</xdr:rowOff>
                  </to>
                </anchor>
              </controlPr>
            </control>
          </mc:Choice>
        </mc:AlternateContent>
        <mc:AlternateContent xmlns:mc="http://schemas.openxmlformats.org/markup-compatibility/2006">
          <mc:Choice Requires="x14">
            <control shapeId="189543" r:id="rId95" name="Option Button 103">
              <controlPr defaultSize="0" autoFill="0" autoLine="0" autoPict="0">
                <anchor moveWithCells="1">
                  <from>
                    <xdr:col>15</xdr:col>
                    <xdr:colOff>895350</xdr:colOff>
                    <xdr:row>770</xdr:row>
                    <xdr:rowOff>114300</xdr:rowOff>
                  </from>
                  <to>
                    <xdr:col>15</xdr:col>
                    <xdr:colOff>1914525</xdr:colOff>
                    <xdr:row>770</xdr:row>
                    <xdr:rowOff>381000</xdr:rowOff>
                  </to>
                </anchor>
              </controlPr>
            </control>
          </mc:Choice>
        </mc:AlternateContent>
        <mc:AlternateContent xmlns:mc="http://schemas.openxmlformats.org/markup-compatibility/2006">
          <mc:Choice Requires="x14">
            <control shapeId="189544" r:id="rId96" name="Group Box 104">
              <controlPr defaultSize="0" autoFill="0" autoPict="0">
                <anchor moveWithCells="1">
                  <from>
                    <xdr:col>15</xdr:col>
                    <xdr:colOff>704850</xdr:colOff>
                    <xdr:row>768</xdr:row>
                    <xdr:rowOff>133350</xdr:rowOff>
                  </from>
                  <to>
                    <xdr:col>15</xdr:col>
                    <xdr:colOff>2828925</xdr:colOff>
                    <xdr:row>770</xdr:row>
                    <xdr:rowOff>390525</xdr:rowOff>
                  </to>
                </anchor>
              </controlPr>
            </control>
          </mc:Choice>
        </mc:AlternateContent>
        <mc:AlternateContent xmlns:mc="http://schemas.openxmlformats.org/markup-compatibility/2006">
          <mc:Choice Requires="x14">
            <control shapeId="189545" r:id="rId97" name="Option Button 105">
              <controlPr defaultSize="0" autoFill="0" autoLine="0" autoPict="0">
                <anchor moveWithCells="1">
                  <from>
                    <xdr:col>15</xdr:col>
                    <xdr:colOff>895350</xdr:colOff>
                    <xdr:row>793</xdr:row>
                    <xdr:rowOff>228600</xdr:rowOff>
                  </from>
                  <to>
                    <xdr:col>15</xdr:col>
                    <xdr:colOff>2600325</xdr:colOff>
                    <xdr:row>795</xdr:row>
                    <xdr:rowOff>57150</xdr:rowOff>
                  </to>
                </anchor>
              </controlPr>
            </control>
          </mc:Choice>
        </mc:AlternateContent>
        <mc:AlternateContent xmlns:mc="http://schemas.openxmlformats.org/markup-compatibility/2006">
          <mc:Choice Requires="x14">
            <control shapeId="189546" r:id="rId98" name="Option Button 106">
              <controlPr defaultSize="0" autoFill="0" autoLine="0" autoPict="0">
                <anchor moveWithCells="1">
                  <from>
                    <xdr:col>15</xdr:col>
                    <xdr:colOff>895350</xdr:colOff>
                    <xdr:row>795</xdr:row>
                    <xdr:rowOff>114300</xdr:rowOff>
                  </from>
                  <to>
                    <xdr:col>15</xdr:col>
                    <xdr:colOff>1914525</xdr:colOff>
                    <xdr:row>795</xdr:row>
                    <xdr:rowOff>381000</xdr:rowOff>
                  </to>
                </anchor>
              </controlPr>
            </control>
          </mc:Choice>
        </mc:AlternateContent>
        <mc:AlternateContent xmlns:mc="http://schemas.openxmlformats.org/markup-compatibility/2006">
          <mc:Choice Requires="x14">
            <control shapeId="189547" r:id="rId99" name="Group Box 107">
              <controlPr defaultSize="0" autoFill="0" autoPict="0">
                <anchor moveWithCells="1">
                  <from>
                    <xdr:col>15</xdr:col>
                    <xdr:colOff>704850</xdr:colOff>
                    <xdr:row>793</xdr:row>
                    <xdr:rowOff>133350</xdr:rowOff>
                  </from>
                  <to>
                    <xdr:col>15</xdr:col>
                    <xdr:colOff>2828925</xdr:colOff>
                    <xdr:row>795</xdr:row>
                    <xdr:rowOff>390525</xdr:rowOff>
                  </to>
                </anchor>
              </controlPr>
            </control>
          </mc:Choice>
        </mc:AlternateContent>
        <mc:AlternateContent xmlns:mc="http://schemas.openxmlformats.org/markup-compatibility/2006">
          <mc:Choice Requires="x14">
            <control shapeId="189548" r:id="rId100" name="Option Button 108">
              <controlPr defaultSize="0" autoFill="0" autoLine="0" autoPict="0">
                <anchor moveWithCells="1">
                  <from>
                    <xdr:col>15</xdr:col>
                    <xdr:colOff>895350</xdr:colOff>
                    <xdr:row>818</xdr:row>
                    <xdr:rowOff>228600</xdr:rowOff>
                  </from>
                  <to>
                    <xdr:col>15</xdr:col>
                    <xdr:colOff>2600325</xdr:colOff>
                    <xdr:row>820</xdr:row>
                    <xdr:rowOff>57150</xdr:rowOff>
                  </to>
                </anchor>
              </controlPr>
            </control>
          </mc:Choice>
        </mc:AlternateContent>
        <mc:AlternateContent xmlns:mc="http://schemas.openxmlformats.org/markup-compatibility/2006">
          <mc:Choice Requires="x14">
            <control shapeId="189549" r:id="rId101" name="Option Button 109">
              <controlPr defaultSize="0" autoFill="0" autoLine="0" autoPict="0">
                <anchor moveWithCells="1">
                  <from>
                    <xdr:col>15</xdr:col>
                    <xdr:colOff>895350</xdr:colOff>
                    <xdr:row>820</xdr:row>
                    <xdr:rowOff>114300</xdr:rowOff>
                  </from>
                  <to>
                    <xdr:col>15</xdr:col>
                    <xdr:colOff>1914525</xdr:colOff>
                    <xdr:row>820</xdr:row>
                    <xdr:rowOff>381000</xdr:rowOff>
                  </to>
                </anchor>
              </controlPr>
            </control>
          </mc:Choice>
        </mc:AlternateContent>
        <mc:AlternateContent xmlns:mc="http://schemas.openxmlformats.org/markup-compatibility/2006">
          <mc:Choice Requires="x14">
            <control shapeId="189550" r:id="rId102" name="Group Box 110">
              <controlPr defaultSize="0" autoFill="0" autoPict="0">
                <anchor moveWithCells="1">
                  <from>
                    <xdr:col>15</xdr:col>
                    <xdr:colOff>704850</xdr:colOff>
                    <xdr:row>818</xdr:row>
                    <xdr:rowOff>133350</xdr:rowOff>
                  </from>
                  <to>
                    <xdr:col>15</xdr:col>
                    <xdr:colOff>2828925</xdr:colOff>
                    <xdr:row>820</xdr:row>
                    <xdr:rowOff>390525</xdr:rowOff>
                  </to>
                </anchor>
              </controlPr>
            </control>
          </mc:Choice>
        </mc:AlternateContent>
        <mc:AlternateContent xmlns:mc="http://schemas.openxmlformats.org/markup-compatibility/2006">
          <mc:Choice Requires="x14">
            <control shapeId="189551" r:id="rId103" name="Option Button 111">
              <controlPr defaultSize="0" autoFill="0" autoLine="0" autoPict="0">
                <anchor moveWithCells="1">
                  <from>
                    <xdr:col>15</xdr:col>
                    <xdr:colOff>895350</xdr:colOff>
                    <xdr:row>843</xdr:row>
                    <xdr:rowOff>228600</xdr:rowOff>
                  </from>
                  <to>
                    <xdr:col>15</xdr:col>
                    <xdr:colOff>2600325</xdr:colOff>
                    <xdr:row>845</xdr:row>
                    <xdr:rowOff>57150</xdr:rowOff>
                  </to>
                </anchor>
              </controlPr>
            </control>
          </mc:Choice>
        </mc:AlternateContent>
        <mc:AlternateContent xmlns:mc="http://schemas.openxmlformats.org/markup-compatibility/2006">
          <mc:Choice Requires="x14">
            <control shapeId="189552" r:id="rId104" name="Option Button 112">
              <controlPr defaultSize="0" autoFill="0" autoLine="0" autoPict="0">
                <anchor moveWithCells="1">
                  <from>
                    <xdr:col>15</xdr:col>
                    <xdr:colOff>895350</xdr:colOff>
                    <xdr:row>845</xdr:row>
                    <xdr:rowOff>114300</xdr:rowOff>
                  </from>
                  <to>
                    <xdr:col>15</xdr:col>
                    <xdr:colOff>1914525</xdr:colOff>
                    <xdr:row>845</xdr:row>
                    <xdr:rowOff>381000</xdr:rowOff>
                  </to>
                </anchor>
              </controlPr>
            </control>
          </mc:Choice>
        </mc:AlternateContent>
        <mc:AlternateContent xmlns:mc="http://schemas.openxmlformats.org/markup-compatibility/2006">
          <mc:Choice Requires="x14">
            <control shapeId="189553" r:id="rId105" name="Group Box 113">
              <controlPr defaultSize="0" autoFill="0" autoPict="0">
                <anchor moveWithCells="1">
                  <from>
                    <xdr:col>15</xdr:col>
                    <xdr:colOff>704850</xdr:colOff>
                    <xdr:row>843</xdr:row>
                    <xdr:rowOff>133350</xdr:rowOff>
                  </from>
                  <to>
                    <xdr:col>15</xdr:col>
                    <xdr:colOff>2828925</xdr:colOff>
                    <xdr:row>845</xdr:row>
                    <xdr:rowOff>390525</xdr:rowOff>
                  </to>
                </anchor>
              </controlPr>
            </control>
          </mc:Choice>
        </mc:AlternateContent>
        <mc:AlternateContent xmlns:mc="http://schemas.openxmlformats.org/markup-compatibility/2006">
          <mc:Choice Requires="x14">
            <control shapeId="189554" r:id="rId106" name="Option Button 114">
              <controlPr defaultSize="0" autoFill="0" autoLine="0" autoPict="0">
                <anchor moveWithCells="1">
                  <from>
                    <xdr:col>15</xdr:col>
                    <xdr:colOff>895350</xdr:colOff>
                    <xdr:row>868</xdr:row>
                    <xdr:rowOff>228600</xdr:rowOff>
                  </from>
                  <to>
                    <xdr:col>15</xdr:col>
                    <xdr:colOff>2600325</xdr:colOff>
                    <xdr:row>870</xdr:row>
                    <xdr:rowOff>57150</xdr:rowOff>
                  </to>
                </anchor>
              </controlPr>
            </control>
          </mc:Choice>
        </mc:AlternateContent>
        <mc:AlternateContent xmlns:mc="http://schemas.openxmlformats.org/markup-compatibility/2006">
          <mc:Choice Requires="x14">
            <control shapeId="189555" r:id="rId107" name="Option Button 115">
              <controlPr defaultSize="0" autoFill="0" autoLine="0" autoPict="0">
                <anchor moveWithCells="1">
                  <from>
                    <xdr:col>15</xdr:col>
                    <xdr:colOff>895350</xdr:colOff>
                    <xdr:row>870</xdr:row>
                    <xdr:rowOff>114300</xdr:rowOff>
                  </from>
                  <to>
                    <xdr:col>15</xdr:col>
                    <xdr:colOff>1914525</xdr:colOff>
                    <xdr:row>870</xdr:row>
                    <xdr:rowOff>381000</xdr:rowOff>
                  </to>
                </anchor>
              </controlPr>
            </control>
          </mc:Choice>
        </mc:AlternateContent>
        <mc:AlternateContent xmlns:mc="http://schemas.openxmlformats.org/markup-compatibility/2006">
          <mc:Choice Requires="x14">
            <control shapeId="189556" r:id="rId108" name="Group Box 116">
              <controlPr defaultSize="0" autoFill="0" autoPict="0">
                <anchor moveWithCells="1">
                  <from>
                    <xdr:col>15</xdr:col>
                    <xdr:colOff>704850</xdr:colOff>
                    <xdr:row>868</xdr:row>
                    <xdr:rowOff>133350</xdr:rowOff>
                  </from>
                  <to>
                    <xdr:col>15</xdr:col>
                    <xdr:colOff>2828925</xdr:colOff>
                    <xdr:row>870</xdr:row>
                    <xdr:rowOff>390525</xdr:rowOff>
                  </to>
                </anchor>
              </controlPr>
            </control>
          </mc:Choice>
        </mc:AlternateContent>
        <mc:AlternateContent xmlns:mc="http://schemas.openxmlformats.org/markup-compatibility/2006">
          <mc:Choice Requires="x14">
            <control shapeId="189557" r:id="rId109" name="Option Button 117">
              <controlPr defaultSize="0" autoFill="0" autoLine="0" autoPict="0">
                <anchor moveWithCells="1">
                  <from>
                    <xdr:col>15</xdr:col>
                    <xdr:colOff>895350</xdr:colOff>
                    <xdr:row>893</xdr:row>
                    <xdr:rowOff>228600</xdr:rowOff>
                  </from>
                  <to>
                    <xdr:col>15</xdr:col>
                    <xdr:colOff>2600325</xdr:colOff>
                    <xdr:row>895</xdr:row>
                    <xdr:rowOff>57150</xdr:rowOff>
                  </to>
                </anchor>
              </controlPr>
            </control>
          </mc:Choice>
        </mc:AlternateContent>
        <mc:AlternateContent xmlns:mc="http://schemas.openxmlformats.org/markup-compatibility/2006">
          <mc:Choice Requires="x14">
            <control shapeId="189558" r:id="rId110" name="Option Button 118">
              <controlPr defaultSize="0" autoFill="0" autoLine="0" autoPict="0">
                <anchor moveWithCells="1">
                  <from>
                    <xdr:col>15</xdr:col>
                    <xdr:colOff>895350</xdr:colOff>
                    <xdr:row>895</xdr:row>
                    <xdr:rowOff>114300</xdr:rowOff>
                  </from>
                  <to>
                    <xdr:col>15</xdr:col>
                    <xdr:colOff>1914525</xdr:colOff>
                    <xdr:row>895</xdr:row>
                    <xdr:rowOff>381000</xdr:rowOff>
                  </to>
                </anchor>
              </controlPr>
            </control>
          </mc:Choice>
        </mc:AlternateContent>
        <mc:AlternateContent xmlns:mc="http://schemas.openxmlformats.org/markup-compatibility/2006">
          <mc:Choice Requires="x14">
            <control shapeId="189559" r:id="rId111" name="Group Box 119">
              <controlPr defaultSize="0" autoFill="0" autoPict="0">
                <anchor moveWithCells="1">
                  <from>
                    <xdr:col>15</xdr:col>
                    <xdr:colOff>704850</xdr:colOff>
                    <xdr:row>893</xdr:row>
                    <xdr:rowOff>133350</xdr:rowOff>
                  </from>
                  <to>
                    <xdr:col>15</xdr:col>
                    <xdr:colOff>2828925</xdr:colOff>
                    <xdr:row>895</xdr:row>
                    <xdr:rowOff>390525</xdr:rowOff>
                  </to>
                </anchor>
              </controlPr>
            </control>
          </mc:Choice>
        </mc:AlternateContent>
        <mc:AlternateContent xmlns:mc="http://schemas.openxmlformats.org/markup-compatibility/2006">
          <mc:Choice Requires="x14">
            <control shapeId="189560" r:id="rId112" name="Option Button 120">
              <controlPr defaultSize="0" autoFill="0" autoLine="0" autoPict="0">
                <anchor moveWithCells="1">
                  <from>
                    <xdr:col>15</xdr:col>
                    <xdr:colOff>895350</xdr:colOff>
                    <xdr:row>918</xdr:row>
                    <xdr:rowOff>228600</xdr:rowOff>
                  </from>
                  <to>
                    <xdr:col>15</xdr:col>
                    <xdr:colOff>2600325</xdr:colOff>
                    <xdr:row>920</xdr:row>
                    <xdr:rowOff>57150</xdr:rowOff>
                  </to>
                </anchor>
              </controlPr>
            </control>
          </mc:Choice>
        </mc:AlternateContent>
        <mc:AlternateContent xmlns:mc="http://schemas.openxmlformats.org/markup-compatibility/2006">
          <mc:Choice Requires="x14">
            <control shapeId="189561" r:id="rId113" name="Option Button 121">
              <controlPr defaultSize="0" autoFill="0" autoLine="0" autoPict="0">
                <anchor moveWithCells="1">
                  <from>
                    <xdr:col>15</xdr:col>
                    <xdr:colOff>895350</xdr:colOff>
                    <xdr:row>920</xdr:row>
                    <xdr:rowOff>114300</xdr:rowOff>
                  </from>
                  <to>
                    <xdr:col>15</xdr:col>
                    <xdr:colOff>1914525</xdr:colOff>
                    <xdr:row>920</xdr:row>
                    <xdr:rowOff>381000</xdr:rowOff>
                  </to>
                </anchor>
              </controlPr>
            </control>
          </mc:Choice>
        </mc:AlternateContent>
        <mc:AlternateContent xmlns:mc="http://schemas.openxmlformats.org/markup-compatibility/2006">
          <mc:Choice Requires="x14">
            <control shapeId="189562" r:id="rId114" name="Group Box 122">
              <controlPr defaultSize="0" autoFill="0" autoPict="0">
                <anchor moveWithCells="1">
                  <from>
                    <xdr:col>15</xdr:col>
                    <xdr:colOff>704850</xdr:colOff>
                    <xdr:row>918</xdr:row>
                    <xdr:rowOff>133350</xdr:rowOff>
                  </from>
                  <to>
                    <xdr:col>15</xdr:col>
                    <xdr:colOff>2828925</xdr:colOff>
                    <xdr:row>920</xdr:row>
                    <xdr:rowOff>390525</xdr:rowOff>
                  </to>
                </anchor>
              </controlPr>
            </control>
          </mc:Choice>
        </mc:AlternateContent>
        <mc:AlternateContent xmlns:mc="http://schemas.openxmlformats.org/markup-compatibility/2006">
          <mc:Choice Requires="x14">
            <control shapeId="189563" r:id="rId115" name="Option Button 123">
              <controlPr defaultSize="0" autoFill="0" autoLine="0" autoPict="0">
                <anchor moveWithCells="1">
                  <from>
                    <xdr:col>15</xdr:col>
                    <xdr:colOff>895350</xdr:colOff>
                    <xdr:row>943</xdr:row>
                    <xdr:rowOff>228600</xdr:rowOff>
                  </from>
                  <to>
                    <xdr:col>15</xdr:col>
                    <xdr:colOff>2600325</xdr:colOff>
                    <xdr:row>945</xdr:row>
                    <xdr:rowOff>57150</xdr:rowOff>
                  </to>
                </anchor>
              </controlPr>
            </control>
          </mc:Choice>
        </mc:AlternateContent>
        <mc:AlternateContent xmlns:mc="http://schemas.openxmlformats.org/markup-compatibility/2006">
          <mc:Choice Requires="x14">
            <control shapeId="189564" r:id="rId116" name="Option Button 124">
              <controlPr defaultSize="0" autoFill="0" autoLine="0" autoPict="0">
                <anchor moveWithCells="1">
                  <from>
                    <xdr:col>15</xdr:col>
                    <xdr:colOff>895350</xdr:colOff>
                    <xdr:row>945</xdr:row>
                    <xdr:rowOff>114300</xdr:rowOff>
                  </from>
                  <to>
                    <xdr:col>15</xdr:col>
                    <xdr:colOff>1914525</xdr:colOff>
                    <xdr:row>945</xdr:row>
                    <xdr:rowOff>381000</xdr:rowOff>
                  </to>
                </anchor>
              </controlPr>
            </control>
          </mc:Choice>
        </mc:AlternateContent>
        <mc:AlternateContent xmlns:mc="http://schemas.openxmlformats.org/markup-compatibility/2006">
          <mc:Choice Requires="x14">
            <control shapeId="189565" r:id="rId117" name="Group Box 125">
              <controlPr defaultSize="0" autoFill="0" autoPict="0">
                <anchor moveWithCells="1">
                  <from>
                    <xdr:col>15</xdr:col>
                    <xdr:colOff>704850</xdr:colOff>
                    <xdr:row>943</xdr:row>
                    <xdr:rowOff>133350</xdr:rowOff>
                  </from>
                  <to>
                    <xdr:col>15</xdr:col>
                    <xdr:colOff>2828925</xdr:colOff>
                    <xdr:row>945</xdr:row>
                    <xdr:rowOff>390525</xdr:rowOff>
                  </to>
                </anchor>
              </controlPr>
            </control>
          </mc:Choice>
        </mc:AlternateContent>
        <mc:AlternateContent xmlns:mc="http://schemas.openxmlformats.org/markup-compatibility/2006">
          <mc:Choice Requires="x14">
            <control shapeId="189566" r:id="rId118" name="Option Button 126">
              <controlPr defaultSize="0" autoFill="0" autoLine="0" autoPict="0">
                <anchor moveWithCells="1">
                  <from>
                    <xdr:col>15</xdr:col>
                    <xdr:colOff>895350</xdr:colOff>
                    <xdr:row>968</xdr:row>
                    <xdr:rowOff>228600</xdr:rowOff>
                  </from>
                  <to>
                    <xdr:col>15</xdr:col>
                    <xdr:colOff>2600325</xdr:colOff>
                    <xdr:row>970</xdr:row>
                    <xdr:rowOff>57150</xdr:rowOff>
                  </to>
                </anchor>
              </controlPr>
            </control>
          </mc:Choice>
        </mc:AlternateContent>
        <mc:AlternateContent xmlns:mc="http://schemas.openxmlformats.org/markup-compatibility/2006">
          <mc:Choice Requires="x14">
            <control shapeId="189567" r:id="rId119" name="Option Button 127">
              <controlPr defaultSize="0" autoFill="0" autoLine="0" autoPict="0">
                <anchor moveWithCells="1">
                  <from>
                    <xdr:col>15</xdr:col>
                    <xdr:colOff>895350</xdr:colOff>
                    <xdr:row>970</xdr:row>
                    <xdr:rowOff>114300</xdr:rowOff>
                  </from>
                  <to>
                    <xdr:col>15</xdr:col>
                    <xdr:colOff>1914525</xdr:colOff>
                    <xdr:row>970</xdr:row>
                    <xdr:rowOff>381000</xdr:rowOff>
                  </to>
                </anchor>
              </controlPr>
            </control>
          </mc:Choice>
        </mc:AlternateContent>
        <mc:AlternateContent xmlns:mc="http://schemas.openxmlformats.org/markup-compatibility/2006">
          <mc:Choice Requires="x14">
            <control shapeId="189568" r:id="rId120" name="Group Box 128">
              <controlPr defaultSize="0" autoFill="0" autoPict="0">
                <anchor moveWithCells="1">
                  <from>
                    <xdr:col>15</xdr:col>
                    <xdr:colOff>704850</xdr:colOff>
                    <xdr:row>968</xdr:row>
                    <xdr:rowOff>133350</xdr:rowOff>
                  </from>
                  <to>
                    <xdr:col>15</xdr:col>
                    <xdr:colOff>2828925</xdr:colOff>
                    <xdr:row>970</xdr:row>
                    <xdr:rowOff>390525</xdr:rowOff>
                  </to>
                </anchor>
              </controlPr>
            </control>
          </mc:Choice>
        </mc:AlternateContent>
        <mc:AlternateContent xmlns:mc="http://schemas.openxmlformats.org/markup-compatibility/2006">
          <mc:Choice Requires="x14">
            <control shapeId="189569" r:id="rId121" name="Option Button 129">
              <controlPr defaultSize="0" autoFill="0" autoLine="0" autoPict="0">
                <anchor moveWithCells="1">
                  <from>
                    <xdr:col>15</xdr:col>
                    <xdr:colOff>895350</xdr:colOff>
                    <xdr:row>993</xdr:row>
                    <xdr:rowOff>228600</xdr:rowOff>
                  </from>
                  <to>
                    <xdr:col>15</xdr:col>
                    <xdr:colOff>2600325</xdr:colOff>
                    <xdr:row>995</xdr:row>
                    <xdr:rowOff>57150</xdr:rowOff>
                  </to>
                </anchor>
              </controlPr>
            </control>
          </mc:Choice>
        </mc:AlternateContent>
        <mc:AlternateContent xmlns:mc="http://schemas.openxmlformats.org/markup-compatibility/2006">
          <mc:Choice Requires="x14">
            <control shapeId="189570" r:id="rId122" name="Option Button 130">
              <controlPr defaultSize="0" autoFill="0" autoLine="0" autoPict="0">
                <anchor moveWithCells="1">
                  <from>
                    <xdr:col>15</xdr:col>
                    <xdr:colOff>895350</xdr:colOff>
                    <xdr:row>995</xdr:row>
                    <xdr:rowOff>114300</xdr:rowOff>
                  </from>
                  <to>
                    <xdr:col>15</xdr:col>
                    <xdr:colOff>1914525</xdr:colOff>
                    <xdr:row>995</xdr:row>
                    <xdr:rowOff>381000</xdr:rowOff>
                  </to>
                </anchor>
              </controlPr>
            </control>
          </mc:Choice>
        </mc:AlternateContent>
        <mc:AlternateContent xmlns:mc="http://schemas.openxmlformats.org/markup-compatibility/2006">
          <mc:Choice Requires="x14">
            <control shapeId="189571" r:id="rId123" name="Group Box 131">
              <controlPr defaultSize="0" autoFill="0" autoPict="0">
                <anchor moveWithCells="1">
                  <from>
                    <xdr:col>15</xdr:col>
                    <xdr:colOff>704850</xdr:colOff>
                    <xdr:row>993</xdr:row>
                    <xdr:rowOff>133350</xdr:rowOff>
                  </from>
                  <to>
                    <xdr:col>15</xdr:col>
                    <xdr:colOff>2828925</xdr:colOff>
                    <xdr:row>995</xdr:row>
                    <xdr:rowOff>390525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3" id="{793BD093-5F8F-452E-9154-7039CFAC1C90}">
            <xm:f>OR(報1!$L$24="",報1!$L$24&lt;$Q$1,AND(報1!$P$7=FALSE,報1!$P$8=FALSE,報1!$P$10=FALSE))</xm:f>
            <x14:dxf>
              <font>
                <color auto="1"/>
              </font>
              <fill>
                <patternFill>
                  <bgColor theme="0" tint="-0.14996795556505021"/>
                </patternFill>
              </fill>
            </x14:dxf>
          </x14:cfRule>
          <xm:sqref>M8 C8:C9 H8:H9 C15 I15 N15 C17 D6:D7</xm:sqref>
        </x14:conditionalFormatting>
        <x14:conditionalFormatting xmlns:xm="http://schemas.microsoft.com/office/excel/2006/main">
          <x14:cfRule type="expression" priority="160" id="{E7C96215-F796-4525-9D76-71D31908D41D}">
            <xm:f>OR(報1!$L$24="",報1!$L$24&lt;$Q$26,AND(報1!$P$7=FALSE,報1!$P$8=FALSE,報1!$P$10=FALSE))</xm:f>
            <x14:dxf>
              <font>
                <color auto="1"/>
              </font>
              <fill>
                <patternFill>
                  <bgColor theme="0" tint="-0.14996795556505021"/>
                </patternFill>
              </fill>
            </x14:dxf>
          </x14:cfRule>
          <xm:sqref>C40 I40 N40 C42</xm:sqref>
        </x14:conditionalFormatting>
        <x14:conditionalFormatting xmlns:xm="http://schemas.microsoft.com/office/excel/2006/main">
          <x14:cfRule type="expression" priority="159" id="{DCD2619B-2140-4B1F-A0A5-73B66B447C16}">
            <xm:f>OR(報1!$L$24="",報1!$L$24&lt;$Q$26,AND(報1!$P$7=FALSE,報1!$P$8=FALSE,報1!$P$10=FALSE))</xm:f>
            <x14:dxf>
              <font>
                <color auto="1"/>
              </font>
              <fill>
                <patternFill>
                  <bgColor theme="0" tint="-0.14996795556505021"/>
                </patternFill>
              </fill>
            </x14:dxf>
          </x14:cfRule>
          <xm:sqref>D31:D32 M33 C33:C34 H33:H34</xm:sqref>
        </x14:conditionalFormatting>
        <x14:conditionalFormatting xmlns:xm="http://schemas.microsoft.com/office/excel/2006/main">
          <x14:cfRule type="expression" priority="156" id="{9B8BAF52-849F-469D-8D7D-01AFDCBB1221}">
            <xm:f>OR(報1!$L$24="",報1!$L$24&lt;$Q$51,AND(報1!$P$7=FALSE,報1!$P$8=FALSE,報1!$P$10=FALSE))</xm:f>
            <x14:dxf>
              <font>
                <color auto="1"/>
              </font>
              <fill>
                <patternFill>
                  <bgColor theme="0" tint="-0.14996795556505021"/>
                </patternFill>
              </fill>
            </x14:dxf>
          </x14:cfRule>
          <xm:sqref>C65 I65 N65 C67</xm:sqref>
        </x14:conditionalFormatting>
        <x14:conditionalFormatting xmlns:xm="http://schemas.microsoft.com/office/excel/2006/main">
          <x14:cfRule type="expression" priority="155" id="{4E46C094-A584-4814-9B02-CD421FF20741}">
            <xm:f>OR(報1!$L$24="",報1!$L$24&lt;$Q$51,AND(報1!$P$7=FALSE,報1!$P$8=FALSE,報1!$P$10=FALSE))</xm:f>
            <x14:dxf>
              <font>
                <color auto="1"/>
              </font>
              <fill>
                <patternFill>
                  <bgColor theme="0" tint="-0.14996795556505021"/>
                </patternFill>
              </fill>
            </x14:dxf>
          </x14:cfRule>
          <xm:sqref>D56:D57 M58 C58:C59 H58:H59</xm:sqref>
        </x14:conditionalFormatting>
        <x14:conditionalFormatting xmlns:xm="http://schemas.microsoft.com/office/excel/2006/main">
          <x14:cfRule type="expression" priority="152" id="{5FC7CBDC-BC1C-4CB1-AD4E-56B471191F16}">
            <xm:f>OR(報1!$L$24="",報1!$L$24&lt;$Q$76,AND(報1!$P$7=FALSE,報1!$P$8=FALSE,報1!$P$10=FALSE))</xm:f>
            <x14:dxf>
              <font>
                <color auto="1"/>
              </font>
              <fill>
                <patternFill>
                  <bgColor theme="0" tint="-0.14996795556505021"/>
                </patternFill>
              </fill>
            </x14:dxf>
          </x14:cfRule>
          <xm:sqref>C90 I90 N90 C92</xm:sqref>
        </x14:conditionalFormatting>
        <x14:conditionalFormatting xmlns:xm="http://schemas.microsoft.com/office/excel/2006/main">
          <x14:cfRule type="expression" priority="151" id="{FA9DFBA2-86D7-46AF-B5ED-0D267227F3AF}">
            <xm:f>OR(報1!$L$24="",報1!$L$24&lt;$Q$76,AND(報1!$P$7=FALSE,報1!$P$8=FALSE,報1!$P$10=FALSE))</xm:f>
            <x14:dxf>
              <font>
                <color auto="1"/>
              </font>
              <fill>
                <patternFill>
                  <bgColor theme="0" tint="-0.14996795556505021"/>
                </patternFill>
              </fill>
            </x14:dxf>
          </x14:cfRule>
          <xm:sqref>D81:D82 M83 C83:C84 H83:H84</xm:sqref>
        </x14:conditionalFormatting>
        <x14:conditionalFormatting xmlns:xm="http://schemas.microsoft.com/office/excel/2006/main">
          <x14:cfRule type="expression" priority="148" id="{B784E9B2-CF49-42B6-87C7-F945B4782C9C}">
            <xm:f>OR(報1!$L$24="",報1!$L$24&lt;$Q$101,AND(報1!$P$7=FALSE,報1!$P$8=FALSE,報1!$P$10=FALSE))</xm:f>
            <x14:dxf>
              <font>
                <color auto="1"/>
              </font>
              <fill>
                <patternFill>
                  <bgColor theme="0" tint="-0.14996795556505021"/>
                </patternFill>
              </fill>
            </x14:dxf>
          </x14:cfRule>
          <xm:sqref>C115 I115 N115 C117</xm:sqref>
        </x14:conditionalFormatting>
        <x14:conditionalFormatting xmlns:xm="http://schemas.microsoft.com/office/excel/2006/main">
          <x14:cfRule type="expression" priority="147" id="{971D5792-78BE-4FDB-9D92-99D39824D8F8}">
            <xm:f>OR(報1!$L$24="",報1!$L$24&lt;$Q$101,AND(報1!$P$7=FALSE,報1!$P$8=FALSE,報1!$P$10=FALSE))</xm:f>
            <x14:dxf>
              <font>
                <color auto="1"/>
              </font>
              <fill>
                <patternFill>
                  <bgColor theme="0" tint="-0.14996795556505021"/>
                </patternFill>
              </fill>
            </x14:dxf>
          </x14:cfRule>
          <xm:sqref>D106:D107 M108 C108:C109 H108:H109</xm:sqref>
        </x14:conditionalFormatting>
        <x14:conditionalFormatting xmlns:xm="http://schemas.microsoft.com/office/excel/2006/main">
          <x14:cfRule type="expression" priority="144" id="{433DEAAF-AC1B-42D1-B47A-FF82F0160B92}">
            <xm:f>OR(報1!$L$24="",報1!$L$24&lt;$Q$126,AND(報1!$P$7=FALSE,報1!$P$8=FALSE,報1!$P$10=FALSE))</xm:f>
            <x14:dxf>
              <font>
                <color auto="1"/>
              </font>
              <fill>
                <patternFill>
                  <bgColor theme="0" tint="-0.14996795556505021"/>
                </patternFill>
              </fill>
            </x14:dxf>
          </x14:cfRule>
          <xm:sqref>C140 I140 N140 C142</xm:sqref>
        </x14:conditionalFormatting>
        <x14:conditionalFormatting xmlns:xm="http://schemas.microsoft.com/office/excel/2006/main">
          <x14:cfRule type="expression" priority="143" id="{840E41D0-CD63-4E2A-B6AE-CA303D8A8C9D}">
            <xm:f>OR(報1!$L$24="",報1!$L$24&lt;$Q$126,AND(報1!$P$7=FALSE,報1!$P$8=FALSE,報1!$P$10=FALSE))</xm:f>
            <x14:dxf>
              <font>
                <color auto="1"/>
              </font>
              <fill>
                <patternFill>
                  <bgColor theme="0" tint="-0.14996795556505021"/>
                </patternFill>
              </fill>
            </x14:dxf>
          </x14:cfRule>
          <xm:sqref>D131:D132 M133 C133:C134 H133:H134</xm:sqref>
        </x14:conditionalFormatting>
        <x14:conditionalFormatting xmlns:xm="http://schemas.microsoft.com/office/excel/2006/main">
          <x14:cfRule type="expression" priority="140" id="{5BDC41A6-67BB-4D3D-A701-A6091F3DA57F}">
            <xm:f>OR(報1!$L$24="",報1!$L$24&lt;$Q$151,AND(報1!$P$7=FALSE,報1!$P$8=FALSE,報1!$P$10=FALSE))</xm:f>
            <x14:dxf>
              <font>
                <color auto="1"/>
              </font>
              <fill>
                <patternFill>
                  <bgColor theme="0" tint="-0.14996795556505021"/>
                </patternFill>
              </fill>
            </x14:dxf>
          </x14:cfRule>
          <xm:sqref>C165 I165 N165 C167</xm:sqref>
        </x14:conditionalFormatting>
        <x14:conditionalFormatting xmlns:xm="http://schemas.microsoft.com/office/excel/2006/main">
          <x14:cfRule type="expression" priority="139" id="{8071C808-ED7B-4561-A2BF-F92A01E02B00}">
            <xm:f>OR(報1!$L$24="",報1!$L$24&lt;$Q$151,AND(報1!$P$7=FALSE,報1!$P$8=FALSE,報1!$P$10=FALSE))</xm:f>
            <x14:dxf>
              <font>
                <color auto="1"/>
              </font>
              <fill>
                <patternFill>
                  <bgColor theme="0" tint="-0.14996795556505021"/>
                </patternFill>
              </fill>
            </x14:dxf>
          </x14:cfRule>
          <xm:sqref>D156:D157 M158 C158:C159 H158:H159</xm:sqref>
        </x14:conditionalFormatting>
        <x14:conditionalFormatting xmlns:xm="http://schemas.microsoft.com/office/excel/2006/main">
          <x14:cfRule type="expression" priority="136" id="{B1BD5E36-4AB0-418E-8CA2-5ABDA7E31132}">
            <xm:f>OR(報1!$L$24="",報1!$L$24&lt;$Q$176,AND(報1!$P$7=FALSE,報1!$P$8=FALSE,報1!$P$10=FALSE))</xm:f>
            <x14:dxf>
              <font>
                <color auto="1"/>
              </font>
              <fill>
                <patternFill>
                  <bgColor theme="0" tint="-0.14996795556505021"/>
                </patternFill>
              </fill>
            </x14:dxf>
          </x14:cfRule>
          <xm:sqref>C190 I190 N190 C192</xm:sqref>
        </x14:conditionalFormatting>
        <x14:conditionalFormatting xmlns:xm="http://schemas.microsoft.com/office/excel/2006/main">
          <x14:cfRule type="expression" priority="135" id="{3A2E3C04-84D7-4224-B041-4A42932A6FB4}">
            <xm:f>OR(報1!$L$24="",報1!$L$24&lt;$Q$176,AND(報1!$P$7=FALSE,報1!$P$8=FALSE,報1!$P$10=FALSE))</xm:f>
            <x14:dxf>
              <font>
                <color auto="1"/>
              </font>
              <fill>
                <patternFill>
                  <bgColor theme="0" tint="-0.14996795556505021"/>
                </patternFill>
              </fill>
            </x14:dxf>
          </x14:cfRule>
          <xm:sqref>D181:D182 M183 C183:C184 H183:H184</xm:sqref>
        </x14:conditionalFormatting>
        <x14:conditionalFormatting xmlns:xm="http://schemas.microsoft.com/office/excel/2006/main">
          <x14:cfRule type="expression" priority="132" id="{69C43F22-4B09-42F3-A064-2157410D056E}">
            <xm:f>OR(報1!$L$24="",報1!$L$24&lt;$Q$201,AND(報1!$P$7=FALSE,報1!$P$8=FALSE,報1!$P$10=FALSE))</xm:f>
            <x14:dxf>
              <font>
                <color auto="1"/>
              </font>
              <fill>
                <patternFill>
                  <bgColor theme="0" tint="-0.14996795556505021"/>
                </patternFill>
              </fill>
            </x14:dxf>
          </x14:cfRule>
          <xm:sqref>C215 I215 N215 C217</xm:sqref>
        </x14:conditionalFormatting>
        <x14:conditionalFormatting xmlns:xm="http://schemas.microsoft.com/office/excel/2006/main">
          <x14:cfRule type="expression" priority="131" id="{B8FFEEC5-1D10-4E7E-B6F8-9CF68D96D4B3}">
            <xm:f>OR(報1!$L$24="",報1!$L$24&lt;$Q$201,AND(報1!$P$7=FALSE,報1!$P$8=FALSE,報1!$P$10=FALSE))</xm:f>
            <x14:dxf>
              <font>
                <color auto="1"/>
              </font>
              <fill>
                <patternFill>
                  <bgColor theme="0" tint="-0.14996795556505021"/>
                </patternFill>
              </fill>
            </x14:dxf>
          </x14:cfRule>
          <xm:sqref>D206:D207 M208 C208:C209 H208:H209</xm:sqref>
        </x14:conditionalFormatting>
        <x14:conditionalFormatting xmlns:xm="http://schemas.microsoft.com/office/excel/2006/main">
          <x14:cfRule type="expression" priority="128" id="{19EDFF0B-7272-4013-9CAD-765A982EAA3B}">
            <xm:f>OR(報1!$L$24="",報1!$L$24&lt;$Q$226,AND(報1!$P$7=FALSE,報1!$P$8=FALSE,報1!$P$10=FALSE))</xm:f>
            <x14:dxf>
              <font>
                <color auto="1"/>
              </font>
              <fill>
                <patternFill>
                  <bgColor theme="0" tint="-0.14996795556505021"/>
                </patternFill>
              </fill>
            </x14:dxf>
          </x14:cfRule>
          <xm:sqref>C240 I240 N240 C242</xm:sqref>
        </x14:conditionalFormatting>
        <x14:conditionalFormatting xmlns:xm="http://schemas.microsoft.com/office/excel/2006/main">
          <x14:cfRule type="expression" priority="127" id="{98A2B4AC-2F8A-4565-9846-9D74BEA7DD77}">
            <xm:f>OR(報1!$L$24="",報1!$L$24&lt;$Q$226,AND(報1!$P$7=FALSE,報1!$P$8=FALSE,報1!$P$10=FALSE))</xm:f>
            <x14:dxf>
              <font>
                <color auto="1"/>
              </font>
              <fill>
                <patternFill>
                  <bgColor theme="0" tint="-0.14996795556505021"/>
                </patternFill>
              </fill>
            </x14:dxf>
          </x14:cfRule>
          <xm:sqref>D231:D232 M233 C233:C234 H233:H234</xm:sqref>
        </x14:conditionalFormatting>
        <x14:conditionalFormatting xmlns:xm="http://schemas.microsoft.com/office/excel/2006/main">
          <x14:cfRule type="expression" priority="124" id="{80583151-6CAD-4FD5-9D9D-3A3C97D31C90}">
            <xm:f>OR(報1!$L$24="",報1!$L$24&lt;$Q$251,AND(報1!$P$7=FALSE,報1!$P$8=FALSE,報1!$P$10=FALSE))</xm:f>
            <x14:dxf>
              <font>
                <color auto="1"/>
              </font>
              <fill>
                <patternFill>
                  <bgColor theme="0" tint="-0.14996795556505021"/>
                </patternFill>
              </fill>
            </x14:dxf>
          </x14:cfRule>
          <xm:sqref>C265 I265 N265 C267</xm:sqref>
        </x14:conditionalFormatting>
        <x14:conditionalFormatting xmlns:xm="http://schemas.microsoft.com/office/excel/2006/main">
          <x14:cfRule type="expression" priority="123" id="{A8A49B7E-009B-4E9F-895F-53808EA058AD}">
            <xm:f>OR(報1!$L$24="",報1!$L$24&lt;$Q$251,AND(報1!$P$7=FALSE,報1!$P$8=FALSE,報1!$P$10=FALSE))</xm:f>
            <x14:dxf>
              <font>
                <color auto="1"/>
              </font>
              <fill>
                <patternFill>
                  <bgColor theme="0" tint="-0.14996795556505021"/>
                </patternFill>
              </fill>
            </x14:dxf>
          </x14:cfRule>
          <xm:sqref>D256:D257 M258 C258:C259 H258:H259</xm:sqref>
        </x14:conditionalFormatting>
        <x14:conditionalFormatting xmlns:xm="http://schemas.microsoft.com/office/excel/2006/main">
          <x14:cfRule type="expression" priority="120" id="{0C72857E-58D8-40DD-9B4A-792E5CAB97A1}">
            <xm:f>OR(報1!$L$24="",報1!$L$24&lt;$Q$276,AND(報1!$P$7=FALSE,報1!$P$8=FALSE,報1!$P$10=FALSE))</xm:f>
            <x14:dxf>
              <font>
                <color auto="1"/>
              </font>
              <fill>
                <patternFill>
                  <bgColor theme="0" tint="-0.14996795556505021"/>
                </patternFill>
              </fill>
            </x14:dxf>
          </x14:cfRule>
          <xm:sqref>C290 I290 N290 C292</xm:sqref>
        </x14:conditionalFormatting>
        <x14:conditionalFormatting xmlns:xm="http://schemas.microsoft.com/office/excel/2006/main">
          <x14:cfRule type="expression" priority="119" id="{381806EA-A70C-4338-BEB8-CE94FDB031A9}">
            <xm:f>OR(報1!$L$24="",報1!$L$24&lt;$Q$276,AND(報1!$P$7=FALSE,報1!$P$8=FALSE,報1!$P$10=FALSE))</xm:f>
            <x14:dxf>
              <font>
                <color auto="1"/>
              </font>
              <fill>
                <patternFill>
                  <bgColor theme="0" tint="-0.14996795556505021"/>
                </patternFill>
              </fill>
            </x14:dxf>
          </x14:cfRule>
          <xm:sqref>D281:D282 M283 C283:C284 H283:H284</xm:sqref>
        </x14:conditionalFormatting>
        <x14:conditionalFormatting xmlns:xm="http://schemas.microsoft.com/office/excel/2006/main">
          <x14:cfRule type="expression" priority="116" id="{2D972599-9582-419E-9840-15ECBCE69D92}">
            <xm:f>OR(報1!$L$24="",報1!$L$24&lt;$Q$301,AND(報1!$P$7=FALSE,報1!$P$8=FALSE,報1!$P$10=FALSE))</xm:f>
            <x14:dxf>
              <font>
                <color auto="1"/>
              </font>
              <fill>
                <patternFill>
                  <bgColor theme="0" tint="-0.14996795556505021"/>
                </patternFill>
              </fill>
            </x14:dxf>
          </x14:cfRule>
          <xm:sqref>C315 I315 N315 C317</xm:sqref>
        </x14:conditionalFormatting>
        <x14:conditionalFormatting xmlns:xm="http://schemas.microsoft.com/office/excel/2006/main">
          <x14:cfRule type="expression" priority="115" id="{FBFD5003-1530-4CCB-AD26-CF791E1DBCCF}">
            <xm:f>OR(報1!$L$24="",報1!$L$24&lt;$Q$301,AND(報1!$P$7=FALSE,報1!$P$8=FALSE,報1!$P$10=FALSE))</xm:f>
            <x14:dxf>
              <font>
                <color auto="1"/>
              </font>
              <fill>
                <patternFill>
                  <bgColor theme="0" tint="-0.14996795556505021"/>
                </patternFill>
              </fill>
            </x14:dxf>
          </x14:cfRule>
          <xm:sqref>D306:D307 M308 C308:C309 H308:H309</xm:sqref>
        </x14:conditionalFormatting>
        <x14:conditionalFormatting xmlns:xm="http://schemas.microsoft.com/office/excel/2006/main">
          <x14:cfRule type="expression" priority="112" id="{1B4E5B68-98F5-4FA8-8C9E-F48CFB96C351}">
            <xm:f>OR(報1!$L$24="",報1!$L$24&lt;$Q$326,AND(報1!$P$7=FALSE,報1!$P$8=FALSE,報1!$P$10=FALSE))</xm:f>
            <x14:dxf>
              <font>
                <color auto="1"/>
              </font>
              <fill>
                <patternFill>
                  <bgColor theme="0" tint="-0.14996795556505021"/>
                </patternFill>
              </fill>
            </x14:dxf>
          </x14:cfRule>
          <xm:sqref>C340 I340 N340 C342</xm:sqref>
        </x14:conditionalFormatting>
        <x14:conditionalFormatting xmlns:xm="http://schemas.microsoft.com/office/excel/2006/main">
          <x14:cfRule type="expression" priority="111" id="{6C89A647-EC3B-4843-9F53-ABE6F6A95D16}">
            <xm:f>OR(報1!$L$24="",報1!$L$24&lt;$Q$326,AND(報1!$P$7=FALSE,報1!$P$8=FALSE,報1!$P$10=FALSE))</xm:f>
            <x14:dxf>
              <font>
                <color auto="1"/>
              </font>
              <fill>
                <patternFill>
                  <bgColor theme="0" tint="-0.14996795556505021"/>
                </patternFill>
              </fill>
            </x14:dxf>
          </x14:cfRule>
          <xm:sqref>D331:D332 M333 C333:C334 H333:H334</xm:sqref>
        </x14:conditionalFormatting>
        <x14:conditionalFormatting xmlns:xm="http://schemas.microsoft.com/office/excel/2006/main">
          <x14:cfRule type="expression" priority="108" id="{7A6CCDA2-377E-4125-9FF7-CEDB887265E2}">
            <xm:f>OR(報1!$L$24="",報1!$L$24&lt;$Q$351,AND(報1!$P$7=FALSE,報1!$P$8=FALSE,報1!$P$10=FALSE))</xm:f>
            <x14:dxf>
              <font>
                <color auto="1"/>
              </font>
              <fill>
                <patternFill>
                  <bgColor theme="0" tint="-0.14996795556505021"/>
                </patternFill>
              </fill>
            </x14:dxf>
          </x14:cfRule>
          <xm:sqref>C365 I365 N365 C367</xm:sqref>
        </x14:conditionalFormatting>
        <x14:conditionalFormatting xmlns:xm="http://schemas.microsoft.com/office/excel/2006/main">
          <x14:cfRule type="expression" priority="107" id="{6B17BA1F-ED79-4931-9602-4BAF354A4834}">
            <xm:f>OR(報1!$L$24="",報1!$L$24&lt;$Q$351,AND(報1!$P$7=FALSE,報1!$P$8=FALSE,報1!$P$10=FALSE))</xm:f>
            <x14:dxf>
              <font>
                <color auto="1"/>
              </font>
              <fill>
                <patternFill>
                  <bgColor theme="0" tint="-0.14996795556505021"/>
                </patternFill>
              </fill>
            </x14:dxf>
          </x14:cfRule>
          <xm:sqref>D356:D357 M358 C358:C359 H358:H359</xm:sqref>
        </x14:conditionalFormatting>
        <x14:conditionalFormatting xmlns:xm="http://schemas.microsoft.com/office/excel/2006/main">
          <x14:cfRule type="expression" priority="104" id="{066D13BB-1695-41F1-996C-4A2560E1FA5B}">
            <xm:f>OR(報1!$L$24="",報1!$L$24&lt;$Q$376,AND(報1!$P$7=FALSE,報1!$P$8=FALSE,報1!$P$10=FALSE))</xm:f>
            <x14:dxf>
              <font>
                <color auto="1"/>
              </font>
              <fill>
                <patternFill>
                  <bgColor theme="0" tint="-0.14996795556505021"/>
                </patternFill>
              </fill>
            </x14:dxf>
          </x14:cfRule>
          <xm:sqref>C390 I390 N390 C392</xm:sqref>
        </x14:conditionalFormatting>
        <x14:conditionalFormatting xmlns:xm="http://schemas.microsoft.com/office/excel/2006/main">
          <x14:cfRule type="expression" priority="103" id="{EC56D5C6-3032-4628-A014-4F1AD53CEF01}">
            <xm:f>OR(報1!$L$24="",報1!$L$24&lt;$Q$376,AND(報1!$P$7=FALSE,報1!$P$8=FALSE,報1!$P$10=FALSE))</xm:f>
            <x14:dxf>
              <font>
                <color auto="1"/>
              </font>
              <fill>
                <patternFill>
                  <bgColor theme="0" tint="-0.14996795556505021"/>
                </patternFill>
              </fill>
            </x14:dxf>
          </x14:cfRule>
          <xm:sqref>D381:D382 M383 C383:C384 H383:H384</xm:sqref>
        </x14:conditionalFormatting>
        <x14:conditionalFormatting xmlns:xm="http://schemas.microsoft.com/office/excel/2006/main">
          <x14:cfRule type="expression" priority="100" id="{05E4F7A5-6013-445B-B6CA-2991BC30708D}">
            <xm:f>OR(報1!$L$24="",報1!$L$24&lt;$Q$401,AND(報1!$P$7=FALSE,報1!$P$8=FALSE,報1!$P$10=FALSE))</xm:f>
            <x14:dxf>
              <font>
                <color auto="1"/>
              </font>
              <fill>
                <patternFill>
                  <bgColor theme="0" tint="-0.14996795556505021"/>
                </patternFill>
              </fill>
            </x14:dxf>
          </x14:cfRule>
          <xm:sqref>C415 I415 N415 C417</xm:sqref>
        </x14:conditionalFormatting>
        <x14:conditionalFormatting xmlns:xm="http://schemas.microsoft.com/office/excel/2006/main">
          <x14:cfRule type="expression" priority="99" id="{8148F0EC-14DF-4595-AABE-5F7B6F5E6C25}">
            <xm:f>OR(報1!$L$24="",報1!$L$24&lt;$Q$401,AND(報1!$P$7=FALSE,報1!$P$8=FALSE,報1!$P$10=FALSE))</xm:f>
            <x14:dxf>
              <font>
                <color auto="1"/>
              </font>
              <fill>
                <patternFill>
                  <bgColor theme="0" tint="-0.14996795556505021"/>
                </patternFill>
              </fill>
            </x14:dxf>
          </x14:cfRule>
          <xm:sqref>D406:D407 M408 C408:C409 H408:H409</xm:sqref>
        </x14:conditionalFormatting>
        <x14:conditionalFormatting xmlns:xm="http://schemas.microsoft.com/office/excel/2006/main">
          <x14:cfRule type="expression" priority="96" id="{5C2611BD-3ECE-4FF1-BD78-463732E11CE3}">
            <xm:f>OR(報1!$L$24="",報1!$L$24&lt;$Q$426,AND(報1!$P$7=FALSE,報1!$P$8=FALSE,報1!$P$10=FALSE))</xm:f>
            <x14:dxf>
              <font>
                <color auto="1"/>
              </font>
              <fill>
                <patternFill>
                  <bgColor theme="0" tint="-0.14996795556505021"/>
                </patternFill>
              </fill>
            </x14:dxf>
          </x14:cfRule>
          <xm:sqref>C440 I440 N440 C442</xm:sqref>
        </x14:conditionalFormatting>
        <x14:conditionalFormatting xmlns:xm="http://schemas.microsoft.com/office/excel/2006/main">
          <x14:cfRule type="expression" priority="95" id="{CAFFBA7F-B315-4EA2-8C39-5895BC19B3FB}">
            <xm:f>OR(報1!$L$24="",報1!$L$24&lt;$Q$426,AND(報1!$P$7=FALSE,報1!$P$8=FALSE,報1!$P$10=FALSE))</xm:f>
            <x14:dxf>
              <font>
                <color auto="1"/>
              </font>
              <fill>
                <patternFill>
                  <bgColor theme="0" tint="-0.14996795556505021"/>
                </patternFill>
              </fill>
            </x14:dxf>
          </x14:cfRule>
          <xm:sqref>D431:D432 M433 C433:C434 H433:H434</xm:sqref>
        </x14:conditionalFormatting>
        <x14:conditionalFormatting xmlns:xm="http://schemas.microsoft.com/office/excel/2006/main">
          <x14:cfRule type="expression" priority="92" id="{8132BA4A-E42D-4659-8143-694859A34A4B}">
            <xm:f>OR(報1!$L$24="",報1!$L$24&lt;$Q$451,AND(報1!$P$7=FALSE,報1!$P$8=FALSE,報1!$P$10=FALSE))</xm:f>
            <x14:dxf>
              <font>
                <color auto="1"/>
              </font>
              <fill>
                <patternFill>
                  <bgColor theme="0" tint="-0.14996795556505021"/>
                </patternFill>
              </fill>
            </x14:dxf>
          </x14:cfRule>
          <xm:sqref>C465 I465 N465 C467</xm:sqref>
        </x14:conditionalFormatting>
        <x14:conditionalFormatting xmlns:xm="http://schemas.microsoft.com/office/excel/2006/main">
          <x14:cfRule type="expression" priority="91" id="{3311B8C3-D4B3-4BAA-9F5B-E615C404423F}">
            <xm:f>OR(報1!$L$24="",報1!$L$24&lt;$Q$451,AND(報1!$P$7=FALSE,報1!$P$8=FALSE,報1!$P$10=FALSE))</xm:f>
            <x14:dxf>
              <font>
                <color auto="1"/>
              </font>
              <fill>
                <patternFill>
                  <bgColor theme="0" tint="-0.14996795556505021"/>
                </patternFill>
              </fill>
            </x14:dxf>
          </x14:cfRule>
          <xm:sqref>D456:D457 M458 C458:C459 H458:H459</xm:sqref>
        </x14:conditionalFormatting>
        <x14:conditionalFormatting xmlns:xm="http://schemas.microsoft.com/office/excel/2006/main">
          <x14:cfRule type="expression" priority="87" id="{B1D9AF15-80C9-4E63-96E9-6230806D8DF9}">
            <xm:f>OR(報1!$L$24="",報1!$L$24&lt;$Q$476,AND(報1!$P$7=FALSE,報1!$P$8=FALSE,報1!$P$10=FALSE))</xm:f>
            <x14:dxf>
              <font>
                <color auto="1"/>
              </font>
              <fill>
                <patternFill>
                  <bgColor theme="0" tint="-0.14996795556505021"/>
                </patternFill>
              </fill>
            </x14:dxf>
          </x14:cfRule>
          <xm:sqref>D481:D482 M483 C483:C484 H483:H484 C490 I490 N490 C492</xm:sqref>
        </x14:conditionalFormatting>
        <x14:conditionalFormatting xmlns:xm="http://schemas.microsoft.com/office/excel/2006/main">
          <x14:cfRule type="expression" priority="83" id="{3E33401D-616A-46BA-B477-9673837E0CEE}">
            <xm:f>OR(報1!$L$24="",報1!$L$24&lt;$Q$501,AND(報1!$P$7=FALSE,報1!$P$8=FALSE,報1!$P$10=FALSE))</xm:f>
            <x14:dxf>
              <font>
                <color auto="1"/>
              </font>
              <fill>
                <patternFill>
                  <bgColor theme="0" tint="-0.14996795556505021"/>
                </patternFill>
              </fill>
            </x14:dxf>
          </x14:cfRule>
          <xm:sqref>D506:D507 M508 C508:C509 H508:H509 C515 I515 N515 C517</xm:sqref>
        </x14:conditionalFormatting>
        <x14:conditionalFormatting xmlns:xm="http://schemas.microsoft.com/office/excel/2006/main">
          <x14:cfRule type="expression" priority="79" id="{23798B0A-9912-497E-8F6C-8F3E681633E1}">
            <xm:f>OR(報1!$L$24="",報1!$L$24&lt;$Q$526,AND(報1!$P$7=FALSE,報1!$P$8=FALSE,報1!$P$10=FALSE))</xm:f>
            <x14:dxf>
              <font>
                <color auto="1"/>
              </font>
              <fill>
                <patternFill>
                  <bgColor theme="0" tint="-0.14996795556505021"/>
                </patternFill>
              </fill>
            </x14:dxf>
          </x14:cfRule>
          <xm:sqref>D531:D532 M533 C533:C534 H533:H534 C540 I540 N540 C542</xm:sqref>
        </x14:conditionalFormatting>
        <x14:conditionalFormatting xmlns:xm="http://schemas.microsoft.com/office/excel/2006/main">
          <x14:cfRule type="expression" priority="75" id="{E6929F69-CEFD-43B8-AF51-17280317AB2A}">
            <xm:f>OR(報1!$L$24="",報1!$L$24&lt;$Q$551,AND(報1!$P$7=FALSE,報1!$P$8=FALSE,報1!$P$10=FALSE))</xm:f>
            <x14:dxf>
              <font>
                <color auto="1"/>
              </font>
              <fill>
                <patternFill>
                  <bgColor theme="0" tint="-0.14996795556505021"/>
                </patternFill>
              </fill>
            </x14:dxf>
          </x14:cfRule>
          <xm:sqref>D556:D557 M558 C558:C559 H558:H559 C565 I565 N565 C567</xm:sqref>
        </x14:conditionalFormatting>
        <x14:conditionalFormatting xmlns:xm="http://schemas.microsoft.com/office/excel/2006/main">
          <x14:cfRule type="expression" priority="71" id="{BFA8CA70-F9B0-4390-986B-E1A7FEBA2DBF}">
            <xm:f>OR(報1!$L$24="",報1!$L$24&lt;$Q$576,AND(報1!$P$7=FALSE,報1!$P$8=FALSE,報1!$P$10=FALSE))</xm:f>
            <x14:dxf>
              <font>
                <color auto="1"/>
              </font>
              <fill>
                <patternFill>
                  <bgColor theme="0" tint="-0.14996795556505021"/>
                </patternFill>
              </fill>
            </x14:dxf>
          </x14:cfRule>
          <xm:sqref>D581:D582 M583 C583:C584 H583:H584 C590 I590 N590 C592</xm:sqref>
        </x14:conditionalFormatting>
        <x14:conditionalFormatting xmlns:xm="http://schemas.microsoft.com/office/excel/2006/main">
          <x14:cfRule type="expression" priority="67" id="{3620420C-A61F-44DC-A632-65F946D1F638}">
            <xm:f>OR(報1!$L$24="",報1!$L$24&lt;$Q$601,AND(報1!$P$7=FALSE,報1!$P$8=FALSE,報1!$P$10=FALSE))</xm:f>
            <x14:dxf>
              <font>
                <color auto="1"/>
              </font>
              <fill>
                <patternFill>
                  <bgColor theme="0" tint="-0.14996795556505021"/>
                </patternFill>
              </fill>
            </x14:dxf>
          </x14:cfRule>
          <xm:sqref>D606:D607 M608 C608:C609 H608:H609 C615 I615 N615 C617</xm:sqref>
        </x14:conditionalFormatting>
        <x14:conditionalFormatting xmlns:xm="http://schemas.microsoft.com/office/excel/2006/main">
          <x14:cfRule type="expression" priority="63" id="{918136C1-FE20-46EE-B19C-AB44B264D956}">
            <xm:f>OR(報1!$L$24="",報1!$L$24&lt;$Q$626,AND(報1!$P$7=FALSE,報1!$P$8=FALSE,報1!$P$10=FALSE))</xm:f>
            <x14:dxf>
              <font>
                <color auto="1"/>
              </font>
              <fill>
                <patternFill>
                  <bgColor theme="0" tint="-0.14996795556505021"/>
                </patternFill>
              </fill>
            </x14:dxf>
          </x14:cfRule>
          <xm:sqref>D631:D632 M633 C633:C634 H633:H634 C640 I640 N640 C642</xm:sqref>
        </x14:conditionalFormatting>
        <x14:conditionalFormatting xmlns:xm="http://schemas.microsoft.com/office/excel/2006/main">
          <x14:cfRule type="expression" priority="59" id="{91F23FEF-FB41-42E5-BDF0-7483620830DC}">
            <xm:f>OR(報1!$L$24="",報1!$L$24&lt;$Q$651,AND(報1!$P$7=FALSE,報1!$P$8=FALSE,報1!$P$10=FALSE))</xm:f>
            <x14:dxf>
              <font>
                <color auto="1"/>
              </font>
              <fill>
                <patternFill>
                  <bgColor theme="0" tint="-0.14996795556505021"/>
                </patternFill>
              </fill>
            </x14:dxf>
          </x14:cfRule>
          <xm:sqref>D656:D657 M658 C658:C659 H658:H659 C665 I665 N665 C667</xm:sqref>
        </x14:conditionalFormatting>
        <x14:conditionalFormatting xmlns:xm="http://schemas.microsoft.com/office/excel/2006/main">
          <x14:cfRule type="expression" priority="55" id="{19BCFD7A-9D22-4E69-ABE5-2275E64C5BEB}">
            <xm:f>OR(報1!$L$24="",報1!$L$24&lt;$Q$676,AND(報1!$P$7=FALSE,報1!$P$8=FALSE,報1!$P$10=FALSE))</xm:f>
            <x14:dxf>
              <font>
                <color auto="1"/>
              </font>
              <fill>
                <patternFill>
                  <bgColor theme="0" tint="-0.14996795556505021"/>
                </patternFill>
              </fill>
            </x14:dxf>
          </x14:cfRule>
          <xm:sqref>D681:D682 M683 C683:C684 H683:H684 C690 I690 N690 C692</xm:sqref>
        </x14:conditionalFormatting>
        <x14:conditionalFormatting xmlns:xm="http://schemas.microsoft.com/office/excel/2006/main">
          <x14:cfRule type="expression" priority="51" id="{9DBBF155-C358-4518-9E48-752E202120D1}">
            <xm:f>OR(報1!$L$24="",報1!$L$24&lt;$Q$701,AND(報1!$P$7=FALSE,報1!$P$8=FALSE,報1!$P$10=FALSE))</xm:f>
            <x14:dxf>
              <font>
                <color auto="1"/>
              </font>
              <fill>
                <patternFill>
                  <bgColor theme="0" tint="-0.14996795556505021"/>
                </patternFill>
              </fill>
            </x14:dxf>
          </x14:cfRule>
          <xm:sqref>D706:D707 M708 C708:C709 H708:H709 C715 I715 N715 C717</xm:sqref>
        </x14:conditionalFormatting>
        <x14:conditionalFormatting xmlns:xm="http://schemas.microsoft.com/office/excel/2006/main">
          <x14:cfRule type="expression" priority="47" id="{4B5F04D6-656C-4A94-8D5E-AC6F41691798}">
            <xm:f>OR(報1!$L$24="",報1!$L$24&lt;$Q$726,AND(報1!$P$7=FALSE,報1!$P$8=FALSE,報1!$P$10=FALSE))</xm:f>
            <x14:dxf>
              <font>
                <color auto="1"/>
              </font>
              <fill>
                <patternFill>
                  <bgColor theme="0" tint="-0.14996795556505021"/>
                </patternFill>
              </fill>
            </x14:dxf>
          </x14:cfRule>
          <xm:sqref>D731:D732 M733 C733:C734 H733:H734 C740 I740 N740 C742</xm:sqref>
        </x14:conditionalFormatting>
        <x14:conditionalFormatting xmlns:xm="http://schemas.microsoft.com/office/excel/2006/main">
          <x14:cfRule type="expression" priority="43" id="{09C03067-B8A4-470F-A49C-0B822666EE4F}">
            <xm:f>OR(報1!$L$24="",報1!$L$24&lt;$Q$751,AND(報1!$P$7=FALSE,報1!$P$8=FALSE,報1!$P$10=FALSE))</xm:f>
            <x14:dxf>
              <font>
                <color auto="1"/>
              </font>
              <fill>
                <patternFill>
                  <bgColor theme="0" tint="-0.14996795556505021"/>
                </patternFill>
              </fill>
            </x14:dxf>
          </x14:cfRule>
          <xm:sqref>D756:D757 M758 C758:C759 H758:H759 C765 I765 N765 C767</xm:sqref>
        </x14:conditionalFormatting>
        <x14:conditionalFormatting xmlns:xm="http://schemas.microsoft.com/office/excel/2006/main">
          <x14:cfRule type="expression" priority="39" id="{47E7C01F-E721-4361-A59B-82C4C233E429}">
            <xm:f>OR(報1!$L$24="",報1!$L$24&lt;$Q$776,AND(報1!$P$7=FALSE,報1!$P$8=FALSE,報1!$P$10=FALSE))</xm:f>
            <x14:dxf>
              <font>
                <color auto="1"/>
              </font>
              <fill>
                <patternFill>
                  <bgColor theme="0" tint="-0.14996795556505021"/>
                </patternFill>
              </fill>
            </x14:dxf>
          </x14:cfRule>
          <xm:sqref>D781:D782 M783 C783:C784 H783:H784 C790 I790 N790 C792</xm:sqref>
        </x14:conditionalFormatting>
        <x14:conditionalFormatting xmlns:xm="http://schemas.microsoft.com/office/excel/2006/main">
          <x14:cfRule type="expression" priority="35" id="{1288B942-45F5-494A-890B-E10394362098}">
            <xm:f>OR(報1!$L$24="",報1!$L$24&lt;$Q$801,AND(報1!$P$7=FALSE,報1!$P$8=FALSE,報1!$P$10=FALSE))</xm:f>
            <x14:dxf>
              <font>
                <color auto="1"/>
              </font>
              <fill>
                <patternFill>
                  <bgColor theme="0" tint="-0.14996795556505021"/>
                </patternFill>
              </fill>
            </x14:dxf>
          </x14:cfRule>
          <xm:sqref>D806:D807 M808 C808:C809 H808:H809 C815 I815 N815 C817</xm:sqref>
        </x14:conditionalFormatting>
        <x14:conditionalFormatting xmlns:xm="http://schemas.microsoft.com/office/excel/2006/main">
          <x14:cfRule type="expression" priority="31" id="{23070561-C56E-4C17-9C6D-836E2A4D781F}">
            <xm:f>OR(報1!$L$24="",報1!$L$24&lt;$Q$826,AND(報1!$P$7=FALSE,報1!$P$8=FALSE,報1!$P$10=FALSE))</xm:f>
            <x14:dxf>
              <font>
                <color auto="1"/>
              </font>
              <fill>
                <patternFill>
                  <bgColor theme="0" tint="-0.14996795556505021"/>
                </patternFill>
              </fill>
            </x14:dxf>
          </x14:cfRule>
          <xm:sqref>D831:D832 M833 C833:C834 H833:H834 C840 I840 N840 C842</xm:sqref>
        </x14:conditionalFormatting>
        <x14:conditionalFormatting xmlns:xm="http://schemas.microsoft.com/office/excel/2006/main">
          <x14:cfRule type="expression" priority="27" id="{5A11D9FC-9CA9-4681-87B5-DAF39CAF7908}">
            <xm:f>OR(報1!$L$24="",報1!$L$24&lt;$Q$851,AND(報1!$P$7=FALSE,報1!$P$8=FALSE,報1!$P$10=FALSE))</xm:f>
            <x14:dxf>
              <font>
                <color auto="1"/>
              </font>
              <fill>
                <patternFill>
                  <bgColor theme="0" tint="-0.14996795556505021"/>
                </patternFill>
              </fill>
            </x14:dxf>
          </x14:cfRule>
          <xm:sqref>D856:D857 M858 C858:C859 H858:H859 C865 I865 N865 C867</xm:sqref>
        </x14:conditionalFormatting>
        <x14:conditionalFormatting xmlns:xm="http://schemas.microsoft.com/office/excel/2006/main">
          <x14:cfRule type="expression" priority="23" id="{79089352-8C16-465C-9898-1A598ED9C492}">
            <xm:f>OR(報1!$L$24="",報1!$L$24&lt;$Q$876,AND(報1!$P$7=FALSE,報1!$P$8=FALSE,報1!$P$10=FALSE))</xm:f>
            <x14:dxf>
              <font>
                <color auto="1"/>
              </font>
              <fill>
                <patternFill>
                  <bgColor theme="0" tint="-0.14996795556505021"/>
                </patternFill>
              </fill>
            </x14:dxf>
          </x14:cfRule>
          <xm:sqref>D881:D882 M883 C883:C884 H883:H884 C890 I890 N890 C892</xm:sqref>
        </x14:conditionalFormatting>
        <x14:conditionalFormatting xmlns:xm="http://schemas.microsoft.com/office/excel/2006/main">
          <x14:cfRule type="expression" priority="19" id="{9F965656-B65F-4C69-A196-254DAAE736A2}">
            <xm:f>OR(報1!$L$24="",報1!$L$24&lt;$Q$901,AND(報1!$P$7=FALSE,報1!$P$8=FALSE,報1!$P$10=FALSE))</xm:f>
            <x14:dxf>
              <font>
                <color auto="1"/>
              </font>
              <fill>
                <patternFill>
                  <bgColor theme="0" tint="-0.14996795556505021"/>
                </patternFill>
              </fill>
            </x14:dxf>
          </x14:cfRule>
          <xm:sqref>D906:D907 M908 C908:C909 H908:H909 C915 I915 N915 C917</xm:sqref>
        </x14:conditionalFormatting>
        <x14:conditionalFormatting xmlns:xm="http://schemas.microsoft.com/office/excel/2006/main">
          <x14:cfRule type="expression" priority="15" id="{06D2EAF4-4DEA-40F0-8B92-3AA4D1FB2D98}">
            <xm:f>OR(報1!$L$24="",報1!$L$24&lt;$Q$926,AND(報1!$P$7=FALSE,報1!$P$8=FALSE,報1!$P$10=FALSE))</xm:f>
            <x14:dxf>
              <font>
                <color auto="1"/>
              </font>
              <fill>
                <patternFill>
                  <bgColor theme="0" tint="-0.14996795556505021"/>
                </patternFill>
              </fill>
            </x14:dxf>
          </x14:cfRule>
          <xm:sqref>D931:D932 M933 C933:C934 H933:H934 C940 I940 N940 C942</xm:sqref>
        </x14:conditionalFormatting>
        <x14:conditionalFormatting xmlns:xm="http://schemas.microsoft.com/office/excel/2006/main">
          <x14:cfRule type="expression" priority="11" id="{C5E4B506-F736-41C1-B027-E6CA68CD3ABF}">
            <xm:f>OR(報1!$L$24="",報1!$L$24&lt;$Q$951,AND(報1!$P$7=FALSE,報1!$P$8=FALSE,報1!$P$10=FALSE))</xm:f>
            <x14:dxf>
              <font>
                <color auto="1"/>
              </font>
              <fill>
                <patternFill>
                  <bgColor theme="0" tint="-0.14996795556505021"/>
                </patternFill>
              </fill>
            </x14:dxf>
          </x14:cfRule>
          <xm:sqref>D956:D957 M958 C958:C959 H958:H959 C965 I965 N965 C967</xm:sqref>
        </x14:conditionalFormatting>
        <x14:conditionalFormatting xmlns:xm="http://schemas.microsoft.com/office/excel/2006/main">
          <x14:cfRule type="expression" priority="7" id="{6785AA51-5840-4B41-8A96-3F2617899096}">
            <xm:f>OR(報1!$L$24="",報1!$L$24&lt;$Q$976,AND(報1!$P$7=FALSE,報1!$P$8=FALSE,報1!$P$10=FALSE))</xm:f>
            <x14:dxf>
              <font>
                <color auto="1"/>
              </font>
              <fill>
                <patternFill>
                  <bgColor theme="0" tint="-0.14996795556505021"/>
                </patternFill>
              </fill>
            </x14:dxf>
          </x14:cfRule>
          <xm:sqref>D981:D982 M983 C983:C984 H983:H984 C990 I990 N990 C992</xm:sqref>
        </x14:conditionalFormatting>
        <x14:conditionalFormatting xmlns:xm="http://schemas.microsoft.com/office/excel/2006/main">
          <x14:cfRule type="expression" priority="2" id="{6C3FCC0A-A092-42DD-86F9-7F3C7931342B}">
            <xm:f>報1!$L$23=1</xm:f>
            <x14:dxf>
              <fill>
                <patternFill>
                  <bgColor theme="0" tint="-0.14996795556505021"/>
                </patternFill>
              </fill>
            </x14:dxf>
          </x14:cfRule>
          <xm:sqref>C17:O21 C15 I15 N15</xm:sqref>
        </x14:conditionalFormatting>
      </x14:conditionalFormatting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3">
    <pageSetUpPr fitToPage="1"/>
  </sheetPr>
  <dimension ref="A1:AX66"/>
  <sheetViews>
    <sheetView showGridLines="0" showZeros="0" zoomScaleNormal="100" workbookViewId="0">
      <selection activeCell="B6" sqref="B6"/>
    </sheetView>
  </sheetViews>
  <sheetFormatPr defaultColWidth="9" defaultRowHeight="13.5"/>
  <cols>
    <col min="1" max="1" width="5.125" style="3" customWidth="1"/>
    <col min="2" max="2" width="5.625" style="3" customWidth="1"/>
    <col min="3" max="3" width="6.625" style="3" customWidth="1"/>
    <col min="4" max="4" width="4.625" style="3" customWidth="1"/>
    <col min="5" max="5" width="6.625" style="3" customWidth="1"/>
    <col min="6" max="6" width="7.625" style="3" customWidth="1"/>
    <col min="7" max="7" width="12.625" style="3" customWidth="1"/>
    <col min="8" max="9" width="7.625" style="3" customWidth="1"/>
    <col min="10" max="10" width="4.625" style="3" customWidth="1"/>
    <col min="11" max="11" width="9.625" style="3" customWidth="1"/>
    <col min="12" max="12" width="4.625" style="3" customWidth="1"/>
    <col min="13" max="13" width="5.625" style="3" customWidth="1"/>
    <col min="14" max="14" width="6.625" style="3" customWidth="1"/>
    <col min="15" max="15" width="23.75" style="3" customWidth="1"/>
    <col min="16" max="18" width="9" style="3" hidden="1" customWidth="1"/>
    <col min="19" max="19" width="11" style="3" hidden="1" customWidth="1"/>
    <col min="20" max="43" width="9" style="3" hidden="1" customWidth="1"/>
    <col min="44" max="46" width="9.75" style="3" hidden="1" customWidth="1"/>
    <col min="47" max="47" width="9" style="3" hidden="1" customWidth="1"/>
    <col min="48" max="50" width="9" style="3" customWidth="1"/>
    <col min="51" max="16384" width="9" style="3"/>
  </cols>
  <sheetData>
    <row r="1" spans="1:50">
      <c r="A1" s="2" t="s">
        <v>527</v>
      </c>
      <c r="O1" s="156"/>
      <c r="P1" s="160"/>
      <c r="Q1" s="160"/>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row>
    <row r="2" spans="1:50" ht="15.95" customHeight="1">
      <c r="A2" s="26" t="s">
        <v>256</v>
      </c>
      <c r="B2" s="4"/>
      <c r="C2" s="4"/>
      <c r="D2" s="4"/>
      <c r="E2" s="4"/>
      <c r="F2" s="4"/>
      <c r="G2" s="4"/>
      <c r="H2" s="4"/>
      <c r="I2" s="4"/>
      <c r="J2" s="4"/>
      <c r="K2" s="2610" t="s">
        <v>257</v>
      </c>
      <c r="L2" s="2611"/>
      <c r="M2" s="3013" t="str">
        <f>IF(参照元!$F$14="新規","",参照元!$F$14)</f>
        <v/>
      </c>
      <c r="N2" s="3014"/>
      <c r="O2" s="156"/>
      <c r="P2" s="160" t="s">
        <v>4840</v>
      </c>
      <c r="Q2" s="160"/>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330" t="s">
        <v>4466</v>
      </c>
      <c r="AT2" s="331">
        <v>0</v>
      </c>
      <c r="AU2" s="156"/>
      <c r="AV2" s="156"/>
      <c r="AW2" s="156"/>
      <c r="AX2" s="156"/>
    </row>
    <row r="3" spans="1:50" ht="20.100000000000001" customHeight="1">
      <c r="A3" s="2612" t="s">
        <v>526</v>
      </c>
      <c r="B3" s="2612"/>
      <c r="C3" s="2612"/>
      <c r="D3" s="2612"/>
      <c r="E3" s="2612"/>
      <c r="F3" s="2612"/>
      <c r="G3" s="2612"/>
      <c r="H3" s="2612"/>
      <c r="I3" s="2612"/>
      <c r="J3" s="2612"/>
      <c r="K3" s="2612"/>
      <c r="L3" s="2612"/>
      <c r="M3" s="2612"/>
      <c r="N3" s="2612"/>
      <c r="O3" s="156"/>
      <c r="P3" s="1717"/>
      <c r="Q3" s="1717"/>
      <c r="R3" s="1718"/>
      <c r="S3" s="1718"/>
      <c r="T3" s="1718"/>
      <c r="U3" s="1718"/>
      <c r="V3" s="1718"/>
      <c r="W3" s="1718"/>
      <c r="X3" s="1718"/>
      <c r="Y3" s="1718"/>
      <c r="Z3" s="1718"/>
      <c r="AA3" s="1718"/>
      <c r="AB3" s="1718"/>
      <c r="AC3" s="1718"/>
      <c r="AD3" s="1718"/>
      <c r="AE3" s="1718"/>
      <c r="AF3" s="1718"/>
      <c r="AG3" s="1718"/>
      <c r="AH3" s="1718"/>
      <c r="AI3" s="1718"/>
      <c r="AJ3" s="1718"/>
      <c r="AK3" s="1718"/>
      <c r="AL3" s="1718"/>
      <c r="AM3" s="1718"/>
      <c r="AN3" s="1718"/>
      <c r="AO3" s="1718"/>
      <c r="AP3" s="1718"/>
      <c r="AQ3" s="1718"/>
      <c r="AR3" s="1718"/>
      <c r="AS3" s="1719"/>
      <c r="AT3" s="1719"/>
      <c r="AU3" s="1719"/>
      <c r="AV3" s="156"/>
      <c r="AW3" s="156"/>
      <c r="AX3" s="156"/>
    </row>
    <row r="4" spans="1:50" ht="18" customHeight="1">
      <c r="O4" s="1418" t="s">
        <v>4500</v>
      </c>
      <c r="P4" s="160"/>
      <c r="Q4" s="160"/>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row>
    <row r="5" spans="1:50" ht="18.95" customHeight="1">
      <c r="H5" s="27"/>
      <c r="I5" s="27"/>
      <c r="J5" s="83"/>
      <c r="K5" s="3015" t="s">
        <v>450</v>
      </c>
      <c r="L5" s="3015"/>
      <c r="M5" s="149" t="s">
        <v>4502</v>
      </c>
      <c r="N5" s="150" t="s">
        <v>4503</v>
      </c>
      <c r="O5" s="1419" t="str">
        <f>IFERROR(DATE(VALUE(SUBSTITUTE(報1!K5,"年","")),VALUE(SUBSTITUTE(報1!M5,"月","")),VALUE(SUBSTITUTE(報1!N5,"日",""))),"")</f>
        <v/>
      </c>
      <c r="P5" s="160"/>
      <c r="Q5" s="160"/>
      <c r="R5" s="156"/>
      <c r="S5" s="158" t="str">
        <f>IFERROR(DATE(VALUE(SUBSTITUTE(K5,"年","")),VALUE(SUBSTITUTE(M5,"月","")),VALUE(SUBSTITUTE(N5,"日",""))),"")</f>
        <v/>
      </c>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row>
    <row r="6" spans="1:50" ht="24" customHeight="1" thickBot="1">
      <c r="A6" s="100" t="s">
        <v>258</v>
      </c>
      <c r="B6" s="100"/>
      <c r="C6" s="100"/>
      <c r="D6" s="28"/>
      <c r="E6" s="28"/>
      <c r="F6" s="28"/>
      <c r="G6" s="28"/>
      <c r="H6" s="28"/>
      <c r="I6" s="28"/>
      <c r="J6" s="28"/>
      <c r="K6" s="28"/>
      <c r="L6" s="28"/>
      <c r="M6" s="28"/>
      <c r="N6" s="28"/>
      <c r="O6" s="156"/>
      <c r="P6" s="1612"/>
      <c r="Q6" s="160"/>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row>
    <row r="7" spans="1:50" ht="30" customHeight="1" thickBot="1">
      <c r="A7" s="2590" t="s">
        <v>525</v>
      </c>
      <c r="B7" s="2590"/>
      <c r="C7" s="2590"/>
      <c r="D7" s="28"/>
      <c r="E7" s="28"/>
      <c r="F7" s="28"/>
      <c r="G7" s="28"/>
      <c r="H7" s="56" t="s">
        <v>132</v>
      </c>
      <c r="I7" s="2591" t="str">
        <f>IF(はじめに!$B$36="","",報1!I7)</f>
        <v/>
      </c>
      <c r="J7" s="2591"/>
      <c r="K7" s="2591"/>
      <c r="L7" s="2591"/>
      <c r="M7" s="2591"/>
      <c r="N7" s="2591"/>
      <c r="O7" s="156"/>
      <c r="P7" s="1713" t="b">
        <f>IF(はじめに!$B$36="",FALSE,報1!P7)</f>
        <v>0</v>
      </c>
      <c r="Q7" s="156" t="s">
        <v>578</v>
      </c>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row>
    <row r="8" spans="1:50" ht="30" customHeight="1" thickTop="1" thickBot="1">
      <c r="A8" s="28"/>
      <c r="B8" s="28"/>
      <c r="C8" s="28"/>
      <c r="D8" s="28"/>
      <c r="E8" s="28"/>
      <c r="F8" s="28"/>
      <c r="G8" s="28"/>
      <c r="H8" s="2605" t="s">
        <v>133</v>
      </c>
      <c r="I8" s="3003" t="str">
        <f>IF(はじめに!$B$36="","",報1!I8)</f>
        <v/>
      </c>
      <c r="J8" s="3003"/>
      <c r="K8" s="3003"/>
      <c r="L8" s="3003"/>
      <c r="M8" s="3003"/>
      <c r="N8" s="3003"/>
      <c r="O8" s="1417"/>
      <c r="P8" s="1713" t="b">
        <f>IF(はじめに!$B$36="",FALSE,報1!P8)</f>
        <v>0</v>
      </c>
      <c r="Q8" s="156" t="s">
        <v>579</v>
      </c>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row>
    <row r="9" spans="1:50" ht="30" customHeight="1" thickBot="1">
      <c r="A9" s="28"/>
      <c r="B9" s="28"/>
      <c r="C9" s="28"/>
      <c r="D9" s="28"/>
      <c r="E9" s="28"/>
      <c r="F9" s="28"/>
      <c r="G9" s="28"/>
      <c r="H9" s="2605"/>
      <c r="I9" s="2592" t="str">
        <f>IF(はじめに!$B$36="","",報1!I9)</f>
        <v/>
      </c>
      <c r="J9" s="2592"/>
      <c r="K9" s="2592"/>
      <c r="L9" s="2592"/>
      <c r="M9" s="2592"/>
      <c r="N9" s="2592"/>
      <c r="O9" s="156"/>
      <c r="P9" s="1713" t="b">
        <f>IF(はじめに!$B$36="",FALSE,報1!P9)</f>
        <v>0</v>
      </c>
      <c r="Q9" s="156" t="s">
        <v>580</v>
      </c>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row>
    <row r="10" spans="1:50" ht="14.25" customHeight="1" thickBot="1">
      <c r="A10" s="28"/>
      <c r="B10" s="28"/>
      <c r="C10" s="28"/>
      <c r="D10" s="28"/>
      <c r="E10" s="28"/>
      <c r="F10" s="28"/>
      <c r="G10" s="28"/>
      <c r="H10" s="28" t="s">
        <v>177</v>
      </c>
      <c r="O10" s="156"/>
      <c r="P10" s="1713" t="b">
        <f>IF(はじめに!$B$36="",FALSE,報1!P10)</f>
        <v>0</v>
      </c>
      <c r="Q10" s="156" t="s">
        <v>2677</v>
      </c>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row>
    <row r="11" spans="1:50" ht="15" customHeight="1" thickBot="1">
      <c r="A11" s="28"/>
      <c r="B11" s="28"/>
      <c r="C11" s="28"/>
      <c r="D11" s="28"/>
      <c r="E11" s="28"/>
      <c r="F11" s="28"/>
      <c r="G11" s="28"/>
      <c r="H11" s="28"/>
      <c r="I11" s="28"/>
      <c r="J11" s="28"/>
      <c r="K11" s="28"/>
      <c r="L11" s="28"/>
      <c r="M11" s="28"/>
      <c r="N11" s="28"/>
      <c r="O11" s="156"/>
      <c r="P11" s="1713" t="b">
        <f>IF(はじめに!$B$36="",FALSE,報1!P11)</f>
        <v>0</v>
      </c>
      <c r="Q11" s="156" t="s">
        <v>2678</v>
      </c>
      <c r="R11" s="156" t="str">
        <f>LEFT(S11,1)&amp;LEFT(S11,1)</f>
        <v>ＡＡ</v>
      </c>
      <c r="S11" s="159" t="s">
        <v>0</v>
      </c>
      <c r="T11" s="159" t="s">
        <v>1</v>
      </c>
      <c r="U11" s="159" t="s">
        <v>2</v>
      </c>
      <c r="V11" s="159"/>
      <c r="W11" s="159"/>
      <c r="X11" s="159"/>
      <c r="Y11" s="159"/>
      <c r="Z11" s="159"/>
      <c r="AA11" s="159"/>
      <c r="AB11" s="159"/>
      <c r="AC11" s="159"/>
      <c r="AD11" s="159"/>
      <c r="AE11" s="159"/>
      <c r="AF11" s="159"/>
      <c r="AG11" s="159"/>
      <c r="AH11" s="159"/>
      <c r="AI11" s="159"/>
      <c r="AJ11" s="159"/>
      <c r="AK11" s="159"/>
      <c r="AL11" s="159"/>
      <c r="AM11" s="159"/>
      <c r="AN11" s="159"/>
      <c r="AO11" s="159"/>
      <c r="AP11" s="159"/>
      <c r="AQ11" s="159"/>
      <c r="AR11" s="156"/>
      <c r="AS11" s="156"/>
      <c r="AT11" s="156"/>
      <c r="AU11" s="156"/>
      <c r="AV11" s="156"/>
      <c r="AW11" s="156"/>
      <c r="AX11" s="156"/>
    </row>
    <row r="12" spans="1:50" ht="41.25" customHeight="1" thickBot="1">
      <c r="A12" s="3016" t="s">
        <v>524</v>
      </c>
      <c r="B12" s="3016"/>
      <c r="C12" s="3016"/>
      <c r="D12" s="3016"/>
      <c r="E12" s="3016"/>
      <c r="F12" s="3016"/>
      <c r="G12" s="3016"/>
      <c r="H12" s="3016"/>
      <c r="I12" s="3016"/>
      <c r="J12" s="3016"/>
      <c r="K12" s="3016"/>
      <c r="L12" s="3016"/>
      <c r="M12" s="3016"/>
      <c r="N12" s="3016"/>
      <c r="O12" s="156"/>
      <c r="P12" s="1713" t="b">
        <f>IF(はじめに!$B$36="",FALSE,報1!P12)</f>
        <v>0</v>
      </c>
      <c r="Q12" s="156" t="s">
        <v>581</v>
      </c>
      <c r="R12" s="156" t="str">
        <f t="shared" ref="R12:R30" si="0">LEFT(S12,1)&amp;LEFT(S12,1)</f>
        <v>ＢＢ</v>
      </c>
      <c r="S12" s="159" t="s">
        <v>3</v>
      </c>
      <c r="T12" s="159" t="s">
        <v>4</v>
      </c>
      <c r="U12" s="159" t="s">
        <v>5</v>
      </c>
      <c r="V12" s="159"/>
      <c r="W12" s="159"/>
      <c r="X12" s="159"/>
      <c r="Y12" s="159"/>
      <c r="Z12" s="159"/>
      <c r="AA12" s="159"/>
      <c r="AB12" s="159"/>
      <c r="AC12" s="159"/>
      <c r="AD12" s="159"/>
      <c r="AE12" s="159"/>
      <c r="AF12" s="159"/>
      <c r="AG12" s="159"/>
      <c r="AH12" s="159"/>
      <c r="AI12" s="159"/>
      <c r="AJ12" s="159"/>
      <c r="AK12" s="159"/>
      <c r="AL12" s="159"/>
      <c r="AM12" s="159"/>
      <c r="AN12" s="159"/>
      <c r="AO12" s="159"/>
      <c r="AP12" s="159"/>
      <c r="AQ12" s="159"/>
      <c r="AR12" s="156"/>
      <c r="AS12" s="156"/>
      <c r="AT12" s="156"/>
      <c r="AU12" s="156"/>
      <c r="AV12" s="156"/>
      <c r="AW12" s="156"/>
      <c r="AX12" s="156"/>
    </row>
    <row r="13" spans="1:50" ht="15" customHeight="1">
      <c r="A13" s="48" t="s">
        <v>138</v>
      </c>
      <c r="B13" s="4"/>
      <c r="C13" s="4"/>
      <c r="D13" s="4"/>
      <c r="E13" s="4"/>
      <c r="F13" s="4"/>
      <c r="G13" s="4"/>
      <c r="H13" s="4"/>
      <c r="I13" s="4"/>
      <c r="J13" s="4"/>
      <c r="K13" s="4"/>
      <c r="L13" s="4"/>
      <c r="M13" s="4"/>
      <c r="N13" s="2"/>
      <c r="O13" s="156"/>
      <c r="P13" s="156"/>
      <c r="Q13" s="156"/>
      <c r="R13" s="156" t="str">
        <f t="shared" si="0"/>
        <v>ＣＣ</v>
      </c>
      <c r="S13" s="159" t="s">
        <v>6</v>
      </c>
      <c r="T13" s="159" t="s">
        <v>7</v>
      </c>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6"/>
      <c r="AS13" s="156"/>
      <c r="AT13" s="156"/>
      <c r="AU13" s="156"/>
      <c r="AV13" s="156"/>
      <c r="AW13" s="156"/>
      <c r="AX13" s="156"/>
    </row>
    <row r="14" spans="1:50" ht="14.25" customHeight="1">
      <c r="A14" s="2576" t="s">
        <v>260</v>
      </c>
      <c r="B14" s="2597"/>
      <c r="C14" s="2598"/>
      <c r="D14" s="3010" t="str">
        <f>IF(はじめに!$B$36="","",報1!D14)</f>
        <v/>
      </c>
      <c r="E14" s="3011"/>
      <c r="F14" s="3011"/>
      <c r="G14" s="3011"/>
      <c r="H14" s="3011"/>
      <c r="I14" s="3011"/>
      <c r="J14" s="3011"/>
      <c r="K14" s="3011"/>
      <c r="L14" s="3011"/>
      <c r="M14" s="3011"/>
      <c r="N14" s="3012"/>
      <c r="O14" s="156"/>
      <c r="P14" s="156"/>
      <c r="Q14" s="156"/>
      <c r="R14" s="156" t="str">
        <f t="shared" si="0"/>
        <v>ＤＤ</v>
      </c>
      <c r="S14" s="159" t="s">
        <v>8</v>
      </c>
      <c r="T14" s="159" t="s">
        <v>9</v>
      </c>
      <c r="U14" s="159" t="s">
        <v>10</v>
      </c>
      <c r="V14" s="159" t="s">
        <v>11</v>
      </c>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6"/>
      <c r="AS14" s="156"/>
      <c r="AT14" s="156"/>
      <c r="AU14" s="156"/>
      <c r="AV14" s="156"/>
      <c r="AW14" s="156"/>
      <c r="AX14" s="156"/>
    </row>
    <row r="15" spans="1:50" ht="14.25" customHeight="1">
      <c r="A15" s="2599"/>
      <c r="B15" s="2600"/>
      <c r="C15" s="2601"/>
      <c r="D15" s="3017" t="str">
        <f>IF(はじめに!$B$36="","",報1!D15)</f>
        <v/>
      </c>
      <c r="E15" s="3018"/>
      <c r="F15" s="3018"/>
      <c r="G15" s="3018"/>
      <c r="H15" s="3018"/>
      <c r="I15" s="3018"/>
      <c r="J15" s="3018"/>
      <c r="K15" s="3018"/>
      <c r="L15" s="3018"/>
      <c r="M15" s="3018"/>
      <c r="N15" s="3019"/>
      <c r="O15" s="156"/>
      <c r="P15" s="156"/>
      <c r="Q15" s="156"/>
      <c r="R15" s="156" t="str">
        <f t="shared" si="0"/>
        <v>ＥＥ</v>
      </c>
      <c r="S15" s="159" t="s">
        <v>12</v>
      </c>
      <c r="T15" s="159" t="s">
        <v>13</v>
      </c>
      <c r="U15" s="159" t="s">
        <v>14</v>
      </c>
      <c r="V15" s="159" t="s">
        <v>15</v>
      </c>
      <c r="W15" s="159" t="s">
        <v>16</v>
      </c>
      <c r="X15" s="159" t="s">
        <v>17</v>
      </c>
      <c r="Y15" s="159" t="s">
        <v>18</v>
      </c>
      <c r="Z15" s="159" t="s">
        <v>19</v>
      </c>
      <c r="AA15" s="159" t="s">
        <v>20</v>
      </c>
      <c r="AB15" s="159" t="s">
        <v>21</v>
      </c>
      <c r="AC15" s="159" t="s">
        <v>22</v>
      </c>
      <c r="AD15" s="159" t="s">
        <v>23</v>
      </c>
      <c r="AE15" s="159" t="s">
        <v>24</v>
      </c>
      <c r="AF15" s="159" t="s">
        <v>25</v>
      </c>
      <c r="AG15" s="159" t="s">
        <v>26</v>
      </c>
      <c r="AH15" s="159" t="s">
        <v>27</v>
      </c>
      <c r="AI15" s="159" t="s">
        <v>28</v>
      </c>
      <c r="AJ15" s="159" t="s">
        <v>29</v>
      </c>
      <c r="AK15" s="159" t="s">
        <v>30</v>
      </c>
      <c r="AL15" s="159" t="s">
        <v>31</v>
      </c>
      <c r="AM15" s="159" t="s">
        <v>32</v>
      </c>
      <c r="AN15" s="159" t="s">
        <v>33</v>
      </c>
      <c r="AO15" s="159" t="s">
        <v>34</v>
      </c>
      <c r="AP15" s="159" t="s">
        <v>35</v>
      </c>
      <c r="AQ15" s="159" t="s">
        <v>36</v>
      </c>
      <c r="AR15" s="156"/>
      <c r="AS15" s="156"/>
      <c r="AT15" s="156"/>
      <c r="AU15" s="156"/>
      <c r="AV15" s="156"/>
      <c r="AW15" s="156"/>
      <c r="AX15" s="156"/>
    </row>
    <row r="16" spans="1:50" ht="28.5" customHeight="1">
      <c r="A16" s="2570" t="s">
        <v>261</v>
      </c>
      <c r="B16" s="2571"/>
      <c r="C16" s="2572"/>
      <c r="D16" s="2573" t="str">
        <f>IF(はじめに!$B$36="","",報1!D16)</f>
        <v/>
      </c>
      <c r="E16" s="2574"/>
      <c r="F16" s="2574"/>
      <c r="G16" s="2574"/>
      <c r="H16" s="2574"/>
      <c r="I16" s="2574"/>
      <c r="J16" s="2574"/>
      <c r="K16" s="2574"/>
      <c r="L16" s="2574"/>
      <c r="M16" s="2574"/>
      <c r="N16" s="2575"/>
      <c r="O16" s="156"/>
      <c r="P16" s="156"/>
      <c r="Q16" s="156"/>
      <c r="R16" s="156" t="str">
        <f t="shared" si="0"/>
        <v>ＦＦ</v>
      </c>
      <c r="S16" s="159" t="s">
        <v>37</v>
      </c>
      <c r="T16" s="159" t="s">
        <v>38</v>
      </c>
      <c r="U16" s="159" t="s">
        <v>39</v>
      </c>
      <c r="V16" s="159" t="s">
        <v>40</v>
      </c>
      <c r="W16" s="159" t="s">
        <v>41</v>
      </c>
      <c r="X16" s="159"/>
      <c r="Y16" s="159"/>
      <c r="Z16" s="159"/>
      <c r="AA16" s="159"/>
      <c r="AB16" s="159"/>
      <c r="AC16" s="159"/>
      <c r="AD16" s="159"/>
      <c r="AE16" s="159"/>
      <c r="AF16" s="159"/>
      <c r="AG16" s="159"/>
      <c r="AH16" s="159"/>
      <c r="AI16" s="159"/>
      <c r="AJ16" s="159"/>
      <c r="AK16" s="159"/>
      <c r="AL16" s="159"/>
      <c r="AM16" s="159"/>
      <c r="AN16" s="159"/>
      <c r="AO16" s="159"/>
      <c r="AP16" s="159"/>
      <c r="AQ16" s="159"/>
      <c r="AR16" s="156"/>
      <c r="AS16" s="156"/>
      <c r="AT16" s="156"/>
      <c r="AU16" s="156"/>
      <c r="AV16" s="156"/>
      <c r="AW16" s="156"/>
      <c r="AX16" s="156"/>
    </row>
    <row r="17" spans="1:50" ht="26.1" customHeight="1">
      <c r="A17" s="2576" t="s">
        <v>120</v>
      </c>
      <c r="B17" s="2577"/>
      <c r="C17" s="2577"/>
      <c r="D17" s="2580" t="s">
        <v>117</v>
      </c>
      <c r="E17" s="2581"/>
      <c r="F17" s="2582" t="str">
        <f>IF(報1!F17="","",報1!F17)</f>
        <v/>
      </c>
      <c r="G17" s="2582"/>
      <c r="H17" s="2582"/>
      <c r="I17" s="2582"/>
      <c r="J17" s="2582"/>
      <c r="K17" s="2582"/>
      <c r="L17" s="2582"/>
      <c r="M17" s="2582"/>
      <c r="N17" s="2583"/>
      <c r="O17" s="156"/>
      <c r="P17" s="156"/>
      <c r="Q17" s="156"/>
      <c r="R17" s="156" t="str">
        <f t="shared" si="0"/>
        <v>ＧＧ</v>
      </c>
      <c r="S17" s="159" t="s">
        <v>42</v>
      </c>
      <c r="T17" s="159" t="s">
        <v>43</v>
      </c>
      <c r="U17" s="159" t="s">
        <v>44</v>
      </c>
      <c r="V17" s="159" t="s">
        <v>45</v>
      </c>
      <c r="W17" s="159" t="s">
        <v>46</v>
      </c>
      <c r="X17" s="159" t="s">
        <v>47</v>
      </c>
      <c r="Y17" s="159"/>
      <c r="Z17" s="159"/>
      <c r="AA17" s="159"/>
      <c r="AB17" s="159"/>
      <c r="AC17" s="159"/>
      <c r="AD17" s="159"/>
      <c r="AE17" s="159"/>
      <c r="AF17" s="159"/>
      <c r="AG17" s="159"/>
      <c r="AH17" s="159"/>
      <c r="AI17" s="159"/>
      <c r="AJ17" s="159"/>
      <c r="AK17" s="159"/>
      <c r="AL17" s="159"/>
      <c r="AM17" s="159"/>
      <c r="AN17" s="159"/>
      <c r="AO17" s="159"/>
      <c r="AP17" s="159"/>
      <c r="AQ17" s="159"/>
      <c r="AR17" s="156"/>
      <c r="AS17" s="156"/>
      <c r="AT17" s="156"/>
      <c r="AU17" s="156"/>
      <c r="AV17" s="156"/>
      <c r="AW17" s="156"/>
      <c r="AX17" s="156"/>
    </row>
    <row r="18" spans="1:50" ht="26.1" customHeight="1">
      <c r="A18" s="2578"/>
      <c r="B18" s="2579"/>
      <c r="C18" s="2579"/>
      <c r="D18" s="2509" t="s">
        <v>118</v>
      </c>
      <c r="E18" s="2584"/>
      <c r="F18" s="2585" t="str">
        <f>IF(報1!F18="","",報1!F18)</f>
        <v/>
      </c>
      <c r="G18" s="2586"/>
      <c r="H18" s="2586"/>
      <c r="I18" s="2586"/>
      <c r="J18" s="2586"/>
      <c r="K18" s="2586"/>
      <c r="L18" s="2586"/>
      <c r="M18" s="2586"/>
      <c r="N18" s="2587"/>
      <c r="O18" s="156"/>
      <c r="P18" s="156"/>
      <c r="Q18" s="156"/>
      <c r="R18" s="156" t="str">
        <f t="shared" si="0"/>
        <v>ＨＨ</v>
      </c>
      <c r="S18" s="159" t="s">
        <v>48</v>
      </c>
      <c r="T18" s="159" t="s">
        <v>49</v>
      </c>
      <c r="U18" s="159" t="s">
        <v>50</v>
      </c>
      <c r="V18" s="159" t="s">
        <v>51</v>
      </c>
      <c r="W18" s="159" t="s">
        <v>52</v>
      </c>
      <c r="X18" s="159" t="s">
        <v>53</v>
      </c>
      <c r="Y18" s="159" t="s">
        <v>54</v>
      </c>
      <c r="Z18" s="159" t="s">
        <v>55</v>
      </c>
      <c r="AA18" s="159" t="s">
        <v>56</v>
      </c>
      <c r="AB18" s="159"/>
      <c r="AC18" s="159"/>
      <c r="AD18" s="159"/>
      <c r="AE18" s="159"/>
      <c r="AF18" s="159"/>
      <c r="AG18" s="159"/>
      <c r="AH18" s="159"/>
      <c r="AI18" s="159"/>
      <c r="AJ18" s="159"/>
      <c r="AK18" s="159"/>
      <c r="AL18" s="159"/>
      <c r="AM18" s="159"/>
      <c r="AN18" s="159"/>
      <c r="AO18" s="159"/>
      <c r="AP18" s="159"/>
      <c r="AQ18" s="159"/>
      <c r="AR18" s="156"/>
      <c r="AS18" s="156"/>
      <c r="AT18" s="156"/>
      <c r="AU18" s="156"/>
      <c r="AV18" s="156"/>
      <c r="AW18" s="156"/>
      <c r="AX18" s="156"/>
    </row>
    <row r="19" spans="1:50" ht="27.95" customHeight="1">
      <c r="A19" s="2540" t="s">
        <v>124</v>
      </c>
      <c r="B19" s="2541"/>
      <c r="C19" s="2542"/>
      <c r="D19" s="551"/>
      <c r="E19" s="2549" t="s">
        <v>494</v>
      </c>
      <c r="F19" s="2550"/>
      <c r="G19" s="2550"/>
      <c r="H19" s="2550"/>
      <c r="I19" s="2550"/>
      <c r="J19" s="2550"/>
      <c r="K19" s="2550"/>
      <c r="L19" s="2550"/>
      <c r="M19" s="2550"/>
      <c r="N19" s="2551"/>
      <c r="O19" s="156"/>
      <c r="P19" s="156"/>
      <c r="Q19" s="156"/>
      <c r="R19" s="156" t="str">
        <f t="shared" si="0"/>
        <v>ＩＩ</v>
      </c>
      <c r="S19" s="159" t="s">
        <v>57</v>
      </c>
      <c r="T19" s="159" t="s">
        <v>58</v>
      </c>
      <c r="U19" s="159" t="s">
        <v>59</v>
      </c>
      <c r="V19" s="159" t="s">
        <v>60</v>
      </c>
      <c r="W19" s="159" t="s">
        <v>61</v>
      </c>
      <c r="X19" s="159" t="s">
        <v>62</v>
      </c>
      <c r="Y19" s="159" t="s">
        <v>63</v>
      </c>
      <c r="Z19" s="159" t="s">
        <v>64</v>
      </c>
      <c r="AA19" s="159" t="s">
        <v>65</v>
      </c>
      <c r="AB19" s="159" t="s">
        <v>66</v>
      </c>
      <c r="AC19" s="159" t="s">
        <v>67</v>
      </c>
      <c r="AD19" s="159" t="s">
        <v>68</v>
      </c>
      <c r="AE19" s="159" t="s">
        <v>69</v>
      </c>
      <c r="AF19" s="159"/>
      <c r="AG19" s="159"/>
      <c r="AH19" s="159"/>
      <c r="AI19" s="159"/>
      <c r="AJ19" s="159"/>
      <c r="AK19" s="159"/>
      <c r="AL19" s="159"/>
      <c r="AM19" s="159"/>
      <c r="AN19" s="159"/>
      <c r="AO19" s="159"/>
      <c r="AP19" s="159"/>
      <c r="AQ19" s="159"/>
      <c r="AR19" s="156"/>
      <c r="AS19" s="156"/>
      <c r="AT19" s="156"/>
      <c r="AU19" s="156"/>
      <c r="AV19" s="156"/>
      <c r="AW19" s="156"/>
      <c r="AX19" s="156"/>
    </row>
    <row r="20" spans="1:50" ht="27.95" customHeight="1">
      <c r="A20" s="2543"/>
      <c r="B20" s="2544"/>
      <c r="C20" s="2545"/>
      <c r="D20" s="963"/>
      <c r="E20" s="2552" t="s">
        <v>495</v>
      </c>
      <c r="F20" s="2552"/>
      <c r="G20" s="2552"/>
      <c r="H20" s="2552"/>
      <c r="I20" s="2552"/>
      <c r="J20" s="2552"/>
      <c r="K20" s="2552"/>
      <c r="L20" s="2552"/>
      <c r="M20" s="2552"/>
      <c r="N20" s="2553"/>
      <c r="O20" s="156"/>
      <c r="P20" s="156"/>
      <c r="Q20" s="156"/>
      <c r="R20" s="156" t="str">
        <f t="shared" si="0"/>
        <v>ＪＪ</v>
      </c>
      <c r="S20" s="159" t="s">
        <v>70</v>
      </c>
      <c r="T20" s="159" t="s">
        <v>71</v>
      </c>
      <c r="U20" s="159" t="s">
        <v>72</v>
      </c>
      <c r="V20" s="159" t="s">
        <v>73</v>
      </c>
      <c r="W20" s="159" t="s">
        <v>74</v>
      </c>
      <c r="X20" s="159" t="s">
        <v>75</v>
      </c>
      <c r="Y20" s="159" t="s">
        <v>76</v>
      </c>
      <c r="Z20" s="159"/>
      <c r="AA20" s="159"/>
      <c r="AB20" s="159"/>
      <c r="AC20" s="159"/>
      <c r="AD20" s="159"/>
      <c r="AE20" s="159"/>
      <c r="AF20" s="159"/>
      <c r="AG20" s="159"/>
      <c r="AH20" s="159"/>
      <c r="AI20" s="159"/>
      <c r="AJ20" s="159"/>
      <c r="AK20" s="159"/>
      <c r="AL20" s="159"/>
      <c r="AM20" s="159"/>
      <c r="AN20" s="159"/>
      <c r="AO20" s="159"/>
      <c r="AP20" s="159"/>
      <c r="AQ20" s="159"/>
      <c r="AR20" s="156"/>
      <c r="AS20" s="156"/>
      <c r="AT20" s="156"/>
      <c r="AU20" s="156"/>
      <c r="AV20" s="156"/>
      <c r="AW20" s="156"/>
      <c r="AX20" s="156"/>
    </row>
    <row r="21" spans="1:50" ht="27.95" customHeight="1">
      <c r="A21" s="2543"/>
      <c r="B21" s="2544"/>
      <c r="C21" s="2545"/>
      <c r="D21" s="964"/>
      <c r="E21" s="2552" t="s">
        <v>496</v>
      </c>
      <c r="F21" s="2552"/>
      <c r="G21" s="2552"/>
      <c r="H21" s="2552"/>
      <c r="I21" s="2552"/>
      <c r="J21" s="2552"/>
      <c r="K21" s="2552"/>
      <c r="L21" s="2552"/>
      <c r="M21" s="2552"/>
      <c r="N21" s="2553"/>
      <c r="O21" s="156"/>
      <c r="P21" s="156"/>
      <c r="Q21" s="156"/>
      <c r="R21" s="156" t="str">
        <f t="shared" si="0"/>
        <v>ＫＫ</v>
      </c>
      <c r="S21" s="159" t="s">
        <v>77</v>
      </c>
      <c r="T21" s="159" t="s">
        <v>78</v>
      </c>
      <c r="U21" s="159" t="s">
        <v>79</v>
      </c>
      <c r="V21" s="159" t="s">
        <v>80</v>
      </c>
      <c r="W21" s="159"/>
      <c r="X21" s="159"/>
      <c r="Y21" s="159"/>
      <c r="Z21" s="159"/>
      <c r="AA21" s="159"/>
      <c r="AB21" s="159"/>
      <c r="AC21" s="159"/>
      <c r="AD21" s="159"/>
      <c r="AE21" s="159"/>
      <c r="AF21" s="159"/>
      <c r="AG21" s="159"/>
      <c r="AH21" s="159"/>
      <c r="AI21" s="159"/>
      <c r="AJ21" s="159"/>
      <c r="AK21" s="159"/>
      <c r="AL21" s="159"/>
      <c r="AM21" s="159"/>
      <c r="AN21" s="159"/>
      <c r="AO21" s="159"/>
      <c r="AP21" s="159"/>
      <c r="AQ21" s="159"/>
      <c r="AR21" s="156"/>
      <c r="AS21" s="156"/>
      <c r="AT21" s="156"/>
      <c r="AU21" s="156"/>
      <c r="AV21" s="156"/>
      <c r="AW21" s="156"/>
      <c r="AX21" s="156"/>
    </row>
    <row r="22" spans="1:50" ht="27.95" customHeight="1">
      <c r="A22" s="2543"/>
      <c r="B22" s="2544"/>
      <c r="C22" s="2545"/>
      <c r="D22" s="500"/>
      <c r="E22" s="2564" t="s">
        <v>590</v>
      </c>
      <c r="F22" s="2564"/>
      <c r="G22" s="2564"/>
      <c r="H22" s="2564"/>
      <c r="I22" s="2564"/>
      <c r="J22" s="965"/>
      <c r="K22" s="412" t="s">
        <v>591</v>
      </c>
      <c r="L22" s="966"/>
      <c r="M22" s="2588" t="s">
        <v>592</v>
      </c>
      <c r="N22" s="2589"/>
      <c r="O22" s="156"/>
      <c r="P22" s="156"/>
      <c r="Q22" s="156"/>
      <c r="R22" s="156" t="str">
        <f t="shared" si="0"/>
        <v>ＬＬ</v>
      </c>
      <c r="S22" s="159" t="s">
        <v>81</v>
      </c>
      <c r="T22" s="159" t="s">
        <v>82</v>
      </c>
      <c r="U22" s="159" t="s">
        <v>83</v>
      </c>
      <c r="V22" s="159" t="s">
        <v>84</v>
      </c>
      <c r="W22" s="159" t="s">
        <v>85</v>
      </c>
      <c r="X22" s="159"/>
      <c r="Y22" s="159"/>
      <c r="Z22" s="159"/>
      <c r="AA22" s="159"/>
      <c r="AB22" s="159"/>
      <c r="AC22" s="159"/>
      <c r="AD22" s="159"/>
      <c r="AE22" s="159"/>
      <c r="AF22" s="159"/>
      <c r="AG22" s="159"/>
      <c r="AH22" s="159"/>
      <c r="AI22" s="159"/>
      <c r="AJ22" s="159"/>
      <c r="AK22" s="159"/>
      <c r="AL22" s="159"/>
      <c r="AM22" s="159"/>
      <c r="AN22" s="159"/>
      <c r="AO22" s="159"/>
      <c r="AP22" s="159"/>
      <c r="AQ22" s="159"/>
      <c r="AR22" s="156"/>
      <c r="AS22" s="156"/>
      <c r="AT22" s="156"/>
      <c r="AU22" s="156"/>
      <c r="AV22" s="156"/>
      <c r="AW22" s="156"/>
      <c r="AX22" s="156"/>
    </row>
    <row r="23" spans="1:50" ht="27.95" customHeight="1">
      <c r="A23" s="2543"/>
      <c r="B23" s="2544"/>
      <c r="C23" s="2545"/>
      <c r="D23" s="2540" t="s">
        <v>262</v>
      </c>
      <c r="E23" s="2541"/>
      <c r="F23" s="3021"/>
      <c r="G23" s="3023">
        <f ca="1">ROUND(参照元!X14,0)</f>
        <v>0</v>
      </c>
      <c r="H23" s="2562" t="s">
        <v>176</v>
      </c>
      <c r="I23" s="3006" t="s">
        <v>264</v>
      </c>
      <c r="J23" s="3006"/>
      <c r="K23" s="3007"/>
      <c r="L23" s="3008">
        <f>参照元!V14</f>
        <v>0</v>
      </c>
      <c r="M23" s="3009"/>
      <c r="N23" s="101" t="s">
        <v>185</v>
      </c>
      <c r="O23" s="156"/>
      <c r="P23" s="156"/>
      <c r="Q23" s="156"/>
      <c r="R23" s="156" t="str">
        <f t="shared" si="0"/>
        <v>ＭＭ</v>
      </c>
      <c r="S23" s="159" t="s">
        <v>86</v>
      </c>
      <c r="T23" s="159" t="s">
        <v>87</v>
      </c>
      <c r="U23" s="159" t="s">
        <v>88</v>
      </c>
      <c r="V23" s="159" t="s">
        <v>89</v>
      </c>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6"/>
      <c r="AS23" s="156"/>
      <c r="AT23" s="156"/>
      <c r="AU23" s="156"/>
      <c r="AV23" s="156"/>
      <c r="AW23" s="156"/>
      <c r="AX23" s="156"/>
    </row>
    <row r="24" spans="1:50" ht="27.95" customHeight="1">
      <c r="A24" s="2543"/>
      <c r="B24" s="2544"/>
      <c r="C24" s="2545"/>
      <c r="D24" s="2546"/>
      <c r="E24" s="2547"/>
      <c r="F24" s="3022"/>
      <c r="G24" s="3024"/>
      <c r="H24" s="2563"/>
      <c r="I24" s="2526" t="s">
        <v>265</v>
      </c>
      <c r="J24" s="2527"/>
      <c r="K24" s="2528"/>
      <c r="L24" s="3004">
        <f>参照元!W14</f>
        <v>0</v>
      </c>
      <c r="M24" s="3005"/>
      <c r="N24" s="102" t="s">
        <v>185</v>
      </c>
      <c r="O24" s="156"/>
      <c r="P24" s="156"/>
      <c r="Q24" s="156"/>
      <c r="R24" s="156" t="str">
        <f t="shared" si="0"/>
        <v>ＮＮ</v>
      </c>
      <c r="S24" s="159" t="s">
        <v>90</v>
      </c>
      <c r="T24" s="159" t="s">
        <v>126</v>
      </c>
      <c r="U24" s="159" t="s">
        <v>91</v>
      </c>
      <c r="V24" s="159" t="s">
        <v>92</v>
      </c>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6"/>
      <c r="AS24" s="156"/>
      <c r="AT24" s="156"/>
      <c r="AU24" s="156"/>
      <c r="AV24" s="156"/>
      <c r="AW24" s="156"/>
      <c r="AX24" s="156"/>
    </row>
    <row r="25" spans="1:50" ht="36.75" customHeight="1">
      <c r="A25" s="2546"/>
      <c r="B25" s="2547"/>
      <c r="C25" s="2548"/>
      <c r="D25" s="2974" t="s">
        <v>139</v>
      </c>
      <c r="E25" s="3020"/>
      <c r="F25" s="2975"/>
      <c r="G25" s="1631">
        <f>参照元!AA14</f>
        <v>0</v>
      </c>
      <c r="H25" s="61" t="s">
        <v>140</v>
      </c>
      <c r="I25" s="2534"/>
      <c r="J25" s="2535"/>
      <c r="K25" s="2535"/>
      <c r="L25" s="2535"/>
      <c r="M25" s="2535"/>
      <c r="N25" s="2535"/>
      <c r="O25" s="156"/>
      <c r="P25" s="156"/>
      <c r="Q25" s="156"/>
      <c r="R25" s="156" t="str">
        <f t="shared" si="0"/>
        <v>ＯＯ</v>
      </c>
      <c r="S25" s="159" t="s">
        <v>93</v>
      </c>
      <c r="T25" s="159" t="s">
        <v>94</v>
      </c>
      <c r="U25" s="159" t="s">
        <v>95</v>
      </c>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6"/>
      <c r="AS25" s="156"/>
      <c r="AT25" s="156"/>
      <c r="AU25" s="156"/>
      <c r="AV25" s="156"/>
      <c r="AW25" s="156"/>
      <c r="AX25" s="156"/>
    </row>
    <row r="26" spans="1:50" ht="15" customHeight="1">
      <c r="O26" s="156"/>
      <c r="P26" s="156"/>
      <c r="Q26" s="156"/>
      <c r="R26" s="156" t="str">
        <f t="shared" si="0"/>
        <v>ＰＰ</v>
      </c>
      <c r="S26" s="159" t="s">
        <v>523</v>
      </c>
      <c r="T26" s="159" t="s">
        <v>96</v>
      </c>
      <c r="U26" s="159" t="s">
        <v>97</v>
      </c>
      <c r="V26" s="159" t="s">
        <v>98</v>
      </c>
      <c r="W26" s="159"/>
      <c r="X26" s="159"/>
      <c r="Y26" s="159"/>
      <c r="Z26" s="159"/>
      <c r="AA26" s="159"/>
      <c r="AB26" s="159"/>
      <c r="AC26" s="159"/>
      <c r="AD26" s="159"/>
      <c r="AE26" s="159"/>
      <c r="AF26" s="159"/>
      <c r="AG26" s="159"/>
      <c r="AH26" s="159"/>
      <c r="AI26" s="159"/>
      <c r="AJ26" s="159"/>
      <c r="AK26" s="159"/>
      <c r="AL26" s="159"/>
      <c r="AM26" s="159"/>
      <c r="AN26" s="159"/>
      <c r="AO26" s="159"/>
      <c r="AP26" s="159"/>
      <c r="AQ26" s="159"/>
      <c r="AR26" s="156"/>
      <c r="AS26" s="156"/>
      <c r="AT26" s="156"/>
      <c r="AU26" s="156"/>
      <c r="AV26" s="156"/>
      <c r="AW26" s="156"/>
      <c r="AX26" s="156"/>
    </row>
    <row r="27" spans="1:50" ht="15" customHeight="1">
      <c r="A27" s="48" t="s">
        <v>522</v>
      </c>
      <c r="O27" s="156"/>
      <c r="P27" s="156"/>
      <c r="Q27" s="156"/>
      <c r="R27" s="156" t="str">
        <f t="shared" si="0"/>
        <v>ＱＱ</v>
      </c>
      <c r="S27" s="159" t="s">
        <v>99</v>
      </c>
      <c r="T27" s="159" t="s">
        <v>100</v>
      </c>
      <c r="U27" s="159" t="s">
        <v>101</v>
      </c>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6"/>
      <c r="AS27" s="156"/>
      <c r="AT27" s="156"/>
      <c r="AU27" s="156"/>
      <c r="AV27" s="156"/>
      <c r="AW27" s="156"/>
      <c r="AX27" s="156"/>
    </row>
    <row r="28" spans="1:50" ht="32.1" customHeight="1">
      <c r="A28" s="2536" t="s">
        <v>147</v>
      </c>
      <c r="B28" s="2537"/>
      <c r="C28" s="2537"/>
      <c r="D28" s="2509">
        <f>参照元!BA14+1</f>
        <v>2024</v>
      </c>
      <c r="E28" s="2539"/>
      <c r="F28" s="62" t="s">
        <v>267</v>
      </c>
      <c r="G28" s="63">
        <f>IF(D28="","",D28+2)</f>
        <v>2026</v>
      </c>
      <c r="H28" s="58" t="s">
        <v>268</v>
      </c>
      <c r="I28" s="3033"/>
      <c r="J28" s="3034"/>
      <c r="K28" s="3034"/>
      <c r="L28" s="3035"/>
      <c r="M28" s="3035"/>
      <c r="N28" s="5"/>
      <c r="O28" s="156"/>
      <c r="P28" s="156"/>
      <c r="Q28" s="156"/>
      <c r="R28" s="156" t="str">
        <f t="shared" si="0"/>
        <v>ＲＲ</v>
      </c>
      <c r="S28" s="159" t="s">
        <v>102</v>
      </c>
      <c r="T28" s="159" t="s">
        <v>103</v>
      </c>
      <c r="U28" s="159" t="s">
        <v>104</v>
      </c>
      <c r="V28" s="159" t="s">
        <v>105</v>
      </c>
      <c r="W28" s="159" t="s">
        <v>106</v>
      </c>
      <c r="X28" s="159" t="s">
        <v>107</v>
      </c>
      <c r="Y28" s="159" t="s">
        <v>108</v>
      </c>
      <c r="Z28" s="159" t="s">
        <v>109</v>
      </c>
      <c r="AA28" s="159" t="s">
        <v>110</v>
      </c>
      <c r="AB28" s="159" t="s">
        <v>111</v>
      </c>
      <c r="AC28" s="159"/>
      <c r="AD28" s="159"/>
      <c r="AE28" s="159"/>
      <c r="AF28" s="159"/>
      <c r="AG28" s="159"/>
      <c r="AH28" s="159"/>
      <c r="AI28" s="159"/>
      <c r="AJ28" s="159"/>
      <c r="AK28" s="159"/>
      <c r="AL28" s="159"/>
      <c r="AM28" s="159"/>
      <c r="AN28" s="159"/>
      <c r="AO28" s="159"/>
      <c r="AP28" s="159"/>
      <c r="AQ28" s="159"/>
      <c r="AR28" s="156"/>
      <c r="AS28" s="156"/>
      <c r="AT28" s="156"/>
      <c r="AU28" s="156"/>
      <c r="AV28" s="156"/>
      <c r="AW28" s="156"/>
      <c r="AX28" s="156"/>
    </row>
    <row r="29" spans="1:50" ht="15" customHeight="1">
      <c r="A29" s="16"/>
      <c r="D29" s="29"/>
      <c r="E29" s="29"/>
      <c r="F29" s="15"/>
      <c r="G29" s="15"/>
      <c r="H29" s="5"/>
      <c r="J29" s="15"/>
      <c r="O29" s="156"/>
      <c r="P29" s="156"/>
      <c r="Q29" s="156"/>
      <c r="R29" s="156" t="str">
        <f t="shared" si="0"/>
        <v>ＳＳ</v>
      </c>
      <c r="S29" s="159" t="s">
        <v>112</v>
      </c>
      <c r="T29" s="159" t="s">
        <v>113</v>
      </c>
      <c r="U29" s="159" t="s">
        <v>114</v>
      </c>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6"/>
      <c r="AS29" s="156"/>
      <c r="AT29" s="156"/>
      <c r="AU29" s="156"/>
      <c r="AV29" s="156"/>
      <c r="AW29" s="156"/>
      <c r="AX29" s="156"/>
    </row>
    <row r="30" spans="1:50" ht="15" customHeight="1">
      <c r="A30" s="50" t="s">
        <v>521</v>
      </c>
      <c r="D30" s="29"/>
      <c r="E30" s="29"/>
      <c r="F30" s="15"/>
      <c r="G30" s="15"/>
      <c r="H30" s="15"/>
      <c r="I30" s="5"/>
      <c r="K30" s="15"/>
      <c r="O30" s="156"/>
      <c r="P30" s="156"/>
      <c r="Q30" s="156"/>
      <c r="R30" s="156" t="str">
        <f t="shared" si="0"/>
        <v>ＴＴ</v>
      </c>
      <c r="S30" s="159" t="s">
        <v>115</v>
      </c>
      <c r="T30" s="159" t="s">
        <v>116</v>
      </c>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6"/>
      <c r="AS30" s="156"/>
      <c r="AT30" s="156"/>
      <c r="AU30" s="156"/>
      <c r="AV30" s="156"/>
      <c r="AW30" s="156"/>
      <c r="AX30" s="156"/>
    </row>
    <row r="31" spans="1:50" ht="44.85" customHeight="1">
      <c r="A31" s="3025"/>
      <c r="B31" s="3026"/>
      <c r="C31" s="3026"/>
      <c r="D31" s="3026"/>
      <c r="E31" s="3026"/>
      <c r="F31" s="3026"/>
      <c r="G31" s="3026"/>
      <c r="H31" s="3026"/>
      <c r="I31" s="3026"/>
      <c r="J31" s="3026"/>
      <c r="K31" s="3026"/>
      <c r="L31" s="3026"/>
      <c r="M31" s="3026"/>
      <c r="N31" s="3027"/>
      <c r="O31" s="156"/>
      <c r="P31" s="156"/>
      <c r="Q31" s="156"/>
      <c r="R31" s="156" t="s">
        <v>2676</v>
      </c>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6"/>
      <c r="AS31" s="156"/>
      <c r="AT31" s="156"/>
      <c r="AU31" s="156"/>
      <c r="AV31" s="156"/>
      <c r="AW31" s="156"/>
      <c r="AX31" s="156"/>
    </row>
    <row r="32" spans="1:50" ht="44.85" customHeight="1">
      <c r="A32" s="3028"/>
      <c r="B32" s="3029"/>
      <c r="C32" s="3029"/>
      <c r="D32" s="3029"/>
      <c r="E32" s="3029"/>
      <c r="F32" s="3029"/>
      <c r="G32" s="3029"/>
      <c r="H32" s="3029"/>
      <c r="I32" s="3029"/>
      <c r="J32" s="3029"/>
      <c r="K32" s="3029"/>
      <c r="L32" s="3029"/>
      <c r="M32" s="3029"/>
      <c r="N32" s="3030"/>
      <c r="O32" s="156"/>
      <c r="P32" s="156"/>
      <c r="Q32" s="156"/>
      <c r="R32" s="156" t="str">
        <f>LEFT($F$17,1)&amp;LEFT($F$17,1)</f>
        <v/>
      </c>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6"/>
      <c r="AS32" s="156"/>
      <c r="AT32" s="156"/>
      <c r="AU32" s="156"/>
      <c r="AV32" s="156"/>
      <c r="AW32" s="156"/>
      <c r="AX32" s="156"/>
    </row>
    <row r="33" spans="1:50" ht="44.85" customHeight="1">
      <c r="A33" s="3028"/>
      <c r="B33" s="3029"/>
      <c r="C33" s="3029"/>
      <c r="D33" s="3029"/>
      <c r="E33" s="3029"/>
      <c r="F33" s="3029"/>
      <c r="G33" s="3029"/>
      <c r="H33" s="3029"/>
      <c r="I33" s="3029"/>
      <c r="J33" s="3029"/>
      <c r="K33" s="3029"/>
      <c r="L33" s="3029"/>
      <c r="M33" s="3029"/>
      <c r="N33" s="3030"/>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row>
    <row r="34" spans="1:50" ht="44.85" customHeight="1">
      <c r="A34" s="2630"/>
      <c r="B34" s="3031"/>
      <c r="C34" s="3031"/>
      <c r="D34" s="3031"/>
      <c r="E34" s="3031"/>
      <c r="F34" s="3031"/>
      <c r="G34" s="3031"/>
      <c r="H34" s="3031"/>
      <c r="I34" s="3031"/>
      <c r="J34" s="3031"/>
      <c r="K34" s="3031"/>
      <c r="L34" s="3031"/>
      <c r="M34" s="3031"/>
      <c r="N34" s="3032"/>
      <c r="O34" s="156"/>
      <c r="P34" s="156"/>
      <c r="Q34" s="156"/>
      <c r="R34" s="156"/>
      <c r="S34" s="2501" t="str">
        <f>IFERROR(DATE(VALUE(SUBSTITUTE(K5,"年","")),VALUE(SUBSTITUTE(M5,"月","")),VALUE(SUBSTITUTE(N5,"日",""))),"")</f>
        <v/>
      </c>
      <c r="T34" s="2502"/>
      <c r="U34" s="2503"/>
      <c r="V34" s="156"/>
      <c r="W34" s="156"/>
      <c r="X34" s="156"/>
      <c r="Y34" s="156"/>
      <c r="Z34" s="156"/>
      <c r="AA34" s="156"/>
      <c r="AB34" s="156"/>
      <c r="AC34" s="156"/>
      <c r="AD34" s="156"/>
      <c r="AE34" s="156"/>
      <c r="AF34" s="156"/>
      <c r="AG34" s="156"/>
      <c r="AH34" s="156"/>
      <c r="AI34" s="156"/>
      <c r="AJ34" s="156"/>
      <c r="AK34" s="156"/>
      <c r="AL34" s="156"/>
      <c r="AM34" s="156"/>
      <c r="AN34" s="156"/>
      <c r="AO34" s="156"/>
      <c r="AP34" s="156"/>
      <c r="AQ34" s="156"/>
      <c r="AR34" s="156"/>
      <c r="AS34" s="156"/>
      <c r="AT34" s="156"/>
      <c r="AU34" s="156"/>
      <c r="AV34" s="156"/>
      <c r="AW34" s="156"/>
      <c r="AX34" s="156"/>
    </row>
    <row r="35" spans="1:50" ht="33.75" customHeight="1">
      <c r="A35" s="156"/>
      <c r="B35" s="156"/>
      <c r="C35" s="156"/>
      <c r="D35" s="156"/>
      <c r="E35" s="156"/>
      <c r="F35" s="156"/>
      <c r="G35" s="156"/>
      <c r="H35" s="156"/>
      <c r="I35" s="156"/>
      <c r="J35" s="156"/>
      <c r="K35" s="156"/>
      <c r="L35" s="156"/>
      <c r="M35" s="156"/>
      <c r="N35" s="164"/>
      <c r="O35" s="156"/>
      <c r="P35" s="156"/>
      <c r="Q35" s="156"/>
      <c r="R35" s="156"/>
      <c r="S35" s="161" t="s">
        <v>4501</v>
      </c>
      <c r="T35" s="161" t="s">
        <v>4502</v>
      </c>
      <c r="U35" s="161" t="s">
        <v>4503</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row>
    <row r="36" spans="1:50" ht="46.5" customHeight="1">
      <c r="A36" s="156"/>
      <c r="B36" s="156"/>
      <c r="C36" s="156"/>
      <c r="D36" s="156"/>
      <c r="E36" s="156"/>
      <c r="F36" s="156"/>
      <c r="G36" s="156"/>
      <c r="H36" s="156"/>
      <c r="I36" s="156"/>
      <c r="J36" s="156"/>
      <c r="K36" s="156"/>
      <c r="L36" s="156"/>
      <c r="M36" s="156"/>
      <c r="N36" s="156"/>
      <c r="O36" s="156"/>
      <c r="P36" s="156"/>
      <c r="Q36" s="156"/>
      <c r="R36" s="156"/>
      <c r="S36" s="162" t="str">
        <f>はじめに!A2&amp;"年"</f>
        <v>2024年</v>
      </c>
      <c r="T36" s="162" t="s">
        <v>451</v>
      </c>
      <c r="U36" s="162" t="s">
        <v>452</v>
      </c>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56"/>
    </row>
    <row r="37" spans="1:50" ht="9.75" customHeight="1">
      <c r="A37" s="156"/>
      <c r="B37" s="156"/>
      <c r="C37" s="156"/>
      <c r="D37" s="156"/>
      <c r="E37" s="156"/>
      <c r="F37" s="156"/>
      <c r="G37" s="156"/>
      <c r="H37" s="156"/>
      <c r="I37" s="156"/>
      <c r="J37" s="156"/>
      <c r="K37" s="156"/>
      <c r="L37" s="156"/>
      <c r="M37" s="156"/>
      <c r="N37" s="156"/>
      <c r="O37" s="156"/>
      <c r="P37" s="156"/>
      <c r="Q37" s="156"/>
      <c r="R37" s="156"/>
      <c r="S37" s="162" t="str">
        <f>はじめに!A2+1&amp;"年"</f>
        <v>2025年</v>
      </c>
      <c r="T37" s="162" t="s">
        <v>453</v>
      </c>
      <c r="U37" s="162" t="s">
        <v>454</v>
      </c>
      <c r="V37" s="156"/>
      <c r="W37" s="156"/>
      <c r="X37" s="156"/>
      <c r="Y37" s="156"/>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c r="AX37" s="156"/>
    </row>
    <row r="38" spans="1:50" ht="30" customHeight="1">
      <c r="A38" s="156"/>
      <c r="B38" s="156"/>
      <c r="C38" s="156"/>
      <c r="D38" s="156"/>
      <c r="E38" s="156"/>
      <c r="F38" s="156"/>
      <c r="G38" s="156"/>
      <c r="H38" s="156"/>
      <c r="I38" s="156"/>
      <c r="J38" s="156"/>
      <c r="K38" s="156"/>
      <c r="L38" s="156"/>
      <c r="M38" s="156"/>
      <c r="N38" s="156"/>
      <c r="O38" s="156"/>
      <c r="P38" s="156"/>
      <c r="Q38" s="156"/>
      <c r="R38" s="156"/>
      <c r="S38" s="162"/>
      <c r="T38" s="162" t="s">
        <v>455</v>
      </c>
      <c r="U38" s="162" t="s">
        <v>456</v>
      </c>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c r="AX38" s="156"/>
    </row>
    <row r="39" spans="1:50" ht="30" customHeight="1">
      <c r="A39" s="156"/>
      <c r="B39" s="156"/>
      <c r="C39" s="156"/>
      <c r="D39" s="156"/>
      <c r="E39" s="156"/>
      <c r="F39" s="156"/>
      <c r="G39" s="156"/>
      <c r="H39" s="156"/>
      <c r="I39" s="156"/>
      <c r="J39" s="156"/>
      <c r="K39" s="156"/>
      <c r="L39" s="156"/>
      <c r="M39" s="156"/>
      <c r="N39" s="156"/>
      <c r="O39" s="156"/>
      <c r="P39" s="156"/>
      <c r="Q39" s="156"/>
      <c r="R39" s="156"/>
      <c r="S39" s="162"/>
      <c r="T39" s="162" t="s">
        <v>457</v>
      </c>
      <c r="U39" s="162" t="s">
        <v>458</v>
      </c>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c r="AX39" s="156"/>
    </row>
    <row r="40" spans="1:50">
      <c r="A40" s="156"/>
      <c r="B40" s="156"/>
      <c r="C40" s="156"/>
      <c r="D40" s="156"/>
      <c r="E40" s="156"/>
      <c r="F40" s="156"/>
      <c r="G40" s="156"/>
      <c r="H40" s="156"/>
      <c r="I40" s="156"/>
      <c r="J40" s="156"/>
      <c r="K40" s="156"/>
      <c r="L40" s="156"/>
      <c r="M40" s="156"/>
      <c r="N40" s="156"/>
      <c r="O40" s="156"/>
      <c r="P40" s="156"/>
      <c r="Q40" s="156"/>
      <c r="R40" s="156"/>
      <c r="S40" s="162"/>
      <c r="T40" s="162" t="s">
        <v>459</v>
      </c>
      <c r="U40" s="162" t="s">
        <v>460</v>
      </c>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X40" s="156"/>
    </row>
    <row r="41" spans="1:50">
      <c r="A41" s="156"/>
      <c r="B41" s="156"/>
      <c r="C41" s="156"/>
      <c r="D41" s="156"/>
      <c r="E41" s="156"/>
      <c r="F41" s="156"/>
      <c r="G41" s="156"/>
      <c r="H41" s="156"/>
      <c r="I41" s="156"/>
      <c r="J41" s="156"/>
      <c r="K41" s="156"/>
      <c r="L41" s="156"/>
      <c r="M41" s="156"/>
      <c r="N41" s="156"/>
      <c r="O41" s="156"/>
      <c r="P41" s="156"/>
      <c r="Q41" s="156"/>
      <c r="R41" s="156"/>
      <c r="S41" s="162"/>
      <c r="T41" s="162" t="s">
        <v>461</v>
      </c>
      <c r="U41" s="162" t="s">
        <v>462</v>
      </c>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56"/>
    </row>
    <row r="42" spans="1:50">
      <c r="A42" s="156"/>
      <c r="B42" s="156"/>
      <c r="C42" s="156"/>
      <c r="D42" s="156"/>
      <c r="E42" s="156"/>
      <c r="F42" s="156"/>
      <c r="G42" s="156"/>
      <c r="H42" s="156"/>
      <c r="I42" s="156"/>
      <c r="J42" s="156"/>
      <c r="K42" s="156"/>
      <c r="L42" s="156"/>
      <c r="M42" s="156"/>
      <c r="N42" s="156"/>
      <c r="O42" s="156"/>
      <c r="P42" s="156"/>
      <c r="Q42" s="156"/>
      <c r="R42" s="156"/>
      <c r="S42" s="162"/>
      <c r="T42" s="162" t="s">
        <v>463</v>
      </c>
      <c r="U42" s="162" t="s">
        <v>464</v>
      </c>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row>
    <row r="43" spans="1:50">
      <c r="A43" s="156"/>
      <c r="B43" s="156"/>
      <c r="C43" s="156"/>
      <c r="D43" s="156"/>
      <c r="E43" s="156"/>
      <c r="F43" s="156"/>
      <c r="G43" s="156"/>
      <c r="H43" s="156"/>
      <c r="I43" s="156"/>
      <c r="J43" s="156"/>
      <c r="K43" s="156"/>
      <c r="L43" s="156"/>
      <c r="M43" s="156"/>
      <c r="N43" s="156"/>
      <c r="O43" s="156"/>
      <c r="P43" s="156"/>
      <c r="Q43" s="156"/>
      <c r="R43" s="156"/>
      <c r="S43" s="163"/>
      <c r="T43" s="162" t="s">
        <v>465</v>
      </c>
      <c r="U43" s="162" t="s">
        <v>466</v>
      </c>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row>
    <row r="44" spans="1:50">
      <c r="A44" s="156"/>
      <c r="B44" s="156"/>
      <c r="C44" s="156"/>
      <c r="D44" s="156"/>
      <c r="E44" s="156"/>
      <c r="F44" s="156"/>
      <c r="G44" s="156"/>
      <c r="H44" s="156"/>
      <c r="I44" s="156"/>
      <c r="J44" s="156"/>
      <c r="K44" s="156"/>
      <c r="L44" s="156"/>
      <c r="M44" s="156"/>
      <c r="N44" s="156"/>
      <c r="O44" s="156"/>
      <c r="P44" s="156"/>
      <c r="Q44" s="156"/>
      <c r="R44" s="156"/>
      <c r="S44" s="163"/>
      <c r="T44" s="162" t="s">
        <v>467</v>
      </c>
      <c r="U44" s="162" t="s">
        <v>468</v>
      </c>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56"/>
    </row>
    <row r="45" spans="1:50">
      <c r="A45" s="156"/>
      <c r="B45" s="156"/>
      <c r="C45" s="156"/>
      <c r="D45" s="156"/>
      <c r="E45" s="156"/>
      <c r="F45" s="156"/>
      <c r="G45" s="156"/>
      <c r="H45" s="156"/>
      <c r="I45" s="156"/>
      <c r="J45" s="156"/>
      <c r="K45" s="156"/>
      <c r="L45" s="156"/>
      <c r="M45" s="156"/>
      <c r="N45" s="156"/>
      <c r="O45" s="156"/>
      <c r="P45" s="156"/>
      <c r="Q45" s="156"/>
      <c r="R45" s="156"/>
      <c r="S45" s="163"/>
      <c r="T45" s="162" t="s">
        <v>469</v>
      </c>
      <c r="U45" s="162" t="s">
        <v>470</v>
      </c>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56"/>
    </row>
    <row r="46" spans="1:50">
      <c r="A46" s="156"/>
      <c r="B46" s="156"/>
      <c r="C46" s="156"/>
      <c r="D46" s="156"/>
      <c r="E46" s="156"/>
      <c r="F46" s="156"/>
      <c r="G46" s="156"/>
      <c r="H46" s="156"/>
      <c r="I46" s="156"/>
      <c r="J46" s="156"/>
      <c r="K46" s="156"/>
      <c r="L46" s="156"/>
      <c r="M46" s="156"/>
      <c r="N46" s="156"/>
      <c r="O46" s="156"/>
      <c r="P46" s="156"/>
      <c r="Q46" s="156"/>
      <c r="R46" s="156"/>
      <c r="S46" s="163"/>
      <c r="T46" s="162" t="s">
        <v>471</v>
      </c>
      <c r="U46" s="162" t="s">
        <v>472</v>
      </c>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56"/>
    </row>
    <row r="47" spans="1:50">
      <c r="A47" s="156"/>
      <c r="B47" s="156"/>
      <c r="C47" s="156"/>
      <c r="D47" s="156"/>
      <c r="E47" s="156"/>
      <c r="F47" s="156"/>
      <c r="G47" s="156"/>
      <c r="H47" s="156"/>
      <c r="I47" s="156"/>
      <c r="J47" s="156"/>
      <c r="K47" s="156"/>
      <c r="L47" s="156"/>
      <c r="M47" s="156"/>
      <c r="N47" s="156"/>
      <c r="O47" s="156"/>
      <c r="P47" s="156"/>
      <c r="Q47" s="156"/>
      <c r="R47" s="156"/>
      <c r="S47" s="163"/>
      <c r="T47" s="162" t="s">
        <v>473</v>
      </c>
      <c r="U47" s="162" t="s">
        <v>474</v>
      </c>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c r="AT47" s="156"/>
      <c r="AU47" s="156"/>
      <c r="AV47" s="156"/>
      <c r="AW47" s="156"/>
      <c r="AX47" s="156"/>
    </row>
    <row r="48" spans="1:50" ht="15" customHeight="1">
      <c r="A48" s="156"/>
      <c r="B48" s="156"/>
      <c r="C48" s="156"/>
      <c r="D48" s="156"/>
      <c r="E48" s="156"/>
      <c r="F48" s="156"/>
      <c r="G48" s="156"/>
      <c r="H48" s="156"/>
      <c r="I48" s="156"/>
      <c r="J48" s="156"/>
      <c r="K48" s="156"/>
      <c r="L48" s="156"/>
      <c r="M48" s="156"/>
      <c r="N48" s="156"/>
      <c r="O48" s="163"/>
      <c r="P48" s="163"/>
      <c r="Q48" s="163"/>
      <c r="R48" s="163"/>
      <c r="S48" s="163"/>
      <c r="T48" s="162"/>
      <c r="U48" s="162" t="s">
        <v>475</v>
      </c>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56"/>
      <c r="AW48" s="156"/>
      <c r="AX48" s="156"/>
    </row>
    <row r="49" spans="1:50">
      <c r="A49" s="156"/>
      <c r="B49" s="156"/>
      <c r="C49" s="156"/>
      <c r="D49" s="156"/>
      <c r="E49" s="156"/>
      <c r="F49" s="156"/>
      <c r="G49" s="156"/>
      <c r="H49" s="156"/>
      <c r="I49" s="156"/>
      <c r="J49" s="156"/>
      <c r="K49" s="156"/>
      <c r="L49" s="156"/>
      <c r="M49" s="156"/>
      <c r="N49" s="156"/>
      <c r="O49" s="163"/>
      <c r="P49" s="163"/>
      <c r="Q49" s="163"/>
      <c r="R49" s="163"/>
      <c r="S49" s="163"/>
      <c r="T49" s="162"/>
      <c r="U49" s="162" t="s">
        <v>476</v>
      </c>
      <c r="V49" s="163"/>
      <c r="W49" s="163"/>
      <c r="X49" s="163"/>
      <c r="Y49" s="163"/>
      <c r="Z49" s="163"/>
      <c r="AA49" s="163"/>
      <c r="AB49" s="163"/>
      <c r="AC49" s="163"/>
      <c r="AD49" s="163"/>
      <c r="AE49" s="163"/>
      <c r="AF49" s="163"/>
      <c r="AG49" s="163"/>
      <c r="AH49" s="163"/>
      <c r="AI49" s="163"/>
      <c r="AJ49" s="163"/>
      <c r="AK49" s="163"/>
      <c r="AL49" s="163"/>
      <c r="AM49" s="163"/>
      <c r="AN49" s="163"/>
      <c r="AO49" s="163"/>
      <c r="AP49" s="163"/>
      <c r="AQ49" s="163"/>
      <c r="AR49" s="163"/>
      <c r="AS49" s="163"/>
      <c r="AT49" s="163"/>
      <c r="AU49" s="163"/>
      <c r="AV49" s="156"/>
      <c r="AW49" s="156"/>
      <c r="AX49" s="156"/>
    </row>
    <row r="50" spans="1:50">
      <c r="A50" s="156"/>
      <c r="B50" s="156"/>
      <c r="C50" s="156"/>
      <c r="D50" s="156"/>
      <c r="E50" s="156"/>
      <c r="F50" s="156"/>
      <c r="G50" s="156"/>
      <c r="H50" s="156"/>
      <c r="I50" s="156"/>
      <c r="J50" s="156"/>
      <c r="K50" s="156"/>
      <c r="L50" s="156"/>
      <c r="M50" s="156"/>
      <c r="N50" s="156"/>
      <c r="O50" s="163"/>
      <c r="P50" s="163"/>
      <c r="Q50" s="163"/>
      <c r="R50" s="163"/>
      <c r="S50" s="163"/>
      <c r="T50" s="162"/>
      <c r="U50" s="162" t="s">
        <v>477</v>
      </c>
      <c r="V50" s="163"/>
      <c r="W50" s="163"/>
      <c r="X50" s="163"/>
      <c r="Y50" s="163"/>
      <c r="Z50" s="163"/>
      <c r="AA50" s="163"/>
      <c r="AB50" s="163"/>
      <c r="AC50" s="163"/>
      <c r="AD50" s="163"/>
      <c r="AE50" s="163"/>
      <c r="AF50" s="163"/>
      <c r="AG50" s="163"/>
      <c r="AH50" s="163"/>
      <c r="AI50" s="163"/>
      <c r="AJ50" s="163"/>
      <c r="AK50" s="163"/>
      <c r="AL50" s="163"/>
      <c r="AM50" s="163"/>
      <c r="AN50" s="163"/>
      <c r="AO50" s="163"/>
      <c r="AP50" s="163"/>
      <c r="AQ50" s="163"/>
      <c r="AR50" s="163"/>
      <c r="AS50" s="163"/>
      <c r="AT50" s="163"/>
      <c r="AU50" s="163"/>
      <c r="AV50" s="156"/>
      <c r="AW50" s="156"/>
      <c r="AX50" s="156"/>
    </row>
    <row r="51" spans="1:50">
      <c r="S51"/>
      <c r="T51" s="84"/>
      <c r="U51" s="84" t="s">
        <v>478</v>
      </c>
    </row>
    <row r="52" spans="1:50">
      <c r="S52"/>
      <c r="T52" s="84"/>
      <c r="U52" s="84" t="s">
        <v>479</v>
      </c>
    </row>
    <row r="53" spans="1:50">
      <c r="S53"/>
      <c r="T53" s="84"/>
      <c r="U53" s="84" t="s">
        <v>480</v>
      </c>
    </row>
    <row r="54" spans="1:50">
      <c r="S54"/>
      <c r="T54" s="84"/>
      <c r="U54" s="84" t="s">
        <v>481</v>
      </c>
    </row>
    <row r="55" spans="1:50">
      <c r="S55"/>
      <c r="T55" s="84"/>
      <c r="U55" s="84" t="s">
        <v>482</v>
      </c>
    </row>
    <row r="56" spans="1:50">
      <c r="S56"/>
      <c r="T56" s="84"/>
      <c r="U56" s="84" t="s">
        <v>483</v>
      </c>
    </row>
    <row r="57" spans="1:50">
      <c r="S57"/>
      <c r="T57" s="84"/>
      <c r="U57" s="84" t="s">
        <v>484</v>
      </c>
    </row>
    <row r="58" spans="1:50">
      <c r="S58"/>
      <c r="T58" s="84"/>
      <c r="U58" s="84" t="s">
        <v>485</v>
      </c>
    </row>
    <row r="59" spans="1:50">
      <c r="S59" s="85"/>
      <c r="T59" s="84"/>
      <c r="U59" s="84" t="s">
        <v>486</v>
      </c>
    </row>
    <row r="60" spans="1:50">
      <c r="S60" s="85"/>
      <c r="T60" s="86"/>
      <c r="U60" s="84" t="s">
        <v>487</v>
      </c>
    </row>
    <row r="61" spans="1:50">
      <c r="S61"/>
      <c r="T61" s="86"/>
      <c r="U61" s="84" t="s">
        <v>488</v>
      </c>
    </row>
    <row r="62" spans="1:50">
      <c r="S62"/>
      <c r="T62" s="84"/>
      <c r="U62" s="84" t="s">
        <v>489</v>
      </c>
    </row>
    <row r="63" spans="1:50">
      <c r="S63"/>
      <c r="T63" s="84"/>
      <c r="U63" s="84" t="s">
        <v>490</v>
      </c>
    </row>
    <row r="64" spans="1:50">
      <c r="S64"/>
      <c r="T64" s="84"/>
      <c r="U64" s="84" t="s">
        <v>491</v>
      </c>
    </row>
    <row r="65" spans="19:21">
      <c r="S65"/>
      <c r="T65" s="84"/>
      <c r="U65" s="84" t="s">
        <v>492</v>
      </c>
    </row>
    <row r="66" spans="19:21">
      <c r="S66"/>
      <c r="T66" s="84"/>
      <c r="U66" s="84" t="s">
        <v>493</v>
      </c>
    </row>
  </sheetData>
  <sheetProtection algorithmName="SHA-512" hashValue="KdQrgM3PmT57946n5PDdc+1JAnC9m69F/8X0PcpHqmgQ8hOMAqL/3+ng8PfLRAO/HH9rOYx0O4B9cNqMXLBAXg==" saltValue="o9ItA7GGny6frY23jUjqbg==" spinCount="100000" sheet="1" objects="1" scenarios="1"/>
  <mergeCells count="41">
    <mergeCell ref="E19:N19"/>
    <mergeCell ref="E20:N20"/>
    <mergeCell ref="A31:N34"/>
    <mergeCell ref="A28:C28"/>
    <mergeCell ref="D28:E28"/>
    <mergeCell ref="I28:K28"/>
    <mergeCell ref="L28:M28"/>
    <mergeCell ref="M22:N22"/>
    <mergeCell ref="E22:I22"/>
    <mergeCell ref="S34:U34"/>
    <mergeCell ref="I9:N9"/>
    <mergeCell ref="D14:N14"/>
    <mergeCell ref="K2:L2"/>
    <mergeCell ref="M2:N2"/>
    <mergeCell ref="A3:N3"/>
    <mergeCell ref="A7:C7"/>
    <mergeCell ref="I7:N7"/>
    <mergeCell ref="K5:L5"/>
    <mergeCell ref="A12:N12"/>
    <mergeCell ref="A14:C15"/>
    <mergeCell ref="D15:N15"/>
    <mergeCell ref="D25:F25"/>
    <mergeCell ref="I25:N25"/>
    <mergeCell ref="D23:F24"/>
    <mergeCell ref="G23:G24"/>
    <mergeCell ref="A16:C16"/>
    <mergeCell ref="D16:N16"/>
    <mergeCell ref="H8:H9"/>
    <mergeCell ref="I8:N8"/>
    <mergeCell ref="L24:M24"/>
    <mergeCell ref="A17:C18"/>
    <mergeCell ref="D17:E17"/>
    <mergeCell ref="I24:K24"/>
    <mergeCell ref="E21:N21"/>
    <mergeCell ref="H23:H24"/>
    <mergeCell ref="I23:K23"/>
    <mergeCell ref="L23:M23"/>
    <mergeCell ref="F17:N17"/>
    <mergeCell ref="D18:E18"/>
    <mergeCell ref="F18:N18"/>
    <mergeCell ref="A19:C25"/>
  </mergeCells>
  <phoneticPr fontId="15"/>
  <conditionalFormatting sqref="G23:G24 L23:M24">
    <cfRule type="expression" dxfId="154" priority="12">
      <formula>AND($P$7=FALSE,$P$8=FALSE,$P$10=FALSE)</formula>
    </cfRule>
  </conditionalFormatting>
  <conditionalFormatting sqref="G25">
    <cfRule type="expression" dxfId="153" priority="11">
      <formula>AND($P$9=FALSE,$P$11=FALSE)</formula>
    </cfRule>
  </conditionalFormatting>
  <conditionalFormatting sqref="M22">
    <cfRule type="expression" dxfId="152" priority="9">
      <formula>$P$12=TRUE</formula>
    </cfRule>
  </conditionalFormatting>
  <conditionalFormatting sqref="J22">
    <cfRule type="expression" dxfId="151" priority="8">
      <formula>$P$12=TRUE</formula>
    </cfRule>
  </conditionalFormatting>
  <conditionalFormatting sqref="L22">
    <cfRule type="expression" dxfId="150" priority="7">
      <formula>$P$12=TRUE</formula>
    </cfRule>
  </conditionalFormatting>
  <conditionalFormatting sqref="K22">
    <cfRule type="expression" dxfId="149" priority="6">
      <formula>$P$12=TRUE</formula>
    </cfRule>
  </conditionalFormatting>
  <dataValidations count="8">
    <dataValidation type="whole" operator="greaterThanOrEqual" allowBlank="1" showInputMessage="1" showErrorMessage="1" error="整数値（四捨五入）を入力してください。" sqref="G23:G24" xr:uid="{00000000-0002-0000-4200-000000000000}">
      <formula1>0</formula1>
    </dataValidation>
    <dataValidation type="whole" operator="greaterThanOrEqual" allowBlank="1" showInputMessage="1" showErrorMessage="1" sqref="L24:M24" xr:uid="{00000000-0002-0000-4200-000001000000}">
      <formula1>0</formula1>
    </dataValidation>
    <dataValidation type="list" allowBlank="1" showInputMessage="1" showErrorMessage="1" sqref="F18:N18" xr:uid="{00000000-0002-0000-4200-000002000000}">
      <formula1>INDIRECT($R$32)</formula1>
    </dataValidation>
    <dataValidation type="whole" operator="greaterThanOrEqual" allowBlank="1" showInputMessage="1" showErrorMessage="1" sqref="L23:M23" xr:uid="{00000000-0002-0000-4200-000003000000}">
      <formula1>1</formula1>
    </dataValidation>
    <dataValidation type="list" allowBlank="1" showInputMessage="1" showErrorMessage="1" sqref="F17:N17" xr:uid="{00000000-0002-0000-4200-000004000000}">
      <formula1>$S$11:$S$30</formula1>
    </dataValidation>
    <dataValidation type="list" allowBlank="1" showErrorMessage="1" sqref="M5" xr:uid="{00000000-0002-0000-4200-000005000000}">
      <formula1>$T$35:$T$47</formula1>
    </dataValidation>
    <dataValidation type="list" allowBlank="1" showInputMessage="1" showErrorMessage="1" sqref="N5" xr:uid="{00000000-0002-0000-4200-000006000000}">
      <formula1>$U$35:$U$66</formula1>
    </dataValidation>
    <dataValidation type="list" allowBlank="1" showInputMessage="1" showErrorMessage="1" sqref="K5:L5" xr:uid="{00000000-0002-0000-4200-000007000000}">
      <formula1>$S$35:$S$37</formula1>
    </dataValidation>
  </dataValidations>
  <printOptions horizontalCentered="1"/>
  <pageMargins left="0.59055118110236227" right="0.59055118110236227" top="0.39370078740157483" bottom="0.59055118110236227" header="0.31496062992125984" footer="0.23622047244094491"/>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53" r:id="rId4" name="Check Box 5">
              <controlPr defaultSize="0" autoFill="0" autoLine="0" autoPict="0">
                <anchor moveWithCells="1">
                  <from>
                    <xdr:col>3</xdr:col>
                    <xdr:colOff>76200</xdr:colOff>
                    <xdr:row>18</xdr:row>
                    <xdr:rowOff>19050</xdr:rowOff>
                  </from>
                  <to>
                    <xdr:col>4</xdr:col>
                    <xdr:colOff>19050</xdr:colOff>
                    <xdr:row>18</xdr:row>
                    <xdr:rowOff>323850</xdr:rowOff>
                  </to>
                </anchor>
              </controlPr>
            </control>
          </mc:Choice>
        </mc:AlternateContent>
        <mc:AlternateContent xmlns:mc="http://schemas.openxmlformats.org/markup-compatibility/2006">
          <mc:Choice Requires="x14">
            <control shapeId="78854" r:id="rId5" name="Check Box 6">
              <controlPr defaultSize="0" autoFill="0" autoLine="0" autoPict="0">
                <anchor moveWithCells="1">
                  <from>
                    <xdr:col>3</xdr:col>
                    <xdr:colOff>76200</xdr:colOff>
                    <xdr:row>19</xdr:row>
                    <xdr:rowOff>28575</xdr:rowOff>
                  </from>
                  <to>
                    <xdr:col>4</xdr:col>
                    <xdr:colOff>0</xdr:colOff>
                    <xdr:row>19</xdr:row>
                    <xdr:rowOff>295275</xdr:rowOff>
                  </to>
                </anchor>
              </controlPr>
            </control>
          </mc:Choice>
        </mc:AlternateContent>
        <mc:AlternateContent xmlns:mc="http://schemas.openxmlformats.org/markup-compatibility/2006">
          <mc:Choice Requires="x14">
            <control shapeId="78855" r:id="rId6" name="Check Box 7">
              <controlPr defaultSize="0" autoFill="0" autoLine="0" autoPict="0">
                <anchor moveWithCells="1">
                  <from>
                    <xdr:col>3</xdr:col>
                    <xdr:colOff>76200</xdr:colOff>
                    <xdr:row>20</xdr:row>
                    <xdr:rowOff>66675</xdr:rowOff>
                  </from>
                  <to>
                    <xdr:col>4</xdr:col>
                    <xdr:colOff>19050</xdr:colOff>
                    <xdr:row>20</xdr:row>
                    <xdr:rowOff>295275</xdr:rowOff>
                  </to>
                </anchor>
              </controlPr>
            </control>
          </mc:Choice>
        </mc:AlternateContent>
        <mc:AlternateContent xmlns:mc="http://schemas.openxmlformats.org/markup-compatibility/2006">
          <mc:Choice Requires="x14">
            <control shapeId="78856" r:id="rId7" name="Check Box 8">
              <controlPr defaultSize="0" autoFill="0" autoLine="0" autoPict="0">
                <anchor moveWithCells="1">
                  <from>
                    <xdr:col>9</xdr:col>
                    <xdr:colOff>57150</xdr:colOff>
                    <xdr:row>21</xdr:row>
                    <xdr:rowOff>66675</xdr:rowOff>
                  </from>
                  <to>
                    <xdr:col>9</xdr:col>
                    <xdr:colOff>276225</xdr:colOff>
                    <xdr:row>21</xdr:row>
                    <xdr:rowOff>295275</xdr:rowOff>
                  </to>
                </anchor>
              </controlPr>
            </control>
          </mc:Choice>
        </mc:AlternateContent>
        <mc:AlternateContent xmlns:mc="http://schemas.openxmlformats.org/markup-compatibility/2006">
          <mc:Choice Requires="x14">
            <control shapeId="78857" r:id="rId8" name="Check Box 9">
              <controlPr defaultSize="0" autoFill="0" autoLine="0" autoPict="0">
                <anchor moveWithCells="1">
                  <from>
                    <xdr:col>11</xdr:col>
                    <xdr:colOff>104775</xdr:colOff>
                    <xdr:row>21</xdr:row>
                    <xdr:rowOff>47625</xdr:rowOff>
                  </from>
                  <to>
                    <xdr:col>12</xdr:col>
                    <xdr:colOff>0</xdr:colOff>
                    <xdr:row>21</xdr:row>
                    <xdr:rowOff>276225</xdr:rowOff>
                  </to>
                </anchor>
              </controlPr>
            </control>
          </mc:Choice>
        </mc:AlternateContent>
        <mc:AlternateContent xmlns:mc="http://schemas.openxmlformats.org/markup-compatibility/2006">
          <mc:Choice Requires="x14">
            <control shapeId="78859" r:id="rId9" name="Check Box 11">
              <controlPr defaultSize="0" autoFill="0" autoLine="0" autoPict="0">
                <anchor moveWithCells="1">
                  <from>
                    <xdr:col>3</xdr:col>
                    <xdr:colOff>76200</xdr:colOff>
                    <xdr:row>21</xdr:row>
                    <xdr:rowOff>66675</xdr:rowOff>
                  </from>
                  <to>
                    <xdr:col>4</xdr:col>
                    <xdr:colOff>19050</xdr:colOff>
                    <xdr:row>21</xdr:row>
                    <xdr:rowOff>295275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 id="{A68F2917-55DE-4061-B9EA-4920F86CD106}">
            <xm:f>はじめに!$B$36&lt;&gt;"計画書"</xm:f>
            <x14:dxf>
              <font>
                <color theme="0" tint="-0.14996795556505021"/>
              </font>
              <fill>
                <patternFill>
                  <bgColor theme="0" tint="-0.14996795556505021"/>
                </patternFill>
              </fill>
            </x14:dxf>
          </x14:cfRule>
          <xm:sqref>I7:N9 D14:N16 F17:N18 D19:D22 J22 L22 A31:N34 G23 G25 L23 L24 K5:N5 M2</xm:sqref>
        </x14:conditionalFormatting>
        <x14:conditionalFormatting xmlns:xm="http://schemas.microsoft.com/office/excel/2006/main">
          <x14:cfRule type="expression" priority="4" id="{1B1B32E2-5AD0-467E-80CF-1955E067F0F6}">
            <xm:f>AND(はじめに!$B$35="",はじめに!$B$36="計画書")</xm:f>
            <x14:dxf>
              <fill>
                <patternFill>
                  <bgColor rgb="FFFFFF99"/>
                </patternFill>
              </fill>
            </x14:dxf>
          </x14:cfRule>
          <xm:sqref>I7:N9 D14:N16 F17:N18 J22 L22 M2 D19:D22</xm:sqref>
        </x14:conditionalFormatting>
        <x14:conditionalFormatting xmlns:xm="http://schemas.microsoft.com/office/excel/2006/main">
          <x14:cfRule type="expression" priority="3" id="{298E9E2B-04F9-4CEA-939B-BE3A7FBE8642}">
            <xm:f>AND(はじめに!$B$35="報告書",はじめに!$B$36="計画書")</xm:f>
            <x14:dxf>
              <font>
                <color theme="1"/>
              </font>
            </x14:dxf>
          </x14:cfRule>
          <xm:sqref>O4</xm:sqref>
        </x14:conditionalFormatting>
        <x14:conditionalFormatting xmlns:xm="http://schemas.microsoft.com/office/excel/2006/main">
          <x14:cfRule type="expression" priority="2" id="{E78E1878-5B96-4BA6-9616-B09F359858D1}">
            <xm:f>AND(はじめに!$B$35="報告書",はじめに!$B$36="計画書")</xm:f>
            <x14:dxf>
              <font>
                <b/>
                <i val="0"/>
                <color theme="1"/>
              </font>
              <fill>
                <patternFill patternType="none">
                  <bgColor auto="1"/>
                </patternFill>
              </fill>
              <border>
                <left style="thin">
                  <color auto="1"/>
                </left>
                <right style="thin">
                  <color auto="1"/>
                </right>
                <top style="thin">
                  <color auto="1"/>
                </top>
                <bottom style="thin">
                  <color auto="1"/>
                </bottom>
                <vertical/>
                <horizontal/>
              </border>
            </x14:dxf>
          </x14:cfRule>
          <xm:sqref>O5</xm:sqref>
        </x14:conditionalFormatting>
      </x14:conditionalFormatting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3"/>
  <dimension ref="A1:Y48"/>
  <sheetViews>
    <sheetView showGridLines="0" topLeftCell="A25" zoomScaleNormal="100" workbookViewId="0">
      <selection activeCell="B6" sqref="B6"/>
    </sheetView>
  </sheetViews>
  <sheetFormatPr defaultColWidth="9" defaultRowHeight="13.5"/>
  <cols>
    <col min="1" max="1" width="4.75" style="6" customWidth="1"/>
    <col min="2" max="2" width="15.75" style="6" customWidth="1"/>
    <col min="3" max="3" width="2.25" style="6" customWidth="1"/>
    <col min="4" max="4" width="12.75" style="6" customWidth="1"/>
    <col min="5" max="5" width="6.75" style="6" customWidth="1"/>
    <col min="6" max="6" width="2.25" style="6" customWidth="1"/>
    <col min="7" max="9" width="6.75" style="6" customWidth="1"/>
    <col min="10" max="10" width="2.25" style="6" customWidth="1"/>
    <col min="11" max="13" width="6.75" style="6" customWidth="1"/>
    <col min="14" max="14" width="2.625" style="6" customWidth="1"/>
    <col min="15" max="15" width="3" style="6" hidden="1" customWidth="1"/>
    <col min="16" max="16" width="9" style="6" hidden="1" customWidth="1"/>
    <col min="17" max="17" width="1.25" style="6" hidden="1" customWidth="1"/>
    <col min="18" max="18" width="16.125" style="6" hidden="1" customWidth="1"/>
    <col min="19" max="19" width="1.25" style="6" customWidth="1"/>
    <col min="20" max="20" width="16.125" style="6" customWidth="1"/>
    <col min="21" max="21" width="4" style="6" customWidth="1"/>
    <col min="22" max="22" width="37.875" style="6" customWidth="1"/>
    <col min="23" max="24" width="9" style="6" customWidth="1"/>
    <col min="25" max="25" width="12.875" style="6" customWidth="1"/>
    <col min="26" max="16384" width="9" style="1659"/>
  </cols>
  <sheetData>
    <row r="1" spans="1:25" s="1653" customFormat="1">
      <c r="A1" s="1649" t="s">
        <v>520</v>
      </c>
      <c r="B1" s="1650"/>
      <c r="C1" s="1650"/>
      <c r="D1" s="1650"/>
      <c r="E1" s="1650"/>
      <c r="F1" s="1650"/>
      <c r="G1" s="1650"/>
      <c r="H1" s="1650"/>
      <c r="I1" s="1650"/>
      <c r="J1" s="1650"/>
      <c r="K1" s="1650"/>
      <c r="L1" s="1650"/>
      <c r="M1" s="1650"/>
      <c r="N1" s="1651"/>
      <c r="O1" s="1651"/>
      <c r="P1" s="1651"/>
      <c r="Q1" s="1651"/>
      <c r="R1" s="1651"/>
      <c r="S1" s="1651"/>
      <c r="T1" s="1651"/>
      <c r="U1" s="1651"/>
      <c r="V1" s="1651"/>
      <c r="W1" s="1651"/>
      <c r="X1" s="1651"/>
      <c r="Y1" s="1652"/>
    </row>
    <row r="2" spans="1:25" s="1653" customFormat="1" ht="18" customHeight="1">
      <c r="A2" s="1654" t="s">
        <v>119</v>
      </c>
      <c r="B2" s="1655"/>
      <c r="C2" s="1655"/>
      <c r="D2" s="1655"/>
      <c r="E2" s="1655"/>
      <c r="F2" s="1655"/>
      <c r="G2" s="1655"/>
      <c r="H2" s="1655"/>
      <c r="I2" s="1655"/>
      <c r="J2" s="1655"/>
      <c r="K2" s="1655"/>
      <c r="L2" s="1650"/>
      <c r="M2" s="1650"/>
      <c r="N2" s="1651"/>
      <c r="O2" s="1651"/>
      <c r="P2" s="1651"/>
      <c r="Q2" s="1651"/>
      <c r="R2" s="1651"/>
      <c r="S2" s="1651"/>
      <c r="T2" s="1651"/>
      <c r="U2" s="1651"/>
      <c r="V2" s="1651"/>
      <c r="W2" s="1651"/>
      <c r="X2" s="1651"/>
      <c r="Y2" s="1652"/>
    </row>
    <row r="3" spans="1:25" s="1653" customFormat="1">
      <c r="A3" s="50" t="s">
        <v>519</v>
      </c>
      <c r="N3" s="1651"/>
      <c r="O3" s="1651"/>
      <c r="P3" s="1651"/>
      <c r="Q3" s="1651"/>
      <c r="R3" s="1651"/>
      <c r="S3" s="1651"/>
      <c r="T3" s="1651"/>
      <c r="U3" s="1651"/>
      <c r="V3" s="1651"/>
      <c r="W3" s="1651"/>
      <c r="X3" s="1651"/>
      <c r="Y3" s="1652"/>
    </row>
    <row r="4" spans="1:25" ht="30" customHeight="1">
      <c r="A4" s="1656"/>
      <c r="B4" s="3092" t="s">
        <v>271</v>
      </c>
      <c r="C4" s="3093"/>
      <c r="D4" s="1657" t="s">
        <v>272</v>
      </c>
      <c r="E4" s="3094" t="str">
        <f>IF(報1!F31="","",報1!F31)</f>
        <v/>
      </c>
      <c r="F4" s="3095"/>
      <c r="G4" s="3095"/>
      <c r="H4" s="3095"/>
      <c r="I4" s="3095"/>
      <c r="J4" s="3095"/>
      <c r="K4" s="3095"/>
      <c r="L4" s="3095"/>
      <c r="M4" s="3096"/>
      <c r="N4" s="1651"/>
      <c r="O4" s="1651"/>
      <c r="P4" s="1658" t="b">
        <v>0</v>
      </c>
      <c r="Q4" s="1658"/>
      <c r="R4" s="1658"/>
      <c r="S4" s="1658"/>
      <c r="T4" s="1651"/>
      <c r="U4" s="1651"/>
      <c r="V4" s="1651"/>
      <c r="W4" s="1651"/>
      <c r="X4" s="1651"/>
      <c r="Y4" s="1652"/>
    </row>
    <row r="5" spans="1:25" ht="30" customHeight="1">
      <c r="A5" s="3098"/>
      <c r="B5" s="1660"/>
      <c r="C5" s="1661"/>
      <c r="D5" s="1657" t="s">
        <v>129</v>
      </c>
      <c r="E5" s="3094" t="str">
        <f>IF(報1!F32="","",報1!F32)</f>
        <v/>
      </c>
      <c r="F5" s="3095"/>
      <c r="G5" s="3095"/>
      <c r="H5" s="3095"/>
      <c r="I5" s="3095"/>
      <c r="J5" s="3095"/>
      <c r="K5" s="3095"/>
      <c r="L5" s="3095"/>
      <c r="M5" s="3096"/>
      <c r="N5" s="1651"/>
      <c r="O5" s="1651"/>
      <c r="P5" s="1658" t="b">
        <v>0</v>
      </c>
      <c r="Q5" s="1658"/>
      <c r="R5" s="1658"/>
      <c r="S5" s="1658"/>
      <c r="T5" s="1651"/>
      <c r="U5" s="1651"/>
      <c r="V5" s="1651"/>
      <c r="W5" s="1651"/>
      <c r="X5" s="1651"/>
      <c r="Y5" s="1652"/>
    </row>
    <row r="6" spans="1:25" ht="30" customHeight="1">
      <c r="A6" s="3099"/>
      <c r="B6" s="1662" t="s">
        <v>518</v>
      </c>
      <c r="C6" s="1663"/>
      <c r="D6" s="1657" t="s">
        <v>148</v>
      </c>
      <c r="E6" s="3094" t="str">
        <f>IF(報1!F33="","",報1!F33)</f>
        <v/>
      </c>
      <c r="F6" s="3095"/>
      <c r="G6" s="3095"/>
      <c r="H6" s="3095"/>
      <c r="I6" s="3095"/>
      <c r="J6" s="3095"/>
      <c r="K6" s="3095"/>
      <c r="L6" s="3095"/>
      <c r="M6" s="3096"/>
      <c r="N6" s="1651"/>
      <c r="O6" s="1651"/>
      <c r="P6" s="1658"/>
      <c r="Q6" s="1651"/>
      <c r="R6" s="1651"/>
      <c r="S6" s="1651"/>
      <c r="T6" s="1651"/>
      <c r="U6" s="1651"/>
      <c r="V6" s="1651"/>
      <c r="W6" s="1651"/>
      <c r="X6" s="1651"/>
      <c r="Y6" s="1652"/>
    </row>
    <row r="7" spans="1:25" ht="30" customHeight="1">
      <c r="A7" s="3100"/>
      <c r="B7" s="1664"/>
      <c r="C7" s="1665"/>
      <c r="D7" s="1657" t="s">
        <v>149</v>
      </c>
      <c r="E7" s="3094" t="str">
        <f>IF(報1!F34="","",報1!F34)</f>
        <v/>
      </c>
      <c r="F7" s="3095"/>
      <c r="G7" s="3095"/>
      <c r="H7" s="3095"/>
      <c r="I7" s="3095"/>
      <c r="J7" s="3095"/>
      <c r="K7" s="3095"/>
      <c r="L7" s="3095"/>
      <c r="M7" s="3096"/>
      <c r="N7" s="1651"/>
      <c r="O7" s="1651"/>
      <c r="P7" s="1658"/>
      <c r="Q7" s="1651"/>
      <c r="R7" s="1651"/>
      <c r="S7" s="1651"/>
      <c r="T7" s="1651"/>
      <c r="U7" s="1651"/>
      <c r="V7" s="1651"/>
      <c r="W7" s="1651"/>
      <c r="X7" s="1651"/>
      <c r="Y7" s="1652"/>
    </row>
    <row r="8" spans="1:25" ht="30" customHeight="1">
      <c r="A8" s="1656"/>
      <c r="B8" s="3092" t="s">
        <v>123</v>
      </c>
      <c r="C8" s="3093"/>
      <c r="D8" s="3094" t="str">
        <f>IF(報1!D35="","",報1!D35)</f>
        <v/>
      </c>
      <c r="E8" s="3095"/>
      <c r="F8" s="3095"/>
      <c r="G8" s="3095"/>
      <c r="H8" s="3095"/>
      <c r="I8" s="3095"/>
      <c r="J8" s="3095"/>
      <c r="K8" s="3095"/>
      <c r="L8" s="3095"/>
      <c r="M8" s="3096"/>
      <c r="N8" s="1651"/>
      <c r="O8" s="1651"/>
      <c r="P8" s="1658" t="b">
        <v>0</v>
      </c>
      <c r="Q8" s="1658"/>
      <c r="R8" s="1658"/>
      <c r="S8" s="1658"/>
      <c r="T8" s="1651"/>
      <c r="U8" s="1651"/>
      <c r="V8" s="1651"/>
      <c r="W8" s="1651"/>
      <c r="X8" s="1651"/>
      <c r="Y8" s="1652"/>
    </row>
    <row r="9" spans="1:25" s="1653" customFormat="1" ht="15" customHeight="1">
      <c r="N9" s="1651"/>
      <c r="O9" s="1651"/>
      <c r="P9" s="1651"/>
      <c r="Q9" s="1651"/>
      <c r="R9" s="1651"/>
      <c r="S9" s="1651"/>
      <c r="T9" s="1651"/>
      <c r="U9" s="1651"/>
      <c r="V9" s="1651"/>
      <c r="W9" s="1651"/>
      <c r="X9" s="1651"/>
      <c r="Y9" s="1652"/>
    </row>
    <row r="10" spans="1:25" s="6" customFormat="1" ht="15" customHeight="1">
      <c r="A10" s="50" t="s">
        <v>517</v>
      </c>
      <c r="B10" s="30"/>
      <c r="C10" s="30"/>
      <c r="D10" s="30"/>
      <c r="E10" s="30"/>
      <c r="F10" s="30"/>
      <c r="G10" s="30"/>
      <c r="H10" s="30"/>
      <c r="I10" s="30"/>
      <c r="N10" s="165"/>
      <c r="O10" s="165"/>
      <c r="P10" s="165"/>
      <c r="Q10" s="165"/>
      <c r="R10" s="165"/>
      <c r="S10" s="165"/>
      <c r="T10" s="165"/>
      <c r="U10" s="165"/>
      <c r="V10" s="1651"/>
      <c r="W10" s="165"/>
      <c r="X10" s="165"/>
      <c r="Y10" s="1411"/>
    </row>
    <row r="11" spans="1:25" s="6" customFormat="1" ht="20.100000000000001" customHeight="1">
      <c r="A11" s="50"/>
      <c r="B11" s="30"/>
      <c r="C11" s="2656" t="s">
        <v>568</v>
      </c>
      <c r="D11" s="2657"/>
      <c r="E11" s="2657"/>
      <c r="F11" s="2657"/>
      <c r="G11" s="2657"/>
      <c r="H11" s="2657"/>
      <c r="I11" s="2658"/>
      <c r="J11" s="2673" t="s">
        <v>566</v>
      </c>
      <c r="K11" s="2674"/>
      <c r="L11" s="2674"/>
      <c r="M11" s="2675"/>
      <c r="N11" s="165"/>
      <c r="O11" s="165"/>
      <c r="P11" s="165"/>
      <c r="Q11" s="165"/>
      <c r="R11" s="165"/>
      <c r="S11" s="165"/>
      <c r="T11" s="165"/>
      <c r="U11" s="165"/>
      <c r="V11" s="1651"/>
      <c r="W11" s="165"/>
      <c r="X11" s="165"/>
      <c r="Y11" s="1411"/>
    </row>
    <row r="12" spans="1:25" s="6" customFormat="1" ht="20.100000000000001" customHeight="1">
      <c r="A12" s="2654"/>
      <c r="B12" s="2655"/>
      <c r="C12" s="2656" t="s">
        <v>567</v>
      </c>
      <c r="D12" s="2657"/>
      <c r="E12" s="2658"/>
      <c r="F12" s="2656" t="s">
        <v>565</v>
      </c>
      <c r="G12" s="2657"/>
      <c r="H12" s="2657"/>
      <c r="I12" s="2658"/>
      <c r="J12" s="3097"/>
      <c r="K12" s="2654"/>
      <c r="L12" s="2654"/>
      <c r="M12" s="2655"/>
      <c r="N12" s="165"/>
      <c r="O12" s="165"/>
      <c r="P12" s="165"/>
      <c r="Q12" s="165"/>
      <c r="R12" s="3083"/>
      <c r="S12" s="165"/>
      <c r="T12" s="3084"/>
      <c r="U12" s="165"/>
      <c r="V12" s="1651"/>
      <c r="W12" s="3064" t="s">
        <v>4495</v>
      </c>
      <c r="X12" s="3064"/>
      <c r="Y12" s="1411"/>
    </row>
    <row r="13" spans="1:25" s="6" customFormat="1" ht="21.95" customHeight="1">
      <c r="A13" s="2633" t="s">
        <v>122</v>
      </c>
      <c r="B13" s="3065"/>
      <c r="C13" s="3085">
        <f ca="1">参照元!BB14</f>
        <v>0</v>
      </c>
      <c r="D13" s="3086"/>
      <c r="E13" s="2675" t="s">
        <v>414</v>
      </c>
      <c r="F13" s="3070">
        <f ca="1">IF(ISNUMBER(参照元!BC14),参照元!BC14-SUM(計3!H6:H10),"")</f>
        <v>0</v>
      </c>
      <c r="G13" s="3071"/>
      <c r="H13" s="3071"/>
      <c r="I13" s="2675" t="s">
        <v>414</v>
      </c>
      <c r="J13" s="3089" t="str">
        <f>IFERROR(VALUE(参照元!BD14),"")</f>
        <v/>
      </c>
      <c r="K13" s="2965"/>
      <c r="L13" s="3047" t="s">
        <v>415</v>
      </c>
      <c r="M13" s="3049" t="str">
        <f>参照元!BE14</f>
        <v/>
      </c>
      <c r="N13" s="165"/>
      <c r="O13" s="165"/>
      <c r="P13" s="165"/>
      <c r="Q13" s="165"/>
      <c r="R13" s="3083"/>
      <c r="S13" s="165"/>
      <c r="T13" s="3084"/>
      <c r="U13" s="165"/>
      <c r="V13" s="1651"/>
      <c r="W13" s="3064"/>
      <c r="X13" s="3064"/>
      <c r="Y13" s="1411"/>
    </row>
    <row r="14" spans="1:25" ht="20.100000000000001" customHeight="1">
      <c r="A14" s="2637">
        <f>IF(計1!$D$28="","",計1!$D$28-1)</f>
        <v>2023</v>
      </c>
      <c r="B14" s="2638"/>
      <c r="C14" s="3087"/>
      <c r="D14" s="3088"/>
      <c r="E14" s="2655"/>
      <c r="F14" s="3072"/>
      <c r="G14" s="3073"/>
      <c r="H14" s="3073"/>
      <c r="I14" s="2655"/>
      <c r="J14" s="3090"/>
      <c r="K14" s="2966"/>
      <c r="L14" s="3076"/>
      <c r="M14" s="3091"/>
      <c r="N14" s="165"/>
      <c r="O14" s="165"/>
      <c r="P14" s="165"/>
      <c r="Q14" s="165"/>
      <c r="R14" s="1240"/>
      <c r="S14" s="165"/>
      <c r="T14" s="1241"/>
      <c r="U14" s="170"/>
      <c r="V14" s="1651"/>
      <c r="W14" s="3079"/>
      <c r="X14" s="3079"/>
      <c r="Y14" s="1412" t="s">
        <v>4496</v>
      </c>
    </row>
    <row r="15" spans="1:25" s="6" customFormat="1" ht="20.100000000000001" customHeight="1">
      <c r="A15" s="3053" t="s">
        <v>235</v>
      </c>
      <c r="B15" s="3054"/>
      <c r="C15" s="3055"/>
      <c r="D15" s="3056"/>
      <c r="E15" s="2675" t="s">
        <v>414</v>
      </c>
      <c r="F15" s="3060"/>
      <c r="G15" s="3061"/>
      <c r="H15" s="3061"/>
      <c r="I15" s="2675" t="s">
        <v>414</v>
      </c>
      <c r="J15" s="3043"/>
      <c r="K15" s="3044"/>
      <c r="L15" s="3047" t="s">
        <v>415</v>
      </c>
      <c r="M15" s="3049" t="str">
        <f>M13</f>
        <v/>
      </c>
      <c r="N15" s="165"/>
      <c r="O15" s="165"/>
      <c r="P15" s="165"/>
      <c r="Q15" s="165"/>
      <c r="R15" s="165"/>
      <c r="S15" s="165"/>
      <c r="T15" s="165"/>
      <c r="U15" s="165"/>
      <c r="V15" s="1651"/>
      <c r="W15" s="165"/>
      <c r="X15" s="165"/>
      <c r="Y15" s="1411"/>
    </row>
    <row r="16" spans="1:25" ht="20.100000000000001" customHeight="1">
      <c r="A16" s="3051">
        <f>IF(計1!$D$28="","",計1!$G$28)</f>
        <v>2026</v>
      </c>
      <c r="B16" s="3052"/>
      <c r="C16" s="3057"/>
      <c r="D16" s="3058"/>
      <c r="E16" s="3059"/>
      <c r="F16" s="3062"/>
      <c r="G16" s="3063"/>
      <c r="H16" s="3063"/>
      <c r="I16" s="3059"/>
      <c r="J16" s="3045"/>
      <c r="K16" s="3046"/>
      <c r="L16" s="3048"/>
      <c r="M16" s="3050"/>
      <c r="N16" s="165"/>
      <c r="O16" s="165"/>
      <c r="P16" s="165"/>
      <c r="Q16" s="165"/>
      <c r="R16" s="165"/>
      <c r="S16" s="165"/>
      <c r="T16" s="165"/>
      <c r="U16" s="165"/>
      <c r="V16" s="1651"/>
      <c r="W16" s="165"/>
      <c r="X16" s="165"/>
      <c r="Y16" s="1411"/>
    </row>
    <row r="17" spans="1:25" ht="20.100000000000001" customHeight="1">
      <c r="A17" s="1666"/>
      <c r="B17" s="1669" t="s">
        <v>4769</v>
      </c>
      <c r="C17" s="1666"/>
      <c r="D17" s="1667" t="str">
        <f ca="1">IF(OR(C13=0,C15=""),"",INT((C13-C15)/C13*10000)/100)</f>
        <v/>
      </c>
      <c r="E17" s="31" t="s">
        <v>501</v>
      </c>
      <c r="F17" s="1668"/>
      <c r="G17" s="3036" t="str">
        <f ca="1">IF(OR(F13=0,F15=""),"",INT((F13-F15)/F13*10000)/100)</f>
        <v/>
      </c>
      <c r="H17" s="3037"/>
      <c r="I17" s="1670" t="s">
        <v>501</v>
      </c>
      <c r="J17" s="1668"/>
      <c r="K17" s="3036" t="str">
        <f>IF(AND(J15="",参照元!BF14=""),"",IF(OR(J13=0,J15=""),参照元!BF14,INT((J13-J15)/J13*10000)/100))</f>
        <v/>
      </c>
      <c r="L17" s="3037"/>
      <c r="M17" s="1670" t="s">
        <v>501</v>
      </c>
      <c r="N17" s="165"/>
      <c r="O17" s="165"/>
      <c r="P17" s="165"/>
      <c r="Q17" s="165"/>
      <c r="R17" s="165"/>
      <c r="S17" s="165"/>
      <c r="T17" s="165"/>
      <c r="U17" s="165"/>
      <c r="V17" s="1651"/>
      <c r="W17" s="165"/>
      <c r="X17" s="165"/>
      <c r="Y17" s="1411"/>
    </row>
    <row r="18" spans="1:25" s="6" customFormat="1" ht="114.75" customHeight="1">
      <c r="A18" s="2741" t="s">
        <v>4770</v>
      </c>
      <c r="B18" s="2742"/>
      <c r="C18" s="3038"/>
      <c r="D18" s="3039"/>
      <c r="E18" s="3039"/>
      <c r="F18" s="3039"/>
      <c r="G18" s="3039"/>
      <c r="H18" s="3039"/>
      <c r="I18" s="3039"/>
      <c r="J18" s="3039"/>
      <c r="K18" s="3039"/>
      <c r="L18" s="3039"/>
      <c r="M18" s="3040"/>
      <c r="N18" s="165"/>
      <c r="O18" s="165"/>
      <c r="P18" s="165"/>
      <c r="Q18" s="165"/>
      <c r="R18" s="165"/>
      <c r="S18" s="165"/>
      <c r="T18" s="165"/>
      <c r="U18" s="165"/>
      <c r="V18" s="165"/>
      <c r="W18" s="165"/>
      <c r="X18" s="165"/>
      <c r="Y18" s="1411"/>
    </row>
    <row r="19" spans="1:25" s="6" customFormat="1" ht="44.1" customHeight="1">
      <c r="A19" s="3082"/>
      <c r="B19" s="3082"/>
      <c r="C19" s="3082"/>
      <c r="D19" s="3082"/>
      <c r="E19" s="3082"/>
      <c r="F19" s="3082"/>
      <c r="G19" s="3082"/>
      <c r="H19" s="3082"/>
      <c r="I19" s="3082"/>
      <c r="J19" s="3082"/>
      <c r="K19" s="3082"/>
      <c r="L19" s="3082"/>
      <c r="M19" s="3082"/>
      <c r="N19" s="332"/>
      <c r="O19" s="165"/>
      <c r="P19" s="165"/>
      <c r="Q19" s="165"/>
      <c r="R19" s="165"/>
      <c r="S19" s="165"/>
      <c r="T19" s="165"/>
      <c r="U19" s="165"/>
      <c r="V19" s="165"/>
      <c r="W19" s="165"/>
      <c r="X19" s="165"/>
      <c r="Y19" s="1411"/>
    </row>
    <row r="20" spans="1:25" s="6" customFormat="1" ht="19.5" customHeight="1">
      <c r="A20" s="50" t="s">
        <v>4771</v>
      </c>
      <c r="B20" s="30"/>
      <c r="C20" s="30"/>
      <c r="D20" s="30"/>
      <c r="E20" s="30"/>
      <c r="F20" s="30"/>
      <c r="G20" s="30"/>
      <c r="H20" s="30"/>
      <c r="I20" s="30"/>
      <c r="N20" s="165"/>
      <c r="O20" s="165"/>
      <c r="P20" s="165"/>
      <c r="Q20" s="165"/>
      <c r="R20" s="165"/>
      <c r="S20" s="165"/>
      <c r="T20" s="165"/>
      <c r="U20" s="165"/>
      <c r="V20" s="165"/>
      <c r="W20" s="165"/>
      <c r="X20" s="165"/>
      <c r="Y20" s="1411"/>
    </row>
    <row r="21" spans="1:25" s="6" customFormat="1" ht="21.95" customHeight="1">
      <c r="A21" s="50"/>
      <c r="B21" s="30"/>
      <c r="C21" s="2656" t="s">
        <v>568</v>
      </c>
      <c r="D21" s="2657"/>
      <c r="E21" s="2657"/>
      <c r="F21" s="2657"/>
      <c r="G21" s="2657"/>
      <c r="H21" s="2657"/>
      <c r="I21" s="2658"/>
      <c r="J21" s="2673" t="s">
        <v>566</v>
      </c>
      <c r="K21" s="2674"/>
      <c r="L21" s="2674"/>
      <c r="M21" s="2675"/>
      <c r="N21" s="165"/>
      <c r="O21" s="165"/>
      <c r="P21" s="165"/>
      <c r="Q21" s="165"/>
      <c r="R21" s="165"/>
      <c r="S21" s="165"/>
      <c r="T21" s="165"/>
      <c r="U21" s="165"/>
      <c r="V21" s="165"/>
      <c r="W21" s="165"/>
      <c r="X21" s="165"/>
      <c r="Y21" s="1411"/>
    </row>
    <row r="22" spans="1:25" s="6" customFormat="1" ht="21.95" customHeight="1">
      <c r="A22" s="2654"/>
      <c r="B22" s="2655"/>
      <c r="C22" s="2656" t="s">
        <v>567</v>
      </c>
      <c r="D22" s="2657"/>
      <c r="E22" s="2658"/>
      <c r="F22" s="2673" t="s">
        <v>565</v>
      </c>
      <c r="G22" s="2674"/>
      <c r="H22" s="2674"/>
      <c r="I22" s="2675"/>
      <c r="J22" s="3080"/>
      <c r="K22" s="3081"/>
      <c r="L22" s="3081"/>
      <c r="M22" s="3059"/>
      <c r="N22" s="165"/>
      <c r="O22" s="165"/>
      <c r="P22" s="165"/>
      <c r="Q22" s="165"/>
      <c r="R22" s="165"/>
      <c r="S22" s="165"/>
      <c r="T22" s="165"/>
      <c r="U22" s="165"/>
      <c r="V22" s="165"/>
      <c r="W22" s="3064" t="s">
        <v>4495</v>
      </c>
      <c r="X22" s="3064"/>
      <c r="Y22" s="1411"/>
    </row>
    <row r="23" spans="1:25" s="6" customFormat="1" ht="27.95" customHeight="1">
      <c r="A23" s="2633" t="s">
        <v>122</v>
      </c>
      <c r="B23" s="3065"/>
      <c r="C23" s="3066">
        <f>参照元!CY14</f>
        <v>0</v>
      </c>
      <c r="D23" s="3067"/>
      <c r="E23" s="2675" t="s">
        <v>414</v>
      </c>
      <c r="F23" s="3070">
        <f>IF(ISNUMBER(参照元!CZ14),参照元!CZ14-IF(OR(計1!P7,計1!P8,計1!P10,SUM(計3!H6:H10)=0),0,SUM(計3!H6:H10)),"")</f>
        <v>0</v>
      </c>
      <c r="G23" s="3071"/>
      <c r="H23" s="3071"/>
      <c r="I23" s="2675" t="s">
        <v>414</v>
      </c>
      <c r="J23" s="3074" t="str">
        <f>IFERROR(VALUE(参照元!DA14),"")</f>
        <v/>
      </c>
      <c r="K23" s="2967"/>
      <c r="L23" s="3047" t="s">
        <v>415</v>
      </c>
      <c r="M23" s="3077" t="str">
        <f>IF(使用量_3!$I$35=2,参照元!DB14,"")</f>
        <v/>
      </c>
      <c r="N23" s="165"/>
      <c r="O23" s="165"/>
      <c r="P23" s="165"/>
      <c r="Q23" s="165"/>
      <c r="R23" s="165"/>
      <c r="S23" s="165"/>
      <c r="T23" s="165"/>
      <c r="U23" s="165"/>
      <c r="V23" s="165"/>
      <c r="W23" s="3064"/>
      <c r="X23" s="3064"/>
      <c r="Y23" s="1411"/>
    </row>
    <row r="24" spans="1:25" ht="27.95" customHeight="1">
      <c r="A24" s="2637">
        <f>IF(計1!D28="","",計1!$D$28-1)</f>
        <v>2023</v>
      </c>
      <c r="B24" s="2638"/>
      <c r="C24" s="3068"/>
      <c r="D24" s="3069"/>
      <c r="E24" s="2655"/>
      <c r="F24" s="3072"/>
      <c r="G24" s="3073"/>
      <c r="H24" s="3073"/>
      <c r="I24" s="2655"/>
      <c r="J24" s="3075"/>
      <c r="K24" s="2969"/>
      <c r="L24" s="3076"/>
      <c r="M24" s="3078"/>
      <c r="N24" s="165"/>
      <c r="O24" s="165"/>
      <c r="P24" s="165"/>
      <c r="Q24" s="165"/>
      <c r="R24" s="165"/>
      <c r="S24" s="165"/>
      <c r="T24" s="165"/>
      <c r="U24" s="165"/>
      <c r="V24" s="165"/>
      <c r="W24" s="3079"/>
      <c r="X24" s="3079"/>
      <c r="Y24" s="1412" t="s">
        <v>4496</v>
      </c>
    </row>
    <row r="25" spans="1:25" s="6" customFormat="1" ht="27.95" customHeight="1">
      <c r="A25" s="3053" t="s">
        <v>235</v>
      </c>
      <c r="B25" s="3054"/>
      <c r="C25" s="3055"/>
      <c r="D25" s="3056"/>
      <c r="E25" s="2675" t="s">
        <v>414</v>
      </c>
      <c r="F25" s="3060"/>
      <c r="G25" s="3061"/>
      <c r="H25" s="3061"/>
      <c r="I25" s="2675" t="s">
        <v>414</v>
      </c>
      <c r="J25" s="3043"/>
      <c r="K25" s="3044"/>
      <c r="L25" s="3047" t="s">
        <v>415</v>
      </c>
      <c r="M25" s="3049" t="str">
        <f>IF(M23="","",M23)</f>
        <v/>
      </c>
      <c r="N25" s="165"/>
      <c r="O25" s="165"/>
      <c r="P25" s="165"/>
      <c r="Q25" s="165"/>
      <c r="R25" s="165"/>
      <c r="S25" s="165"/>
      <c r="T25" s="165"/>
      <c r="U25" s="165"/>
      <c r="V25" s="165"/>
      <c r="W25" s="165"/>
      <c r="X25" s="165"/>
      <c r="Y25" s="1411"/>
    </row>
    <row r="26" spans="1:25" ht="27.95" customHeight="1">
      <c r="A26" s="3051">
        <f>IF(計1!D28="","",計1!$G$28)</f>
        <v>2026</v>
      </c>
      <c r="B26" s="3052"/>
      <c r="C26" s="3057"/>
      <c r="D26" s="3058"/>
      <c r="E26" s="3059"/>
      <c r="F26" s="3062"/>
      <c r="G26" s="3063"/>
      <c r="H26" s="3063"/>
      <c r="I26" s="3059"/>
      <c r="J26" s="3045"/>
      <c r="K26" s="3046"/>
      <c r="L26" s="3048"/>
      <c r="M26" s="3050"/>
      <c r="N26" s="165"/>
      <c r="O26" s="165"/>
      <c r="P26" s="165"/>
      <c r="Q26" s="165"/>
      <c r="R26" s="165"/>
      <c r="S26" s="165"/>
      <c r="T26" s="165"/>
      <c r="U26" s="165"/>
      <c r="V26" s="165"/>
      <c r="W26" s="165"/>
      <c r="X26" s="165"/>
      <c r="Y26" s="1411"/>
    </row>
    <row r="27" spans="1:25" ht="24.95" customHeight="1">
      <c r="A27" s="1666"/>
      <c r="B27" s="1669" t="s">
        <v>4769</v>
      </c>
      <c r="C27" s="1666"/>
      <c r="D27" s="1667" t="str">
        <f>IF(OR(C23=0,C25=""),"",INT((C23-C25)/C23*10000)/100)</f>
        <v/>
      </c>
      <c r="E27" s="31" t="s">
        <v>501</v>
      </c>
      <c r="F27" s="1668"/>
      <c r="G27" s="3036" t="str">
        <f>IF(OR(F23=0,F25=""),"",INT((F23-F25)/F23*10000)/100)</f>
        <v/>
      </c>
      <c r="H27" s="3037"/>
      <c r="I27" s="1670" t="s">
        <v>501</v>
      </c>
      <c r="J27" s="1668"/>
      <c r="K27" s="3036" t="str">
        <f>IF(AND(J25="",参照元!DC14=""),"",IF(OR(J23=0,J25=""),参照元!DC14,INT((J23-J25)/J23*10000)/100))</f>
        <v/>
      </c>
      <c r="L27" s="3037"/>
      <c r="M27" s="1670" t="s">
        <v>501</v>
      </c>
      <c r="N27" s="165"/>
      <c r="O27" s="165"/>
      <c r="P27" s="165"/>
      <c r="Q27" s="165"/>
      <c r="R27" s="165"/>
      <c r="S27" s="165"/>
      <c r="T27" s="165"/>
      <c r="U27" s="165"/>
      <c r="V27" s="165"/>
      <c r="W27" s="165"/>
      <c r="X27" s="165"/>
      <c r="Y27" s="1411"/>
    </row>
    <row r="28" spans="1:25" s="6" customFormat="1" ht="114.95" customHeight="1">
      <c r="A28" s="2741" t="s">
        <v>4770</v>
      </c>
      <c r="B28" s="2742"/>
      <c r="C28" s="3038"/>
      <c r="D28" s="3039"/>
      <c r="E28" s="3039"/>
      <c r="F28" s="3039"/>
      <c r="G28" s="3039"/>
      <c r="H28" s="3039"/>
      <c r="I28" s="3039"/>
      <c r="J28" s="3039"/>
      <c r="K28" s="3039"/>
      <c r="L28" s="3039"/>
      <c r="M28" s="3040"/>
      <c r="N28" s="165"/>
      <c r="O28" s="165"/>
      <c r="P28" s="165"/>
      <c r="Q28" s="165"/>
      <c r="R28" s="165"/>
      <c r="S28" s="165"/>
      <c r="T28" s="165"/>
      <c r="U28" s="165"/>
      <c r="V28" s="165"/>
      <c r="W28" s="165"/>
      <c r="X28" s="165"/>
      <c r="Y28" s="1411"/>
    </row>
    <row r="29" spans="1:25" s="6" customFormat="1" ht="13.5" customHeight="1">
      <c r="A29" s="3041"/>
      <c r="B29" s="3041"/>
      <c r="C29" s="3041"/>
      <c r="D29" s="3041"/>
      <c r="E29" s="3041"/>
      <c r="F29" s="3041"/>
      <c r="G29" s="3041"/>
      <c r="H29" s="3041"/>
      <c r="I29" s="3041"/>
      <c r="J29" s="3041"/>
      <c r="K29" s="3041"/>
      <c r="L29" s="3041"/>
      <c r="M29" s="3041"/>
      <c r="N29" s="332"/>
      <c r="O29" s="165"/>
      <c r="P29" s="165"/>
      <c r="Q29" s="165"/>
      <c r="R29" s="165"/>
      <c r="S29" s="165"/>
      <c r="T29" s="165"/>
      <c r="U29" s="165"/>
      <c r="V29" s="165"/>
      <c r="W29" s="165"/>
      <c r="X29" s="165"/>
      <c r="Y29" s="1411"/>
    </row>
    <row r="30" spans="1:25" s="6" customFormat="1" ht="11.25" customHeight="1">
      <c r="A30" s="333"/>
      <c r="B30" s="165"/>
      <c r="C30" s="165"/>
      <c r="D30" s="165"/>
      <c r="E30" s="165"/>
      <c r="F30" s="165"/>
      <c r="G30" s="165"/>
      <c r="H30" s="165"/>
      <c r="I30" s="165"/>
      <c r="J30" s="165"/>
      <c r="K30" s="165"/>
      <c r="L30" s="3042"/>
      <c r="M30" s="3042"/>
      <c r="N30" s="165"/>
      <c r="O30" s="165"/>
      <c r="P30" s="165"/>
      <c r="Q30" s="165"/>
      <c r="R30" s="165"/>
      <c r="S30" s="165"/>
      <c r="T30" s="165"/>
      <c r="U30" s="165"/>
      <c r="V30" s="165"/>
      <c r="W30" s="165"/>
      <c r="X30" s="165"/>
      <c r="Y30" s="1411"/>
    </row>
    <row r="31" spans="1:25" s="6" customFormat="1" ht="12">
      <c r="A31" s="165"/>
      <c r="B31" s="165"/>
      <c r="C31" s="165"/>
      <c r="D31" s="165"/>
      <c r="E31" s="165"/>
      <c r="F31" s="165"/>
      <c r="G31" s="165"/>
      <c r="H31" s="165"/>
      <c r="I31" s="165"/>
      <c r="J31" s="165"/>
      <c r="K31" s="165"/>
      <c r="L31" s="165"/>
      <c r="M31" s="165"/>
      <c r="N31" s="165"/>
      <c r="O31" s="165"/>
      <c r="P31" s="165"/>
      <c r="Q31" s="165"/>
      <c r="R31" s="165"/>
      <c r="S31" s="165"/>
      <c r="T31" s="165"/>
      <c r="U31" s="165"/>
      <c r="V31" s="165"/>
      <c r="W31" s="165"/>
      <c r="X31" s="165"/>
      <c r="Y31" s="1411"/>
    </row>
    <row r="32" spans="1:25" s="6" customFormat="1" ht="12">
      <c r="A32" s="165"/>
      <c r="B32" s="165"/>
      <c r="C32" s="165"/>
      <c r="D32" s="165"/>
      <c r="E32" s="165"/>
      <c r="F32" s="165"/>
      <c r="G32" s="165"/>
      <c r="H32" s="165"/>
      <c r="I32" s="165"/>
      <c r="J32" s="165"/>
      <c r="K32" s="165"/>
      <c r="L32" s="165"/>
      <c r="M32" s="165"/>
      <c r="N32" s="165"/>
      <c r="O32" s="165"/>
      <c r="P32" s="165"/>
      <c r="Q32" s="165"/>
      <c r="R32" s="165"/>
      <c r="S32" s="165"/>
      <c r="T32" s="165"/>
      <c r="U32" s="165"/>
      <c r="V32" s="165"/>
      <c r="W32" s="165"/>
      <c r="X32" s="165"/>
      <c r="Y32" s="1411"/>
    </row>
    <row r="33" spans="1:25" s="6" customFormat="1" ht="12">
      <c r="A33" s="165"/>
      <c r="B33" s="165"/>
      <c r="C33" s="165"/>
      <c r="D33" s="165"/>
      <c r="E33" s="165"/>
      <c r="F33" s="165"/>
      <c r="G33" s="165"/>
      <c r="H33" s="165"/>
      <c r="I33" s="165"/>
      <c r="J33" s="165"/>
      <c r="K33" s="165"/>
      <c r="L33" s="2620"/>
      <c r="M33" s="2620"/>
      <c r="N33" s="165"/>
      <c r="O33" s="165"/>
      <c r="P33" s="165"/>
      <c r="Q33" s="165"/>
      <c r="R33" s="165"/>
      <c r="S33" s="165"/>
      <c r="T33" s="165"/>
      <c r="U33" s="165"/>
      <c r="V33" s="165"/>
      <c r="W33" s="165"/>
      <c r="X33" s="165"/>
      <c r="Y33" s="1411"/>
    </row>
    <row r="34" spans="1:25" s="6" customFormat="1" ht="21.75" customHeight="1">
      <c r="A34" s="165"/>
      <c r="B34" s="165"/>
      <c r="C34" s="165"/>
      <c r="D34" s="165"/>
      <c r="E34" s="165"/>
      <c r="F34" s="165"/>
      <c r="G34" s="165"/>
      <c r="H34" s="165"/>
      <c r="I34" s="165"/>
      <c r="J34" s="165"/>
      <c r="K34" s="165"/>
      <c r="L34" s="2620"/>
      <c r="M34" s="2620"/>
      <c r="N34" s="165"/>
      <c r="O34" s="165"/>
      <c r="P34" s="165"/>
      <c r="Q34" s="165"/>
      <c r="R34" s="165"/>
      <c r="S34" s="165"/>
      <c r="T34" s="165"/>
      <c r="U34" s="165"/>
      <c r="V34" s="165"/>
      <c r="W34" s="165"/>
      <c r="X34" s="165"/>
      <c r="Y34" s="1411"/>
    </row>
    <row r="35" spans="1:25" s="6" customFormat="1" ht="12">
      <c r="A35" s="165"/>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411"/>
    </row>
    <row r="36" spans="1:25" s="6" customFormat="1" ht="12">
      <c r="A36" s="165"/>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411"/>
    </row>
    <row r="37" spans="1:25" s="6" customFormat="1" ht="12">
      <c r="A37" s="165"/>
      <c r="B37" s="165"/>
      <c r="C37" s="165"/>
      <c r="D37" s="165"/>
      <c r="E37" s="165"/>
      <c r="F37" s="165"/>
      <c r="G37" s="165"/>
      <c r="H37" s="165"/>
      <c r="I37" s="165"/>
      <c r="J37" s="165"/>
      <c r="K37" s="165"/>
      <c r="L37" s="165"/>
      <c r="M37" s="165"/>
      <c r="N37" s="165"/>
      <c r="O37" s="165"/>
      <c r="P37" s="165"/>
      <c r="Q37" s="165"/>
      <c r="R37" s="165"/>
      <c r="S37" s="165"/>
      <c r="T37" s="165"/>
      <c r="U37" s="165"/>
      <c r="V37" s="165"/>
      <c r="W37" s="165"/>
      <c r="X37" s="165"/>
      <c r="Y37" s="1411"/>
    </row>
    <row r="38" spans="1:25" s="6" customFormat="1" ht="12">
      <c r="A38" s="165"/>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411"/>
    </row>
    <row r="39" spans="1:25" s="6" customFormat="1" ht="12">
      <c r="A39" s="165"/>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411"/>
    </row>
    <row r="40" spans="1:25" s="6" customFormat="1" ht="12">
      <c r="A40" s="165"/>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411"/>
    </row>
    <row r="41" spans="1:25" s="6" customFormat="1" ht="12">
      <c r="A41" s="165"/>
      <c r="B41" s="165"/>
      <c r="C41" s="165"/>
      <c r="D41" s="165"/>
      <c r="E41" s="165"/>
      <c r="F41" s="165"/>
      <c r="G41" s="165"/>
      <c r="H41" s="165"/>
      <c r="I41" s="165"/>
      <c r="J41" s="165"/>
      <c r="K41" s="165"/>
      <c r="L41" s="165"/>
      <c r="M41" s="165"/>
      <c r="N41" s="165"/>
      <c r="O41" s="165"/>
      <c r="P41" s="165"/>
      <c r="Q41" s="165"/>
      <c r="R41" s="165"/>
      <c r="S41" s="165"/>
      <c r="T41" s="165"/>
      <c r="U41" s="165"/>
      <c r="V41" s="165"/>
      <c r="W41" s="165"/>
      <c r="X41" s="165"/>
      <c r="Y41" s="1411"/>
    </row>
    <row r="42" spans="1:25" s="6" customFormat="1" ht="12">
      <c r="A42" s="165"/>
      <c r="B42" s="165"/>
      <c r="C42" s="165"/>
      <c r="D42" s="165"/>
      <c r="E42" s="165"/>
      <c r="F42" s="165"/>
      <c r="G42" s="165"/>
      <c r="H42" s="165"/>
      <c r="I42" s="165"/>
      <c r="J42" s="165"/>
      <c r="K42" s="165"/>
      <c r="L42" s="165"/>
      <c r="M42" s="165"/>
      <c r="N42" s="165"/>
      <c r="O42" s="165"/>
      <c r="P42" s="165"/>
      <c r="Q42" s="165"/>
      <c r="R42" s="165"/>
      <c r="S42" s="165"/>
      <c r="T42" s="165"/>
      <c r="U42" s="165"/>
      <c r="V42" s="165"/>
      <c r="W42" s="165"/>
      <c r="X42" s="165"/>
      <c r="Y42" s="1411"/>
    </row>
    <row r="43" spans="1:25" s="6" customFormat="1" ht="12">
      <c r="A43" s="165"/>
      <c r="B43" s="165"/>
      <c r="C43" s="165"/>
      <c r="D43" s="165"/>
      <c r="E43" s="165"/>
      <c r="F43" s="165"/>
      <c r="G43" s="165"/>
      <c r="H43" s="165"/>
      <c r="I43" s="165"/>
      <c r="J43" s="165"/>
      <c r="K43" s="165"/>
      <c r="L43" s="165"/>
      <c r="M43" s="165"/>
      <c r="N43" s="165"/>
      <c r="O43" s="165"/>
      <c r="P43" s="165"/>
      <c r="Q43" s="165"/>
      <c r="R43" s="165"/>
      <c r="S43" s="165"/>
      <c r="T43" s="165"/>
      <c r="U43" s="165"/>
      <c r="V43" s="165"/>
      <c r="W43" s="165"/>
      <c r="X43" s="165"/>
      <c r="Y43" s="1411"/>
    </row>
    <row r="44" spans="1:25" s="6" customFormat="1" ht="12">
      <c r="A44" s="165"/>
      <c r="B44" s="165"/>
      <c r="C44" s="165"/>
      <c r="D44" s="165"/>
      <c r="E44" s="165"/>
      <c r="F44" s="165"/>
      <c r="G44" s="165"/>
      <c r="H44" s="165"/>
      <c r="I44" s="165"/>
      <c r="J44" s="165"/>
      <c r="K44" s="165"/>
      <c r="L44" s="165"/>
      <c r="M44" s="165"/>
      <c r="N44" s="165"/>
      <c r="O44" s="165"/>
      <c r="P44" s="165"/>
      <c r="Q44" s="165"/>
      <c r="R44" s="165"/>
      <c r="S44" s="165"/>
      <c r="T44" s="165"/>
      <c r="U44" s="165"/>
      <c r="V44" s="165"/>
      <c r="W44" s="165"/>
      <c r="X44" s="165"/>
      <c r="Y44" s="1411"/>
    </row>
    <row r="45" spans="1:25" s="6" customFormat="1" ht="12">
      <c r="A45" s="165"/>
      <c r="B45" s="165"/>
      <c r="C45" s="165"/>
      <c r="D45" s="165"/>
      <c r="E45" s="165"/>
      <c r="F45" s="165"/>
      <c r="G45" s="165"/>
      <c r="H45" s="165"/>
      <c r="I45" s="165"/>
      <c r="J45" s="165"/>
      <c r="K45" s="165"/>
      <c r="L45" s="165"/>
      <c r="M45" s="165"/>
      <c r="N45" s="165"/>
      <c r="O45" s="165"/>
      <c r="P45" s="165"/>
      <c r="Q45" s="165"/>
      <c r="R45" s="165"/>
      <c r="S45" s="165"/>
      <c r="T45" s="165"/>
      <c r="U45" s="165"/>
      <c r="V45" s="165"/>
      <c r="W45" s="165"/>
      <c r="X45" s="165"/>
      <c r="Y45" s="1411"/>
    </row>
    <row r="46" spans="1:25" s="6" customFormat="1" ht="12">
      <c r="A46" s="165"/>
      <c r="B46" s="165"/>
      <c r="C46" s="165"/>
      <c r="D46" s="165"/>
      <c r="E46" s="165"/>
      <c r="F46" s="165"/>
      <c r="G46" s="165"/>
      <c r="H46" s="165"/>
      <c r="I46" s="165"/>
      <c r="J46" s="165"/>
      <c r="K46" s="165"/>
      <c r="L46" s="165"/>
      <c r="M46" s="165"/>
      <c r="N46" s="165"/>
      <c r="O46" s="165"/>
      <c r="P46" s="165"/>
      <c r="Q46" s="165"/>
      <c r="R46" s="165"/>
      <c r="S46" s="165"/>
      <c r="T46" s="165"/>
      <c r="U46" s="165"/>
      <c r="V46" s="165"/>
      <c r="W46" s="165"/>
      <c r="X46" s="165"/>
      <c r="Y46" s="1411"/>
    </row>
    <row r="47" spans="1:25" s="6" customFormat="1" ht="12">
      <c r="A47" s="165"/>
      <c r="B47" s="165"/>
      <c r="C47" s="165"/>
      <c r="D47" s="165"/>
      <c r="E47" s="165"/>
      <c r="F47" s="165"/>
      <c r="G47" s="165"/>
      <c r="H47" s="165"/>
      <c r="I47" s="165"/>
      <c r="J47" s="165"/>
      <c r="K47" s="165"/>
      <c r="L47" s="165"/>
      <c r="M47" s="165"/>
      <c r="N47" s="165"/>
      <c r="O47" s="165"/>
      <c r="P47" s="165"/>
      <c r="Q47" s="165"/>
      <c r="R47" s="165"/>
      <c r="S47" s="165"/>
      <c r="T47" s="165"/>
      <c r="U47" s="165"/>
      <c r="V47" s="165"/>
      <c r="W47" s="165"/>
      <c r="X47" s="165"/>
      <c r="Y47" s="1411"/>
    </row>
    <row r="48" spans="1:25" s="6" customFormat="1" ht="12">
      <c r="A48" s="165"/>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411"/>
    </row>
  </sheetData>
  <sheetProtection algorithmName="SHA-512" hashValue="0H1e0aLIXnLZS8FHDb9iyPsnuHlQ9bOFLrLS2HM9mzgD8abo9ZoEG6Lejj04LpSWrPgIEl8czEvoqIrYGb7QsQ==" saltValue="pV8ae0FpkdwF0+P440lf9g==" spinCount="100000" sheet="1" objects="1" scenarios="1"/>
  <mergeCells count="73">
    <mergeCell ref="B4:C4"/>
    <mergeCell ref="E4:M4"/>
    <mergeCell ref="A5:A7"/>
    <mergeCell ref="E5:M5"/>
    <mergeCell ref="E6:M6"/>
    <mergeCell ref="E7:M7"/>
    <mergeCell ref="B8:C8"/>
    <mergeCell ref="D8:M8"/>
    <mergeCell ref="C11:I11"/>
    <mergeCell ref="J11:M12"/>
    <mergeCell ref="A12:B12"/>
    <mergeCell ref="C12:E12"/>
    <mergeCell ref="F12:I12"/>
    <mergeCell ref="J15:K16"/>
    <mergeCell ref="L15:L16"/>
    <mergeCell ref="M15:M16"/>
    <mergeCell ref="A16:B16"/>
    <mergeCell ref="F13:H14"/>
    <mergeCell ref="I13:I14"/>
    <mergeCell ref="J13:K14"/>
    <mergeCell ref="L13:L14"/>
    <mergeCell ref="M13:M14"/>
    <mergeCell ref="A14:B14"/>
    <mergeCell ref="A15:B15"/>
    <mergeCell ref="C15:D16"/>
    <mergeCell ref="E15:E16"/>
    <mergeCell ref="F15:H16"/>
    <mergeCell ref="I15:I16"/>
    <mergeCell ref="R12:R13"/>
    <mergeCell ref="T12:T13"/>
    <mergeCell ref="W12:X13"/>
    <mergeCell ref="A13:B13"/>
    <mergeCell ref="C13:D14"/>
    <mergeCell ref="E13:E14"/>
    <mergeCell ref="W14:X14"/>
    <mergeCell ref="G17:H17"/>
    <mergeCell ref="K17:L17"/>
    <mergeCell ref="A18:B18"/>
    <mergeCell ref="C18:M18"/>
    <mergeCell ref="A19:M19"/>
    <mergeCell ref="C21:I21"/>
    <mergeCell ref="J21:M22"/>
    <mergeCell ref="A22:B22"/>
    <mergeCell ref="C22:E22"/>
    <mergeCell ref="F22:I22"/>
    <mergeCell ref="W22:X23"/>
    <mergeCell ref="A23:B23"/>
    <mergeCell ref="C23:D24"/>
    <mergeCell ref="E23:E24"/>
    <mergeCell ref="F23:H24"/>
    <mergeCell ref="I23:I24"/>
    <mergeCell ref="J23:K24"/>
    <mergeCell ref="L23:L24"/>
    <mergeCell ref="M23:M24"/>
    <mergeCell ref="A24:B24"/>
    <mergeCell ref="W24:X24"/>
    <mergeCell ref="J25:K26"/>
    <mergeCell ref="L25:L26"/>
    <mergeCell ref="M25:M26"/>
    <mergeCell ref="A26:B26"/>
    <mergeCell ref="L33:M33"/>
    <mergeCell ref="A25:B25"/>
    <mergeCell ref="C25:D26"/>
    <mergeCell ref="E25:E26"/>
    <mergeCell ref="F25:H26"/>
    <mergeCell ref="I25:I26"/>
    <mergeCell ref="L34:M34"/>
    <mergeCell ref="G27:H27"/>
    <mergeCell ref="K27:L27"/>
    <mergeCell ref="A28:B28"/>
    <mergeCell ref="C28:M28"/>
    <mergeCell ref="A29:M29"/>
    <mergeCell ref="L30:M30"/>
  </mergeCells>
  <phoneticPr fontId="15"/>
  <dataValidations count="3">
    <dataValidation type="custom" allowBlank="1" showInputMessage="1" showErrorMessage="1" error="寄与度が設定されています。" sqref="M23 M13" xr:uid="{00000000-0002-0000-4300-000000000000}">
      <formula1>T14=""</formula1>
    </dataValidation>
    <dataValidation type="decimal" operator="greaterThan" allowBlank="1" showInputMessage="1" showErrorMessage="1" sqref="T14" xr:uid="{00000000-0002-0000-4300-000001000000}">
      <formula1>0</formula1>
    </dataValidation>
    <dataValidation type="custom" allowBlank="1" showInputMessage="1" showErrorMessage="1" error="寄与度が設定されています。" sqref="J23 J13" xr:uid="{00000000-0002-0000-4300-000002000000}">
      <formula1>T14=""</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56001" r:id="rId3" name="Check Box 1">
              <controlPr defaultSize="0" autoFill="0" autoLine="0" autoPict="0">
                <anchor moveWithCells="1">
                  <from>
                    <xdr:col>0</xdr:col>
                    <xdr:colOff>104775</xdr:colOff>
                    <xdr:row>3</xdr:row>
                    <xdr:rowOff>85725</xdr:rowOff>
                  </from>
                  <to>
                    <xdr:col>1</xdr:col>
                    <xdr:colOff>9525</xdr:colOff>
                    <xdr:row>3</xdr:row>
                    <xdr:rowOff>342900</xdr:rowOff>
                  </to>
                </anchor>
              </controlPr>
            </control>
          </mc:Choice>
        </mc:AlternateContent>
        <mc:AlternateContent xmlns:mc="http://schemas.openxmlformats.org/markup-compatibility/2006">
          <mc:Choice Requires="x14">
            <control shapeId="256002" r:id="rId4" name="Check Box 2">
              <controlPr defaultSize="0" autoFill="0" autoLine="0" autoPict="0">
                <anchor moveWithCells="1">
                  <from>
                    <xdr:col>0</xdr:col>
                    <xdr:colOff>104775</xdr:colOff>
                    <xdr:row>5</xdr:row>
                    <xdr:rowOff>66675</xdr:rowOff>
                  </from>
                  <to>
                    <xdr:col>1</xdr:col>
                    <xdr:colOff>9525</xdr:colOff>
                    <xdr:row>5</xdr:row>
                    <xdr:rowOff>295275</xdr:rowOff>
                  </to>
                </anchor>
              </controlPr>
            </control>
          </mc:Choice>
        </mc:AlternateContent>
        <mc:AlternateContent xmlns:mc="http://schemas.openxmlformats.org/markup-compatibility/2006">
          <mc:Choice Requires="x14">
            <control shapeId="256003" r:id="rId5" name="Check Box 3">
              <controlPr defaultSize="0" autoFill="0" autoLine="0" autoPict="0">
                <anchor moveWithCells="1">
                  <from>
                    <xdr:col>0</xdr:col>
                    <xdr:colOff>104775</xdr:colOff>
                    <xdr:row>7</xdr:row>
                    <xdr:rowOff>85725</xdr:rowOff>
                  </from>
                  <to>
                    <xdr:col>1</xdr:col>
                    <xdr:colOff>19050</xdr:colOff>
                    <xdr:row>7</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1F8C99BF-DD57-4E4C-95B7-47AC70A9B354}">
            <xm:f>はじめに!$B$36&lt;&gt;"計画書"</xm:f>
            <x14:dxf>
              <font>
                <color theme="0" tint="-0.14996795556505021"/>
              </font>
              <fill>
                <patternFill>
                  <bgColor theme="0" tint="-0.14996795556505021"/>
                </patternFill>
              </fill>
            </x14:dxf>
          </x14:cfRule>
          <xm:sqref>M13:M14 J13:K16 F13:H16 C13:D16 C18:M18 M23:M24 J23:K26 F23:H26 C23:D26 C28:M28 E4:M7 A4:A8</xm:sqref>
        </x14:conditionalFormatting>
        <x14:conditionalFormatting xmlns:xm="http://schemas.microsoft.com/office/excel/2006/main">
          <x14:cfRule type="expression" priority="7" id="{1B960BDB-7CDC-4967-9B08-4E7D25700E70}">
            <xm:f>AND(計1!$P$7=FALSE,計1!$P$8=FALSE,計1!$P$10=FALSE)</xm:f>
            <x14:dxf>
              <font>
                <color theme="0" tint="-0.14996795556505021"/>
              </font>
              <fill>
                <patternFill>
                  <bgColor theme="0" tint="-0.14996795556505021"/>
                </patternFill>
              </fill>
            </x14:dxf>
          </x14:cfRule>
          <xm:sqref>C18:M18 K17:L17 G17:H17 D17 M13:M16 J13:K16 F13:H16 C13:D16</xm:sqref>
        </x14:conditionalFormatting>
        <x14:conditionalFormatting xmlns:xm="http://schemas.microsoft.com/office/excel/2006/main">
          <x14:cfRule type="expression" priority="8" id="{DE2EEB6B-7C76-4BE5-93B4-7FF03AD7A3E0}">
            <xm:f>AND(はじめに!$B$35="",はじめに!$B$36="計画書")</xm:f>
            <x14:dxf>
              <fill>
                <patternFill>
                  <bgColor rgb="FFFFFF99"/>
                </patternFill>
              </fill>
            </x14:dxf>
          </x14:cfRule>
          <xm:sqref>C18:M18 J15:K16 F15:H16 C15:D16 C25:D26 F25:H26 J25:K26 E4:M7 A4:A8</xm:sqref>
        </x14:conditionalFormatting>
        <x14:conditionalFormatting xmlns:xm="http://schemas.microsoft.com/office/excel/2006/main">
          <x14:cfRule type="expression" priority="4" id="{AA4A2FCC-2F7C-4F0C-A81F-438091D8FB14}">
            <xm:f>AND(計1!$P$9=FALSE,計1!$P$11=FALSE)</xm:f>
            <x14:dxf>
              <font>
                <color theme="0" tint="-0.14996795556505021"/>
              </font>
              <fill>
                <patternFill>
                  <bgColor theme="0" tint="-0.14996795556505021"/>
                </patternFill>
              </fill>
            </x14:dxf>
          </x14:cfRule>
          <xm:sqref>C28:M28 K27:L27 G27:H27 D27 M23:M26 J23:K26 F23:H26 C23:D26</xm:sqref>
        </x14:conditionalFormatting>
        <x14:conditionalFormatting xmlns:xm="http://schemas.microsoft.com/office/excel/2006/main">
          <x14:cfRule type="expression" priority="6" id="{A3206065-7E43-4F73-A375-46B5BF89F37C}">
            <xm:f>AND(はじめに!$B$35="",はじめに!$B$36="計画書")</xm:f>
            <x14:dxf>
              <fill>
                <patternFill>
                  <bgColor rgb="FFFFFF99"/>
                </patternFill>
              </fill>
            </x14:dxf>
          </x14:cfRule>
          <xm:sqref>C28:M28</xm:sqref>
        </x14:conditionalFormatting>
        <x14:conditionalFormatting xmlns:xm="http://schemas.microsoft.com/office/excel/2006/main">
          <x14:cfRule type="expression" priority="1" id="{BD4782F1-9154-4915-9EE7-EE07488C93CF}">
            <xm:f>はじめに!$B$36&lt;&gt;"計画書"</xm:f>
            <x14:dxf>
              <font>
                <color theme="0" tint="-0.14996795556505021"/>
              </font>
              <fill>
                <patternFill>
                  <bgColor theme="0" tint="-0.14996795556505021"/>
                </patternFill>
              </fill>
            </x14:dxf>
          </x14:cfRule>
          <xm:sqref>D8:M8</xm:sqref>
        </x14:conditionalFormatting>
        <x14:conditionalFormatting xmlns:xm="http://schemas.microsoft.com/office/excel/2006/main">
          <x14:cfRule type="expression" priority="2" id="{CAC88F58-9AF8-4521-A99F-A8FEFA73ADE9}">
            <xm:f>AND(はじめに!$B$35="",はじめに!$B$36="計画書")</xm:f>
            <x14:dxf>
              <fill>
                <patternFill>
                  <bgColor rgb="FFFFFF99"/>
                </patternFill>
              </fill>
            </x14:dxf>
          </x14:cfRule>
          <xm:sqref>D8:M8</xm:sqref>
        </x14:conditionalFormatting>
      </x14:conditionalFormatting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
    <pageSetUpPr fitToPage="1"/>
  </sheetPr>
  <dimension ref="A1:AF45"/>
  <sheetViews>
    <sheetView showGridLines="0" topLeftCell="A25" zoomScaleNormal="100" workbookViewId="0">
      <selection activeCell="B6" sqref="B6:G6"/>
    </sheetView>
  </sheetViews>
  <sheetFormatPr defaultColWidth="9" defaultRowHeight="12"/>
  <cols>
    <col min="1" max="1" width="5.625" style="2" customWidth="1"/>
    <col min="2" max="2" width="4.625" style="2" customWidth="1"/>
    <col min="3" max="3" width="9.625" style="2" customWidth="1"/>
    <col min="4" max="5" width="4.625" style="2" customWidth="1"/>
    <col min="6" max="19" width="4.375" style="2" customWidth="1"/>
    <col min="20" max="20" width="5" style="2" customWidth="1"/>
    <col min="21" max="21" width="4.75" style="1262" hidden="1" customWidth="1"/>
    <col min="22" max="22" width="11.5" style="1262" hidden="1" customWidth="1"/>
    <col min="23" max="23" width="15" style="1262" hidden="1" customWidth="1"/>
    <col min="24" max="24" width="11.75" style="1262" hidden="1" customWidth="1"/>
    <col min="25" max="25" width="2.75" style="1262" hidden="1" customWidth="1"/>
    <col min="26" max="26" width="5.5" style="1262" hidden="1" customWidth="1"/>
    <col min="27" max="27" width="30.625" style="1262" hidden="1" customWidth="1"/>
    <col min="28" max="28" width="6.875" style="1262" hidden="1" customWidth="1"/>
    <col min="29" max="35" width="9.625" style="2" customWidth="1"/>
    <col min="36" max="36" width="5.5" style="2" customWidth="1"/>
    <col min="37" max="40" width="5.875" style="2" customWidth="1"/>
    <col min="41" max="16384" width="9" style="2"/>
  </cols>
  <sheetData>
    <row r="1" spans="1:32">
      <c r="A1" s="1" t="s">
        <v>520</v>
      </c>
      <c r="B1" s="1"/>
      <c r="T1" s="182"/>
      <c r="AC1" s="182"/>
      <c r="AD1" s="182"/>
      <c r="AE1" s="182"/>
      <c r="AF1" s="182"/>
    </row>
    <row r="2" spans="1:32">
      <c r="A2" s="2" t="s">
        <v>119</v>
      </c>
      <c r="C2" s="4"/>
      <c r="D2" s="4"/>
      <c r="E2" s="4"/>
      <c r="F2" s="4"/>
      <c r="G2" s="4"/>
      <c r="H2" s="4"/>
      <c r="I2" s="4"/>
      <c r="J2" s="4"/>
      <c r="K2" s="4"/>
      <c r="T2" s="182"/>
      <c r="AC2" s="182"/>
      <c r="AD2" s="182"/>
      <c r="AE2" s="182"/>
      <c r="AF2" s="182"/>
    </row>
    <row r="3" spans="1:32" ht="6" customHeight="1">
      <c r="C3" s="4"/>
      <c r="D3" s="4"/>
      <c r="E3" s="4"/>
      <c r="F3" s="4"/>
      <c r="G3" s="4"/>
      <c r="H3" s="4"/>
      <c r="I3" s="4"/>
      <c r="J3" s="4"/>
      <c r="K3" s="4"/>
      <c r="T3" s="182"/>
      <c r="AC3" s="182"/>
      <c r="AD3" s="182"/>
      <c r="AE3" s="182"/>
      <c r="AF3" s="182"/>
    </row>
    <row r="4" spans="1:32" ht="15.75" customHeight="1">
      <c r="A4" s="2740" t="s">
        <v>541</v>
      </c>
      <c r="B4" s="2740"/>
      <c r="C4" s="2740"/>
      <c r="D4" s="2740"/>
      <c r="E4" s="2740"/>
      <c r="F4" s="2740"/>
      <c r="G4" s="2740"/>
      <c r="H4" s="2740"/>
      <c r="I4" s="2740"/>
      <c r="J4" s="2740"/>
      <c r="K4" s="2740"/>
      <c r="L4" s="2740"/>
      <c r="M4" s="2740"/>
      <c r="N4" s="2740"/>
      <c r="O4" s="2740"/>
      <c r="T4" s="182"/>
      <c r="AC4" s="182"/>
      <c r="AD4" s="182"/>
      <c r="AE4" s="182"/>
      <c r="AF4" s="182"/>
    </row>
    <row r="5" spans="1:32" ht="30" customHeight="1">
      <c r="A5" s="82" t="s">
        <v>127</v>
      </c>
      <c r="B5" s="2741" t="s">
        <v>280</v>
      </c>
      <c r="C5" s="2742"/>
      <c r="D5" s="2742"/>
      <c r="E5" s="2742"/>
      <c r="F5" s="2742"/>
      <c r="G5" s="2743"/>
      <c r="H5" s="3101" t="s">
        <v>540</v>
      </c>
      <c r="I5" s="3101"/>
      <c r="J5" s="3101"/>
      <c r="K5" s="3101"/>
      <c r="L5" s="3101"/>
      <c r="M5" s="3101"/>
      <c r="N5" s="2509" t="s">
        <v>582</v>
      </c>
      <c r="O5" s="2539"/>
      <c r="P5" s="2539"/>
      <c r="Q5" s="2539"/>
      <c r="R5" s="2539"/>
      <c r="S5" s="2510"/>
      <c r="T5" s="182"/>
      <c r="W5" s="1262" t="s">
        <v>419</v>
      </c>
      <c r="Z5" s="1262" t="s">
        <v>539</v>
      </c>
      <c r="AC5" s="182"/>
      <c r="AD5" s="182"/>
      <c r="AE5" s="182"/>
      <c r="AF5" s="182"/>
    </row>
    <row r="6" spans="1:32" ht="23.1" customHeight="1">
      <c r="A6" s="123">
        <v>1</v>
      </c>
      <c r="B6" s="3102" t="str">
        <f>IF(報3!B6="","",報3!B6)</f>
        <v/>
      </c>
      <c r="C6" s="3103"/>
      <c r="D6" s="3103"/>
      <c r="E6" s="3103"/>
      <c r="F6" s="3103"/>
      <c r="G6" s="3104"/>
      <c r="H6" s="3105" t="str">
        <f>IF(報3!G6="","",報3!G6)</f>
        <v/>
      </c>
      <c r="I6" s="3105"/>
      <c r="J6" s="3105"/>
      <c r="K6" s="3105"/>
      <c r="L6" s="3105"/>
      <c r="M6" s="3105"/>
      <c r="N6" s="3102" t="str">
        <f>IF(報3!K6="","",報3!K6)</f>
        <v/>
      </c>
      <c r="O6" s="3103"/>
      <c r="P6" s="3103"/>
      <c r="Q6" s="3103"/>
      <c r="R6" s="3103"/>
      <c r="S6" s="3104"/>
      <c r="T6" s="182"/>
      <c r="W6" s="182" t="s">
        <v>282</v>
      </c>
      <c r="Z6" s="1262" t="s">
        <v>531</v>
      </c>
      <c r="AC6" s="182"/>
      <c r="AD6" s="182"/>
      <c r="AE6" s="182"/>
      <c r="AF6" s="182"/>
    </row>
    <row r="7" spans="1:32" ht="23.1" customHeight="1">
      <c r="A7" s="124">
        <v>2</v>
      </c>
      <c r="B7" s="3106" t="str">
        <f>IF(報3!B7="","",報3!B7)</f>
        <v/>
      </c>
      <c r="C7" s="3107"/>
      <c r="D7" s="3107"/>
      <c r="E7" s="3107"/>
      <c r="F7" s="3107"/>
      <c r="G7" s="3108"/>
      <c r="H7" s="3105" t="str">
        <f>IF(報3!G7="","",報3!G7)</f>
        <v/>
      </c>
      <c r="I7" s="3105"/>
      <c r="J7" s="3105"/>
      <c r="K7" s="3105"/>
      <c r="L7" s="3105"/>
      <c r="M7" s="3105"/>
      <c r="N7" s="3106" t="str">
        <f>IF(報3!K7="","",報3!K7)</f>
        <v/>
      </c>
      <c r="O7" s="3107"/>
      <c r="P7" s="3107"/>
      <c r="Q7" s="3107"/>
      <c r="R7" s="3107"/>
      <c r="S7" s="3108"/>
      <c r="T7" s="182"/>
      <c r="W7" s="182" t="s">
        <v>283</v>
      </c>
      <c r="Z7" s="1262" t="s">
        <v>530</v>
      </c>
      <c r="AC7" s="182"/>
      <c r="AD7" s="182"/>
      <c r="AE7" s="182"/>
      <c r="AF7" s="182"/>
    </row>
    <row r="8" spans="1:32" ht="23.1" customHeight="1">
      <c r="A8" s="124">
        <v>3</v>
      </c>
      <c r="B8" s="3106" t="str">
        <f>IF(報3!B8="","",報3!B8)</f>
        <v/>
      </c>
      <c r="C8" s="3107"/>
      <c r="D8" s="3107"/>
      <c r="E8" s="3107"/>
      <c r="F8" s="3107"/>
      <c r="G8" s="3108"/>
      <c r="H8" s="3105" t="str">
        <f>IF(報3!G8="","",報3!G8)</f>
        <v/>
      </c>
      <c r="I8" s="3105"/>
      <c r="J8" s="3105"/>
      <c r="K8" s="3105"/>
      <c r="L8" s="3105"/>
      <c r="M8" s="3105"/>
      <c r="N8" s="3106" t="str">
        <f>IF(報3!K8="","",報3!K8)</f>
        <v/>
      </c>
      <c r="O8" s="3107"/>
      <c r="P8" s="3107"/>
      <c r="Q8" s="3107"/>
      <c r="R8" s="3107"/>
      <c r="S8" s="3108"/>
      <c r="T8" s="182"/>
      <c r="W8" s="182" t="s">
        <v>4781</v>
      </c>
      <c r="AC8" s="182"/>
      <c r="AD8" s="182"/>
      <c r="AE8" s="182"/>
      <c r="AF8" s="182"/>
    </row>
    <row r="9" spans="1:32" ht="23.1" customHeight="1">
      <c r="A9" s="124">
        <v>4</v>
      </c>
      <c r="B9" s="3106" t="str">
        <f>IF(報3!B9="","",報3!B9)</f>
        <v/>
      </c>
      <c r="C9" s="3107"/>
      <c r="D9" s="3107"/>
      <c r="E9" s="3107"/>
      <c r="F9" s="3107"/>
      <c r="G9" s="3108"/>
      <c r="H9" s="3105" t="str">
        <f>IF(報3!G9="","",報3!G9)</f>
        <v/>
      </c>
      <c r="I9" s="3105"/>
      <c r="J9" s="3105"/>
      <c r="K9" s="3105"/>
      <c r="L9" s="3105"/>
      <c r="M9" s="3105"/>
      <c r="N9" s="3106" t="str">
        <f>IF(報3!K9="","",報3!K9)</f>
        <v/>
      </c>
      <c r="O9" s="3107"/>
      <c r="P9" s="3107"/>
      <c r="Q9" s="3107"/>
      <c r="R9" s="3107"/>
      <c r="S9" s="3108"/>
      <c r="T9" s="182"/>
      <c r="AC9" s="182"/>
      <c r="AD9" s="182"/>
      <c r="AE9" s="182"/>
      <c r="AF9" s="182"/>
    </row>
    <row r="10" spans="1:32" ht="23.1" customHeight="1" thickBot="1">
      <c r="A10" s="125">
        <v>5</v>
      </c>
      <c r="B10" s="3109" t="str">
        <f>IF(報3!B10="","",報3!B10)</f>
        <v/>
      </c>
      <c r="C10" s="3110"/>
      <c r="D10" s="3110"/>
      <c r="E10" s="3110"/>
      <c r="F10" s="3110"/>
      <c r="G10" s="3111"/>
      <c r="H10" s="3112" t="str">
        <f>IF(報3!G10="","",報3!G10)</f>
        <v/>
      </c>
      <c r="I10" s="3112"/>
      <c r="J10" s="3112"/>
      <c r="K10" s="3112"/>
      <c r="L10" s="3112"/>
      <c r="M10" s="3112"/>
      <c r="N10" s="3109" t="str">
        <f>IF(報3!K10="","",報3!K10)</f>
        <v/>
      </c>
      <c r="O10" s="3110"/>
      <c r="P10" s="3110"/>
      <c r="Q10" s="3110"/>
      <c r="R10" s="3110"/>
      <c r="S10" s="3111"/>
      <c r="T10" s="182"/>
      <c r="AC10" s="182"/>
      <c r="AD10" s="182"/>
      <c r="AE10" s="182"/>
      <c r="AF10" s="182"/>
    </row>
    <row r="11" spans="1:32" ht="22.5" customHeight="1" thickBot="1">
      <c r="A11" s="353"/>
      <c r="B11" s="2674"/>
      <c r="C11" s="2674"/>
      <c r="D11" s="2674"/>
      <c r="E11" s="2674"/>
      <c r="F11" s="2674"/>
      <c r="G11" s="2674"/>
      <c r="H11" s="2736"/>
      <c r="I11" s="2736"/>
      <c r="J11" s="2736"/>
      <c r="K11" s="2736"/>
      <c r="L11" s="2736"/>
      <c r="M11" s="2736"/>
      <c r="N11" s="2977"/>
      <c r="O11" s="2977"/>
      <c r="P11" s="2977"/>
      <c r="Q11" s="2977"/>
      <c r="R11" s="2977"/>
      <c r="S11" s="2977"/>
      <c r="T11" s="182"/>
      <c r="AA11" s="1263" t="str">
        <f>IF(SUM(H6:M10)=0,"",SUM(H6:M10))</f>
        <v/>
      </c>
      <c r="AB11" s="1264" t="s">
        <v>585</v>
      </c>
      <c r="AC11" s="182"/>
      <c r="AD11" s="182"/>
      <c r="AE11" s="182"/>
      <c r="AF11" s="182"/>
    </row>
    <row r="12" spans="1:32" ht="12" customHeight="1">
      <c r="T12" s="182"/>
      <c r="AC12" s="182"/>
      <c r="AD12" s="182"/>
      <c r="AE12" s="182"/>
      <c r="AF12" s="182"/>
    </row>
    <row r="13" spans="1:32" ht="18" customHeight="1">
      <c r="A13" s="48" t="s">
        <v>538</v>
      </c>
      <c r="T13" s="182"/>
      <c r="AC13" s="182"/>
      <c r="AD13" s="182"/>
      <c r="AE13" s="182"/>
      <c r="AF13" s="182"/>
    </row>
    <row r="14" spans="1:32" ht="20.100000000000001" customHeight="1">
      <c r="A14" s="2621" t="s">
        <v>537</v>
      </c>
      <c r="B14" s="3123"/>
      <c r="C14" s="2872" t="s">
        <v>534</v>
      </c>
      <c r="D14" s="2873"/>
      <c r="E14" s="2873"/>
      <c r="F14" s="337"/>
      <c r="G14" s="338" t="s">
        <v>531</v>
      </c>
      <c r="H14" s="337"/>
      <c r="I14" s="339" t="s">
        <v>530</v>
      </c>
      <c r="J14" s="3129"/>
      <c r="K14" s="3130"/>
      <c r="L14" s="3130"/>
      <c r="M14" s="3130"/>
      <c r="N14" s="3130"/>
      <c r="O14" s="3130"/>
      <c r="P14" s="3130"/>
      <c r="Q14" s="3130"/>
      <c r="R14" s="3130"/>
      <c r="S14" s="3130"/>
      <c r="T14" s="182"/>
      <c r="U14" s="1265"/>
      <c r="V14" s="1262" t="str">
        <f>IFERROR(CHOOSE(U14,$Z$6,$Z$7),"")</f>
        <v/>
      </c>
      <c r="AC14" s="182"/>
      <c r="AD14" s="182"/>
      <c r="AE14" s="182"/>
      <c r="AF14" s="182"/>
    </row>
    <row r="15" spans="1:32" ht="98.25" customHeight="1">
      <c r="A15" s="3124"/>
      <c r="B15" s="3125"/>
      <c r="C15" s="3029"/>
      <c r="D15" s="3029"/>
      <c r="E15" s="3029"/>
      <c r="F15" s="3029"/>
      <c r="G15" s="3029"/>
      <c r="H15" s="3029"/>
      <c r="I15" s="3029"/>
      <c r="J15" s="3029"/>
      <c r="K15" s="3029"/>
      <c r="L15" s="3029"/>
      <c r="M15" s="3029"/>
      <c r="N15" s="3029"/>
      <c r="O15" s="3029"/>
      <c r="P15" s="3029"/>
      <c r="Q15" s="3029"/>
      <c r="R15" s="3029"/>
      <c r="S15" s="3030"/>
      <c r="T15" s="182"/>
      <c r="U15" s="1265"/>
      <c r="X15" s="1262" t="s">
        <v>420</v>
      </c>
      <c r="AC15" s="182"/>
      <c r="AD15" s="182"/>
      <c r="AE15" s="182"/>
      <c r="AF15" s="182"/>
    </row>
    <row r="16" spans="1:32" ht="20.100000000000001" customHeight="1">
      <c r="A16" s="2621" t="s">
        <v>536</v>
      </c>
      <c r="B16" s="3123"/>
      <c r="C16" s="2872" t="s">
        <v>534</v>
      </c>
      <c r="D16" s="2873"/>
      <c r="E16" s="2873"/>
      <c r="F16" s="337"/>
      <c r="G16" s="338" t="s">
        <v>531</v>
      </c>
      <c r="H16" s="337"/>
      <c r="I16" s="339" t="s">
        <v>530</v>
      </c>
      <c r="J16" s="3128"/>
      <c r="K16" s="2716"/>
      <c r="L16" s="2716"/>
      <c r="M16" s="2716"/>
      <c r="N16" s="2716"/>
      <c r="O16" s="2716"/>
      <c r="P16" s="2716"/>
      <c r="Q16" s="2716"/>
      <c r="R16" s="2716"/>
      <c r="S16" s="2716"/>
      <c r="T16" s="182"/>
      <c r="U16" s="1265"/>
      <c r="V16" s="1262" t="str">
        <f>IFERROR(CHOOSE(U16,$Z$6,$Z$7),"")</f>
        <v/>
      </c>
      <c r="X16" s="1266" t="s">
        <v>421</v>
      </c>
      <c r="AC16" s="182"/>
      <c r="AD16" s="182"/>
      <c r="AE16" s="182"/>
      <c r="AF16" s="182"/>
    </row>
    <row r="17" spans="1:32" ht="32.25" customHeight="1">
      <c r="A17" s="3124"/>
      <c r="B17" s="3125"/>
      <c r="C17" s="3116"/>
      <c r="D17" s="3116"/>
      <c r="E17" s="3116"/>
      <c r="F17" s="3120"/>
      <c r="G17" s="3121"/>
      <c r="H17" s="3121"/>
      <c r="I17" s="3121"/>
      <c r="J17" s="3121"/>
      <c r="K17" s="3121"/>
      <c r="L17" s="3121"/>
      <c r="M17" s="3121"/>
      <c r="N17" s="3121"/>
      <c r="O17" s="3121"/>
      <c r="P17" s="3121"/>
      <c r="Q17" s="3121"/>
      <c r="R17" s="3121"/>
      <c r="S17" s="3122"/>
      <c r="T17" s="182"/>
      <c r="U17" s="1265"/>
      <c r="X17" s="1266" t="s">
        <v>422</v>
      </c>
      <c r="AC17" s="182"/>
      <c r="AD17" s="182"/>
      <c r="AE17" s="182"/>
      <c r="AF17" s="182"/>
    </row>
    <row r="18" spans="1:32" ht="32.25" customHeight="1">
      <c r="A18" s="3124"/>
      <c r="B18" s="3125"/>
      <c r="C18" s="3117"/>
      <c r="D18" s="3118"/>
      <c r="E18" s="3118"/>
      <c r="F18" s="3131"/>
      <c r="G18" s="3132"/>
      <c r="H18" s="3132"/>
      <c r="I18" s="3132"/>
      <c r="J18" s="3132"/>
      <c r="K18" s="3132"/>
      <c r="L18" s="3132"/>
      <c r="M18" s="3132"/>
      <c r="N18" s="3132"/>
      <c r="O18" s="3132"/>
      <c r="P18" s="3132"/>
      <c r="Q18" s="3132"/>
      <c r="R18" s="3132"/>
      <c r="S18" s="3133"/>
      <c r="T18" s="182"/>
      <c r="U18" s="1265"/>
      <c r="X18" s="1266" t="s">
        <v>423</v>
      </c>
      <c r="AC18" s="182"/>
      <c r="AD18" s="182"/>
      <c r="AE18" s="182"/>
      <c r="AF18" s="182"/>
    </row>
    <row r="19" spans="1:32" ht="32.25" customHeight="1">
      <c r="A19" s="3126"/>
      <c r="B19" s="3127"/>
      <c r="C19" s="3119"/>
      <c r="D19" s="3119"/>
      <c r="E19" s="3119"/>
      <c r="F19" s="3113"/>
      <c r="G19" s="3114"/>
      <c r="H19" s="3114"/>
      <c r="I19" s="3114"/>
      <c r="J19" s="3114"/>
      <c r="K19" s="3114"/>
      <c r="L19" s="3114"/>
      <c r="M19" s="3114"/>
      <c r="N19" s="3114"/>
      <c r="O19" s="3114"/>
      <c r="P19" s="3114"/>
      <c r="Q19" s="3114"/>
      <c r="R19" s="3114"/>
      <c r="S19" s="3115"/>
      <c r="T19" s="182"/>
      <c r="U19" s="1265"/>
      <c r="X19" s="1266" t="s">
        <v>424</v>
      </c>
      <c r="AC19" s="182"/>
      <c r="AD19" s="182"/>
      <c r="AE19" s="182"/>
      <c r="AF19" s="182"/>
    </row>
    <row r="20" spans="1:32" ht="20.100000000000001" customHeight="1">
      <c r="A20" s="3124" t="s">
        <v>535</v>
      </c>
      <c r="B20" s="3125"/>
      <c r="C20" s="2872" t="s">
        <v>534</v>
      </c>
      <c r="D20" s="2873"/>
      <c r="E20" s="2873"/>
      <c r="F20" s="337"/>
      <c r="G20" s="338" t="s">
        <v>531</v>
      </c>
      <c r="H20" s="337"/>
      <c r="I20" s="339" t="s">
        <v>530</v>
      </c>
      <c r="J20" s="3134"/>
      <c r="K20" s="3135"/>
      <c r="L20" s="3135"/>
      <c r="M20" s="3135"/>
      <c r="N20" s="3135"/>
      <c r="O20" s="3135"/>
      <c r="P20" s="3135"/>
      <c r="Q20" s="3135"/>
      <c r="R20" s="3135"/>
      <c r="S20" s="3135"/>
      <c r="T20" s="182"/>
      <c r="U20" s="1265"/>
      <c r="V20" s="1262" t="str">
        <f>IFERROR(CHOOSE(U20,$Z$6,$Z$7),"")</f>
        <v/>
      </c>
      <c r="X20" s="1266" t="s">
        <v>425</v>
      </c>
      <c r="AC20" s="182"/>
      <c r="AD20" s="182"/>
      <c r="AE20" s="182"/>
      <c r="AF20" s="182"/>
    </row>
    <row r="21" spans="1:32" ht="99.75" customHeight="1">
      <c r="A21" s="3124"/>
      <c r="B21" s="3125"/>
      <c r="C21" s="3029"/>
      <c r="D21" s="3029"/>
      <c r="E21" s="3029"/>
      <c r="F21" s="3029"/>
      <c r="G21" s="3029"/>
      <c r="H21" s="3029"/>
      <c r="I21" s="3029"/>
      <c r="J21" s="3029"/>
      <c r="K21" s="3029"/>
      <c r="L21" s="3029"/>
      <c r="M21" s="3029"/>
      <c r="N21" s="3029"/>
      <c r="O21" s="3029"/>
      <c r="P21" s="3029"/>
      <c r="Q21" s="3029"/>
      <c r="R21" s="3029"/>
      <c r="S21" s="3030"/>
      <c r="T21" s="182"/>
      <c r="X21" s="1262" t="s">
        <v>426</v>
      </c>
      <c r="AC21" s="182"/>
      <c r="AD21" s="182"/>
      <c r="AE21" s="182"/>
      <c r="AF21" s="182"/>
    </row>
    <row r="22" spans="1:32" ht="99.95" customHeight="1">
      <c r="A22" s="3126"/>
      <c r="B22" s="3127"/>
      <c r="C22" s="3031"/>
      <c r="D22" s="3031"/>
      <c r="E22" s="3031"/>
      <c r="F22" s="3031"/>
      <c r="G22" s="3031"/>
      <c r="H22" s="3031"/>
      <c r="I22" s="3031"/>
      <c r="J22" s="3031"/>
      <c r="K22" s="3031"/>
      <c r="L22" s="3031"/>
      <c r="M22" s="3031"/>
      <c r="N22" s="3031"/>
      <c r="O22" s="3031"/>
      <c r="P22" s="3031"/>
      <c r="Q22" s="3031"/>
      <c r="R22" s="3031"/>
      <c r="S22" s="3032"/>
      <c r="T22" s="182"/>
      <c r="X22" s="1262" t="s">
        <v>427</v>
      </c>
      <c r="AC22" s="182"/>
      <c r="AD22" s="182"/>
      <c r="AE22" s="182"/>
      <c r="AF22" s="182"/>
    </row>
    <row r="23" spans="1:32" ht="12" customHeight="1">
      <c r="T23" s="182"/>
      <c r="X23" s="1262" t="s">
        <v>428</v>
      </c>
      <c r="AC23" s="182"/>
      <c r="AD23" s="182"/>
      <c r="AE23" s="182"/>
      <c r="AF23" s="182"/>
    </row>
    <row r="24" spans="1:32" ht="17.25" customHeight="1">
      <c r="A24" s="48" t="s">
        <v>533</v>
      </c>
      <c r="T24" s="182"/>
      <c r="AC24" s="182"/>
      <c r="AD24" s="182"/>
      <c r="AE24" s="182"/>
      <c r="AF24" s="182"/>
    </row>
    <row r="25" spans="1:32" ht="30" customHeight="1">
      <c r="A25" s="3136" t="s">
        <v>532</v>
      </c>
      <c r="B25" s="3137"/>
      <c r="C25" s="3137"/>
      <c r="D25" s="340"/>
      <c r="E25" s="341" t="s">
        <v>531</v>
      </c>
      <c r="F25" s="340"/>
      <c r="G25" s="342" t="s">
        <v>530</v>
      </c>
      <c r="H25" s="3"/>
      <c r="I25" s="3"/>
      <c r="J25" s="7"/>
      <c r="K25" s="3"/>
      <c r="L25" s="3"/>
      <c r="M25" s="7"/>
      <c r="N25" s="3"/>
      <c r="T25" s="182"/>
      <c r="U25" s="1267"/>
      <c r="V25" s="1262" t="s">
        <v>5390</v>
      </c>
      <c r="AC25" s="182"/>
      <c r="AD25" s="182"/>
      <c r="AE25" s="182"/>
      <c r="AF25" s="182"/>
    </row>
    <row r="26" spans="1:32" ht="15" customHeight="1">
      <c r="A26" s="2621" t="s">
        <v>294</v>
      </c>
      <c r="B26" s="2737"/>
      <c r="C26" s="2737"/>
      <c r="D26" s="2580" t="s">
        <v>295</v>
      </c>
      <c r="E26" s="2977"/>
      <c r="F26" s="2977"/>
      <c r="G26" s="2977"/>
      <c r="H26" s="3141" t="s">
        <v>296</v>
      </c>
      <c r="I26" s="2737"/>
      <c r="J26" s="2737"/>
      <c r="K26" s="3142"/>
      <c r="L26" s="2737" t="s">
        <v>297</v>
      </c>
      <c r="M26" s="2737"/>
      <c r="N26" s="2737"/>
      <c r="O26" s="3123"/>
      <c r="P26" s="2737" t="s">
        <v>125</v>
      </c>
      <c r="Q26" s="2737"/>
      <c r="R26" s="2737"/>
      <c r="S26" s="3123"/>
      <c r="T26" s="182"/>
      <c r="AC26" s="182"/>
      <c r="AD26" s="182"/>
      <c r="AE26" s="182"/>
      <c r="AF26" s="182"/>
    </row>
    <row r="27" spans="1:32" ht="15" customHeight="1">
      <c r="A27" s="3126"/>
      <c r="B27" s="3138"/>
      <c r="C27" s="3138"/>
      <c r="D27" s="3139"/>
      <c r="E27" s="3140"/>
      <c r="F27" s="3140"/>
      <c r="G27" s="3140"/>
      <c r="H27" s="3143"/>
      <c r="I27" s="3138"/>
      <c r="J27" s="3138"/>
      <c r="K27" s="3144"/>
      <c r="L27" s="3138"/>
      <c r="M27" s="3138"/>
      <c r="N27" s="3138"/>
      <c r="O27" s="3127"/>
      <c r="P27" s="3138"/>
      <c r="Q27" s="3138"/>
      <c r="R27" s="3138"/>
      <c r="S27" s="3127"/>
      <c r="T27" s="182"/>
      <c r="AC27" s="182"/>
      <c r="AD27" s="182"/>
      <c r="AE27" s="182"/>
      <c r="AF27" s="182"/>
    </row>
    <row r="28" spans="1:32" ht="27.95" customHeight="1">
      <c r="A28" s="2682" t="s">
        <v>529</v>
      </c>
      <c r="B28" s="2683"/>
      <c r="C28" s="2683"/>
      <c r="D28" s="3147">
        <v>0</v>
      </c>
      <c r="E28" s="3148"/>
      <c r="F28" s="3148"/>
      <c r="G28" s="3148"/>
      <c r="H28" s="3149">
        <v>0</v>
      </c>
      <c r="I28" s="3148"/>
      <c r="J28" s="3148"/>
      <c r="K28" s="3150"/>
      <c r="L28" s="3148">
        <v>0</v>
      </c>
      <c r="M28" s="3148"/>
      <c r="N28" s="3148"/>
      <c r="O28" s="3151"/>
      <c r="P28" s="3152">
        <f>IF(OR((D28=""),(H28=""),(L28="")),"",SUM(D28:O28))</f>
        <v>0</v>
      </c>
      <c r="Q28" s="3152"/>
      <c r="R28" s="3152"/>
      <c r="S28" s="3153"/>
      <c r="T28" s="182"/>
      <c r="AC28" s="182"/>
      <c r="AD28" s="182"/>
      <c r="AE28" s="182"/>
      <c r="AF28" s="182"/>
    </row>
    <row r="29" spans="1:32" ht="27.95" customHeight="1">
      <c r="A29" s="3126" t="s">
        <v>528</v>
      </c>
      <c r="B29" s="3140"/>
      <c r="C29" s="3140"/>
      <c r="D29" s="3154">
        <f>報3!D24</f>
        <v>0</v>
      </c>
      <c r="E29" s="3155"/>
      <c r="F29" s="3155"/>
      <c r="G29" s="3155"/>
      <c r="H29" s="3156">
        <f>報3!G24</f>
        <v>0</v>
      </c>
      <c r="I29" s="3155"/>
      <c r="J29" s="3155"/>
      <c r="K29" s="3157"/>
      <c r="L29" s="3155">
        <f>報3!J24</f>
        <v>0</v>
      </c>
      <c r="M29" s="3155"/>
      <c r="N29" s="3155"/>
      <c r="O29" s="3158"/>
      <c r="P29" s="3145">
        <f>IF(OR((D29=""),(H29=""),(L29="")),"",SUM(D29:O29))</f>
        <v>0</v>
      </c>
      <c r="Q29" s="3145"/>
      <c r="R29" s="3145"/>
      <c r="S29" s="3146"/>
      <c r="T29" s="182"/>
      <c r="AC29" s="182"/>
      <c r="AD29" s="182"/>
      <c r="AE29" s="182"/>
      <c r="AF29" s="182"/>
    </row>
    <row r="30" spans="1:32" ht="12" customHeight="1">
      <c r="A30" s="182"/>
      <c r="B30" s="182"/>
      <c r="C30" s="182"/>
      <c r="D30" s="182"/>
      <c r="E30" s="182"/>
      <c r="F30" s="182"/>
      <c r="G30" s="182"/>
      <c r="H30" s="182"/>
      <c r="I30" s="182"/>
      <c r="J30" s="182"/>
      <c r="K30" s="182"/>
      <c r="L30" s="182"/>
      <c r="M30" s="182"/>
      <c r="N30" s="182"/>
      <c r="O30" s="182"/>
      <c r="P30" s="182"/>
      <c r="Q30" s="182"/>
      <c r="R30" s="182"/>
      <c r="S30" s="182"/>
      <c r="T30" s="182"/>
      <c r="AC30" s="182"/>
      <c r="AD30" s="182"/>
      <c r="AE30" s="182"/>
      <c r="AF30" s="182"/>
    </row>
    <row r="31" spans="1:32" ht="12" customHeight="1">
      <c r="A31" s="182"/>
      <c r="B31" s="182"/>
      <c r="C31" s="182"/>
      <c r="D31" s="182"/>
      <c r="E31" s="182"/>
      <c r="F31" s="182"/>
      <c r="G31" s="182"/>
      <c r="H31" s="182"/>
      <c r="I31" s="182"/>
      <c r="J31" s="182"/>
      <c r="K31" s="182"/>
      <c r="L31" s="182"/>
      <c r="M31" s="182"/>
      <c r="N31" s="3042"/>
      <c r="O31" s="3042"/>
      <c r="P31" s="164"/>
      <c r="Q31" s="165"/>
      <c r="R31" s="165"/>
      <c r="S31" s="164"/>
      <c r="T31" s="165"/>
      <c r="AC31" s="182"/>
      <c r="AD31" s="182"/>
      <c r="AE31" s="182"/>
      <c r="AF31" s="182"/>
    </row>
    <row r="32" spans="1:32" ht="20.100000000000001" customHeight="1">
      <c r="A32" s="182"/>
      <c r="B32" s="182"/>
      <c r="C32" s="182"/>
      <c r="D32" s="182"/>
      <c r="E32" s="182"/>
      <c r="F32" s="182"/>
      <c r="G32" s="182"/>
      <c r="H32" s="182"/>
      <c r="I32" s="182"/>
      <c r="J32" s="182"/>
      <c r="K32" s="182"/>
      <c r="L32" s="182"/>
      <c r="M32" s="182"/>
      <c r="N32" s="182"/>
      <c r="O32" s="182"/>
      <c r="P32" s="182"/>
      <c r="Q32" s="182"/>
      <c r="R32" s="182"/>
      <c r="S32" s="182"/>
      <c r="T32" s="182"/>
      <c r="AC32" s="182"/>
      <c r="AD32" s="182"/>
      <c r="AE32" s="182"/>
      <c r="AF32" s="182"/>
    </row>
    <row r="33" spans="1:32" ht="20.100000000000001" customHeight="1">
      <c r="A33" s="182"/>
      <c r="B33" s="182"/>
      <c r="C33" s="182"/>
      <c r="D33" s="182"/>
      <c r="E33" s="182"/>
      <c r="F33" s="182"/>
      <c r="G33" s="182"/>
      <c r="H33" s="182"/>
      <c r="I33" s="182"/>
      <c r="J33" s="182"/>
      <c r="K33" s="182"/>
      <c r="L33" s="182"/>
      <c r="M33" s="182"/>
      <c r="N33" s="182"/>
      <c r="O33" s="182"/>
      <c r="P33" s="182"/>
      <c r="Q33" s="182"/>
      <c r="R33" s="182"/>
      <c r="S33" s="182"/>
      <c r="T33" s="182"/>
      <c r="AC33" s="182"/>
      <c r="AD33" s="182"/>
      <c r="AE33" s="182"/>
      <c r="AF33" s="182"/>
    </row>
    <row r="34" spans="1:32" ht="20.100000000000001" customHeight="1">
      <c r="A34" s="182"/>
      <c r="B34" s="182"/>
      <c r="C34" s="182"/>
      <c r="D34" s="182"/>
      <c r="E34" s="182"/>
      <c r="F34" s="182"/>
      <c r="G34" s="182"/>
      <c r="H34" s="182"/>
      <c r="I34" s="182"/>
      <c r="J34" s="182"/>
      <c r="K34" s="182"/>
      <c r="L34" s="182"/>
      <c r="M34" s="182"/>
      <c r="N34" s="182"/>
      <c r="O34" s="182"/>
      <c r="P34" s="182"/>
      <c r="Q34" s="182"/>
      <c r="R34" s="182"/>
      <c r="S34" s="182"/>
      <c r="T34" s="182"/>
      <c r="AC34" s="182"/>
      <c r="AD34" s="182"/>
      <c r="AE34" s="182"/>
      <c r="AF34" s="182"/>
    </row>
    <row r="35" spans="1:32" ht="20.100000000000001" customHeight="1">
      <c r="A35" s="182"/>
      <c r="B35" s="182"/>
      <c r="C35" s="182"/>
      <c r="D35" s="182"/>
      <c r="E35" s="182"/>
      <c r="F35" s="182"/>
      <c r="G35" s="182"/>
      <c r="H35" s="182"/>
      <c r="I35" s="182"/>
      <c r="J35" s="182"/>
      <c r="K35" s="182"/>
      <c r="L35" s="182"/>
      <c r="M35" s="182"/>
      <c r="N35" s="182"/>
      <c r="O35" s="182"/>
      <c r="P35" s="182"/>
      <c r="Q35" s="182"/>
      <c r="R35" s="182"/>
      <c r="S35" s="182"/>
      <c r="T35" s="182"/>
      <c r="AC35" s="182"/>
      <c r="AD35" s="182"/>
      <c r="AE35" s="182"/>
      <c r="AF35" s="182"/>
    </row>
    <row r="36" spans="1:32" ht="20.100000000000001" customHeight="1">
      <c r="A36" s="182"/>
      <c r="B36" s="182"/>
      <c r="C36" s="182"/>
      <c r="D36" s="182"/>
      <c r="E36" s="182"/>
      <c r="F36" s="182"/>
      <c r="G36" s="182"/>
      <c r="H36" s="182"/>
      <c r="I36" s="182"/>
      <c r="J36" s="182"/>
      <c r="K36" s="182"/>
      <c r="L36" s="182"/>
      <c r="M36" s="182"/>
      <c r="N36" s="182"/>
      <c r="O36" s="182"/>
      <c r="P36" s="182"/>
      <c r="Q36" s="182"/>
      <c r="R36" s="182"/>
      <c r="S36" s="182"/>
      <c r="T36" s="182"/>
      <c r="AC36" s="182"/>
      <c r="AD36" s="182"/>
      <c r="AE36" s="182"/>
      <c r="AF36" s="182"/>
    </row>
    <row r="37" spans="1:32" ht="20.100000000000001" customHeight="1">
      <c r="A37" s="182"/>
      <c r="B37" s="182"/>
      <c r="C37" s="182"/>
      <c r="D37" s="182"/>
      <c r="E37" s="182"/>
      <c r="F37" s="182"/>
      <c r="G37" s="182"/>
      <c r="H37" s="182"/>
      <c r="I37" s="182"/>
      <c r="J37" s="182"/>
      <c r="K37" s="182"/>
      <c r="L37" s="182"/>
      <c r="M37" s="182"/>
      <c r="N37" s="182"/>
      <c r="O37" s="182"/>
      <c r="P37" s="182"/>
      <c r="Q37" s="182"/>
      <c r="R37" s="182"/>
      <c r="S37" s="182"/>
      <c r="T37" s="182"/>
      <c r="AC37" s="182"/>
      <c r="AD37" s="182"/>
      <c r="AE37" s="182"/>
      <c r="AF37" s="182"/>
    </row>
    <row r="38" spans="1:32" ht="20.100000000000001" customHeight="1">
      <c r="A38" s="182"/>
      <c r="B38" s="182"/>
      <c r="C38" s="182"/>
      <c r="D38" s="182"/>
      <c r="E38" s="182"/>
      <c r="F38" s="182"/>
      <c r="G38" s="182"/>
      <c r="H38" s="182"/>
      <c r="I38" s="182"/>
      <c r="J38" s="182"/>
      <c r="K38" s="182"/>
      <c r="L38" s="182"/>
      <c r="M38" s="182"/>
      <c r="N38" s="182"/>
      <c r="O38" s="182"/>
      <c r="P38" s="182"/>
      <c r="Q38" s="182"/>
      <c r="R38" s="182"/>
      <c r="S38" s="182"/>
      <c r="T38" s="182"/>
      <c r="AC38" s="182"/>
      <c r="AD38" s="182"/>
      <c r="AE38" s="182"/>
      <c r="AF38" s="182"/>
    </row>
    <row r="39" spans="1:32" ht="20.100000000000001" customHeight="1">
      <c r="A39" s="182"/>
      <c r="B39" s="182"/>
      <c r="C39" s="182"/>
      <c r="D39" s="182"/>
      <c r="E39" s="182"/>
      <c r="F39" s="182"/>
      <c r="G39" s="182"/>
      <c r="H39" s="182"/>
      <c r="I39" s="182"/>
      <c r="J39" s="182"/>
      <c r="K39" s="182"/>
      <c r="L39" s="182"/>
      <c r="M39" s="182"/>
      <c r="N39" s="182"/>
      <c r="O39" s="182"/>
      <c r="P39" s="182"/>
      <c r="Q39" s="182"/>
      <c r="R39" s="182"/>
      <c r="S39" s="182"/>
      <c r="T39" s="182"/>
      <c r="AC39" s="182"/>
      <c r="AD39" s="182"/>
      <c r="AE39" s="182"/>
      <c r="AF39" s="182"/>
    </row>
    <row r="40" spans="1:32" ht="20.100000000000001" customHeight="1">
      <c r="A40" s="182"/>
      <c r="B40" s="182"/>
      <c r="C40" s="182"/>
      <c r="D40" s="182"/>
      <c r="E40" s="182"/>
      <c r="F40" s="182"/>
      <c r="G40" s="182"/>
      <c r="H40" s="182"/>
      <c r="I40" s="182"/>
      <c r="J40" s="182"/>
      <c r="K40" s="182"/>
      <c r="L40" s="182"/>
      <c r="M40" s="182"/>
      <c r="N40" s="182"/>
      <c r="O40" s="182"/>
      <c r="P40" s="182"/>
      <c r="Q40" s="182"/>
      <c r="R40" s="182"/>
      <c r="S40" s="182"/>
      <c r="T40" s="182"/>
      <c r="AC40" s="182"/>
      <c r="AD40" s="182"/>
      <c r="AE40" s="182"/>
      <c r="AF40" s="182"/>
    </row>
    <row r="41" spans="1:32" ht="20.100000000000001" customHeight="1">
      <c r="A41" s="182"/>
      <c r="B41" s="182"/>
      <c r="C41" s="182"/>
      <c r="D41" s="182"/>
      <c r="E41" s="182"/>
      <c r="F41" s="182"/>
      <c r="G41" s="182"/>
      <c r="H41" s="182"/>
      <c r="I41" s="182"/>
      <c r="J41" s="182"/>
      <c r="K41" s="182"/>
      <c r="L41" s="182"/>
      <c r="M41" s="182"/>
      <c r="N41" s="182"/>
      <c r="O41" s="182"/>
      <c r="P41" s="182"/>
      <c r="Q41" s="182"/>
      <c r="R41" s="182"/>
      <c r="S41" s="182"/>
      <c r="T41" s="182"/>
      <c r="AC41" s="182"/>
      <c r="AD41" s="182"/>
      <c r="AE41" s="182"/>
      <c r="AF41" s="182"/>
    </row>
    <row r="42" spans="1:32" ht="20.100000000000001" customHeight="1">
      <c r="A42" s="182"/>
      <c r="B42" s="182"/>
      <c r="C42" s="182"/>
      <c r="D42" s="182"/>
      <c r="E42" s="182"/>
      <c r="F42" s="182"/>
      <c r="G42" s="182"/>
      <c r="H42" s="182"/>
      <c r="I42" s="182"/>
      <c r="J42" s="182"/>
      <c r="K42" s="182"/>
      <c r="L42" s="182"/>
      <c r="M42" s="182"/>
      <c r="N42" s="182"/>
      <c r="O42" s="182"/>
      <c r="P42" s="182"/>
      <c r="Q42" s="182"/>
      <c r="R42" s="182"/>
      <c r="S42" s="182"/>
      <c r="T42" s="182"/>
      <c r="AC42" s="182"/>
      <c r="AD42" s="182"/>
      <c r="AE42" s="182"/>
      <c r="AF42" s="182"/>
    </row>
    <row r="43" spans="1:32">
      <c r="A43" s="182"/>
      <c r="B43" s="182"/>
      <c r="C43" s="182"/>
      <c r="D43" s="182"/>
      <c r="E43" s="182"/>
      <c r="F43" s="182"/>
      <c r="G43" s="182"/>
      <c r="H43" s="182"/>
      <c r="I43" s="182"/>
      <c r="J43" s="182"/>
      <c r="K43" s="182"/>
      <c r="L43" s="182"/>
      <c r="M43" s="182"/>
      <c r="N43" s="182"/>
      <c r="O43" s="182"/>
      <c r="P43" s="182"/>
      <c r="Q43" s="182"/>
      <c r="R43" s="182"/>
      <c r="S43" s="182"/>
      <c r="T43" s="182"/>
      <c r="AC43" s="182"/>
      <c r="AD43" s="182"/>
      <c r="AE43" s="182"/>
      <c r="AF43" s="182"/>
    </row>
    <row r="44" spans="1:32">
      <c r="A44" s="182"/>
      <c r="B44" s="182"/>
      <c r="C44" s="182"/>
      <c r="D44" s="182"/>
      <c r="E44" s="182"/>
      <c r="F44" s="182"/>
      <c r="G44" s="182"/>
      <c r="H44" s="182"/>
      <c r="I44" s="182"/>
      <c r="J44" s="182"/>
      <c r="K44" s="182"/>
      <c r="L44" s="182"/>
      <c r="M44" s="182"/>
      <c r="N44" s="182"/>
      <c r="O44" s="182"/>
      <c r="P44" s="182"/>
      <c r="Q44" s="182"/>
      <c r="R44" s="182"/>
      <c r="S44" s="182"/>
      <c r="T44" s="182"/>
      <c r="AC44" s="182"/>
      <c r="AD44" s="182"/>
      <c r="AE44" s="182"/>
      <c r="AF44" s="182"/>
    </row>
    <row r="45" spans="1:32">
      <c r="A45" s="182"/>
      <c r="B45" s="182"/>
      <c r="C45" s="182"/>
      <c r="D45" s="182"/>
      <c r="E45" s="182"/>
      <c r="F45" s="182"/>
      <c r="G45" s="182"/>
      <c r="H45" s="182"/>
      <c r="I45" s="182"/>
      <c r="J45" s="182"/>
      <c r="K45" s="182"/>
      <c r="L45" s="182"/>
      <c r="M45" s="182"/>
      <c r="N45" s="182"/>
      <c r="O45" s="182"/>
      <c r="P45" s="182"/>
      <c r="Q45" s="182"/>
      <c r="R45" s="182"/>
      <c r="S45" s="182"/>
      <c r="T45" s="182"/>
      <c r="AC45" s="182"/>
      <c r="AD45" s="182"/>
      <c r="AE45" s="182"/>
      <c r="AF45" s="182"/>
    </row>
  </sheetData>
  <sheetProtection algorithmName="SHA-512" hashValue="6CO2CKrGIiYBt20+UuaUi0tSO50MDGYuxWSosDLiLneDfOdqOe7+XcnvZZ46Kpspp7wLkmtVDpjgWDHjSpZIPw==" saltValue="GI/NUxRsOhujUYlBounP7Q==" spinCount="100000" sheet="1" objects="1" scenarios="1"/>
  <mergeCells count="56">
    <mergeCell ref="P29:S29"/>
    <mergeCell ref="N31:O31"/>
    <mergeCell ref="A28:C28"/>
    <mergeCell ref="D28:G28"/>
    <mergeCell ref="H28:K28"/>
    <mergeCell ref="L28:O28"/>
    <mergeCell ref="P28:S28"/>
    <mergeCell ref="A29:C29"/>
    <mergeCell ref="D29:G29"/>
    <mergeCell ref="H29:K29"/>
    <mergeCell ref="L29:O29"/>
    <mergeCell ref="A20:B22"/>
    <mergeCell ref="C20:E20"/>
    <mergeCell ref="J20:S20"/>
    <mergeCell ref="A25:C25"/>
    <mergeCell ref="A26:C27"/>
    <mergeCell ref="D26:G27"/>
    <mergeCell ref="H26:K27"/>
    <mergeCell ref="L26:O27"/>
    <mergeCell ref="P26:S27"/>
    <mergeCell ref="C21:S22"/>
    <mergeCell ref="F19:S19"/>
    <mergeCell ref="C17:E17"/>
    <mergeCell ref="C18:E18"/>
    <mergeCell ref="C19:E19"/>
    <mergeCell ref="B11:G11"/>
    <mergeCell ref="H11:M11"/>
    <mergeCell ref="F17:S17"/>
    <mergeCell ref="A16:B19"/>
    <mergeCell ref="C16:E16"/>
    <mergeCell ref="J16:S16"/>
    <mergeCell ref="N11:S11"/>
    <mergeCell ref="A14:B15"/>
    <mergeCell ref="C14:E14"/>
    <mergeCell ref="J14:S14"/>
    <mergeCell ref="C15:S15"/>
    <mergeCell ref="F18:S18"/>
    <mergeCell ref="B9:G9"/>
    <mergeCell ref="H9:M9"/>
    <mergeCell ref="N9:S9"/>
    <mergeCell ref="B10:G10"/>
    <mergeCell ref="H10:M10"/>
    <mergeCell ref="N10:S10"/>
    <mergeCell ref="B7:G7"/>
    <mergeCell ref="H7:M7"/>
    <mergeCell ref="N7:S7"/>
    <mergeCell ref="B8:G8"/>
    <mergeCell ref="H8:M8"/>
    <mergeCell ref="N8:S8"/>
    <mergeCell ref="A4:O4"/>
    <mergeCell ref="B5:G5"/>
    <mergeCell ref="H5:M5"/>
    <mergeCell ref="N5:S5"/>
    <mergeCell ref="B6:G6"/>
    <mergeCell ref="H6:M6"/>
    <mergeCell ref="N6:S6"/>
  </mergeCells>
  <phoneticPr fontId="15"/>
  <conditionalFormatting sqref="D28 H28 L28 P28">
    <cfRule type="expression" dxfId="137" priority="6">
      <formula>$U$25=2</formula>
    </cfRule>
  </conditionalFormatting>
  <conditionalFormatting sqref="C15:S15">
    <cfRule type="expression" dxfId="136" priority="4">
      <formula>$U$14=2</formula>
    </cfRule>
  </conditionalFormatting>
  <conditionalFormatting sqref="C17:S19">
    <cfRule type="expression" dxfId="135" priority="3">
      <formula>$U$16=2</formula>
    </cfRule>
  </conditionalFormatting>
  <conditionalFormatting sqref="C21:S22">
    <cfRule type="expression" dxfId="134" priority="2">
      <formula>$U$20=2</formula>
    </cfRule>
  </conditionalFormatting>
  <dataValidations count="4">
    <dataValidation type="list" allowBlank="1" showInputMessage="1" sqref="C17:E19" xr:uid="{00000000-0002-0000-4400-000000000000}">
      <formula1>$X$16:$X$23</formula1>
    </dataValidation>
    <dataValidation type="list" allowBlank="1" showInputMessage="1" sqref="B6:G10" xr:uid="{00000000-0002-0000-4400-000001000000}">
      <formula1>$W$6:$W$9</formula1>
    </dataValidation>
    <dataValidation type="whole" operator="greaterThanOrEqual" allowBlank="1" showInputMessage="1" showErrorMessage="1" error="数値のみをご記入ください。" sqref="D28:O29" xr:uid="{00000000-0002-0000-4400-000002000000}">
      <formula1>0</formula1>
    </dataValidation>
    <dataValidation type="decimal" operator="greaterThanOrEqual" allowBlank="1" showInputMessage="1" showErrorMessage="1" error="t-CO2単位で数値のみをご記入ください。" sqref="H6:M10" xr:uid="{00000000-0002-0000-4400-000003000000}">
      <formula1>0</formula1>
    </dataValidation>
  </dataValidations>
  <printOptions horizontalCentered="1"/>
  <pageMargins left="0.59055118110236227" right="0.59055118110236227" top="0.39370078740157483" bottom="0.59055118110236227" header="0.31496062992125984" footer="0.23622047244094491"/>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9873" r:id="rId4" name="Option Button 1">
              <controlPr defaultSize="0" autoFill="0" autoLine="0" autoPict="0">
                <anchor moveWithCells="1">
                  <from>
                    <xdr:col>5</xdr:col>
                    <xdr:colOff>95250</xdr:colOff>
                    <xdr:row>12</xdr:row>
                    <xdr:rowOff>209550</xdr:rowOff>
                  </from>
                  <to>
                    <xdr:col>6</xdr:col>
                    <xdr:colOff>9525</xdr:colOff>
                    <xdr:row>14</xdr:row>
                    <xdr:rowOff>28575</xdr:rowOff>
                  </to>
                </anchor>
              </controlPr>
            </control>
          </mc:Choice>
        </mc:AlternateContent>
        <mc:AlternateContent xmlns:mc="http://schemas.openxmlformats.org/markup-compatibility/2006">
          <mc:Choice Requires="x14">
            <control shapeId="79874" r:id="rId5" name="Option Button 2">
              <controlPr defaultSize="0" autoFill="0" autoLine="0" autoPict="0">
                <anchor moveWithCells="1">
                  <from>
                    <xdr:col>7</xdr:col>
                    <xdr:colOff>85725</xdr:colOff>
                    <xdr:row>12</xdr:row>
                    <xdr:rowOff>209550</xdr:rowOff>
                  </from>
                  <to>
                    <xdr:col>8</xdr:col>
                    <xdr:colOff>38100</xdr:colOff>
                    <xdr:row>14</xdr:row>
                    <xdr:rowOff>28575</xdr:rowOff>
                  </to>
                </anchor>
              </controlPr>
            </control>
          </mc:Choice>
        </mc:AlternateContent>
        <mc:AlternateContent xmlns:mc="http://schemas.openxmlformats.org/markup-compatibility/2006">
          <mc:Choice Requires="x14">
            <control shapeId="79875" r:id="rId6" name="Group Box 3">
              <controlPr defaultSize="0" autoFill="0" autoPict="0">
                <anchor moveWithCells="1">
                  <from>
                    <xdr:col>4</xdr:col>
                    <xdr:colOff>228600</xdr:colOff>
                    <xdr:row>12</xdr:row>
                    <xdr:rowOff>133350</xdr:rowOff>
                  </from>
                  <to>
                    <xdr:col>9</xdr:col>
                    <xdr:colOff>180975</xdr:colOff>
                    <xdr:row>14</xdr:row>
                    <xdr:rowOff>114300</xdr:rowOff>
                  </to>
                </anchor>
              </controlPr>
            </control>
          </mc:Choice>
        </mc:AlternateContent>
        <mc:AlternateContent xmlns:mc="http://schemas.openxmlformats.org/markup-compatibility/2006">
          <mc:Choice Requires="x14">
            <control shapeId="79876" r:id="rId7" name="Option Button 4">
              <controlPr defaultSize="0" autoFill="0" autoLine="0" autoPict="0">
                <anchor moveWithCells="1">
                  <from>
                    <xdr:col>5</xdr:col>
                    <xdr:colOff>104775</xdr:colOff>
                    <xdr:row>15</xdr:row>
                    <xdr:rowOff>0</xdr:rowOff>
                  </from>
                  <to>
                    <xdr:col>6</xdr:col>
                    <xdr:colOff>19050</xdr:colOff>
                    <xdr:row>16</xdr:row>
                    <xdr:rowOff>38100</xdr:rowOff>
                  </to>
                </anchor>
              </controlPr>
            </control>
          </mc:Choice>
        </mc:AlternateContent>
        <mc:AlternateContent xmlns:mc="http://schemas.openxmlformats.org/markup-compatibility/2006">
          <mc:Choice Requires="x14">
            <control shapeId="79877" r:id="rId8" name="Option Button 5">
              <controlPr defaultSize="0" autoFill="0" autoLine="0" autoPict="0">
                <anchor moveWithCells="1">
                  <from>
                    <xdr:col>7</xdr:col>
                    <xdr:colOff>95250</xdr:colOff>
                    <xdr:row>15</xdr:row>
                    <xdr:rowOff>0</xdr:rowOff>
                  </from>
                  <to>
                    <xdr:col>8</xdr:col>
                    <xdr:colOff>47625</xdr:colOff>
                    <xdr:row>16</xdr:row>
                    <xdr:rowOff>38100</xdr:rowOff>
                  </to>
                </anchor>
              </controlPr>
            </control>
          </mc:Choice>
        </mc:AlternateContent>
        <mc:AlternateContent xmlns:mc="http://schemas.openxmlformats.org/markup-compatibility/2006">
          <mc:Choice Requires="x14">
            <control shapeId="79878" r:id="rId9" name="Option Button 6">
              <controlPr defaultSize="0" autoFill="0" autoLine="0" autoPict="0">
                <anchor moveWithCells="1">
                  <from>
                    <xdr:col>5</xdr:col>
                    <xdr:colOff>104775</xdr:colOff>
                    <xdr:row>19</xdr:row>
                    <xdr:rowOff>0</xdr:rowOff>
                  </from>
                  <to>
                    <xdr:col>6</xdr:col>
                    <xdr:colOff>19050</xdr:colOff>
                    <xdr:row>20</xdr:row>
                    <xdr:rowOff>28575</xdr:rowOff>
                  </to>
                </anchor>
              </controlPr>
            </control>
          </mc:Choice>
        </mc:AlternateContent>
        <mc:AlternateContent xmlns:mc="http://schemas.openxmlformats.org/markup-compatibility/2006">
          <mc:Choice Requires="x14">
            <control shapeId="79879" r:id="rId10" name="Option Button 7">
              <controlPr defaultSize="0" autoFill="0" autoLine="0" autoPict="0">
                <anchor moveWithCells="1">
                  <from>
                    <xdr:col>7</xdr:col>
                    <xdr:colOff>95250</xdr:colOff>
                    <xdr:row>19</xdr:row>
                    <xdr:rowOff>0</xdr:rowOff>
                  </from>
                  <to>
                    <xdr:col>8</xdr:col>
                    <xdr:colOff>47625</xdr:colOff>
                    <xdr:row>20</xdr:row>
                    <xdr:rowOff>28575</xdr:rowOff>
                  </to>
                </anchor>
              </controlPr>
            </control>
          </mc:Choice>
        </mc:AlternateContent>
        <mc:AlternateContent xmlns:mc="http://schemas.openxmlformats.org/markup-compatibility/2006">
          <mc:Choice Requires="x14">
            <control shapeId="79880" r:id="rId11" name="Group Box 8">
              <controlPr defaultSize="0" autoFill="0" autoPict="0">
                <anchor moveWithCells="1">
                  <from>
                    <xdr:col>4</xdr:col>
                    <xdr:colOff>114300</xdr:colOff>
                    <xdr:row>15</xdr:row>
                    <xdr:rowOff>0</xdr:rowOff>
                  </from>
                  <to>
                    <xdr:col>9</xdr:col>
                    <xdr:colOff>95250</xdr:colOff>
                    <xdr:row>16</xdr:row>
                    <xdr:rowOff>152400</xdr:rowOff>
                  </to>
                </anchor>
              </controlPr>
            </control>
          </mc:Choice>
        </mc:AlternateContent>
        <mc:AlternateContent xmlns:mc="http://schemas.openxmlformats.org/markup-compatibility/2006">
          <mc:Choice Requires="x14">
            <control shapeId="79881" r:id="rId12" name="Group Box 9">
              <controlPr defaultSize="0" autoFill="0" autoPict="0">
                <anchor moveWithCells="1">
                  <from>
                    <xdr:col>4</xdr:col>
                    <xdr:colOff>142875</xdr:colOff>
                    <xdr:row>19</xdr:row>
                    <xdr:rowOff>0</xdr:rowOff>
                  </from>
                  <to>
                    <xdr:col>9</xdr:col>
                    <xdr:colOff>171450</xdr:colOff>
                    <xdr:row>20</xdr:row>
                    <xdr:rowOff>219075</xdr:rowOff>
                  </to>
                </anchor>
              </controlPr>
            </control>
          </mc:Choice>
        </mc:AlternateContent>
        <mc:AlternateContent xmlns:mc="http://schemas.openxmlformats.org/markup-compatibility/2006">
          <mc:Choice Requires="x14">
            <control shapeId="79882" r:id="rId13" name="Option Button 10">
              <controlPr defaultSize="0" autoFill="0" autoLine="0" autoPict="0">
                <anchor moveWithCells="1">
                  <from>
                    <xdr:col>3</xdr:col>
                    <xdr:colOff>123825</xdr:colOff>
                    <xdr:row>24</xdr:row>
                    <xdr:rowOff>57150</xdr:rowOff>
                  </from>
                  <to>
                    <xdr:col>4</xdr:col>
                    <xdr:colOff>28575</xdr:colOff>
                    <xdr:row>24</xdr:row>
                    <xdr:rowOff>333375</xdr:rowOff>
                  </to>
                </anchor>
              </controlPr>
            </control>
          </mc:Choice>
        </mc:AlternateContent>
        <mc:AlternateContent xmlns:mc="http://schemas.openxmlformats.org/markup-compatibility/2006">
          <mc:Choice Requires="x14">
            <control shapeId="79883" r:id="rId14" name="Option Button 11">
              <controlPr defaultSize="0" autoFill="0" autoLine="0" autoPict="0">
                <anchor moveWithCells="1">
                  <from>
                    <xdr:col>5</xdr:col>
                    <xdr:colOff>133350</xdr:colOff>
                    <xdr:row>24</xdr:row>
                    <xdr:rowOff>57150</xdr:rowOff>
                  </from>
                  <to>
                    <xdr:col>6</xdr:col>
                    <xdr:colOff>85725</xdr:colOff>
                    <xdr:row>24</xdr:row>
                    <xdr:rowOff>333375</xdr:rowOff>
                  </to>
                </anchor>
              </controlPr>
            </control>
          </mc:Choice>
        </mc:AlternateContent>
        <mc:AlternateContent xmlns:mc="http://schemas.openxmlformats.org/markup-compatibility/2006">
          <mc:Choice Requires="x14">
            <control shapeId="79884" r:id="rId15" name="Group Box 12">
              <controlPr defaultSize="0" autoFill="0" autoPict="0">
                <anchor moveWithCells="1">
                  <from>
                    <xdr:col>2</xdr:col>
                    <xdr:colOff>581025</xdr:colOff>
                    <xdr:row>23</xdr:row>
                    <xdr:rowOff>171450</xdr:rowOff>
                  </from>
                  <to>
                    <xdr:col>8</xdr:col>
                    <xdr:colOff>219075</xdr:colOff>
                    <xdr:row>25</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 id="{09F129B3-88C2-4FA0-BD54-882BBE7A1C60}">
            <xm:f>はじめに!$B$36&lt;&gt;"計画書"</xm:f>
            <x14:dxf>
              <font>
                <color theme="0" tint="-0.14996795556505021"/>
              </font>
              <fill>
                <patternFill>
                  <bgColor theme="0" tint="-0.14996795556505021"/>
                </patternFill>
              </fill>
            </x14:dxf>
          </x14:cfRule>
          <xm:sqref>F14 H14 C15:S15 F16 H16 C17:S19 F20 H20 C21:S22 D25 F25 D28:O29 B6:S10</xm:sqref>
        </x14:conditionalFormatting>
        <x14:conditionalFormatting xmlns:xm="http://schemas.microsoft.com/office/excel/2006/main">
          <x14:cfRule type="expression" priority="1" id="{781D1CA6-39AC-4468-83CB-B2D4C1D431DC}">
            <xm:f>はじめに!$B$36&lt;&gt;"計画書"</xm:f>
            <x14:dxf>
              <fill>
                <patternFill>
                  <bgColor theme="0" tint="-0.14996795556505021"/>
                </patternFill>
              </fill>
            </x14:dxf>
          </x14:cfRule>
          <xm:sqref>G14 I14 G16 I16 G20 I20 E25 G25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T351"/>
  <sheetViews>
    <sheetView showGridLines="0" tabSelected="1" zoomScaleNormal="100" workbookViewId="0">
      <selection activeCell="B6" sqref="B6"/>
    </sheetView>
  </sheetViews>
  <sheetFormatPr defaultRowHeight="13.5"/>
  <cols>
    <col min="1" max="1" width="18.625" customWidth="1"/>
    <col min="2" max="2" width="12.25" bestFit="1" customWidth="1"/>
    <col min="10" max="10" width="6.625" customWidth="1"/>
    <col min="11" max="11" width="4" customWidth="1"/>
    <col min="12" max="12" width="4" style="1773" hidden="1" customWidth="1"/>
    <col min="13" max="13" width="6.625" customWidth="1"/>
    <col min="14" max="14" width="11.125" customWidth="1"/>
    <col min="15" max="15" width="43" customWidth="1"/>
    <col min="16" max="16" width="12.625" customWidth="1"/>
    <col min="18" max="18" width="0" hidden="1" customWidth="1"/>
    <col min="19" max="19" width="7.5" hidden="1" customWidth="1"/>
    <col min="20" max="20" width="5" hidden="1" customWidth="1"/>
  </cols>
  <sheetData>
    <row r="1" spans="1:20" ht="24">
      <c r="A1" s="1616" t="s">
        <v>4706</v>
      </c>
      <c r="P1" s="1173" t="str">
        <f>A2&amp;"年度提出用（"&amp;A2-1&amp;"年度実績値）"</f>
        <v>2024年度提出用（2023年度実績値）</v>
      </c>
      <c r="S1" s="1372" t="s">
        <v>4418</v>
      </c>
      <c r="T1" s="1395">
        <v>7</v>
      </c>
    </row>
    <row r="2" spans="1:20" ht="17.25">
      <c r="A2" s="496">
        <v>2024</v>
      </c>
      <c r="B2" s="496" t="str">
        <f>"年度報告用("&amp;(A2-1)&amp;"年4月～"&amp;A2&amp;"年3月の実績)"</f>
        <v>年度報告用(2023年4月～2024年3月の実績)</v>
      </c>
      <c r="D2" s="496"/>
    </row>
    <row r="4" spans="1:20" ht="39.950000000000003" customHeight="1">
      <c r="A4" s="1352" t="s">
        <v>2670</v>
      </c>
      <c r="D4" s="1351"/>
    </row>
    <row r="5" spans="1:20" ht="30" customHeight="1" thickBot="1">
      <c r="A5" s="1870" t="s">
        <v>5947</v>
      </c>
      <c r="B5" s="1871"/>
      <c r="C5" s="1871"/>
      <c r="D5" s="1871"/>
      <c r="E5" s="1871"/>
      <c r="F5" s="1871"/>
      <c r="G5" s="1871"/>
      <c r="H5" s="1871"/>
      <c r="I5" s="1871"/>
    </row>
    <row r="6" spans="1:20" ht="22.9" customHeight="1" thickTop="1" thickBot="1">
      <c r="A6" s="55" t="s">
        <v>4282</v>
      </c>
      <c r="B6" s="1403"/>
      <c r="D6" s="1874"/>
      <c r="E6" s="1874"/>
      <c r="F6" s="1874"/>
      <c r="G6" s="1874"/>
    </row>
    <row r="7" spans="1:20" ht="15" thickTop="1" thickBot="1">
      <c r="B7" s="415"/>
    </row>
    <row r="8" spans="1:20" ht="30.6" customHeight="1" thickBot="1">
      <c r="A8" s="55" t="s">
        <v>593</v>
      </c>
      <c r="B8" s="1876" t="str">
        <f>参照元!C14</f>
        <v>新規</v>
      </c>
      <c r="C8" s="1877"/>
      <c r="D8" s="1877"/>
      <c r="E8" s="1877"/>
      <c r="F8" s="1878"/>
      <c r="G8" s="1882" t="s">
        <v>5944</v>
      </c>
      <c r="H8" s="1871"/>
      <c r="I8" s="1871"/>
    </row>
    <row r="9" spans="1:20" ht="14.25" thickBot="1">
      <c r="R9">
        <v>1</v>
      </c>
    </row>
    <row r="10" spans="1:20" ht="19.899999999999999" customHeight="1" thickBot="1">
      <c r="A10" s="55" t="s">
        <v>5945</v>
      </c>
      <c r="B10" s="1879" t="s">
        <v>5866</v>
      </c>
      <c r="C10" s="1880"/>
      <c r="D10" s="1881"/>
      <c r="F10" s="1883" t="s">
        <v>5946</v>
      </c>
      <c r="G10" s="1884"/>
      <c r="H10" s="1884"/>
      <c r="I10" s="1884"/>
    </row>
    <row r="11" spans="1:20" s="1773" customFormat="1" ht="19.899999999999999" customHeight="1" thickBot="1">
      <c r="A11" s="1775"/>
      <c r="F11" s="1884"/>
      <c r="G11" s="1884"/>
      <c r="H11" s="1884"/>
      <c r="I11" s="1884"/>
    </row>
    <row r="12" spans="1:20" s="1773" customFormat="1" ht="19.899999999999999" customHeight="1" thickBot="1">
      <c r="A12" s="1775" t="s">
        <v>5980</v>
      </c>
      <c r="B12" s="1879" t="s">
        <v>5981</v>
      </c>
      <c r="C12" s="1880"/>
      <c r="D12" s="1881"/>
      <c r="F12" s="1883" t="s">
        <v>5984</v>
      </c>
      <c r="G12" s="1884"/>
      <c r="H12" s="1884"/>
      <c r="I12" s="1884"/>
      <c r="L12" s="1773" t="s">
        <v>5981</v>
      </c>
    </row>
    <row r="13" spans="1:20" s="1773" customFormat="1" ht="19.899999999999999" customHeight="1">
      <c r="A13" s="1775"/>
      <c r="F13" s="1774"/>
      <c r="G13" s="1618"/>
      <c r="H13" s="1618"/>
      <c r="I13" s="1618"/>
      <c r="L13" s="1773" t="s">
        <v>6062</v>
      </c>
    </row>
    <row r="14" spans="1:20" s="1773" customFormat="1" ht="19.899999999999999" customHeight="1">
      <c r="A14" s="1886" t="str">
        <f>IF($B$12=$L$13,"緑色のセルで変更があった項目を修正して下さい","")</f>
        <v/>
      </c>
      <c r="B14" s="1773" t="str">
        <f>IF($B$12=$L$13,"新事業者名称","")</f>
        <v/>
      </c>
      <c r="C14" s="1869" t="str">
        <f>IF($B$12=$L$13,参照元!L14,"")</f>
        <v/>
      </c>
      <c r="D14" s="1869"/>
      <c r="E14" s="1869"/>
      <c r="F14" s="1869"/>
      <c r="G14" s="1869"/>
      <c r="H14" s="1869"/>
      <c r="I14" s="1618"/>
      <c r="L14" s="1773" t="s">
        <v>5983</v>
      </c>
    </row>
    <row r="15" spans="1:20" s="1773" customFormat="1" ht="19.899999999999999" customHeight="1">
      <c r="A15" s="1886"/>
      <c r="B15" s="1773" t="str">
        <f>IF($B$12=$L$13,"新代表者氏名","")</f>
        <v/>
      </c>
      <c r="C15" s="1869" t="str">
        <f>IF($B$12=$L$13,参照元!M14,"")</f>
        <v/>
      </c>
      <c r="D15" s="1869"/>
      <c r="E15" s="1869"/>
      <c r="F15" s="1869"/>
      <c r="G15" s="1869"/>
      <c r="H15" s="1869"/>
      <c r="I15" s="1618"/>
      <c r="L15" s="1773" t="s">
        <v>5982</v>
      </c>
    </row>
    <row r="16" spans="1:20" s="1773" customFormat="1" ht="19.899999999999999" customHeight="1">
      <c r="A16" s="1886"/>
      <c r="B16" s="1773" t="str">
        <f>IF($B$12=$L$13,"新所在地","")</f>
        <v/>
      </c>
      <c r="C16" s="1869" t="str">
        <f>IF($B$12=$L$13,参照元!N14,"")</f>
        <v/>
      </c>
      <c r="D16" s="1869"/>
      <c r="E16" s="1869"/>
      <c r="F16" s="1869"/>
      <c r="G16" s="1869"/>
      <c r="H16" s="1869"/>
      <c r="I16" s="1618"/>
    </row>
    <row r="17" spans="1:20" s="1773" customFormat="1" ht="19.899999999999999" customHeight="1">
      <c r="A17" s="1775"/>
      <c r="C17" s="1885" t="str">
        <f>IF($B$12=$L$13,"（新しい事業者名称等を上書き修正し、報告書作成を進めて下さい）","")</f>
        <v/>
      </c>
      <c r="D17" s="1885"/>
      <c r="E17" s="1885"/>
      <c r="F17" s="1885"/>
      <c r="G17" s="1885"/>
      <c r="H17" s="1885"/>
      <c r="I17" s="1618"/>
    </row>
    <row r="18" spans="1:20" s="1773" customFormat="1" ht="19.899999999999999" hidden="1" customHeight="1">
      <c r="A18" s="1775"/>
      <c r="F18" s="1774"/>
      <c r="G18" s="1618"/>
      <c r="H18" s="1618"/>
      <c r="I18" s="1618"/>
    </row>
    <row r="19" spans="1:20" hidden="1">
      <c r="F19" s="1618"/>
      <c r="G19" s="1618"/>
      <c r="H19" s="1618"/>
      <c r="I19" s="1618"/>
    </row>
    <row r="20" spans="1:20" ht="17.25">
      <c r="A20" s="496" t="s">
        <v>2672</v>
      </c>
      <c r="N20" s="1872" t="s">
        <v>5948</v>
      </c>
      <c r="O20" s="1872"/>
    </row>
    <row r="21" spans="1:20" ht="3.95" customHeight="1"/>
    <row r="22" spans="1:20">
      <c r="A22" t="s">
        <v>4702</v>
      </c>
      <c r="N22" s="1770" t="s">
        <v>5949</v>
      </c>
      <c r="O22" s="1770" t="s">
        <v>5950</v>
      </c>
    </row>
    <row r="23" spans="1:20" ht="13.5" customHeight="1">
      <c r="B23" s="414" t="s">
        <v>2673</v>
      </c>
      <c r="C23" s="414" t="s">
        <v>2674</v>
      </c>
      <c r="D23" s="413"/>
      <c r="E23" s="413"/>
      <c r="F23" s="413"/>
      <c r="G23" s="413"/>
      <c r="H23" s="413"/>
      <c r="I23" s="413"/>
      <c r="J23" s="54"/>
      <c r="N23" s="1776" t="s">
        <v>666</v>
      </c>
      <c r="O23" s="1777" t="s">
        <v>667</v>
      </c>
    </row>
    <row r="24" spans="1:20" ht="13.5" customHeight="1">
      <c r="B24" s="414" t="s">
        <v>2675</v>
      </c>
      <c r="C24" s="414" t="s">
        <v>4401</v>
      </c>
      <c r="D24" s="413"/>
      <c r="E24" s="413"/>
      <c r="F24" s="413"/>
      <c r="G24" s="413"/>
      <c r="H24" s="413"/>
      <c r="I24" s="413"/>
      <c r="J24" s="54"/>
      <c r="N24" s="1776" t="s">
        <v>679</v>
      </c>
      <c r="O24" s="1777" t="s">
        <v>680</v>
      </c>
    </row>
    <row r="25" spans="1:20" ht="13.5" customHeight="1">
      <c r="B25" s="414" t="s">
        <v>4348</v>
      </c>
      <c r="C25" s="414" t="s">
        <v>4402</v>
      </c>
      <c r="D25" s="413"/>
      <c r="E25" s="413"/>
      <c r="F25" s="413"/>
      <c r="G25" s="413"/>
      <c r="H25" s="413"/>
      <c r="I25" s="413"/>
      <c r="J25" s="54"/>
      <c r="N25" s="1776" t="s">
        <v>689</v>
      </c>
      <c r="O25" s="1777" t="s">
        <v>690</v>
      </c>
    </row>
    <row r="26" spans="1:20" ht="13.5" customHeight="1">
      <c r="B26" s="414" t="s">
        <v>4416</v>
      </c>
      <c r="C26" s="414" t="s">
        <v>4403</v>
      </c>
      <c r="D26" s="413"/>
      <c r="E26" s="413"/>
      <c r="F26" s="413"/>
      <c r="G26" s="413"/>
      <c r="H26" s="413"/>
      <c r="I26" s="413"/>
      <c r="J26" s="54"/>
      <c r="N26" s="1776" t="s">
        <v>698</v>
      </c>
      <c r="O26" s="1777" t="s">
        <v>699</v>
      </c>
    </row>
    <row r="27" spans="1:20" ht="13.5" customHeight="1">
      <c r="B27" s="414" t="s">
        <v>4262</v>
      </c>
      <c r="C27" s="414" t="s">
        <v>4263</v>
      </c>
      <c r="D27" s="413"/>
      <c r="E27" s="413"/>
      <c r="F27" s="413"/>
      <c r="G27" s="413"/>
      <c r="H27" s="413"/>
      <c r="I27" s="413"/>
      <c r="J27" s="54"/>
      <c r="N27" s="1776" t="s">
        <v>704</v>
      </c>
      <c r="O27" s="1777" t="s">
        <v>705</v>
      </c>
    </row>
    <row r="28" spans="1:20" ht="13.15" customHeight="1">
      <c r="B28" s="414" t="s">
        <v>4470</v>
      </c>
      <c r="C28" s="414" t="s">
        <v>4404</v>
      </c>
      <c r="D28" s="413"/>
      <c r="E28" s="413"/>
      <c r="F28" s="413"/>
      <c r="G28" s="413"/>
      <c r="H28" s="413"/>
      <c r="I28" s="413"/>
      <c r="J28" s="54"/>
      <c r="N28" s="1776" t="s">
        <v>712</v>
      </c>
      <c r="O28" s="1777" t="s">
        <v>713</v>
      </c>
      <c r="Q28" s="1345"/>
      <c r="R28" s="1351"/>
      <c r="S28" s="1319"/>
      <c r="T28" s="1319"/>
    </row>
    <row r="29" spans="1:20">
      <c r="B29" s="414" t="s">
        <v>4283</v>
      </c>
      <c r="C29" s="414" t="s">
        <v>4405</v>
      </c>
      <c r="D29" s="413"/>
      <c r="E29" s="413"/>
      <c r="F29" s="413"/>
      <c r="G29" s="413"/>
      <c r="H29" s="413"/>
      <c r="I29" s="413"/>
      <c r="J29" s="54"/>
      <c r="N29" s="1776" t="s">
        <v>720</v>
      </c>
      <c r="O29" s="1777" t="s">
        <v>721</v>
      </c>
      <c r="Q29" s="1345"/>
      <c r="R29" s="1319"/>
      <c r="S29" s="1319"/>
      <c r="T29" s="1319"/>
    </row>
    <row r="30" spans="1:20">
      <c r="B30" s="414" t="s">
        <v>4284</v>
      </c>
      <c r="C30" s="414" t="s">
        <v>4264</v>
      </c>
      <c r="D30" s="413"/>
      <c r="E30" s="413"/>
      <c r="F30" s="413"/>
      <c r="G30" s="413"/>
      <c r="H30" s="413"/>
      <c r="I30" s="413"/>
      <c r="J30" s="54"/>
      <c r="N30" s="1776" t="s">
        <v>729</v>
      </c>
      <c r="O30" s="1777" t="s">
        <v>730</v>
      </c>
      <c r="Q30" s="978"/>
      <c r="R30" s="1319"/>
      <c r="S30" s="1319"/>
      <c r="T30" s="1319"/>
    </row>
    <row r="31" spans="1:20">
      <c r="B31" s="414" t="s">
        <v>4406</v>
      </c>
      <c r="C31" s="414" t="s">
        <v>4407</v>
      </c>
      <c r="D31" s="413"/>
      <c r="E31" s="413"/>
      <c r="F31" s="413"/>
      <c r="G31" s="413"/>
      <c r="H31" s="413"/>
      <c r="I31" s="413"/>
      <c r="J31" s="54"/>
      <c r="N31" s="1776" t="s">
        <v>737</v>
      </c>
      <c r="O31" s="1777" t="s">
        <v>738</v>
      </c>
      <c r="Q31" s="978"/>
      <c r="R31" s="1319"/>
      <c r="S31" s="1319"/>
      <c r="T31" s="1319"/>
    </row>
    <row r="32" spans="1:20">
      <c r="B32" s="414" t="s">
        <v>4265</v>
      </c>
      <c r="C32" s="414" t="s">
        <v>4269</v>
      </c>
      <c r="D32" s="413"/>
      <c r="E32" s="413"/>
      <c r="F32" s="413"/>
      <c r="G32" s="413"/>
      <c r="H32" s="413"/>
      <c r="I32" s="413"/>
      <c r="J32" s="54"/>
      <c r="N32" s="1776" t="s">
        <v>744</v>
      </c>
      <c r="O32" s="1777" t="s">
        <v>745</v>
      </c>
    </row>
    <row r="33" spans="1:15" hidden="1">
      <c r="A33" s="163" t="s">
        <v>4391</v>
      </c>
    </row>
    <row r="34" spans="1:15" hidden="1">
      <c r="A34" s="163"/>
    </row>
    <row r="35" spans="1:15" hidden="1">
      <c r="A35" s="1314"/>
      <c r="B35" t="str">
        <f>IF(参照元!D14=参照元!A1-1,"報告書",IF(参照元!D14=参照元!A1-2,"報告書",IF(参照元!D14=参照元!A1-3,"報告書","")))</f>
        <v/>
      </c>
      <c r="C35" s="974">
        <f>IFERROR($A$2-参照元!$D$14,"")</f>
        <v>0</v>
      </c>
    </row>
    <row r="36" spans="1:15" hidden="1">
      <c r="A36" s="163"/>
      <c r="B36" t="str">
        <f>IF(OR(参照元!D14=参照元!A1-3,参照元!D14=参照元!A1),"計画書","")</f>
        <v>計画書</v>
      </c>
      <c r="C36" t="s">
        <v>4836</v>
      </c>
    </row>
    <row r="37" spans="1:15" s="1773" customFormat="1" hidden="1">
      <c r="A37" s="163"/>
    </row>
    <row r="38" spans="1:15" s="1773" customFormat="1" hidden="1">
      <c r="A38" s="163"/>
      <c r="B38" t="s">
        <v>4280</v>
      </c>
    </row>
    <row r="39" spans="1:15" s="1773" customFormat="1" hidden="1">
      <c r="A39" s="163"/>
      <c r="B39" t="s">
        <v>4266</v>
      </c>
      <c r="C39" t="s">
        <v>2664</v>
      </c>
      <c r="D39" s="1773" t="s">
        <v>4274</v>
      </c>
    </row>
    <row r="40" spans="1:15" s="1773" customFormat="1" hidden="1">
      <c r="A40" s="163"/>
      <c r="B40" t="s">
        <v>4266</v>
      </c>
      <c r="C40" t="s">
        <v>4267</v>
      </c>
      <c r="D40" s="1773" t="s">
        <v>4273</v>
      </c>
    </row>
    <row r="41" spans="1:15" s="1773" customFormat="1" hidden="1">
      <c r="A41" s="163"/>
      <c r="B41" t="s">
        <v>4266</v>
      </c>
      <c r="C41" t="s">
        <v>4268</v>
      </c>
      <c r="D41" s="1773" t="s">
        <v>4270</v>
      </c>
    </row>
    <row r="42" spans="1:15" s="1773" customFormat="1" hidden="1">
      <c r="A42" s="163"/>
      <c r="B42" t="s">
        <v>4272</v>
      </c>
      <c r="C42" t="s">
        <v>4271</v>
      </c>
      <c r="D42" s="1773" t="s">
        <v>4275</v>
      </c>
    </row>
    <row r="43" spans="1:15" s="1773" customFormat="1" hidden="1">
      <c r="A43" s="163"/>
      <c r="B43" t="s">
        <v>4272</v>
      </c>
      <c r="C43" t="s">
        <v>4276</v>
      </c>
      <c r="D43" s="1773" t="s">
        <v>4277</v>
      </c>
    </row>
    <row r="44" spans="1:15" s="1773" customFormat="1" hidden="1">
      <c r="A44" s="163"/>
      <c r="B44" t="s">
        <v>4272</v>
      </c>
      <c r="C44" t="s">
        <v>4278</v>
      </c>
      <c r="D44" s="1773" t="s">
        <v>4347</v>
      </c>
    </row>
    <row r="45" spans="1:15" s="1773" customFormat="1" hidden="1">
      <c r="A45" s="163"/>
      <c r="B45" t="s">
        <v>4266</v>
      </c>
      <c r="C45" t="s">
        <v>4279</v>
      </c>
      <c r="D45" s="1773" t="s">
        <v>4346</v>
      </c>
    </row>
    <row r="46" spans="1:15" s="1773" customFormat="1" hidden="1">
      <c r="A46" s="163"/>
      <c r="B46" t="s">
        <v>4266</v>
      </c>
      <c r="C46" t="s">
        <v>4837</v>
      </c>
      <c r="D46" s="1773" t="s">
        <v>4417</v>
      </c>
    </row>
    <row r="47" spans="1:15">
      <c r="A47" s="416"/>
      <c r="N47" s="1776" t="s">
        <v>752</v>
      </c>
      <c r="O47" s="1777" t="s">
        <v>753</v>
      </c>
    </row>
    <row r="48" spans="1:15">
      <c r="N48" s="1776" t="s">
        <v>759</v>
      </c>
      <c r="O48" s="1777" t="s">
        <v>760</v>
      </c>
    </row>
    <row r="49" spans="1:15" ht="17.25">
      <c r="A49" s="1402" t="s">
        <v>2671</v>
      </c>
      <c r="N49" s="1776" t="s">
        <v>766</v>
      </c>
      <c r="O49" s="1777" t="s">
        <v>767</v>
      </c>
    </row>
    <row r="50" spans="1:15">
      <c r="B50" s="549"/>
      <c r="C50" t="s">
        <v>4703</v>
      </c>
      <c r="D50" s="1875" t="s">
        <v>4281</v>
      </c>
      <c r="E50" s="1875"/>
      <c r="N50" s="1776" t="s">
        <v>773</v>
      </c>
      <c r="O50" s="1777" t="s">
        <v>774</v>
      </c>
    </row>
    <row r="51" spans="1:15">
      <c r="N51" s="1776" t="s">
        <v>779</v>
      </c>
      <c r="O51" s="1777" t="s">
        <v>780</v>
      </c>
    </row>
    <row r="52" spans="1:15">
      <c r="B52" s="1617"/>
      <c r="C52" s="1618" t="s">
        <v>4704</v>
      </c>
      <c r="D52" s="1618" t="s">
        <v>2669</v>
      </c>
      <c r="E52" s="1618"/>
      <c r="N52" s="1776" t="s">
        <v>786</v>
      </c>
      <c r="O52" s="1777" t="s">
        <v>787</v>
      </c>
    </row>
    <row r="53" spans="1:15">
      <c r="N53" s="1776" t="s">
        <v>793</v>
      </c>
      <c r="O53" s="1777" t="s">
        <v>794</v>
      </c>
    </row>
    <row r="54" spans="1:15">
      <c r="B54" s="550"/>
      <c r="C54" s="1618" t="s">
        <v>4705</v>
      </c>
      <c r="D54" s="1351" t="s">
        <v>4486</v>
      </c>
      <c r="E54" s="1618"/>
      <c r="N54" s="1776" t="s">
        <v>801</v>
      </c>
      <c r="O54" s="1777" t="s">
        <v>802</v>
      </c>
    </row>
    <row r="55" spans="1:15">
      <c r="B55" s="1618"/>
      <c r="C55" s="1618"/>
      <c r="D55" s="1618"/>
      <c r="E55" s="1618"/>
      <c r="N55" s="1776" t="s">
        <v>808</v>
      </c>
      <c r="O55" s="1777" t="s">
        <v>4858</v>
      </c>
    </row>
    <row r="56" spans="1:15" ht="13.5" customHeight="1">
      <c r="B56" s="1619"/>
      <c r="C56" s="1618" t="s">
        <v>4393</v>
      </c>
      <c r="D56" s="1873" t="s">
        <v>4394</v>
      </c>
      <c r="E56" s="1873"/>
      <c r="N56" s="1776" t="s">
        <v>812</v>
      </c>
      <c r="O56" s="1777" t="s">
        <v>813</v>
      </c>
    </row>
    <row r="57" spans="1:15">
      <c r="B57" s="1618"/>
      <c r="C57" s="1618"/>
      <c r="D57" s="1319"/>
      <c r="E57" s="1319"/>
      <c r="N57" s="1776" t="s">
        <v>816</v>
      </c>
      <c r="O57" s="1777" t="s">
        <v>817</v>
      </c>
    </row>
    <row r="58" spans="1:15">
      <c r="B58" s="1618"/>
      <c r="C58" s="1618"/>
      <c r="D58" s="1319"/>
      <c r="E58" s="1319"/>
      <c r="N58" s="1776" t="s">
        <v>825</v>
      </c>
      <c r="O58" s="1777" t="s">
        <v>826</v>
      </c>
    </row>
    <row r="59" spans="1:15">
      <c r="B59" s="1618"/>
      <c r="C59" s="1618"/>
      <c r="D59" s="1618"/>
      <c r="E59" s="1618"/>
      <c r="N59" s="1776" t="s">
        <v>831</v>
      </c>
      <c r="O59" s="1777" t="s">
        <v>832</v>
      </c>
    </row>
    <row r="60" spans="1:15">
      <c r="N60" s="1776" t="s">
        <v>5951</v>
      </c>
      <c r="O60" s="1777" t="s">
        <v>5952</v>
      </c>
    </row>
    <row r="61" spans="1:15">
      <c r="N61" s="1776" t="s">
        <v>838</v>
      </c>
      <c r="O61" s="1777" t="s">
        <v>839</v>
      </c>
    </row>
    <row r="62" spans="1:15">
      <c r="N62" s="1776" t="s">
        <v>849</v>
      </c>
      <c r="O62" s="1777" t="s">
        <v>850</v>
      </c>
    </row>
    <row r="63" spans="1:15">
      <c r="N63" s="1776" t="s">
        <v>858</v>
      </c>
      <c r="O63" s="1777" t="s">
        <v>859</v>
      </c>
    </row>
    <row r="64" spans="1:15">
      <c r="N64" s="1776" t="s">
        <v>865</v>
      </c>
      <c r="O64" s="1777" t="s">
        <v>866</v>
      </c>
    </row>
    <row r="65" spans="14:15">
      <c r="N65" s="1776" t="s">
        <v>871</v>
      </c>
      <c r="O65" s="1777" t="s">
        <v>5953</v>
      </c>
    </row>
    <row r="66" spans="14:15">
      <c r="N66" s="1776" t="s">
        <v>875</v>
      </c>
      <c r="O66" s="1777" t="s">
        <v>876</v>
      </c>
    </row>
    <row r="67" spans="14:15">
      <c r="N67" s="1776" t="s">
        <v>881</v>
      </c>
      <c r="O67" s="1777" t="s">
        <v>882</v>
      </c>
    </row>
    <row r="68" spans="14:15">
      <c r="N68" s="1776" t="s">
        <v>889</v>
      </c>
      <c r="O68" s="1777" t="s">
        <v>890</v>
      </c>
    </row>
    <row r="69" spans="14:15">
      <c r="N69" s="1776" t="s">
        <v>898</v>
      </c>
      <c r="O69" s="1777" t="s">
        <v>899</v>
      </c>
    </row>
    <row r="70" spans="14:15">
      <c r="N70" s="1776" t="s">
        <v>906</v>
      </c>
      <c r="O70" s="1777" t="s">
        <v>907</v>
      </c>
    </row>
    <row r="71" spans="14:15">
      <c r="N71" s="1776" t="s">
        <v>913</v>
      </c>
      <c r="O71" s="1777" t="s">
        <v>914</v>
      </c>
    </row>
    <row r="72" spans="14:15">
      <c r="N72" s="1776" t="s">
        <v>921</v>
      </c>
      <c r="O72" s="1777" t="s">
        <v>922</v>
      </c>
    </row>
    <row r="73" spans="14:15">
      <c r="N73" s="1776" t="s">
        <v>929</v>
      </c>
      <c r="O73" s="1777" t="s">
        <v>930</v>
      </c>
    </row>
    <row r="74" spans="14:15">
      <c r="N74" s="1776" t="s">
        <v>936</v>
      </c>
      <c r="O74" s="1777" t="s">
        <v>937</v>
      </c>
    </row>
    <row r="75" spans="14:15">
      <c r="N75" s="1776" t="s">
        <v>942</v>
      </c>
      <c r="O75" s="1777" t="s">
        <v>943</v>
      </c>
    </row>
    <row r="76" spans="14:15">
      <c r="N76" s="1776" t="s">
        <v>949</v>
      </c>
      <c r="O76" s="1777" t="s">
        <v>950</v>
      </c>
    </row>
    <row r="77" spans="14:15">
      <c r="N77" s="1776" t="s">
        <v>953</v>
      </c>
      <c r="O77" s="1777" t="s">
        <v>954</v>
      </c>
    </row>
    <row r="78" spans="14:15">
      <c r="N78" s="1776" t="s">
        <v>959</v>
      </c>
      <c r="O78" s="1777" t="s">
        <v>960</v>
      </c>
    </row>
    <row r="79" spans="14:15">
      <c r="N79" s="1776" t="s">
        <v>966</v>
      </c>
      <c r="O79" s="1777" t="s">
        <v>967</v>
      </c>
    </row>
    <row r="80" spans="14:15">
      <c r="N80" s="1776" t="s">
        <v>975</v>
      </c>
      <c r="O80" s="1777" t="s">
        <v>976</v>
      </c>
    </row>
    <row r="81" spans="14:15">
      <c r="N81" s="1776" t="s">
        <v>982</v>
      </c>
      <c r="O81" s="1777" t="s">
        <v>983</v>
      </c>
    </row>
    <row r="82" spans="14:15">
      <c r="N82" s="1776" t="s">
        <v>989</v>
      </c>
      <c r="O82" s="1777" t="s">
        <v>990</v>
      </c>
    </row>
    <row r="83" spans="14:15">
      <c r="N83" s="1776" t="s">
        <v>996</v>
      </c>
      <c r="O83" s="1777" t="s">
        <v>997</v>
      </c>
    </row>
    <row r="84" spans="14:15">
      <c r="N84" s="1776" t="s">
        <v>1004</v>
      </c>
      <c r="O84" s="1777" t="s">
        <v>1005</v>
      </c>
    </row>
    <row r="85" spans="14:15">
      <c r="N85" s="1776" t="s">
        <v>1014</v>
      </c>
      <c r="O85" s="1777" t="s">
        <v>1015</v>
      </c>
    </row>
    <row r="86" spans="14:15">
      <c r="N86" s="1776" t="s">
        <v>1020</v>
      </c>
      <c r="O86" s="1777" t="s">
        <v>1021</v>
      </c>
    </row>
    <row r="87" spans="14:15">
      <c r="N87" s="1776" t="s">
        <v>1029</v>
      </c>
      <c r="O87" s="1777" t="s">
        <v>1030</v>
      </c>
    </row>
    <row r="88" spans="14:15">
      <c r="N88" s="1776" t="s">
        <v>1035</v>
      </c>
      <c r="O88" s="1777" t="s">
        <v>1036</v>
      </c>
    </row>
    <row r="89" spans="14:15">
      <c r="N89" s="1776" t="s">
        <v>1041</v>
      </c>
      <c r="O89" s="1777" t="s">
        <v>1042</v>
      </c>
    </row>
    <row r="90" spans="14:15">
      <c r="N90" s="1776" t="s">
        <v>1050</v>
      </c>
      <c r="O90" s="1777" t="s">
        <v>1051</v>
      </c>
    </row>
    <row r="91" spans="14:15">
      <c r="N91" s="1776" t="s">
        <v>1057</v>
      </c>
      <c r="O91" s="1777" t="s">
        <v>1058</v>
      </c>
    </row>
    <row r="92" spans="14:15">
      <c r="N92" s="1776" t="s">
        <v>1065</v>
      </c>
      <c r="O92" s="1777" t="s">
        <v>1066</v>
      </c>
    </row>
    <row r="93" spans="14:15">
      <c r="N93" s="1776" t="s">
        <v>1072</v>
      </c>
      <c r="O93" s="1777" t="s">
        <v>1073</v>
      </c>
    </row>
    <row r="94" spans="14:15">
      <c r="N94" s="1776" t="s">
        <v>1078</v>
      </c>
      <c r="O94" s="1777" t="s">
        <v>1079</v>
      </c>
    </row>
    <row r="95" spans="14:15">
      <c r="N95" s="1776" t="s">
        <v>1087</v>
      </c>
      <c r="O95" s="1777" t="s">
        <v>1088</v>
      </c>
    </row>
    <row r="96" spans="14:15">
      <c r="N96" s="1776" t="s">
        <v>1094</v>
      </c>
      <c r="O96" s="1777" t="s">
        <v>1095</v>
      </c>
    </row>
    <row r="97" spans="14:15">
      <c r="N97" s="1776" t="s">
        <v>1103</v>
      </c>
      <c r="O97" s="1777" t="s">
        <v>1104</v>
      </c>
    </row>
    <row r="98" spans="14:15">
      <c r="N98" s="1776" t="s">
        <v>1112</v>
      </c>
      <c r="O98" s="1777" t="s">
        <v>1113</v>
      </c>
    </row>
    <row r="99" spans="14:15">
      <c r="N99" s="1776" t="s">
        <v>1119</v>
      </c>
      <c r="O99" s="1777" t="s">
        <v>1121</v>
      </c>
    </row>
    <row r="100" spans="14:15">
      <c r="N100" s="1776" t="s">
        <v>1129</v>
      </c>
      <c r="O100" s="1777" t="s">
        <v>1130</v>
      </c>
    </row>
    <row r="101" spans="14:15">
      <c r="N101" s="1776" t="s">
        <v>1135</v>
      </c>
      <c r="O101" s="1777" t="s">
        <v>1136</v>
      </c>
    </row>
    <row r="102" spans="14:15">
      <c r="N102" s="1776" t="s">
        <v>1143</v>
      </c>
      <c r="O102" s="1777" t="s">
        <v>1144</v>
      </c>
    </row>
    <row r="103" spans="14:15">
      <c r="N103" s="1776" t="s">
        <v>1149</v>
      </c>
      <c r="O103" s="1777" t="s">
        <v>1150</v>
      </c>
    </row>
    <row r="104" spans="14:15">
      <c r="N104" s="1776" t="s">
        <v>1156</v>
      </c>
      <c r="O104" s="1777" t="s">
        <v>1157</v>
      </c>
    </row>
    <row r="105" spans="14:15">
      <c r="N105" s="1776" t="s">
        <v>1163</v>
      </c>
      <c r="O105" s="1777" t="s">
        <v>1164</v>
      </c>
    </row>
    <row r="106" spans="14:15">
      <c r="N106" s="1776" t="s">
        <v>1170</v>
      </c>
      <c r="O106" s="1777" t="s">
        <v>1172</v>
      </c>
    </row>
    <row r="107" spans="14:15">
      <c r="N107" s="1776" t="s">
        <v>1178</v>
      </c>
      <c r="O107" s="1777" t="s">
        <v>1179</v>
      </c>
    </row>
    <row r="108" spans="14:15">
      <c r="N108" s="1776" t="s">
        <v>1186</v>
      </c>
      <c r="O108" s="1777" t="s">
        <v>1187</v>
      </c>
    </row>
    <row r="109" spans="14:15">
      <c r="N109" s="1776" t="s">
        <v>1194</v>
      </c>
      <c r="O109" s="1777" t="s">
        <v>1195</v>
      </c>
    </row>
    <row r="110" spans="14:15">
      <c r="N110" s="1776" t="s">
        <v>1202</v>
      </c>
      <c r="O110" s="1777" t="s">
        <v>1203</v>
      </c>
    </row>
    <row r="111" spans="14:15">
      <c r="N111" s="1776" t="s">
        <v>1208</v>
      </c>
      <c r="O111" s="1777" t="s">
        <v>1209</v>
      </c>
    </row>
    <row r="112" spans="14:15">
      <c r="N112" s="1776" t="s">
        <v>1215</v>
      </c>
      <c r="O112" s="1777" t="s">
        <v>1216</v>
      </c>
    </row>
    <row r="113" spans="14:15">
      <c r="N113" s="1776" t="s">
        <v>1222</v>
      </c>
      <c r="O113" s="1777" t="s">
        <v>1223</v>
      </c>
    </row>
    <row r="114" spans="14:15">
      <c r="N114" s="1776" t="s">
        <v>1228</v>
      </c>
      <c r="O114" s="1777" t="s">
        <v>1229</v>
      </c>
    </row>
    <row r="115" spans="14:15">
      <c r="N115" s="1776" t="s">
        <v>1234</v>
      </c>
      <c r="O115" s="1777" t="s">
        <v>1235</v>
      </c>
    </row>
    <row r="116" spans="14:15">
      <c r="N116" s="1776" t="s">
        <v>1242</v>
      </c>
      <c r="O116" s="1777" t="s">
        <v>1243</v>
      </c>
    </row>
    <row r="117" spans="14:15">
      <c r="N117" s="1776" t="s">
        <v>1249</v>
      </c>
      <c r="O117" s="1777" t="s">
        <v>1250</v>
      </c>
    </row>
    <row r="118" spans="14:15">
      <c r="N118" s="1776" t="s">
        <v>1257</v>
      </c>
      <c r="O118" s="1777" t="s">
        <v>1258</v>
      </c>
    </row>
    <row r="119" spans="14:15">
      <c r="N119" s="1776" t="s">
        <v>1266</v>
      </c>
      <c r="O119" s="1777" t="s">
        <v>1267</v>
      </c>
    </row>
    <row r="120" spans="14:15">
      <c r="N120" s="1776" t="s">
        <v>1273</v>
      </c>
      <c r="O120" s="1777" t="s">
        <v>1274</v>
      </c>
    </row>
    <row r="121" spans="14:15">
      <c r="N121" s="1776" t="s">
        <v>1279</v>
      </c>
      <c r="O121" s="1777" t="s">
        <v>1280</v>
      </c>
    </row>
    <row r="122" spans="14:15">
      <c r="N122" s="1776" t="s">
        <v>1285</v>
      </c>
      <c r="O122" s="1777" t="s">
        <v>1286</v>
      </c>
    </row>
    <row r="123" spans="14:15">
      <c r="N123" s="1776" t="s">
        <v>1292</v>
      </c>
      <c r="O123" s="1777" t="s">
        <v>1293</v>
      </c>
    </row>
    <row r="124" spans="14:15">
      <c r="N124" s="1776" t="s">
        <v>1299</v>
      </c>
      <c r="O124" s="1777" t="s">
        <v>1300</v>
      </c>
    </row>
    <row r="125" spans="14:15">
      <c r="N125" s="1776" t="s">
        <v>1307</v>
      </c>
      <c r="O125" s="1777" t="s">
        <v>1308</v>
      </c>
    </row>
    <row r="126" spans="14:15">
      <c r="N126" s="1776" t="s">
        <v>1312</v>
      </c>
      <c r="O126" s="1777" t="s">
        <v>1313</v>
      </c>
    </row>
    <row r="127" spans="14:15">
      <c r="N127" s="1776" t="s">
        <v>1318</v>
      </c>
      <c r="O127" s="1777" t="s">
        <v>1319</v>
      </c>
    </row>
    <row r="128" spans="14:15">
      <c r="N128" s="1776" t="s">
        <v>1327</v>
      </c>
      <c r="O128" s="1777" t="s">
        <v>1329</v>
      </c>
    </row>
    <row r="129" spans="14:15">
      <c r="N129" s="1776" t="s">
        <v>1335</v>
      </c>
      <c r="O129" s="1777" t="s">
        <v>1336</v>
      </c>
    </row>
    <row r="130" spans="14:15">
      <c r="N130" s="1776" t="s">
        <v>1341</v>
      </c>
      <c r="O130" s="1777" t="s">
        <v>1342</v>
      </c>
    </row>
    <row r="131" spans="14:15">
      <c r="N131" s="1776" t="s">
        <v>1348</v>
      </c>
      <c r="O131" s="1777" t="s">
        <v>1350</v>
      </c>
    </row>
    <row r="132" spans="14:15">
      <c r="N132" s="1776" t="s">
        <v>1356</v>
      </c>
      <c r="O132" s="1777" t="s">
        <v>1357</v>
      </c>
    </row>
    <row r="133" spans="14:15">
      <c r="N133" s="1776" t="s">
        <v>1362</v>
      </c>
      <c r="O133" s="1777" t="s">
        <v>1363</v>
      </c>
    </row>
    <row r="134" spans="14:15">
      <c r="N134" s="1776" t="s">
        <v>1367</v>
      </c>
      <c r="O134" s="1777" t="s">
        <v>1368</v>
      </c>
    </row>
    <row r="135" spans="14:15">
      <c r="N135" s="1776" t="s">
        <v>1374</v>
      </c>
      <c r="O135" s="1777" t="s">
        <v>1375</v>
      </c>
    </row>
    <row r="136" spans="14:15">
      <c r="N136" s="1776" t="s">
        <v>1381</v>
      </c>
      <c r="O136" s="1777" t="s">
        <v>1382</v>
      </c>
    </row>
    <row r="137" spans="14:15">
      <c r="N137" s="1776" t="s">
        <v>1390</v>
      </c>
      <c r="O137" s="1777" t="s">
        <v>1391</v>
      </c>
    </row>
    <row r="138" spans="14:15">
      <c r="N138" s="1776" t="s">
        <v>1398</v>
      </c>
      <c r="O138" s="1777" t="s">
        <v>1399</v>
      </c>
    </row>
    <row r="139" spans="14:15">
      <c r="N139" s="1776" t="s">
        <v>5703</v>
      </c>
      <c r="O139" s="1777" t="s">
        <v>5704</v>
      </c>
    </row>
    <row r="140" spans="14:15">
      <c r="N140" s="1776" t="s">
        <v>1405</v>
      </c>
      <c r="O140" s="1777" t="s">
        <v>1406</v>
      </c>
    </row>
    <row r="141" spans="14:15">
      <c r="N141" s="1776" t="s">
        <v>1414</v>
      </c>
      <c r="O141" s="1777" t="s">
        <v>1415</v>
      </c>
    </row>
    <row r="142" spans="14:15">
      <c r="N142" s="1776" t="s">
        <v>1421</v>
      </c>
      <c r="O142" s="1777" t="s">
        <v>1422</v>
      </c>
    </row>
    <row r="143" spans="14:15">
      <c r="N143" s="1776" t="s">
        <v>1425</v>
      </c>
      <c r="O143" s="1777" t="s">
        <v>1426</v>
      </c>
    </row>
    <row r="144" spans="14:15">
      <c r="N144" s="1776" t="s">
        <v>1433</v>
      </c>
      <c r="O144" s="1777" t="s">
        <v>1434</v>
      </c>
    </row>
    <row r="145" spans="14:15">
      <c r="N145" s="1776" t="s">
        <v>1439</v>
      </c>
      <c r="O145" s="1777" t="s">
        <v>1440</v>
      </c>
    </row>
    <row r="146" spans="14:15">
      <c r="N146" s="1776" t="s">
        <v>1446</v>
      </c>
      <c r="O146" s="1777" t="s">
        <v>1447</v>
      </c>
    </row>
    <row r="147" spans="14:15">
      <c r="N147" s="1776" t="s">
        <v>1451</v>
      </c>
      <c r="O147" s="1777" t="s">
        <v>1452</v>
      </c>
    </row>
    <row r="148" spans="14:15">
      <c r="N148" s="1776" t="s">
        <v>1456</v>
      </c>
      <c r="O148" s="1777" t="s">
        <v>1457</v>
      </c>
    </row>
    <row r="149" spans="14:15">
      <c r="N149" s="1776" t="s">
        <v>1461</v>
      </c>
      <c r="O149" s="1777" t="s">
        <v>1462</v>
      </c>
    </row>
    <row r="150" spans="14:15">
      <c r="N150" s="1776" t="s">
        <v>1469</v>
      </c>
      <c r="O150" s="1777" t="s">
        <v>1470</v>
      </c>
    </row>
    <row r="151" spans="14:15">
      <c r="N151" s="1776" t="s">
        <v>1475</v>
      </c>
      <c r="O151" s="1777" t="s">
        <v>1476</v>
      </c>
    </row>
    <row r="152" spans="14:15">
      <c r="N152" s="1776" t="s">
        <v>1482</v>
      </c>
      <c r="O152" s="1777" t="s">
        <v>1483</v>
      </c>
    </row>
    <row r="153" spans="14:15">
      <c r="N153" s="1776" t="s">
        <v>1489</v>
      </c>
      <c r="O153" s="1777" t="s">
        <v>1490</v>
      </c>
    </row>
    <row r="154" spans="14:15">
      <c r="N154" s="1776" t="s">
        <v>1495</v>
      </c>
      <c r="O154" s="1777" t="s">
        <v>1496</v>
      </c>
    </row>
    <row r="155" spans="14:15">
      <c r="N155" s="1776" t="s">
        <v>1500</v>
      </c>
      <c r="O155" s="1777" t="s">
        <v>1501</v>
      </c>
    </row>
    <row r="156" spans="14:15">
      <c r="N156" s="1776" t="s">
        <v>1506</v>
      </c>
      <c r="O156" s="1777" t="s">
        <v>1507</v>
      </c>
    </row>
    <row r="157" spans="14:15">
      <c r="N157" s="1776" t="s">
        <v>1512</v>
      </c>
      <c r="O157" s="1777" t="s">
        <v>1513</v>
      </c>
    </row>
    <row r="158" spans="14:15">
      <c r="N158" s="1776" t="s">
        <v>1521</v>
      </c>
      <c r="O158" s="1777" t="s">
        <v>1524</v>
      </c>
    </row>
    <row r="159" spans="14:15">
      <c r="N159" s="1776" t="s">
        <v>1527</v>
      </c>
      <c r="O159" s="1777" t="s">
        <v>1528</v>
      </c>
    </row>
    <row r="160" spans="14:15">
      <c r="N160" s="1776" t="s">
        <v>1533</v>
      </c>
      <c r="O160" s="1777" t="s">
        <v>1534</v>
      </c>
    </row>
    <row r="161" spans="14:15">
      <c r="N161" s="1776" t="s">
        <v>1539</v>
      </c>
      <c r="O161" s="1777" t="s">
        <v>1540</v>
      </c>
    </row>
    <row r="162" spans="14:15">
      <c r="N162" s="1776" t="s">
        <v>1545</v>
      </c>
      <c r="O162" s="1777" t="s">
        <v>1546</v>
      </c>
    </row>
    <row r="163" spans="14:15">
      <c r="N163" s="1776" t="s">
        <v>1550</v>
      </c>
      <c r="O163" s="1777" t="s">
        <v>1551</v>
      </c>
    </row>
    <row r="164" spans="14:15">
      <c r="N164" s="1776" t="s">
        <v>1557</v>
      </c>
      <c r="O164" s="1777" t="s">
        <v>1558</v>
      </c>
    </row>
    <row r="165" spans="14:15">
      <c r="N165" s="1776" t="s">
        <v>1564</v>
      </c>
      <c r="O165" s="1777" t="s">
        <v>1565</v>
      </c>
    </row>
    <row r="166" spans="14:15">
      <c r="N166" s="1776" t="s">
        <v>5713</v>
      </c>
      <c r="O166" s="1777" t="s">
        <v>5714</v>
      </c>
    </row>
    <row r="167" spans="14:15">
      <c r="N167" s="1776" t="s">
        <v>1570</v>
      </c>
      <c r="O167" s="1777" t="s">
        <v>1571</v>
      </c>
    </row>
    <row r="168" spans="14:15">
      <c r="N168" s="1776" t="s">
        <v>1578</v>
      </c>
      <c r="O168" s="1777" t="s">
        <v>1579</v>
      </c>
    </row>
    <row r="169" spans="14:15">
      <c r="N169" s="1776" t="s">
        <v>1584</v>
      </c>
      <c r="O169" s="1777" t="s">
        <v>1585</v>
      </c>
    </row>
    <row r="170" spans="14:15">
      <c r="N170" s="1776" t="s">
        <v>1593</v>
      </c>
      <c r="O170" s="1777" t="s">
        <v>1594</v>
      </c>
    </row>
    <row r="171" spans="14:15">
      <c r="N171" s="1776" t="s">
        <v>1598</v>
      </c>
      <c r="O171" s="1777" t="s">
        <v>1599</v>
      </c>
    </row>
    <row r="172" spans="14:15">
      <c r="N172" s="1776" t="s">
        <v>1605</v>
      </c>
      <c r="O172" s="1777" t="s">
        <v>1606</v>
      </c>
    </row>
    <row r="173" spans="14:15">
      <c r="N173" s="1776" t="s">
        <v>1611</v>
      </c>
      <c r="O173" s="1777" t="s">
        <v>1612</v>
      </c>
    </row>
    <row r="174" spans="14:15">
      <c r="N174" s="1776" t="s">
        <v>1616</v>
      </c>
      <c r="O174" s="1777" t="s">
        <v>1617</v>
      </c>
    </row>
    <row r="175" spans="14:15">
      <c r="N175" s="1776" t="s">
        <v>1620</v>
      </c>
      <c r="O175" s="1777" t="s">
        <v>1621</v>
      </c>
    </row>
    <row r="176" spans="14:15">
      <c r="N176" s="1776" t="s">
        <v>1628</v>
      </c>
      <c r="O176" s="1777" t="s">
        <v>1629</v>
      </c>
    </row>
    <row r="177" spans="14:15">
      <c r="N177" s="1776" t="s">
        <v>1637</v>
      </c>
      <c r="O177" s="1777" t="s">
        <v>1638</v>
      </c>
    </row>
    <row r="178" spans="14:15">
      <c r="N178" s="1776" t="s">
        <v>1644</v>
      </c>
      <c r="O178" s="1777" t="s">
        <v>1645</v>
      </c>
    </row>
    <row r="179" spans="14:15">
      <c r="N179" s="1776" t="s">
        <v>1653</v>
      </c>
      <c r="O179" s="1777" t="s">
        <v>1654</v>
      </c>
    </row>
    <row r="180" spans="14:15">
      <c r="N180" s="1776" t="s">
        <v>1662</v>
      </c>
      <c r="O180" s="1777" t="s">
        <v>1663</v>
      </c>
    </row>
    <row r="181" spans="14:15">
      <c r="N181" s="1776" t="s">
        <v>1667</v>
      </c>
      <c r="O181" s="1777" t="s">
        <v>1668</v>
      </c>
    </row>
    <row r="182" spans="14:15">
      <c r="N182" s="1776" t="s">
        <v>1671</v>
      </c>
      <c r="O182" s="1777" t="s">
        <v>1672</v>
      </c>
    </row>
    <row r="183" spans="14:15">
      <c r="N183" s="1776" t="s">
        <v>1677</v>
      </c>
      <c r="O183" s="1777" t="s">
        <v>1678</v>
      </c>
    </row>
    <row r="184" spans="14:15">
      <c r="N184" s="1776" t="s">
        <v>1685</v>
      </c>
      <c r="O184" s="1777" t="s">
        <v>1686</v>
      </c>
    </row>
    <row r="185" spans="14:15">
      <c r="N185" s="1776" t="s">
        <v>1690</v>
      </c>
      <c r="O185" s="1777" t="s">
        <v>1691</v>
      </c>
    </row>
    <row r="186" spans="14:15">
      <c r="N186" s="1776" t="s">
        <v>1694</v>
      </c>
      <c r="O186" s="1777" t="s">
        <v>1695</v>
      </c>
    </row>
    <row r="187" spans="14:15">
      <c r="N187" s="1776" t="s">
        <v>1701</v>
      </c>
      <c r="O187" s="1777" t="s">
        <v>1702</v>
      </c>
    </row>
    <row r="188" spans="14:15">
      <c r="N188" s="1776" t="s">
        <v>1708</v>
      </c>
      <c r="O188" s="1777" t="s">
        <v>1709</v>
      </c>
    </row>
    <row r="189" spans="14:15">
      <c r="N189" s="1776" t="s">
        <v>1715</v>
      </c>
      <c r="O189" s="1777" t="s">
        <v>1716</v>
      </c>
    </row>
    <row r="190" spans="14:15">
      <c r="N190" s="1776" t="s">
        <v>1721</v>
      </c>
      <c r="O190" s="1777" t="s">
        <v>1722</v>
      </c>
    </row>
    <row r="191" spans="14:15">
      <c r="N191" s="1776" t="s">
        <v>5726</v>
      </c>
      <c r="O191" s="1777" t="s">
        <v>5727</v>
      </c>
    </row>
    <row r="192" spans="14:15">
      <c r="N192" s="1776" t="s">
        <v>1729</v>
      </c>
      <c r="O192" s="1777" t="s">
        <v>1730</v>
      </c>
    </row>
    <row r="193" spans="14:15">
      <c r="N193" s="1776" t="s">
        <v>1734</v>
      </c>
      <c r="O193" s="1777" t="s">
        <v>5954</v>
      </c>
    </row>
    <row r="194" spans="14:15">
      <c r="N194" s="1776" t="s">
        <v>1739</v>
      </c>
      <c r="O194" s="1777" t="s">
        <v>1740</v>
      </c>
    </row>
    <row r="195" spans="14:15">
      <c r="N195" s="1776" t="s">
        <v>1747</v>
      </c>
      <c r="O195" s="1777" t="s">
        <v>1748</v>
      </c>
    </row>
    <row r="196" spans="14:15">
      <c r="N196" s="1776" t="s">
        <v>1758</v>
      </c>
      <c r="O196" s="1777" t="s">
        <v>1759</v>
      </c>
    </row>
    <row r="197" spans="14:15">
      <c r="N197" s="1776" t="s">
        <v>1766</v>
      </c>
      <c r="O197" s="1777" t="s">
        <v>1767</v>
      </c>
    </row>
    <row r="198" spans="14:15">
      <c r="N198" s="1776" t="s">
        <v>1776</v>
      </c>
      <c r="O198" s="1777" t="s">
        <v>1777</v>
      </c>
    </row>
    <row r="199" spans="14:15">
      <c r="N199" s="1776" t="s">
        <v>1781</v>
      </c>
      <c r="O199" s="1777" t="s">
        <v>1782</v>
      </c>
    </row>
    <row r="200" spans="14:15">
      <c r="N200" s="1776" t="s">
        <v>5733</v>
      </c>
      <c r="O200" s="1777" t="s">
        <v>5734</v>
      </c>
    </row>
    <row r="201" spans="14:15">
      <c r="N201" s="1776" t="s">
        <v>1789</v>
      </c>
      <c r="O201" s="1777" t="s">
        <v>1790</v>
      </c>
    </row>
    <row r="202" spans="14:15">
      <c r="N202" s="1776" t="s">
        <v>1795</v>
      </c>
      <c r="O202" s="1777" t="s">
        <v>1796</v>
      </c>
    </row>
    <row r="203" spans="14:15">
      <c r="N203" s="1776" t="s">
        <v>1803</v>
      </c>
      <c r="O203" s="1777" t="s">
        <v>5955</v>
      </c>
    </row>
    <row r="204" spans="14:15">
      <c r="N204" s="1776" t="s">
        <v>1811</v>
      </c>
      <c r="O204" s="1777" t="s">
        <v>1812</v>
      </c>
    </row>
    <row r="205" spans="14:15">
      <c r="N205" s="1776" t="s">
        <v>5739</v>
      </c>
      <c r="O205" s="1777" t="s">
        <v>5740</v>
      </c>
    </row>
    <row r="206" spans="14:15">
      <c r="N206" s="1776" t="s">
        <v>1817</v>
      </c>
      <c r="O206" s="1777" t="s">
        <v>1818</v>
      </c>
    </row>
    <row r="207" spans="14:15">
      <c r="N207" s="1776" t="s">
        <v>1823</v>
      </c>
      <c r="O207" s="1777" t="s">
        <v>1824</v>
      </c>
    </row>
    <row r="208" spans="14:15">
      <c r="N208" s="1776" t="s">
        <v>1829</v>
      </c>
      <c r="O208" s="1777" t="s">
        <v>1830</v>
      </c>
    </row>
    <row r="209" spans="14:15">
      <c r="N209" s="1776" t="s">
        <v>1836</v>
      </c>
      <c r="O209" s="1777" t="s">
        <v>1837</v>
      </c>
    </row>
    <row r="210" spans="14:15">
      <c r="N210" s="1776" t="s">
        <v>1843</v>
      </c>
      <c r="O210" s="1777" t="s">
        <v>1844</v>
      </c>
    </row>
    <row r="211" spans="14:15">
      <c r="N211" s="1776" t="s">
        <v>1850</v>
      </c>
      <c r="O211" s="1777" t="s">
        <v>1851</v>
      </c>
    </row>
    <row r="212" spans="14:15">
      <c r="N212" s="1776" t="s">
        <v>1857</v>
      </c>
      <c r="O212" s="1777" t="s">
        <v>1858</v>
      </c>
    </row>
    <row r="213" spans="14:15">
      <c r="N213" s="1776" t="s">
        <v>1865</v>
      </c>
      <c r="O213" s="1777" t="s">
        <v>5956</v>
      </c>
    </row>
    <row r="214" spans="14:15">
      <c r="N214" s="1776" t="s">
        <v>1874</v>
      </c>
      <c r="O214" s="1777" t="s">
        <v>1875</v>
      </c>
    </row>
    <row r="215" spans="14:15">
      <c r="N215" s="1776" t="s">
        <v>1879</v>
      </c>
      <c r="O215" s="1777" t="s">
        <v>1880</v>
      </c>
    </row>
    <row r="216" spans="14:15">
      <c r="N216" s="1776" t="s">
        <v>1885</v>
      </c>
      <c r="O216" s="1777" t="s">
        <v>1886</v>
      </c>
    </row>
    <row r="217" spans="14:15">
      <c r="N217" s="1776" t="s">
        <v>1893</v>
      </c>
      <c r="O217" s="1777" t="s">
        <v>1894</v>
      </c>
    </row>
    <row r="218" spans="14:15">
      <c r="N218" s="1776" t="s">
        <v>1899</v>
      </c>
      <c r="O218" s="1777" t="s">
        <v>1900</v>
      </c>
    </row>
    <row r="219" spans="14:15">
      <c r="N219" s="1776" t="s">
        <v>1904</v>
      </c>
      <c r="O219" s="1777" t="s">
        <v>1905</v>
      </c>
    </row>
    <row r="220" spans="14:15">
      <c r="N220" s="1776" t="s">
        <v>1910</v>
      </c>
      <c r="O220" s="1777" t="s">
        <v>1911</v>
      </c>
    </row>
    <row r="221" spans="14:15">
      <c r="N221" s="1776" t="s">
        <v>1916</v>
      </c>
      <c r="O221" s="1777" t="s">
        <v>1917</v>
      </c>
    </row>
    <row r="222" spans="14:15">
      <c r="N222" s="1776" t="s">
        <v>1925</v>
      </c>
      <c r="O222" s="1777" t="s">
        <v>1926</v>
      </c>
    </row>
    <row r="223" spans="14:15">
      <c r="N223" s="1776" t="s">
        <v>1932</v>
      </c>
      <c r="O223" s="1777" t="s">
        <v>1933</v>
      </c>
    </row>
    <row r="224" spans="14:15">
      <c r="N224" s="1776" t="s">
        <v>1937</v>
      </c>
      <c r="O224" s="1777" t="s">
        <v>1938</v>
      </c>
    </row>
    <row r="225" spans="14:15">
      <c r="N225" s="1776" t="s">
        <v>1943</v>
      </c>
      <c r="O225" s="1777" t="s">
        <v>1944</v>
      </c>
    </row>
    <row r="226" spans="14:15">
      <c r="N226" s="1776" t="s">
        <v>1947</v>
      </c>
      <c r="O226" s="1777" t="s">
        <v>1948</v>
      </c>
    </row>
    <row r="227" spans="14:15">
      <c r="N227" s="1776" t="s">
        <v>1954</v>
      </c>
      <c r="O227" s="1777" t="s">
        <v>5748</v>
      </c>
    </row>
    <row r="228" spans="14:15">
      <c r="N228" s="1776" t="s">
        <v>1955</v>
      </c>
      <c r="O228" s="1777" t="s">
        <v>1956</v>
      </c>
    </row>
    <row r="229" spans="14:15">
      <c r="N229" s="1776" t="s">
        <v>1959</v>
      </c>
      <c r="O229" s="1777" t="s">
        <v>5957</v>
      </c>
    </row>
    <row r="230" spans="14:15">
      <c r="N230" s="1776" t="s">
        <v>1967</v>
      </c>
      <c r="O230" s="1777" t="s">
        <v>1970</v>
      </c>
    </row>
    <row r="231" spans="14:15">
      <c r="N231" s="1776" t="s">
        <v>1977</v>
      </c>
      <c r="O231" s="1777" t="s">
        <v>1978</v>
      </c>
    </row>
    <row r="232" spans="14:15">
      <c r="N232" s="1776" t="s">
        <v>1981</v>
      </c>
      <c r="O232" s="1777" t="s">
        <v>2606</v>
      </c>
    </row>
    <row r="233" spans="14:15">
      <c r="N233" s="1776" t="s">
        <v>1984</v>
      </c>
      <c r="O233" s="1777" t="s">
        <v>1985</v>
      </c>
    </row>
    <row r="234" spans="14:15">
      <c r="N234" s="1776" t="s">
        <v>1991</v>
      </c>
      <c r="O234" s="1777" t="s">
        <v>1992</v>
      </c>
    </row>
    <row r="235" spans="14:15">
      <c r="N235" s="1776" t="s">
        <v>2000</v>
      </c>
      <c r="O235" s="1777" t="s">
        <v>2001</v>
      </c>
    </row>
    <row r="236" spans="14:15">
      <c r="N236" s="1776" t="s">
        <v>2008</v>
      </c>
      <c r="O236" s="1777" t="s">
        <v>2009</v>
      </c>
    </row>
    <row r="237" spans="14:15">
      <c r="N237" s="1776" t="s">
        <v>2015</v>
      </c>
      <c r="O237" s="1777" t="s">
        <v>2016</v>
      </c>
    </row>
    <row r="238" spans="14:15">
      <c r="N238" s="1776" t="s">
        <v>2021</v>
      </c>
      <c r="O238" s="1777" t="s">
        <v>2022</v>
      </c>
    </row>
    <row r="239" spans="14:15">
      <c r="N239" s="1776" t="s">
        <v>2027</v>
      </c>
      <c r="O239" s="1777" t="s">
        <v>2028</v>
      </c>
    </row>
    <row r="240" spans="14:15">
      <c r="N240" s="1776" t="s">
        <v>2034</v>
      </c>
      <c r="O240" s="1777" t="s">
        <v>2035</v>
      </c>
    </row>
    <row r="241" spans="14:15">
      <c r="N241" s="1776" t="s">
        <v>5958</v>
      </c>
      <c r="O241" s="1777" t="s">
        <v>5959</v>
      </c>
    </row>
    <row r="242" spans="14:15">
      <c r="N242" s="1776" t="s">
        <v>2040</v>
      </c>
      <c r="O242" s="1777" t="s">
        <v>2041</v>
      </c>
    </row>
    <row r="243" spans="14:15">
      <c r="N243" s="1776" t="s">
        <v>2044</v>
      </c>
      <c r="O243" s="1777" t="s">
        <v>2045</v>
      </c>
    </row>
    <row r="244" spans="14:15">
      <c r="N244" s="1776" t="s">
        <v>2048</v>
      </c>
      <c r="O244" s="1777" t="s">
        <v>2049</v>
      </c>
    </row>
    <row r="245" spans="14:15">
      <c r="N245" s="1776" t="s">
        <v>2052</v>
      </c>
      <c r="O245" s="1777" t="s">
        <v>2053</v>
      </c>
    </row>
    <row r="246" spans="14:15">
      <c r="N246" s="1776" t="s">
        <v>2057</v>
      </c>
      <c r="O246" s="1777" t="s">
        <v>2058</v>
      </c>
    </row>
    <row r="247" spans="14:15">
      <c r="N247" s="1776" t="s">
        <v>2063</v>
      </c>
      <c r="O247" s="1777" t="s">
        <v>5960</v>
      </c>
    </row>
    <row r="248" spans="14:15">
      <c r="N248" s="1776" t="s">
        <v>2070</v>
      </c>
      <c r="O248" s="1777" t="s">
        <v>2071</v>
      </c>
    </row>
    <row r="249" spans="14:15">
      <c r="N249" s="1776" t="s">
        <v>2076</v>
      </c>
      <c r="O249" s="1777" t="s">
        <v>2077</v>
      </c>
    </row>
    <row r="250" spans="14:15">
      <c r="N250" s="1776" t="s">
        <v>2081</v>
      </c>
      <c r="O250" s="1777" t="s">
        <v>6037</v>
      </c>
    </row>
    <row r="251" spans="14:15">
      <c r="N251" s="1776" t="s">
        <v>2089</v>
      </c>
      <c r="O251" s="1777" t="s">
        <v>2090</v>
      </c>
    </row>
    <row r="252" spans="14:15">
      <c r="N252" s="1776" t="s">
        <v>2096</v>
      </c>
      <c r="O252" s="1777" t="s">
        <v>2097</v>
      </c>
    </row>
    <row r="253" spans="14:15">
      <c r="N253" s="1776" t="s">
        <v>2100</v>
      </c>
      <c r="O253" s="1777" t="s">
        <v>2101</v>
      </c>
    </row>
    <row r="254" spans="14:15">
      <c r="N254" s="1776" t="s">
        <v>2105</v>
      </c>
      <c r="O254" s="1777" t="s">
        <v>2106</v>
      </c>
    </row>
    <row r="255" spans="14:15">
      <c r="N255" s="1776" t="s">
        <v>2111</v>
      </c>
      <c r="O255" s="1777" t="s">
        <v>2112</v>
      </c>
    </row>
    <row r="256" spans="14:15">
      <c r="N256" s="1776" t="s">
        <v>2118</v>
      </c>
      <c r="O256" s="1777" t="s">
        <v>5961</v>
      </c>
    </row>
    <row r="257" spans="14:15">
      <c r="N257" s="1776" t="s">
        <v>2124</v>
      </c>
      <c r="O257" s="1777" t="s">
        <v>2125</v>
      </c>
    </row>
    <row r="258" spans="14:15">
      <c r="N258" s="1776" t="s">
        <v>2129</v>
      </c>
      <c r="O258" s="1777" t="s">
        <v>2130</v>
      </c>
    </row>
    <row r="259" spans="14:15">
      <c r="N259" s="1776" t="s">
        <v>2135</v>
      </c>
      <c r="O259" s="1777" t="s">
        <v>2136</v>
      </c>
    </row>
    <row r="260" spans="14:15">
      <c r="N260" s="1776" t="s">
        <v>2143</v>
      </c>
      <c r="O260" s="1777" t="s">
        <v>2144</v>
      </c>
    </row>
    <row r="261" spans="14:15">
      <c r="N261" s="1776" t="s">
        <v>2152</v>
      </c>
      <c r="O261" s="1777" t="s">
        <v>2153</v>
      </c>
    </row>
    <row r="262" spans="14:15">
      <c r="N262" s="1776" t="s">
        <v>5757</v>
      </c>
      <c r="O262" s="1777" t="s">
        <v>5758</v>
      </c>
    </row>
    <row r="263" spans="14:15">
      <c r="N263" s="1776" t="s">
        <v>2161</v>
      </c>
      <c r="O263" s="1777" t="s">
        <v>2162</v>
      </c>
    </row>
    <row r="264" spans="14:15">
      <c r="N264" s="1776" t="s">
        <v>2166</v>
      </c>
      <c r="O264" s="1777" t="s">
        <v>2167</v>
      </c>
    </row>
    <row r="265" spans="14:15">
      <c r="N265" s="1776" t="s">
        <v>2170</v>
      </c>
      <c r="O265" s="1777" t="s">
        <v>2171</v>
      </c>
    </row>
    <row r="266" spans="14:15">
      <c r="N266" s="1776" t="s">
        <v>2176</v>
      </c>
      <c r="O266" s="1777" t="s">
        <v>2177</v>
      </c>
    </row>
    <row r="267" spans="14:15">
      <c r="N267" s="1776" t="s">
        <v>2184</v>
      </c>
      <c r="O267" s="1777" t="s">
        <v>2185</v>
      </c>
    </row>
    <row r="268" spans="14:15">
      <c r="N268" s="1776" t="s">
        <v>2191</v>
      </c>
      <c r="O268" s="1777" t="s">
        <v>2192</v>
      </c>
    </row>
    <row r="269" spans="14:15">
      <c r="N269" s="1776" t="s">
        <v>2197</v>
      </c>
      <c r="O269" s="1777" t="s">
        <v>2198</v>
      </c>
    </row>
    <row r="270" spans="14:15">
      <c r="N270" s="1776" t="s">
        <v>2205</v>
      </c>
      <c r="O270" s="1777" t="s">
        <v>2207</v>
      </c>
    </row>
    <row r="271" spans="14:15">
      <c r="N271" s="1776" t="s">
        <v>2213</v>
      </c>
      <c r="O271" s="1777" t="s">
        <v>2214</v>
      </c>
    </row>
    <row r="272" spans="14:15">
      <c r="N272" s="1776" t="s">
        <v>2225</v>
      </c>
      <c r="O272" s="1777" t="s">
        <v>2226</v>
      </c>
    </row>
    <row r="273" spans="14:15">
      <c r="N273" s="1776" t="s">
        <v>2231</v>
      </c>
      <c r="O273" s="1777" t="s">
        <v>2232</v>
      </c>
    </row>
    <row r="274" spans="14:15">
      <c r="N274" s="1776" t="s">
        <v>2237</v>
      </c>
      <c r="O274" s="1777" t="s">
        <v>2238</v>
      </c>
    </row>
    <row r="275" spans="14:15">
      <c r="N275" s="1776" t="s">
        <v>2244</v>
      </c>
      <c r="O275" s="1777" t="s">
        <v>2245</v>
      </c>
    </row>
    <row r="276" spans="14:15">
      <c r="N276" s="1776" t="s">
        <v>2250</v>
      </c>
      <c r="O276" s="1777" t="s">
        <v>2251</v>
      </c>
    </row>
    <row r="277" spans="14:15">
      <c r="N277" s="1776" t="s">
        <v>2259</v>
      </c>
      <c r="O277" s="1777" t="s">
        <v>2260</v>
      </c>
    </row>
    <row r="278" spans="14:15">
      <c r="N278" s="1776" t="s">
        <v>2265</v>
      </c>
      <c r="O278" s="1777" t="s">
        <v>2266</v>
      </c>
    </row>
    <row r="279" spans="14:15">
      <c r="N279" s="1776" t="s">
        <v>2273</v>
      </c>
      <c r="O279" s="1777" t="s">
        <v>2274</v>
      </c>
    </row>
    <row r="280" spans="14:15">
      <c r="N280" s="1776" t="s">
        <v>2278</v>
      </c>
      <c r="O280" s="1777" t="s">
        <v>2279</v>
      </c>
    </row>
    <row r="281" spans="14:15">
      <c r="N281" s="1776" t="s">
        <v>2286</v>
      </c>
      <c r="O281" s="1777" t="s">
        <v>2287</v>
      </c>
    </row>
    <row r="282" spans="14:15">
      <c r="N282" s="1776" t="s">
        <v>2292</v>
      </c>
      <c r="O282" s="1777" t="s">
        <v>2293</v>
      </c>
    </row>
    <row r="283" spans="14:15">
      <c r="N283" s="1776" t="s">
        <v>2298</v>
      </c>
      <c r="O283" s="1777" t="s">
        <v>2300</v>
      </c>
    </row>
    <row r="284" spans="14:15">
      <c r="N284" s="1776" t="s">
        <v>2306</v>
      </c>
      <c r="O284" s="1777" t="s">
        <v>2308</v>
      </c>
    </row>
    <row r="285" spans="14:15">
      <c r="N285" s="1776" t="s">
        <v>2313</v>
      </c>
      <c r="O285" s="1777" t="s">
        <v>2314</v>
      </c>
    </row>
    <row r="286" spans="14:15">
      <c r="N286" s="1776" t="s">
        <v>2321</v>
      </c>
      <c r="O286" s="1777" t="s">
        <v>2322</v>
      </c>
    </row>
    <row r="287" spans="14:15">
      <c r="N287" s="1776" t="s">
        <v>2326</v>
      </c>
      <c r="O287" s="1777" t="s">
        <v>2327</v>
      </c>
    </row>
    <row r="288" spans="14:15">
      <c r="N288" s="1776" t="s">
        <v>2330</v>
      </c>
      <c r="O288" s="1777" t="s">
        <v>2331</v>
      </c>
    </row>
    <row r="289" spans="14:15">
      <c r="N289" s="1776" t="s">
        <v>2336</v>
      </c>
      <c r="O289" s="1777" t="s">
        <v>2337</v>
      </c>
    </row>
    <row r="290" spans="14:15">
      <c r="N290" s="1776" t="s">
        <v>2343</v>
      </c>
      <c r="O290" s="1777" t="s">
        <v>2344</v>
      </c>
    </row>
    <row r="291" spans="14:15">
      <c r="N291" s="1776" t="s">
        <v>2349</v>
      </c>
      <c r="O291" s="1777" t="s">
        <v>2350</v>
      </c>
    </row>
    <row r="292" spans="14:15">
      <c r="N292" s="1776" t="s">
        <v>2355</v>
      </c>
      <c r="O292" s="1777" t="s">
        <v>2356</v>
      </c>
    </row>
    <row r="293" spans="14:15">
      <c r="N293" s="1776" t="s">
        <v>2360</v>
      </c>
      <c r="O293" s="1777" t="s">
        <v>2361</v>
      </c>
    </row>
    <row r="294" spans="14:15">
      <c r="N294" s="1776" t="s">
        <v>2368</v>
      </c>
      <c r="O294" s="1777" t="s">
        <v>2369</v>
      </c>
    </row>
    <row r="295" spans="14:15">
      <c r="N295" s="1776" t="s">
        <v>2373</v>
      </c>
      <c r="O295" s="1777" t="s">
        <v>2374</v>
      </c>
    </row>
    <row r="296" spans="14:15">
      <c r="N296" s="1776" t="s">
        <v>2380</v>
      </c>
      <c r="O296" s="1777" t="s">
        <v>2381</v>
      </c>
    </row>
    <row r="297" spans="14:15">
      <c r="N297" s="1776" t="s">
        <v>2386</v>
      </c>
      <c r="O297" s="1777" t="s">
        <v>2387</v>
      </c>
    </row>
    <row r="298" spans="14:15">
      <c r="N298" s="1776" t="s">
        <v>2391</v>
      </c>
      <c r="O298" s="1777" t="s">
        <v>5962</v>
      </c>
    </row>
    <row r="299" spans="14:15">
      <c r="N299" s="1776" t="s">
        <v>2396</v>
      </c>
      <c r="O299" s="1777" t="s">
        <v>2397</v>
      </c>
    </row>
    <row r="300" spans="14:15">
      <c r="N300" s="1776" t="s">
        <v>2403</v>
      </c>
      <c r="O300" s="1777" t="s">
        <v>2406</v>
      </c>
    </row>
    <row r="301" spans="14:15">
      <c r="N301" s="1776" t="s">
        <v>2412</v>
      </c>
      <c r="O301" s="1777" t="s">
        <v>5963</v>
      </c>
    </row>
    <row r="302" spans="14:15">
      <c r="N302" s="1776" t="s">
        <v>2422</v>
      </c>
      <c r="O302" s="1777" t="s">
        <v>5964</v>
      </c>
    </row>
    <row r="303" spans="14:15">
      <c r="N303" s="1776" t="s">
        <v>2428</v>
      </c>
      <c r="O303" s="1777" t="s">
        <v>2429</v>
      </c>
    </row>
    <row r="304" spans="14:15">
      <c r="N304" s="1776" t="s">
        <v>2435</v>
      </c>
      <c r="O304" s="1777" t="s">
        <v>2436</v>
      </c>
    </row>
    <row r="305" spans="14:15">
      <c r="N305" s="1776" t="s">
        <v>2439</v>
      </c>
      <c r="O305" s="1777" t="s">
        <v>2440</v>
      </c>
    </row>
    <row r="306" spans="14:15">
      <c r="N306" s="1776" t="s">
        <v>2445</v>
      </c>
      <c r="O306" s="1777" t="s">
        <v>2447</v>
      </c>
    </row>
    <row r="307" spans="14:15">
      <c r="N307" s="1776" t="s">
        <v>2453</v>
      </c>
      <c r="O307" s="1777" t="s">
        <v>2454</v>
      </c>
    </row>
    <row r="308" spans="14:15">
      <c r="N308" s="1776" t="s">
        <v>2459</v>
      </c>
      <c r="O308" s="1777" t="s">
        <v>5965</v>
      </c>
    </row>
    <row r="309" spans="14:15">
      <c r="N309" s="1776" t="s">
        <v>2468</v>
      </c>
      <c r="O309" s="1777" t="s">
        <v>2469</v>
      </c>
    </row>
    <row r="310" spans="14:15">
      <c r="N310" s="1776" t="s">
        <v>2471</v>
      </c>
      <c r="O310" s="1777" t="s">
        <v>2472</v>
      </c>
    </row>
    <row r="311" spans="14:15">
      <c r="N311" s="1776" t="s">
        <v>2477</v>
      </c>
      <c r="O311" s="1777" t="s">
        <v>2478</v>
      </c>
    </row>
    <row r="312" spans="14:15">
      <c r="N312" s="1776" t="s">
        <v>2482</v>
      </c>
      <c r="O312" s="1777" t="s">
        <v>2483</v>
      </c>
    </row>
    <row r="313" spans="14:15">
      <c r="N313" s="1776" t="s">
        <v>2489</v>
      </c>
      <c r="O313" s="1777" t="s">
        <v>2490</v>
      </c>
    </row>
    <row r="314" spans="14:15">
      <c r="N314" s="1776" t="s">
        <v>2497</v>
      </c>
      <c r="O314" s="1777" t="s">
        <v>2498</v>
      </c>
    </row>
    <row r="315" spans="14:15">
      <c r="N315" s="1776" t="s">
        <v>2504</v>
      </c>
      <c r="O315" s="1777" t="s">
        <v>2505</v>
      </c>
    </row>
    <row r="316" spans="14:15">
      <c r="N316" s="1776" t="s">
        <v>2512</v>
      </c>
      <c r="O316" s="1777" t="s">
        <v>2513</v>
      </c>
    </row>
    <row r="317" spans="14:15">
      <c r="N317" s="1776" t="s">
        <v>2518</v>
      </c>
      <c r="O317" s="1777" t="s">
        <v>2519</v>
      </c>
    </row>
    <row r="318" spans="14:15">
      <c r="N318" s="1776" t="s">
        <v>2523</v>
      </c>
      <c r="O318" s="1777" t="s">
        <v>2524</v>
      </c>
    </row>
    <row r="319" spans="14:15">
      <c r="N319" s="1776" t="s">
        <v>2528</v>
      </c>
      <c r="O319" s="1777" t="s">
        <v>2529</v>
      </c>
    </row>
    <row r="320" spans="14:15">
      <c r="N320" s="1776" t="s">
        <v>2534</v>
      </c>
      <c r="O320" s="1777" t="s">
        <v>2535</v>
      </c>
    </row>
    <row r="321" spans="14:15">
      <c r="N321" s="1776" t="s">
        <v>2541</v>
      </c>
      <c r="O321" s="1777" t="s">
        <v>2542</v>
      </c>
    </row>
    <row r="322" spans="14:15">
      <c r="N322" s="1776" t="s">
        <v>2545</v>
      </c>
      <c r="O322" s="1777" t="s">
        <v>2546</v>
      </c>
    </row>
    <row r="323" spans="14:15">
      <c r="N323" s="1776" t="s">
        <v>2549</v>
      </c>
      <c r="O323" s="1777" t="s">
        <v>2550</v>
      </c>
    </row>
    <row r="324" spans="14:15">
      <c r="N324" s="1776" t="s">
        <v>2557</v>
      </c>
      <c r="O324" s="1777" t="s">
        <v>2558</v>
      </c>
    </row>
    <row r="325" spans="14:15">
      <c r="N325" s="1776" t="s">
        <v>2563</v>
      </c>
      <c r="O325" s="1777" t="s">
        <v>2564</v>
      </c>
    </row>
    <row r="326" spans="14:15">
      <c r="N326" s="1776" t="s">
        <v>2568</v>
      </c>
      <c r="O326" s="1777" t="s">
        <v>2570</v>
      </c>
    </row>
    <row r="327" spans="14:15">
      <c r="N327" s="1776" t="s">
        <v>2578</v>
      </c>
      <c r="O327" s="1777" t="s">
        <v>2579</v>
      </c>
    </row>
    <row r="328" spans="14:15">
      <c r="N328" s="1776" t="s">
        <v>2608</v>
      </c>
      <c r="O328" s="1777" t="s">
        <v>2609</v>
      </c>
    </row>
    <row r="329" spans="14:15">
      <c r="N329" s="1776" t="s">
        <v>2615</v>
      </c>
      <c r="O329" s="1777" t="s">
        <v>5966</v>
      </c>
    </row>
    <row r="330" spans="14:15">
      <c r="N330" s="1776" t="s">
        <v>2620</v>
      </c>
      <c r="O330" s="1777" t="s">
        <v>5967</v>
      </c>
    </row>
    <row r="331" spans="14:15">
      <c r="N331" s="1776" t="s">
        <v>2626</v>
      </c>
      <c r="O331" s="1777" t="s">
        <v>2627</v>
      </c>
    </row>
    <row r="332" spans="14:15">
      <c r="N332" s="1776" t="s">
        <v>2633</v>
      </c>
      <c r="O332" s="1777" t="s">
        <v>2634</v>
      </c>
    </row>
    <row r="333" spans="14:15">
      <c r="N333" s="1776" t="s">
        <v>2637</v>
      </c>
      <c r="O333" s="1777" t="s">
        <v>2639</v>
      </c>
    </row>
    <row r="334" spans="14:15">
      <c r="N334" s="1776" t="s">
        <v>2644</v>
      </c>
      <c r="O334" s="1777" t="s">
        <v>2645</v>
      </c>
    </row>
    <row r="335" spans="14:15">
      <c r="N335" s="1776" t="s">
        <v>2652</v>
      </c>
      <c r="O335" s="1777" t="s">
        <v>2653</v>
      </c>
    </row>
    <row r="336" spans="14:15">
      <c r="N336" s="1776" t="s">
        <v>2658</v>
      </c>
      <c r="O336" s="1777" t="s">
        <v>2659</v>
      </c>
    </row>
    <row r="337" spans="14:15">
      <c r="N337" s="1778" t="s">
        <v>5268</v>
      </c>
      <c r="O337" s="1779" t="s">
        <v>5269</v>
      </c>
    </row>
    <row r="338" spans="14:15">
      <c r="N338" s="1778" t="s">
        <v>5275</v>
      </c>
      <c r="O338" s="1779" t="s">
        <v>5276</v>
      </c>
    </row>
    <row r="339" spans="14:15">
      <c r="N339" s="1778" t="s">
        <v>5766</v>
      </c>
      <c r="O339" s="1779" t="s">
        <v>5767</v>
      </c>
    </row>
    <row r="340" spans="14:15">
      <c r="N340" s="1778" t="s">
        <v>5284</v>
      </c>
      <c r="O340" s="1779" t="s">
        <v>5285</v>
      </c>
    </row>
    <row r="341" spans="14:15">
      <c r="N341" s="1778" t="s">
        <v>5292</v>
      </c>
      <c r="O341" s="1779" t="s">
        <v>5293</v>
      </c>
    </row>
    <row r="342" spans="14:15">
      <c r="N342" s="1778" t="s">
        <v>5301</v>
      </c>
      <c r="O342" s="1779" t="s">
        <v>5302</v>
      </c>
    </row>
    <row r="343" spans="14:15">
      <c r="N343" s="1776" t="s">
        <v>5194</v>
      </c>
      <c r="O343" s="1777" t="s">
        <v>5195</v>
      </c>
    </row>
    <row r="344" spans="14:15">
      <c r="N344" s="1778" t="s">
        <v>5303</v>
      </c>
      <c r="O344" s="1779" t="s">
        <v>5304</v>
      </c>
    </row>
    <row r="345" spans="14:15">
      <c r="N345" s="1778" t="s">
        <v>5775</v>
      </c>
      <c r="O345" s="1779" t="s">
        <v>5776</v>
      </c>
    </row>
    <row r="346" spans="14:15">
      <c r="N346" s="1778" t="s">
        <v>5312</v>
      </c>
      <c r="O346" s="1779" t="s">
        <v>5313</v>
      </c>
    </row>
    <row r="347" spans="14:15">
      <c r="N347" s="1778" t="s">
        <v>5320</v>
      </c>
      <c r="O347" s="1779" t="s">
        <v>2505</v>
      </c>
    </row>
    <row r="348" spans="14:15">
      <c r="N348" s="1778" t="s">
        <v>5328</v>
      </c>
      <c r="O348" s="1779" t="s">
        <v>5329</v>
      </c>
    </row>
    <row r="349" spans="14:15">
      <c r="N349" s="1778" t="s">
        <v>5339</v>
      </c>
      <c r="O349" s="1779" t="s">
        <v>5340</v>
      </c>
    </row>
    <row r="350" spans="14:15">
      <c r="N350" s="1778" t="s">
        <v>5349</v>
      </c>
      <c r="O350" s="1779" t="s">
        <v>5936</v>
      </c>
    </row>
    <row r="351" spans="14:15">
      <c r="N351" s="1778" t="s">
        <v>5968</v>
      </c>
      <c r="O351" s="1779" t="s">
        <v>5969</v>
      </c>
    </row>
  </sheetData>
  <sheetProtection algorithmName="SHA-512" hashValue="YkqKaDSyrV3cYNk6eToDDJZaCCcSDJEH5/k8MmfjjpYfOjQHV48rp8hHvENpjrgyvqSny5y23LzvsQ9NlIoc3g==" saltValue="AZEo7NzB2lfvu9ketlyVDg==" spinCount="100000" sheet="1" objects="1" scenarios="1"/>
  <mergeCells count="16">
    <mergeCell ref="C16:H16"/>
    <mergeCell ref="A5:I5"/>
    <mergeCell ref="N20:O20"/>
    <mergeCell ref="D56:E56"/>
    <mergeCell ref="D6:G6"/>
    <mergeCell ref="D50:E50"/>
    <mergeCell ref="B8:F8"/>
    <mergeCell ref="B10:D10"/>
    <mergeCell ref="G8:I8"/>
    <mergeCell ref="F10:I11"/>
    <mergeCell ref="B12:D12"/>
    <mergeCell ref="C14:H14"/>
    <mergeCell ref="F12:I12"/>
    <mergeCell ref="C17:H17"/>
    <mergeCell ref="C15:H15"/>
    <mergeCell ref="A14:A16"/>
  </mergeCells>
  <phoneticPr fontId="15"/>
  <conditionalFormatting sqref="B29:C29">
    <cfRule type="expression" dxfId="859" priority="196">
      <formula>$B$35=""</formula>
    </cfRule>
  </conditionalFormatting>
  <conditionalFormatting sqref="B30:C30">
    <cfRule type="expression" dxfId="858" priority="9">
      <formula>$B$36=""</formula>
    </cfRule>
  </conditionalFormatting>
  <conditionalFormatting sqref="F12">
    <cfRule type="expression" dxfId="857" priority="6">
      <formula>OR($B$12=$L$14,$B$12=$L$15)</formula>
    </cfRule>
  </conditionalFormatting>
  <conditionalFormatting sqref="B10:D10">
    <cfRule type="containsText" dxfId="856" priority="5" operator="containsText" text="昨年度報告に修正があります">
      <formula>NOT(ISERROR(SEARCH("昨年度報告に修正があります",B10)))</formula>
    </cfRule>
  </conditionalFormatting>
  <conditionalFormatting sqref="C14:H16">
    <cfRule type="expression" dxfId="855" priority="4">
      <formula>$B$12=$L$13</formula>
    </cfRule>
  </conditionalFormatting>
  <conditionalFormatting sqref="C17:H17">
    <cfRule type="expression" dxfId="854" priority="3">
      <formula>$B$12=$L$13</formula>
    </cfRule>
  </conditionalFormatting>
  <conditionalFormatting sqref="F10:I11">
    <cfRule type="expression" dxfId="853" priority="2">
      <formula>$B$10="昨年度報告に修正があります"</formula>
    </cfRule>
  </conditionalFormatting>
  <conditionalFormatting sqref="B14:B16">
    <cfRule type="expression" dxfId="852" priority="1">
      <formula>$B$12=$L$13</formula>
    </cfRule>
  </conditionalFormatting>
  <dataValidations count="3">
    <dataValidation type="whole" operator="greaterThanOrEqual" allowBlank="1" showInputMessage="1" showErrorMessage="1" sqref="B54" xr:uid="{00000000-0002-0000-0100-000000000000}">
      <formula1>1</formula1>
    </dataValidation>
    <dataValidation type="list" allowBlank="1" showInputMessage="1" showErrorMessage="1" sqref="B10:D10" xr:uid="{C2A77939-8F26-4FAE-A86C-232F761FFDC2}">
      <formula1>"昨年度報告に修正があります,修正ありません"</formula1>
    </dataValidation>
    <dataValidation type="list" allowBlank="1" showInputMessage="1" showErrorMessage="1" sqref="B12:D12" xr:uid="{A4F14503-5749-4F0F-9C4F-22686D9D3672}">
      <formula1>$L$12:$L$15</formula1>
    </dataValidation>
  </dataValidations>
  <pageMargins left="0.36" right="0.12" top="0.75" bottom="0.75" header="0.3" footer="0.3"/>
  <pageSetup paperSize="9" scale="17" orientation="portrait" verticalDpi="1200" r:id="rId1"/>
  <ignoredErrors>
    <ignoredError sqref="C14:C15 C16" unlockedFormula="1"/>
  </ignoredError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
  <dimension ref="A1:Z152"/>
  <sheetViews>
    <sheetView showGridLines="0" topLeftCell="A37" workbookViewId="0">
      <selection activeCell="B6" sqref="B6:E9"/>
    </sheetView>
  </sheetViews>
  <sheetFormatPr defaultColWidth="9" defaultRowHeight="12"/>
  <cols>
    <col min="1" max="1" width="2.875" style="2" customWidth="1"/>
    <col min="2" max="3" width="3.875" style="15" customWidth="1"/>
    <col min="4" max="4" width="3.625" style="15" customWidth="1"/>
    <col min="5" max="5" width="6.25" style="2" customWidth="1"/>
    <col min="6" max="6" width="32.625" style="2" customWidth="1"/>
    <col min="7" max="7" width="9.625" style="2" customWidth="1"/>
    <col min="8" max="8" width="3.625" style="88" customWidth="1"/>
    <col min="9" max="9" width="9.625" style="88" customWidth="1"/>
    <col min="10" max="10" width="3.625" style="88" customWidth="1"/>
    <col min="11" max="11" width="9.625" style="88" customWidth="1"/>
    <col min="12" max="12" width="13.625" style="5" customWidth="1"/>
    <col min="13" max="13" width="43.875" style="25" customWidth="1"/>
    <col min="14" max="16" width="9" style="2" hidden="1" customWidth="1"/>
    <col min="17" max="20" width="9" style="5" hidden="1" customWidth="1"/>
    <col min="21" max="21" width="9" style="2" hidden="1" customWidth="1"/>
    <col min="22" max="26" width="9" style="2" customWidth="1"/>
    <col min="27" max="16384" width="9" style="2"/>
  </cols>
  <sheetData>
    <row r="1" spans="1:26" ht="12" customHeight="1">
      <c r="A1" s="1" t="s">
        <v>547</v>
      </c>
      <c r="M1" s="3204"/>
      <c r="N1" s="182"/>
      <c r="O1" s="182"/>
      <c r="P1" s="182"/>
      <c r="Q1" s="184"/>
      <c r="R1" s="184"/>
      <c r="S1" s="184"/>
      <c r="T1" s="184"/>
      <c r="U1" s="182"/>
      <c r="V1" s="182"/>
      <c r="W1" s="182"/>
      <c r="X1" s="182"/>
    </row>
    <row r="2" spans="1:26" ht="12" customHeight="1">
      <c r="A2" s="2" t="s">
        <v>119</v>
      </c>
      <c r="B2" s="4"/>
      <c r="C2" s="4"/>
      <c r="D2" s="4"/>
      <c r="E2" s="4"/>
      <c r="F2" s="4"/>
      <c r="G2" s="4"/>
      <c r="M2" s="3204"/>
      <c r="N2" s="182"/>
      <c r="O2" s="182"/>
      <c r="P2" s="182"/>
      <c r="Q2" s="184"/>
      <c r="R2" s="184"/>
      <c r="S2" s="184"/>
      <c r="T2" s="184"/>
      <c r="U2" s="182"/>
      <c r="V2" s="182"/>
      <c r="W2" s="182"/>
      <c r="X2" s="182"/>
    </row>
    <row r="3" spans="1:26" s="6" customFormat="1" ht="12.75" customHeight="1">
      <c r="A3" s="50" t="s">
        <v>549</v>
      </c>
      <c r="B3" s="89"/>
      <c r="C3" s="89"/>
      <c r="D3" s="89"/>
      <c r="E3" s="16"/>
      <c r="F3" s="16"/>
      <c r="G3" s="16"/>
      <c r="H3" s="22"/>
      <c r="I3" s="22"/>
      <c r="J3" s="90"/>
      <c r="K3" s="90"/>
      <c r="L3" s="107"/>
      <c r="M3" s="3204"/>
      <c r="N3" s="165"/>
      <c r="O3" s="165"/>
      <c r="P3" s="165"/>
      <c r="Q3" s="172"/>
      <c r="R3" s="172"/>
      <c r="S3" s="172"/>
      <c r="T3" s="172"/>
      <c r="U3" s="170"/>
      <c r="V3" s="170"/>
      <c r="W3" s="170"/>
      <c r="X3" s="170"/>
      <c r="Y3" s="16"/>
      <c r="Z3" s="16"/>
    </row>
    <row r="4" spans="1:26" s="6" customFormat="1" ht="15.2" customHeight="1">
      <c r="A4" s="3179" t="s">
        <v>184</v>
      </c>
      <c r="B4" s="3179"/>
      <c r="C4" s="3179"/>
      <c r="D4" s="3179"/>
      <c r="E4" s="3179"/>
      <c r="F4" s="3196" t="s">
        <v>302</v>
      </c>
      <c r="G4" s="3198" t="s">
        <v>303</v>
      </c>
      <c r="H4" s="3205" t="s">
        <v>544</v>
      </c>
      <c r="I4" s="3205"/>
      <c r="J4" s="3205"/>
      <c r="K4" s="3205"/>
      <c r="L4" s="3175" t="s">
        <v>141</v>
      </c>
      <c r="M4" s="3204"/>
      <c r="N4" s="186" t="s">
        <v>308</v>
      </c>
      <c r="O4" s="186" t="s">
        <v>304</v>
      </c>
      <c r="P4" s="187" t="s">
        <v>130</v>
      </c>
      <c r="Q4" s="172"/>
      <c r="R4" s="172"/>
      <c r="S4" s="172"/>
      <c r="T4" s="172"/>
      <c r="U4" s="170"/>
      <c r="V4" s="170"/>
      <c r="W4" s="170"/>
      <c r="X4" s="170"/>
      <c r="Y4" s="16"/>
      <c r="Z4" s="16"/>
    </row>
    <row r="5" spans="1:26" s="6" customFormat="1" ht="23.25" customHeight="1">
      <c r="A5" s="3181"/>
      <c r="B5" s="3181"/>
      <c r="C5" s="3181"/>
      <c r="D5" s="3181"/>
      <c r="E5" s="3181"/>
      <c r="F5" s="3197"/>
      <c r="G5" s="3199"/>
      <c r="H5" s="3199" t="s">
        <v>305</v>
      </c>
      <c r="I5" s="3209"/>
      <c r="J5" s="3176" t="s">
        <v>306</v>
      </c>
      <c r="K5" s="3176"/>
      <c r="L5" s="3176"/>
      <c r="M5" s="3204"/>
      <c r="N5" s="188" t="s">
        <v>543</v>
      </c>
      <c r="O5" s="188" t="s">
        <v>543</v>
      </c>
      <c r="P5" s="188" t="s">
        <v>543</v>
      </c>
      <c r="Q5" s="172"/>
      <c r="R5" s="172"/>
      <c r="S5" s="172"/>
      <c r="T5" s="172"/>
      <c r="U5" s="170"/>
      <c r="V5" s="170"/>
      <c r="W5" s="170"/>
      <c r="X5" s="170"/>
      <c r="Y5" s="16"/>
      <c r="Z5" s="16"/>
    </row>
    <row r="6" spans="1:26" s="6" customFormat="1" ht="21.95" customHeight="1">
      <c r="A6" s="3179">
        <v>1</v>
      </c>
      <c r="B6" s="3210" t="s">
        <v>135</v>
      </c>
      <c r="C6" s="3210"/>
      <c r="D6" s="3210"/>
      <c r="E6" s="3210"/>
      <c r="F6" s="3213" t="s">
        <v>307</v>
      </c>
      <c r="G6" s="3215"/>
      <c r="H6" s="343"/>
      <c r="I6" s="92" t="s">
        <v>308</v>
      </c>
      <c r="J6" s="343"/>
      <c r="K6" s="93" t="s">
        <v>130</v>
      </c>
      <c r="L6" s="3208"/>
      <c r="M6" s="183"/>
      <c r="N6" s="188" t="s">
        <v>548</v>
      </c>
      <c r="O6" s="188" t="s">
        <v>548</v>
      </c>
      <c r="P6" s="188" t="s">
        <v>548</v>
      </c>
      <c r="Q6" s="172"/>
      <c r="R6" s="172"/>
      <c r="S6" s="172"/>
      <c r="T6" s="172"/>
      <c r="U6" s="170"/>
      <c r="V6" s="170"/>
      <c r="W6" s="170"/>
      <c r="X6" s="170"/>
      <c r="Y6" s="16"/>
      <c r="Z6" s="16"/>
    </row>
    <row r="7" spans="1:26" s="6" customFormat="1" ht="21.95" customHeight="1">
      <c r="A7" s="3180"/>
      <c r="B7" s="3211"/>
      <c r="C7" s="3211"/>
      <c r="D7" s="3211"/>
      <c r="E7" s="3211"/>
      <c r="F7" s="3195"/>
      <c r="G7" s="3206"/>
      <c r="H7" s="344"/>
      <c r="I7" s="94" t="s">
        <v>543</v>
      </c>
      <c r="J7" s="344"/>
      <c r="K7" s="95" t="s">
        <v>543</v>
      </c>
      <c r="L7" s="3164"/>
      <c r="M7" s="183"/>
      <c r="N7" s="188" t="s">
        <v>179</v>
      </c>
      <c r="O7" s="188" t="s">
        <v>179</v>
      </c>
      <c r="P7" s="188" t="s">
        <v>179</v>
      </c>
      <c r="Q7" s="172"/>
      <c r="R7" s="172"/>
      <c r="S7" s="172"/>
      <c r="T7" s="172"/>
      <c r="U7" s="170"/>
      <c r="V7" s="170"/>
      <c r="W7" s="170"/>
      <c r="X7" s="170"/>
      <c r="Y7" s="16"/>
      <c r="Z7" s="16"/>
    </row>
    <row r="8" spans="1:26" s="6" customFormat="1" ht="21.95" customHeight="1">
      <c r="A8" s="3180"/>
      <c r="B8" s="3211"/>
      <c r="C8" s="3211"/>
      <c r="D8" s="3211"/>
      <c r="E8" s="3211"/>
      <c r="F8" s="3195"/>
      <c r="G8" s="3206"/>
      <c r="H8" s="344"/>
      <c r="I8" s="94" t="s">
        <v>542</v>
      </c>
      <c r="J8" s="344"/>
      <c r="K8" s="95" t="s">
        <v>542</v>
      </c>
      <c r="L8" s="3164"/>
      <c r="M8" s="183"/>
      <c r="N8" s="188"/>
      <c r="O8" s="188"/>
      <c r="P8" s="171"/>
      <c r="Q8" s="172"/>
      <c r="R8" s="172"/>
      <c r="S8" s="172"/>
      <c r="T8" s="172"/>
      <c r="U8" s="170"/>
      <c r="V8" s="170"/>
      <c r="W8" s="170"/>
      <c r="X8" s="170"/>
      <c r="Y8" s="16"/>
      <c r="Z8" s="16"/>
    </row>
    <row r="9" spans="1:26" s="6" customFormat="1" ht="21.95" customHeight="1">
      <c r="A9" s="3203"/>
      <c r="B9" s="3212"/>
      <c r="C9" s="3212"/>
      <c r="D9" s="3212"/>
      <c r="E9" s="3212"/>
      <c r="F9" s="3214"/>
      <c r="G9" s="3207"/>
      <c r="H9" s="345"/>
      <c r="I9" s="17" t="s">
        <v>179</v>
      </c>
      <c r="J9" s="345"/>
      <c r="K9" s="18" t="s">
        <v>179</v>
      </c>
      <c r="L9" s="3169"/>
      <c r="M9" s="189"/>
      <c r="N9" s="165"/>
      <c r="O9" s="165"/>
      <c r="P9" s="171"/>
      <c r="Q9" s="190"/>
      <c r="R9" s="190"/>
      <c r="S9" s="172" t="str">
        <f>IFERROR(CHOOSE(Q9,$N$4,$N$5,$N$6,$N$7),"")</f>
        <v/>
      </c>
      <c r="T9" s="172" t="str">
        <f t="shared" ref="T9:Z9" si="0">IFERROR(CHOOSE(R9,$P$4,$P$5,$P$6,$P$7),"")</f>
        <v/>
      </c>
      <c r="U9" s="170" t="str">
        <f t="shared" si="0"/>
        <v/>
      </c>
      <c r="V9" s="170" t="str">
        <f t="shared" si="0"/>
        <v/>
      </c>
      <c r="W9" s="170" t="str">
        <f t="shared" si="0"/>
        <v/>
      </c>
      <c r="X9" s="170" t="str">
        <f t="shared" si="0"/>
        <v/>
      </c>
      <c r="Y9" s="16" t="str">
        <f t="shared" si="0"/>
        <v/>
      </c>
      <c r="Z9" s="16" t="str">
        <f t="shared" si="0"/>
        <v/>
      </c>
    </row>
    <row r="10" spans="1:26" s="6" customFormat="1" ht="21.95" customHeight="1">
      <c r="A10" s="3161">
        <v>2</v>
      </c>
      <c r="B10" s="3183" t="s">
        <v>313</v>
      </c>
      <c r="C10" s="3183"/>
      <c r="D10" s="3183"/>
      <c r="E10" s="3183"/>
      <c r="F10" s="3183" t="s">
        <v>314</v>
      </c>
      <c r="G10" s="3206"/>
      <c r="H10" s="344"/>
      <c r="I10" s="94" t="s">
        <v>304</v>
      </c>
      <c r="J10" s="344"/>
      <c r="K10" s="95" t="s">
        <v>130</v>
      </c>
      <c r="L10" s="3170"/>
      <c r="M10" s="189"/>
      <c r="N10" s="188"/>
      <c r="O10" s="188"/>
      <c r="P10" s="171"/>
      <c r="Q10" s="190"/>
      <c r="R10" s="190"/>
      <c r="S10" s="172"/>
      <c r="T10" s="172"/>
      <c r="U10" s="170"/>
      <c r="V10" s="170"/>
      <c r="W10" s="170"/>
      <c r="X10" s="170"/>
      <c r="Y10" s="16"/>
      <c r="Z10" s="16"/>
    </row>
    <row r="11" spans="1:26" s="6" customFormat="1" ht="21.95" customHeight="1">
      <c r="A11" s="3161"/>
      <c r="B11" s="3183"/>
      <c r="C11" s="3183"/>
      <c r="D11" s="3183"/>
      <c r="E11" s="3183"/>
      <c r="F11" s="3183"/>
      <c r="G11" s="3206"/>
      <c r="H11" s="344"/>
      <c r="I11" s="94" t="s">
        <v>543</v>
      </c>
      <c r="J11" s="344"/>
      <c r="K11" s="95" t="s">
        <v>543</v>
      </c>
      <c r="L11" s="3170"/>
      <c r="M11" s="189"/>
      <c r="N11" s="188"/>
      <c r="O11" s="188"/>
      <c r="P11" s="171"/>
      <c r="Q11" s="190"/>
      <c r="R11" s="190"/>
      <c r="S11" s="172"/>
      <c r="T11" s="172"/>
      <c r="U11" s="170"/>
      <c r="V11" s="170"/>
      <c r="W11" s="170"/>
      <c r="X11" s="170"/>
      <c r="Y11" s="16"/>
      <c r="Z11" s="16"/>
    </row>
    <row r="12" spans="1:26" s="6" customFormat="1" ht="21.95" customHeight="1">
      <c r="A12" s="3161"/>
      <c r="B12" s="3183"/>
      <c r="C12" s="3183"/>
      <c r="D12" s="3183"/>
      <c r="E12" s="3183"/>
      <c r="F12" s="3183"/>
      <c r="G12" s="3206"/>
      <c r="H12" s="344"/>
      <c r="I12" s="94" t="s">
        <v>542</v>
      </c>
      <c r="J12" s="344"/>
      <c r="K12" s="95" t="s">
        <v>542</v>
      </c>
      <c r="L12" s="3170"/>
      <c r="M12" s="189"/>
      <c r="N12" s="188"/>
      <c r="O12" s="188"/>
      <c r="P12" s="171"/>
      <c r="Q12" s="190"/>
      <c r="R12" s="190"/>
      <c r="S12" s="172"/>
      <c r="T12" s="172"/>
      <c r="U12" s="170"/>
      <c r="V12" s="170"/>
      <c r="W12" s="170"/>
      <c r="X12" s="170"/>
      <c r="Y12" s="16"/>
      <c r="Z12" s="16"/>
    </row>
    <row r="13" spans="1:26" s="16" customFormat="1" ht="21.95" customHeight="1">
      <c r="A13" s="3161"/>
      <c r="B13" s="3183"/>
      <c r="C13" s="3183"/>
      <c r="D13" s="3183"/>
      <c r="E13" s="3183"/>
      <c r="F13" s="3183"/>
      <c r="G13" s="3207"/>
      <c r="H13" s="344"/>
      <c r="I13" s="24" t="s">
        <v>179</v>
      </c>
      <c r="J13" s="344"/>
      <c r="K13" s="115" t="s">
        <v>179</v>
      </c>
      <c r="L13" s="3170"/>
      <c r="M13" s="191"/>
      <c r="N13" s="170"/>
      <c r="O13" s="170"/>
      <c r="P13" s="170"/>
      <c r="Q13" s="190"/>
      <c r="R13" s="190"/>
      <c r="S13" s="172" t="str">
        <f>IFERROR(CHOOSE(Q13,$O$4,$O$5,$O$6,$O$7),"")</f>
        <v/>
      </c>
      <c r="T13" s="172" t="str">
        <f t="shared" ref="T13:Z13" si="1">IFERROR(CHOOSE(R13,$P$4,$P$5,$P$6,$P$7),"")</f>
        <v/>
      </c>
      <c r="U13" s="170" t="str">
        <f t="shared" si="1"/>
        <v/>
      </c>
      <c r="V13" s="170" t="str">
        <f t="shared" si="1"/>
        <v/>
      </c>
      <c r="W13" s="170" t="str">
        <f t="shared" si="1"/>
        <v/>
      </c>
      <c r="X13" s="170" t="str">
        <f t="shared" si="1"/>
        <v/>
      </c>
      <c r="Y13" s="16" t="str">
        <f t="shared" si="1"/>
        <v/>
      </c>
      <c r="Z13" s="16" t="str">
        <f t="shared" si="1"/>
        <v/>
      </c>
    </row>
    <row r="14" spans="1:26" s="16" customFormat="1" ht="21.95" customHeight="1">
      <c r="A14" s="3166">
        <v>3</v>
      </c>
      <c r="B14" s="3191" t="s">
        <v>316</v>
      </c>
      <c r="C14" s="3191"/>
      <c r="D14" s="3191"/>
      <c r="E14" s="3191"/>
      <c r="F14" s="3191" t="s">
        <v>317</v>
      </c>
      <c r="G14" s="2836" t="s">
        <v>318</v>
      </c>
      <c r="H14" s="346"/>
      <c r="I14" s="96" t="s">
        <v>304</v>
      </c>
      <c r="J14" s="346"/>
      <c r="K14" s="116" t="s">
        <v>130</v>
      </c>
      <c r="L14" s="3193"/>
      <c r="M14" s="191"/>
      <c r="N14" s="188"/>
      <c r="O14" s="188"/>
      <c r="P14" s="170"/>
      <c r="Q14" s="190"/>
      <c r="R14" s="190"/>
      <c r="S14" s="172"/>
      <c r="T14" s="172"/>
      <c r="U14" s="170"/>
      <c r="V14" s="170"/>
      <c r="W14" s="170"/>
      <c r="X14" s="170"/>
    </row>
    <row r="15" spans="1:26" s="16" customFormat="1" ht="21.95" customHeight="1">
      <c r="A15" s="3161"/>
      <c r="B15" s="3183"/>
      <c r="C15" s="3183"/>
      <c r="D15" s="3183"/>
      <c r="E15" s="3183"/>
      <c r="F15" s="3183"/>
      <c r="G15" s="2826"/>
      <c r="H15" s="344"/>
      <c r="I15" s="94" t="s">
        <v>543</v>
      </c>
      <c r="J15" s="344"/>
      <c r="K15" s="95" t="s">
        <v>543</v>
      </c>
      <c r="L15" s="3170"/>
      <c r="M15" s="191"/>
      <c r="N15" s="188"/>
      <c r="O15" s="188"/>
      <c r="P15" s="170"/>
      <c r="Q15" s="190"/>
      <c r="R15" s="190"/>
      <c r="S15" s="172"/>
      <c r="T15" s="172"/>
      <c r="U15" s="170"/>
      <c r="V15" s="170"/>
      <c r="W15" s="170"/>
      <c r="X15" s="170"/>
    </row>
    <row r="16" spans="1:26" s="16" customFormat="1" ht="21.95" customHeight="1">
      <c r="A16" s="3161"/>
      <c r="B16" s="3183"/>
      <c r="C16" s="3183"/>
      <c r="D16" s="3183"/>
      <c r="E16" s="3183"/>
      <c r="F16" s="3183"/>
      <c r="G16" s="2826"/>
      <c r="H16" s="344"/>
      <c r="I16" s="94" t="s">
        <v>542</v>
      </c>
      <c r="J16" s="344"/>
      <c r="K16" s="95" t="s">
        <v>542</v>
      </c>
      <c r="L16" s="3170"/>
      <c r="M16" s="191"/>
      <c r="N16" s="188"/>
      <c r="O16" s="188"/>
      <c r="P16" s="170"/>
      <c r="Q16" s="190"/>
      <c r="R16" s="190"/>
      <c r="S16" s="172"/>
      <c r="T16" s="172"/>
      <c r="U16" s="170"/>
      <c r="V16" s="170"/>
      <c r="W16" s="170"/>
      <c r="X16" s="170"/>
    </row>
    <row r="17" spans="1:26" s="16" customFormat="1" ht="21.95" customHeight="1">
      <c r="A17" s="3167"/>
      <c r="B17" s="3192"/>
      <c r="C17" s="3192"/>
      <c r="D17" s="3192"/>
      <c r="E17" s="3192"/>
      <c r="F17" s="3192"/>
      <c r="G17" s="2835"/>
      <c r="H17" s="345"/>
      <c r="I17" s="17" t="s">
        <v>179</v>
      </c>
      <c r="J17" s="345"/>
      <c r="K17" s="18" t="s">
        <v>179</v>
      </c>
      <c r="L17" s="3194"/>
      <c r="M17" s="189"/>
      <c r="N17" s="170"/>
      <c r="O17" s="170"/>
      <c r="P17" s="170"/>
      <c r="Q17" s="190"/>
      <c r="R17" s="190"/>
      <c r="S17" s="172" t="str">
        <f>IFERROR(CHOOSE(Q17,$O$4,$O$5,$O$6,$O$7),"")</f>
        <v/>
      </c>
      <c r="T17" s="172" t="str">
        <f t="shared" ref="T17:Z17" si="2">IFERROR(CHOOSE(R17,$P$4,$P$5,$P$6,$P$7),"")</f>
        <v/>
      </c>
      <c r="U17" s="170" t="str">
        <f t="shared" si="2"/>
        <v/>
      </c>
      <c r="V17" s="170" t="str">
        <f t="shared" si="2"/>
        <v/>
      </c>
      <c r="W17" s="170" t="str">
        <f t="shared" si="2"/>
        <v/>
      </c>
      <c r="X17" s="170" t="str">
        <f t="shared" si="2"/>
        <v/>
      </c>
      <c r="Y17" s="16" t="str">
        <f t="shared" si="2"/>
        <v/>
      </c>
      <c r="Z17" s="16" t="str">
        <f t="shared" si="2"/>
        <v/>
      </c>
    </row>
    <row r="18" spans="1:26" s="16" customFormat="1" ht="21.95" customHeight="1">
      <c r="A18" s="3180">
        <v>4</v>
      </c>
      <c r="B18" s="3183" t="s">
        <v>319</v>
      </c>
      <c r="C18" s="3183"/>
      <c r="D18" s="3183"/>
      <c r="E18" s="3183"/>
      <c r="F18" s="3183" t="s">
        <v>320</v>
      </c>
      <c r="G18" s="2826" t="s">
        <v>321</v>
      </c>
      <c r="H18" s="344"/>
      <c r="I18" s="94" t="s">
        <v>304</v>
      </c>
      <c r="J18" s="344"/>
      <c r="K18" s="95" t="s">
        <v>130</v>
      </c>
      <c r="L18" s="3170"/>
      <c r="M18" s="189"/>
      <c r="N18" s="170"/>
      <c r="O18" s="170"/>
      <c r="P18" s="170"/>
      <c r="Q18" s="190"/>
      <c r="R18" s="190"/>
      <c r="S18" s="172"/>
      <c r="T18" s="172"/>
      <c r="U18" s="170"/>
      <c r="V18" s="170"/>
      <c r="W18" s="170"/>
      <c r="X18" s="170"/>
    </row>
    <row r="19" spans="1:26" s="16" customFormat="1" ht="21.95" customHeight="1">
      <c r="A19" s="3180"/>
      <c r="B19" s="3183"/>
      <c r="C19" s="3183"/>
      <c r="D19" s="3183"/>
      <c r="E19" s="3183"/>
      <c r="F19" s="3183"/>
      <c r="G19" s="2826"/>
      <c r="H19" s="344"/>
      <c r="I19" s="94" t="s">
        <v>543</v>
      </c>
      <c r="J19" s="344"/>
      <c r="K19" s="95" t="s">
        <v>543</v>
      </c>
      <c r="L19" s="3170"/>
      <c r="M19" s="189"/>
      <c r="N19" s="170"/>
      <c r="O19" s="170"/>
      <c r="P19" s="170"/>
      <c r="Q19" s="190"/>
      <c r="R19" s="190"/>
      <c r="S19" s="172"/>
      <c r="T19" s="172"/>
      <c r="U19" s="170"/>
      <c r="V19" s="170"/>
      <c r="W19" s="170"/>
      <c r="X19" s="170"/>
    </row>
    <row r="20" spans="1:26" s="16" customFormat="1" ht="21.95" customHeight="1">
      <c r="A20" s="3180"/>
      <c r="B20" s="3183"/>
      <c r="C20" s="3183"/>
      <c r="D20" s="3183"/>
      <c r="E20" s="3183"/>
      <c r="F20" s="3183"/>
      <c r="G20" s="2826"/>
      <c r="H20" s="344"/>
      <c r="I20" s="94" t="s">
        <v>542</v>
      </c>
      <c r="J20" s="344"/>
      <c r="K20" s="95" t="s">
        <v>542</v>
      </c>
      <c r="L20" s="3170"/>
      <c r="M20" s="189"/>
      <c r="N20" s="170"/>
      <c r="O20" s="170"/>
      <c r="P20" s="170"/>
      <c r="Q20" s="190"/>
      <c r="R20" s="190"/>
      <c r="S20" s="172"/>
      <c r="T20" s="172"/>
      <c r="U20" s="170"/>
      <c r="V20" s="170"/>
      <c r="W20" s="170"/>
      <c r="X20" s="170"/>
    </row>
    <row r="21" spans="1:26" s="16" customFormat="1" ht="21.95" customHeight="1">
      <c r="A21" s="3180"/>
      <c r="B21" s="3183"/>
      <c r="C21" s="3183"/>
      <c r="D21" s="3183"/>
      <c r="E21" s="3183"/>
      <c r="F21" s="3183"/>
      <c r="G21" s="2826"/>
      <c r="H21" s="344"/>
      <c r="I21" s="24" t="s">
        <v>179</v>
      </c>
      <c r="J21" s="344"/>
      <c r="K21" s="115" t="s">
        <v>179</v>
      </c>
      <c r="L21" s="3170"/>
      <c r="M21" s="189"/>
      <c r="N21" s="170"/>
      <c r="O21" s="170"/>
      <c r="P21" s="170"/>
      <c r="Q21" s="190"/>
      <c r="R21" s="190"/>
      <c r="S21" s="172" t="str">
        <f>IFERROR(CHOOSE(Q21,$O$4,$O$5,$O$6,$O$7),"")</f>
        <v/>
      </c>
      <c r="T21" s="172" t="str">
        <f t="shared" ref="T21:Z21" si="3">IFERROR(CHOOSE(R21,$P$4,$P$5,$P$6,$P$7),"")</f>
        <v/>
      </c>
      <c r="U21" s="170" t="str">
        <f t="shared" si="3"/>
        <v/>
      </c>
      <c r="V21" s="170" t="str">
        <f t="shared" si="3"/>
        <v/>
      </c>
      <c r="W21" s="170" t="str">
        <f t="shared" si="3"/>
        <v/>
      </c>
      <c r="X21" s="170" t="str">
        <f t="shared" si="3"/>
        <v/>
      </c>
      <c r="Y21" s="16" t="str">
        <f t="shared" si="3"/>
        <v/>
      </c>
      <c r="Z21" s="16" t="str">
        <f t="shared" si="3"/>
        <v/>
      </c>
    </row>
    <row r="22" spans="1:26" s="16" customFormat="1" ht="21.95" customHeight="1">
      <c r="A22" s="3166">
        <v>5</v>
      </c>
      <c r="B22" s="3191" t="s">
        <v>322</v>
      </c>
      <c r="C22" s="3191"/>
      <c r="D22" s="3191"/>
      <c r="E22" s="3191"/>
      <c r="F22" s="3191" t="s">
        <v>323</v>
      </c>
      <c r="G22" s="2836" t="s">
        <v>324</v>
      </c>
      <c r="H22" s="346"/>
      <c r="I22" s="96" t="s">
        <v>304</v>
      </c>
      <c r="J22" s="346"/>
      <c r="K22" s="116" t="s">
        <v>130</v>
      </c>
      <c r="L22" s="3193"/>
      <c r="M22" s="189"/>
      <c r="N22" s="170"/>
      <c r="O22" s="170"/>
      <c r="P22" s="170"/>
      <c r="Q22" s="190"/>
      <c r="R22" s="190"/>
      <c r="S22" s="172"/>
      <c r="T22" s="172"/>
      <c r="U22" s="170"/>
      <c r="V22" s="170"/>
      <c r="W22" s="170"/>
      <c r="X22" s="170"/>
    </row>
    <row r="23" spans="1:26" s="16" customFormat="1" ht="21.95" customHeight="1">
      <c r="A23" s="3161"/>
      <c r="B23" s="3183"/>
      <c r="C23" s="3183"/>
      <c r="D23" s="3183"/>
      <c r="E23" s="3183"/>
      <c r="F23" s="3183"/>
      <c r="G23" s="2826"/>
      <c r="H23" s="344"/>
      <c r="I23" s="94" t="s">
        <v>543</v>
      </c>
      <c r="J23" s="344"/>
      <c r="K23" s="95" t="s">
        <v>543</v>
      </c>
      <c r="L23" s="3170"/>
      <c r="M23" s="189"/>
      <c r="N23" s="170"/>
      <c r="O23" s="170"/>
      <c r="P23" s="170"/>
      <c r="Q23" s="190"/>
      <c r="R23" s="190"/>
      <c r="S23" s="172"/>
      <c r="T23" s="172"/>
      <c r="U23" s="170"/>
      <c r="V23" s="170"/>
      <c r="W23" s="170"/>
      <c r="X23" s="170"/>
    </row>
    <row r="24" spans="1:26" s="16" customFormat="1" ht="21.95" customHeight="1">
      <c r="A24" s="3161"/>
      <c r="B24" s="3183"/>
      <c r="C24" s="3183"/>
      <c r="D24" s="3183"/>
      <c r="E24" s="3183"/>
      <c r="F24" s="3183"/>
      <c r="G24" s="2826"/>
      <c r="H24" s="344"/>
      <c r="I24" s="94" t="s">
        <v>542</v>
      </c>
      <c r="J24" s="344"/>
      <c r="K24" s="95" t="s">
        <v>542</v>
      </c>
      <c r="L24" s="3170"/>
      <c r="M24" s="189"/>
      <c r="N24" s="170"/>
      <c r="O24" s="170"/>
      <c r="P24" s="170"/>
      <c r="Q24" s="190"/>
      <c r="R24" s="190"/>
      <c r="S24" s="172"/>
      <c r="T24" s="172"/>
      <c r="U24" s="170"/>
      <c r="V24" s="170"/>
      <c r="W24" s="170"/>
      <c r="X24" s="170"/>
    </row>
    <row r="25" spans="1:26" s="16" customFormat="1" ht="21.95" customHeight="1">
      <c r="A25" s="3167"/>
      <c r="B25" s="3192"/>
      <c r="C25" s="3192"/>
      <c r="D25" s="3192"/>
      <c r="E25" s="3192"/>
      <c r="F25" s="3192"/>
      <c r="G25" s="2835"/>
      <c r="H25" s="345"/>
      <c r="I25" s="17" t="s">
        <v>179</v>
      </c>
      <c r="J25" s="345"/>
      <c r="K25" s="18" t="s">
        <v>179</v>
      </c>
      <c r="L25" s="3194"/>
      <c r="M25" s="189"/>
      <c r="N25" s="170"/>
      <c r="O25" s="170"/>
      <c r="P25" s="170"/>
      <c r="Q25" s="190"/>
      <c r="R25" s="190"/>
      <c r="S25" s="172" t="str">
        <f>IFERROR(CHOOSE(Q25,$O$4,$O$5,$O$6,$O$7),"")</f>
        <v/>
      </c>
      <c r="T25" s="172" t="str">
        <f t="shared" ref="T25:Z25" si="4">IFERROR(CHOOSE(R25,$P$4,$P$5,$P$6,$P$7),"")</f>
        <v/>
      </c>
      <c r="U25" s="170" t="str">
        <f t="shared" si="4"/>
        <v/>
      </c>
      <c r="V25" s="170" t="str">
        <f t="shared" si="4"/>
        <v/>
      </c>
      <c r="W25" s="170" t="str">
        <f t="shared" si="4"/>
        <v/>
      </c>
      <c r="X25" s="170" t="str">
        <f t="shared" si="4"/>
        <v/>
      </c>
      <c r="Y25" s="16" t="str">
        <f t="shared" si="4"/>
        <v/>
      </c>
      <c r="Z25" s="16" t="str">
        <f t="shared" si="4"/>
        <v/>
      </c>
    </row>
    <row r="26" spans="1:26" s="16" customFormat="1" ht="21.95" customHeight="1">
      <c r="A26" s="3161">
        <v>6</v>
      </c>
      <c r="B26" s="3183" t="s">
        <v>325</v>
      </c>
      <c r="C26" s="3183"/>
      <c r="D26" s="3183"/>
      <c r="E26" s="3183"/>
      <c r="F26" s="3183" t="s">
        <v>326</v>
      </c>
      <c r="G26" s="2826" t="s">
        <v>327</v>
      </c>
      <c r="H26" s="344"/>
      <c r="I26" s="94" t="s">
        <v>304</v>
      </c>
      <c r="J26" s="344"/>
      <c r="K26" s="95" t="s">
        <v>130</v>
      </c>
      <c r="L26" s="3170"/>
      <c r="M26" s="189"/>
      <c r="N26" s="170"/>
      <c r="O26" s="170"/>
      <c r="P26" s="170"/>
      <c r="Q26" s="190"/>
      <c r="R26" s="190"/>
      <c r="S26" s="172"/>
      <c r="T26" s="172"/>
      <c r="U26" s="170"/>
      <c r="V26" s="170"/>
      <c r="W26" s="170"/>
      <c r="X26" s="170"/>
    </row>
    <row r="27" spans="1:26" s="16" customFormat="1" ht="21.95" customHeight="1">
      <c r="A27" s="3161"/>
      <c r="B27" s="3183"/>
      <c r="C27" s="3183"/>
      <c r="D27" s="3183"/>
      <c r="E27" s="3183"/>
      <c r="F27" s="3183"/>
      <c r="G27" s="2826"/>
      <c r="H27" s="344"/>
      <c r="I27" s="94" t="s">
        <v>543</v>
      </c>
      <c r="J27" s="344"/>
      <c r="K27" s="95" t="s">
        <v>543</v>
      </c>
      <c r="L27" s="3170"/>
      <c r="M27" s="189"/>
      <c r="N27" s="170"/>
      <c r="O27" s="170"/>
      <c r="P27" s="170"/>
      <c r="Q27" s="190"/>
      <c r="R27" s="190"/>
      <c r="S27" s="172"/>
      <c r="T27" s="172"/>
      <c r="U27" s="170"/>
      <c r="V27" s="170"/>
      <c r="W27" s="170"/>
      <c r="X27" s="170"/>
    </row>
    <row r="28" spans="1:26" s="16" customFormat="1" ht="21.95" customHeight="1">
      <c r="A28" s="3161"/>
      <c r="B28" s="3183"/>
      <c r="C28" s="3183"/>
      <c r="D28" s="3183"/>
      <c r="E28" s="3183"/>
      <c r="F28" s="3183"/>
      <c r="G28" s="2826"/>
      <c r="H28" s="344"/>
      <c r="I28" s="94" t="s">
        <v>542</v>
      </c>
      <c r="J28" s="344"/>
      <c r="K28" s="95" t="s">
        <v>542</v>
      </c>
      <c r="L28" s="3170"/>
      <c r="M28" s="189"/>
      <c r="N28" s="170"/>
      <c r="O28" s="170"/>
      <c r="P28" s="170"/>
      <c r="Q28" s="190"/>
      <c r="R28" s="190"/>
      <c r="S28" s="172"/>
      <c r="T28" s="172"/>
      <c r="U28" s="170"/>
      <c r="V28" s="170"/>
      <c r="W28" s="170"/>
      <c r="X28" s="170"/>
    </row>
    <row r="29" spans="1:26" s="16" customFormat="1" ht="21.95" customHeight="1">
      <c r="A29" s="3161"/>
      <c r="B29" s="3183"/>
      <c r="C29" s="3183"/>
      <c r="D29" s="3183"/>
      <c r="E29" s="3183"/>
      <c r="F29" s="3183"/>
      <c r="G29" s="2826"/>
      <c r="H29" s="344"/>
      <c r="I29" s="24" t="s">
        <v>179</v>
      </c>
      <c r="J29" s="344"/>
      <c r="K29" s="115" t="s">
        <v>179</v>
      </c>
      <c r="L29" s="3170"/>
      <c r="M29" s="189"/>
      <c r="N29" s="170"/>
      <c r="O29" s="170"/>
      <c r="P29" s="170"/>
      <c r="Q29" s="190"/>
      <c r="R29" s="190"/>
      <c r="S29" s="172" t="str">
        <f>IFERROR(CHOOSE(Q29,$O$4,$O$5,$O$6,$O$7),"")</f>
        <v/>
      </c>
      <c r="T29" s="172" t="str">
        <f t="shared" ref="T29:Z29" si="5">IFERROR(CHOOSE(R29,$P$4,$P$5,$P$6,$P$7),"")</f>
        <v/>
      </c>
      <c r="U29" s="170" t="str">
        <f t="shared" si="5"/>
        <v/>
      </c>
      <c r="V29" s="170" t="str">
        <f t="shared" si="5"/>
        <v/>
      </c>
      <c r="W29" s="170" t="str">
        <f t="shared" si="5"/>
        <v/>
      </c>
      <c r="X29" s="170" t="str">
        <f t="shared" si="5"/>
        <v/>
      </c>
      <c r="Y29" s="16" t="str">
        <f t="shared" si="5"/>
        <v/>
      </c>
      <c r="Z29" s="16" t="str">
        <f t="shared" si="5"/>
        <v/>
      </c>
    </row>
    <row r="30" spans="1:26" s="16" customFormat="1" ht="21.95" customHeight="1">
      <c r="A30" s="3202">
        <v>7</v>
      </c>
      <c r="B30" s="3191" t="s">
        <v>328</v>
      </c>
      <c r="C30" s="3191"/>
      <c r="D30" s="3191"/>
      <c r="E30" s="3191"/>
      <c r="F30" s="3191" t="s">
        <v>329</v>
      </c>
      <c r="G30" s="2836" t="s">
        <v>330</v>
      </c>
      <c r="H30" s="346"/>
      <c r="I30" s="96" t="s">
        <v>304</v>
      </c>
      <c r="J30" s="346"/>
      <c r="K30" s="116" t="s">
        <v>130</v>
      </c>
      <c r="L30" s="3193"/>
      <c r="M30" s="189"/>
      <c r="N30" s="170"/>
      <c r="O30" s="170"/>
      <c r="P30" s="170"/>
      <c r="Q30" s="190"/>
      <c r="R30" s="190"/>
      <c r="S30" s="172"/>
      <c r="T30" s="172"/>
      <c r="U30" s="170"/>
      <c r="V30" s="170"/>
      <c r="W30" s="170"/>
      <c r="X30" s="170"/>
    </row>
    <row r="31" spans="1:26" s="16" customFormat="1" ht="21.95" customHeight="1">
      <c r="A31" s="3180"/>
      <c r="B31" s="3183"/>
      <c r="C31" s="3183"/>
      <c r="D31" s="3183"/>
      <c r="E31" s="3183"/>
      <c r="F31" s="3183"/>
      <c r="G31" s="2826"/>
      <c r="H31" s="344"/>
      <c r="I31" s="94" t="s">
        <v>543</v>
      </c>
      <c r="J31" s="344"/>
      <c r="K31" s="95" t="s">
        <v>543</v>
      </c>
      <c r="L31" s="3170"/>
      <c r="M31" s="189"/>
      <c r="N31" s="170"/>
      <c r="O31" s="170"/>
      <c r="P31" s="170"/>
      <c r="Q31" s="190"/>
      <c r="R31" s="190"/>
      <c r="S31" s="172"/>
      <c r="T31" s="172"/>
      <c r="U31" s="170"/>
      <c r="V31" s="170"/>
      <c r="W31" s="170"/>
      <c r="X31" s="170"/>
    </row>
    <row r="32" spans="1:26" s="16" customFormat="1" ht="21.95" customHeight="1">
      <c r="A32" s="3180"/>
      <c r="B32" s="3183"/>
      <c r="C32" s="3183"/>
      <c r="D32" s="3183"/>
      <c r="E32" s="3183"/>
      <c r="F32" s="3183"/>
      <c r="G32" s="2826"/>
      <c r="H32" s="344"/>
      <c r="I32" s="94" t="s">
        <v>542</v>
      </c>
      <c r="J32" s="344"/>
      <c r="K32" s="95" t="s">
        <v>542</v>
      </c>
      <c r="L32" s="3170"/>
      <c r="M32" s="189"/>
      <c r="N32" s="170"/>
      <c r="O32" s="170"/>
      <c r="P32" s="170"/>
      <c r="Q32" s="190"/>
      <c r="R32" s="190"/>
      <c r="S32" s="172"/>
      <c r="T32" s="172"/>
      <c r="U32" s="170"/>
      <c r="V32" s="170"/>
      <c r="W32" s="170"/>
      <c r="X32" s="170"/>
    </row>
    <row r="33" spans="1:26" s="16" customFormat="1" ht="21.95" customHeight="1">
      <c r="A33" s="3203"/>
      <c r="B33" s="3192"/>
      <c r="C33" s="3192"/>
      <c r="D33" s="3192"/>
      <c r="E33" s="3192"/>
      <c r="F33" s="3192"/>
      <c r="G33" s="2835"/>
      <c r="H33" s="345"/>
      <c r="I33" s="17" t="s">
        <v>179</v>
      </c>
      <c r="J33" s="345"/>
      <c r="K33" s="18" t="s">
        <v>179</v>
      </c>
      <c r="L33" s="3194"/>
      <c r="M33" s="189"/>
      <c r="N33" s="170"/>
      <c r="O33" s="170"/>
      <c r="P33" s="170"/>
      <c r="Q33" s="190"/>
      <c r="R33" s="190"/>
      <c r="S33" s="172" t="str">
        <f>IFERROR(CHOOSE(Q33,$O$4,$O$5,$O$6,$O$7),"")</f>
        <v/>
      </c>
      <c r="T33" s="172" t="str">
        <f t="shared" ref="T33:Z33" si="6">IFERROR(CHOOSE(R33,$P$4,$P$5,$P$6,$P$7),"")</f>
        <v/>
      </c>
      <c r="U33" s="170" t="str">
        <f t="shared" si="6"/>
        <v/>
      </c>
      <c r="V33" s="170" t="str">
        <f t="shared" si="6"/>
        <v/>
      </c>
      <c r="W33" s="170" t="str">
        <f t="shared" si="6"/>
        <v/>
      </c>
      <c r="X33" s="170" t="str">
        <f t="shared" si="6"/>
        <v/>
      </c>
      <c r="Y33" s="16" t="str">
        <f t="shared" si="6"/>
        <v/>
      </c>
      <c r="Z33" s="16" t="str">
        <f t="shared" si="6"/>
        <v/>
      </c>
    </row>
    <row r="34" spans="1:26" s="16" customFormat="1" ht="21.95" customHeight="1">
      <c r="A34" s="3161">
        <v>8</v>
      </c>
      <c r="B34" s="3195" t="s">
        <v>331</v>
      </c>
      <c r="C34" s="3195"/>
      <c r="D34" s="3195"/>
      <c r="E34" s="3195"/>
      <c r="F34" s="3183" t="s">
        <v>332</v>
      </c>
      <c r="G34" s="2826" t="s">
        <v>333</v>
      </c>
      <c r="H34" s="344"/>
      <c r="I34" s="94" t="s">
        <v>304</v>
      </c>
      <c r="J34" s="344"/>
      <c r="K34" s="95" t="s">
        <v>130</v>
      </c>
      <c r="L34" s="3170"/>
      <c r="M34" s="189"/>
      <c r="N34" s="170"/>
      <c r="O34" s="170"/>
      <c r="P34" s="170"/>
      <c r="Q34" s="190"/>
      <c r="R34" s="190"/>
      <c r="S34" s="172"/>
      <c r="T34" s="172"/>
      <c r="U34" s="170"/>
      <c r="V34" s="170"/>
      <c r="W34" s="170"/>
      <c r="X34" s="170"/>
    </row>
    <row r="35" spans="1:26" s="16" customFormat="1" ht="21.95" customHeight="1">
      <c r="A35" s="3161"/>
      <c r="B35" s="3195"/>
      <c r="C35" s="3195"/>
      <c r="D35" s="3195"/>
      <c r="E35" s="3195"/>
      <c r="F35" s="3183"/>
      <c r="G35" s="2826"/>
      <c r="H35" s="344"/>
      <c r="I35" s="94" t="s">
        <v>543</v>
      </c>
      <c r="J35" s="344"/>
      <c r="K35" s="95" t="s">
        <v>543</v>
      </c>
      <c r="L35" s="3170"/>
      <c r="M35" s="189"/>
      <c r="N35" s="170"/>
      <c r="O35" s="170"/>
      <c r="P35" s="170"/>
      <c r="Q35" s="190"/>
      <c r="R35" s="190"/>
      <c r="S35" s="172"/>
      <c r="T35" s="172"/>
      <c r="U35" s="170"/>
      <c r="V35" s="170"/>
      <c r="W35" s="170"/>
      <c r="X35" s="170"/>
    </row>
    <row r="36" spans="1:26" s="16" customFormat="1" ht="21.95" customHeight="1">
      <c r="A36" s="3161"/>
      <c r="B36" s="3195"/>
      <c r="C36" s="3195"/>
      <c r="D36" s="3195"/>
      <c r="E36" s="3195"/>
      <c r="F36" s="3183"/>
      <c r="G36" s="2826"/>
      <c r="H36" s="344"/>
      <c r="I36" s="94" t="s">
        <v>542</v>
      </c>
      <c r="J36" s="344"/>
      <c r="K36" s="95" t="s">
        <v>542</v>
      </c>
      <c r="L36" s="3170"/>
      <c r="M36" s="189"/>
      <c r="N36" s="170"/>
      <c r="O36" s="170"/>
      <c r="P36" s="170"/>
      <c r="Q36" s="190"/>
      <c r="R36" s="190"/>
      <c r="S36" s="172"/>
      <c r="T36" s="172"/>
      <c r="U36" s="170"/>
      <c r="V36" s="170"/>
      <c r="W36" s="170"/>
      <c r="X36" s="170"/>
    </row>
    <row r="37" spans="1:26" s="16" customFormat="1" ht="21.95" customHeight="1">
      <c r="A37" s="3161"/>
      <c r="B37" s="3195"/>
      <c r="C37" s="3195"/>
      <c r="D37" s="3195"/>
      <c r="E37" s="3195"/>
      <c r="F37" s="3183"/>
      <c r="G37" s="2826"/>
      <c r="H37" s="344"/>
      <c r="I37" s="24" t="s">
        <v>179</v>
      </c>
      <c r="J37" s="344"/>
      <c r="K37" s="115" t="s">
        <v>179</v>
      </c>
      <c r="L37" s="3170"/>
      <c r="M37" s="189"/>
      <c r="N37" s="170"/>
      <c r="O37" s="170"/>
      <c r="P37" s="170"/>
      <c r="Q37" s="190"/>
      <c r="R37" s="190"/>
      <c r="S37" s="172" t="str">
        <f>IFERROR(CHOOSE(Q37,$O$4,$O$5,$O$6,$O$7),"")</f>
        <v/>
      </c>
      <c r="T37" s="172" t="str">
        <f t="shared" ref="T37:Z37" si="7">IFERROR(CHOOSE(R37,$P$4,$P$5,$P$6,$P$7),"")</f>
        <v/>
      </c>
      <c r="U37" s="170" t="str">
        <f t="shared" si="7"/>
        <v/>
      </c>
      <c r="V37" s="170" t="str">
        <f t="shared" si="7"/>
        <v/>
      </c>
      <c r="W37" s="170" t="str">
        <f t="shared" si="7"/>
        <v/>
      </c>
      <c r="X37" s="170" t="str">
        <f t="shared" si="7"/>
        <v/>
      </c>
      <c r="Y37" s="16" t="str">
        <f t="shared" si="7"/>
        <v/>
      </c>
      <c r="Z37" s="16" t="str">
        <f t="shared" si="7"/>
        <v/>
      </c>
    </row>
    <row r="38" spans="1:26" s="16" customFormat="1" ht="21.95" customHeight="1">
      <c r="A38" s="3166">
        <v>9</v>
      </c>
      <c r="B38" s="3191" t="s">
        <v>334</v>
      </c>
      <c r="C38" s="3191"/>
      <c r="D38" s="3191"/>
      <c r="E38" s="3191"/>
      <c r="F38" s="3191" t="s">
        <v>335</v>
      </c>
      <c r="G38" s="2836" t="s">
        <v>336</v>
      </c>
      <c r="H38" s="346"/>
      <c r="I38" s="96" t="s">
        <v>304</v>
      </c>
      <c r="J38" s="346"/>
      <c r="K38" s="116" t="s">
        <v>130</v>
      </c>
      <c r="L38" s="3193"/>
      <c r="M38" s="189"/>
      <c r="N38" s="170"/>
      <c r="O38" s="170"/>
      <c r="P38" s="170"/>
      <c r="Q38" s="190"/>
      <c r="R38" s="190"/>
      <c r="S38" s="172"/>
      <c r="T38" s="172"/>
      <c r="U38" s="170"/>
      <c r="V38" s="170"/>
      <c r="W38" s="170"/>
      <c r="X38" s="170"/>
    </row>
    <row r="39" spans="1:26" s="16" customFormat="1" ht="21.95" customHeight="1">
      <c r="A39" s="3161"/>
      <c r="B39" s="3183"/>
      <c r="C39" s="3183"/>
      <c r="D39" s="3183"/>
      <c r="E39" s="3183"/>
      <c r="F39" s="3183"/>
      <c r="G39" s="2826"/>
      <c r="H39" s="344"/>
      <c r="I39" s="94" t="s">
        <v>543</v>
      </c>
      <c r="J39" s="344"/>
      <c r="K39" s="95" t="s">
        <v>543</v>
      </c>
      <c r="L39" s="3170"/>
      <c r="M39" s="189"/>
      <c r="N39" s="170"/>
      <c r="O39" s="170"/>
      <c r="P39" s="170"/>
      <c r="Q39" s="190"/>
      <c r="R39" s="190"/>
      <c r="S39" s="172"/>
      <c r="T39" s="172"/>
      <c r="U39" s="170"/>
      <c r="V39" s="170"/>
      <c r="W39" s="170"/>
      <c r="X39" s="170"/>
    </row>
    <row r="40" spans="1:26" s="16" customFormat="1" ht="21.95" customHeight="1">
      <c r="A40" s="3161"/>
      <c r="B40" s="3183"/>
      <c r="C40" s="3183"/>
      <c r="D40" s="3183"/>
      <c r="E40" s="3183"/>
      <c r="F40" s="3183"/>
      <c r="G40" s="2826"/>
      <c r="H40" s="344"/>
      <c r="I40" s="94" t="s">
        <v>542</v>
      </c>
      <c r="J40" s="344"/>
      <c r="K40" s="95" t="s">
        <v>542</v>
      </c>
      <c r="L40" s="3170"/>
      <c r="M40" s="189"/>
      <c r="N40" s="170"/>
      <c r="O40" s="170"/>
      <c r="P40" s="170"/>
      <c r="Q40" s="190"/>
      <c r="R40" s="190"/>
      <c r="S40" s="172"/>
      <c r="T40" s="172"/>
      <c r="U40" s="170"/>
      <c r="V40" s="170"/>
      <c r="W40" s="170"/>
      <c r="X40" s="170"/>
    </row>
    <row r="41" spans="1:26" s="16" customFormat="1" ht="21.95" customHeight="1">
      <c r="A41" s="3167"/>
      <c r="B41" s="3192"/>
      <c r="C41" s="3192"/>
      <c r="D41" s="3192"/>
      <c r="E41" s="3192"/>
      <c r="F41" s="3192"/>
      <c r="G41" s="2835"/>
      <c r="H41" s="345"/>
      <c r="I41" s="17" t="s">
        <v>179</v>
      </c>
      <c r="J41" s="345"/>
      <c r="K41" s="18" t="s">
        <v>179</v>
      </c>
      <c r="L41" s="3194"/>
      <c r="M41" s="189"/>
      <c r="N41" s="170"/>
      <c r="O41" s="170"/>
      <c r="P41" s="170"/>
      <c r="Q41" s="190"/>
      <c r="R41" s="190"/>
      <c r="S41" s="172" t="str">
        <f>IFERROR(CHOOSE(Q41,$O$4,$O$5,$O$6,$O$7),"")</f>
        <v/>
      </c>
      <c r="T41" s="172" t="str">
        <f t="shared" ref="T41:Z41" si="8">IFERROR(CHOOSE(R41,$P$4,$P$5,$P$6,$P$7),"")</f>
        <v/>
      </c>
      <c r="U41" s="170" t="str">
        <f t="shared" si="8"/>
        <v/>
      </c>
      <c r="V41" s="170" t="str">
        <f t="shared" si="8"/>
        <v/>
      </c>
      <c r="W41" s="170" t="str">
        <f t="shared" si="8"/>
        <v/>
      </c>
      <c r="X41" s="170" t="str">
        <f t="shared" si="8"/>
        <v/>
      </c>
      <c r="Y41" s="16" t="str">
        <f t="shared" si="8"/>
        <v/>
      </c>
      <c r="Z41" s="16" t="str">
        <f t="shared" si="8"/>
        <v/>
      </c>
    </row>
    <row r="42" spans="1:26" s="16" customFormat="1" ht="21.95" customHeight="1">
      <c r="A42" s="3180">
        <v>10</v>
      </c>
      <c r="B42" s="3183" t="s">
        <v>413</v>
      </c>
      <c r="C42" s="3183"/>
      <c r="D42" s="3183"/>
      <c r="E42" s="3183"/>
      <c r="F42" s="3183" t="s">
        <v>337</v>
      </c>
      <c r="G42" s="2826" t="s">
        <v>338</v>
      </c>
      <c r="H42" s="344"/>
      <c r="I42" s="94" t="s">
        <v>304</v>
      </c>
      <c r="J42" s="344"/>
      <c r="K42" s="95" t="s">
        <v>130</v>
      </c>
      <c r="L42" s="3170"/>
      <c r="M42" s="189"/>
      <c r="N42" s="170"/>
      <c r="O42" s="170"/>
      <c r="P42" s="170"/>
      <c r="Q42" s="190"/>
      <c r="R42" s="190"/>
      <c r="S42" s="172"/>
      <c r="T42" s="172"/>
      <c r="U42" s="170"/>
      <c r="V42" s="170"/>
      <c r="W42" s="170"/>
      <c r="X42" s="170"/>
    </row>
    <row r="43" spans="1:26" s="16" customFormat="1" ht="21.95" customHeight="1">
      <c r="A43" s="3180"/>
      <c r="B43" s="3183"/>
      <c r="C43" s="3183"/>
      <c r="D43" s="3183"/>
      <c r="E43" s="3183"/>
      <c r="F43" s="3183"/>
      <c r="G43" s="2826"/>
      <c r="H43" s="344"/>
      <c r="I43" s="94" t="s">
        <v>543</v>
      </c>
      <c r="J43" s="344"/>
      <c r="K43" s="95" t="s">
        <v>543</v>
      </c>
      <c r="L43" s="3170"/>
      <c r="M43" s="189"/>
      <c r="N43" s="170"/>
      <c r="O43" s="170"/>
      <c r="P43" s="170"/>
      <c r="Q43" s="190"/>
      <c r="R43" s="190"/>
      <c r="S43" s="172"/>
      <c r="T43" s="172"/>
      <c r="U43" s="170"/>
      <c r="V43" s="170"/>
      <c r="W43" s="170"/>
      <c r="X43" s="170"/>
    </row>
    <row r="44" spans="1:26" s="16" customFormat="1" ht="21.95" customHeight="1">
      <c r="A44" s="3180"/>
      <c r="B44" s="3183"/>
      <c r="C44" s="3183"/>
      <c r="D44" s="3183"/>
      <c r="E44" s="3183"/>
      <c r="F44" s="3183"/>
      <c r="G44" s="2826"/>
      <c r="H44" s="344"/>
      <c r="I44" s="94" t="s">
        <v>542</v>
      </c>
      <c r="J44" s="344"/>
      <c r="K44" s="95" t="s">
        <v>542</v>
      </c>
      <c r="L44" s="3170"/>
      <c r="M44" s="189"/>
      <c r="N44" s="170"/>
      <c r="O44" s="170"/>
      <c r="P44" s="170"/>
      <c r="Q44" s="190"/>
      <c r="R44" s="190"/>
      <c r="S44" s="172"/>
      <c r="T44" s="172"/>
      <c r="U44" s="170"/>
      <c r="V44" s="170"/>
      <c r="W44" s="170"/>
      <c r="X44" s="170"/>
    </row>
    <row r="45" spans="1:26" s="16" customFormat="1" ht="21.95" customHeight="1">
      <c r="A45" s="3181"/>
      <c r="B45" s="3184"/>
      <c r="C45" s="3184"/>
      <c r="D45" s="3184"/>
      <c r="E45" s="3184"/>
      <c r="F45" s="3184"/>
      <c r="G45" s="3185"/>
      <c r="H45" s="347"/>
      <c r="I45" s="76" t="s">
        <v>179</v>
      </c>
      <c r="J45" s="347"/>
      <c r="K45" s="77" t="s">
        <v>179</v>
      </c>
      <c r="L45" s="3171"/>
      <c r="M45" s="189"/>
      <c r="N45" s="170"/>
      <c r="O45" s="170"/>
      <c r="P45" s="170"/>
      <c r="Q45" s="190"/>
      <c r="R45" s="190"/>
      <c r="S45" s="172" t="str">
        <f>IFERROR(CHOOSE(Q45,$O$4,$O$5,$O$6,$O$7),"")</f>
        <v/>
      </c>
      <c r="T45" s="172" t="str">
        <f t="shared" ref="T45:Z45" si="9">IFERROR(CHOOSE(R45,$P$4,$P$5,$P$6,$P$7),"")</f>
        <v/>
      </c>
      <c r="U45" s="170" t="str">
        <f t="shared" si="9"/>
        <v/>
      </c>
      <c r="V45" s="170" t="str">
        <f t="shared" si="9"/>
        <v/>
      </c>
      <c r="W45" s="170" t="str">
        <f t="shared" si="9"/>
        <v/>
      </c>
      <c r="X45" s="170" t="str">
        <f t="shared" si="9"/>
        <v/>
      </c>
      <c r="Y45" s="16" t="str">
        <f t="shared" si="9"/>
        <v/>
      </c>
      <c r="Z45" s="16" t="str">
        <f t="shared" si="9"/>
        <v/>
      </c>
    </row>
    <row r="46" spans="1:26" s="16" customFormat="1">
      <c r="A46" s="1" t="s">
        <v>547</v>
      </c>
      <c r="B46" s="15"/>
      <c r="C46" s="15"/>
      <c r="D46" s="15"/>
      <c r="E46" s="15"/>
      <c r="F46" s="112"/>
      <c r="G46" s="113"/>
      <c r="H46" s="19"/>
      <c r="I46" s="19"/>
      <c r="J46" s="20"/>
      <c r="K46" s="20"/>
      <c r="L46" s="21"/>
      <c r="M46" s="189"/>
      <c r="N46" s="170"/>
      <c r="O46" s="170"/>
      <c r="P46" s="170"/>
      <c r="Q46" s="190"/>
      <c r="R46" s="190"/>
      <c r="S46" s="172"/>
      <c r="T46" s="172"/>
      <c r="U46" s="170"/>
      <c r="V46" s="170"/>
      <c r="W46" s="170"/>
      <c r="X46" s="170"/>
    </row>
    <row r="47" spans="1:26" s="16" customFormat="1">
      <c r="A47" s="2" t="s">
        <v>119</v>
      </c>
      <c r="B47" s="15"/>
      <c r="C47" s="15"/>
      <c r="D47" s="15"/>
      <c r="E47" s="15"/>
      <c r="F47" s="112"/>
      <c r="G47" s="113"/>
      <c r="H47" s="19"/>
      <c r="I47" s="19"/>
      <c r="J47" s="20"/>
      <c r="K47" s="20"/>
      <c r="L47" s="21"/>
      <c r="M47" s="189"/>
      <c r="N47" s="170"/>
      <c r="O47" s="170"/>
      <c r="P47" s="170"/>
      <c r="Q47" s="190"/>
      <c r="R47" s="190"/>
      <c r="S47" s="172"/>
      <c r="T47" s="172"/>
      <c r="U47" s="170"/>
      <c r="V47" s="170"/>
      <c r="W47" s="170"/>
      <c r="X47" s="170"/>
    </row>
    <row r="48" spans="1:26" s="6" customFormat="1" ht="16.5" customHeight="1">
      <c r="A48" s="50" t="s">
        <v>546</v>
      </c>
      <c r="B48" s="89"/>
      <c r="C48" s="89"/>
      <c r="D48" s="89"/>
      <c r="E48" s="16"/>
      <c r="F48" s="16"/>
      <c r="G48" s="7"/>
      <c r="H48" s="22"/>
      <c r="I48" s="22"/>
      <c r="J48" s="90"/>
      <c r="K48" s="90"/>
      <c r="L48" s="107"/>
      <c r="M48" s="189"/>
      <c r="N48" s="165"/>
      <c r="O48" s="165"/>
      <c r="P48" s="165"/>
      <c r="Q48" s="190"/>
      <c r="R48" s="190"/>
      <c r="S48" s="172"/>
      <c r="T48" s="172"/>
      <c r="U48" s="170"/>
      <c r="V48" s="170"/>
      <c r="W48" s="170"/>
      <c r="X48" s="170"/>
      <c r="Y48" s="16"/>
      <c r="Z48" s="16"/>
    </row>
    <row r="49" spans="1:26" s="6" customFormat="1" ht="15.2" customHeight="1">
      <c r="A49" s="2673" t="s">
        <v>184</v>
      </c>
      <c r="B49" s="2674"/>
      <c r="C49" s="2674"/>
      <c r="D49" s="2674"/>
      <c r="E49" s="2674"/>
      <c r="F49" s="3196" t="s">
        <v>302</v>
      </c>
      <c r="G49" s="3198" t="s">
        <v>303</v>
      </c>
      <c r="H49" s="3172" t="s">
        <v>544</v>
      </c>
      <c r="I49" s="3173"/>
      <c r="J49" s="3173"/>
      <c r="K49" s="3174"/>
      <c r="L49" s="3175" t="s">
        <v>141</v>
      </c>
      <c r="M49" s="189"/>
      <c r="N49" s="186"/>
      <c r="O49" s="187"/>
      <c r="P49" s="165"/>
      <c r="Q49" s="190"/>
      <c r="R49" s="190"/>
      <c r="S49" s="172"/>
      <c r="T49" s="172"/>
      <c r="U49" s="170"/>
      <c r="V49" s="170"/>
      <c r="W49" s="170"/>
      <c r="X49" s="170"/>
      <c r="Y49" s="16"/>
      <c r="Z49" s="16"/>
    </row>
    <row r="50" spans="1:26" s="6" customFormat="1" ht="23.25" customHeight="1">
      <c r="A50" s="3097"/>
      <c r="B50" s="2654"/>
      <c r="C50" s="2654"/>
      <c r="D50" s="2654"/>
      <c r="E50" s="2654"/>
      <c r="F50" s="3197"/>
      <c r="G50" s="3199"/>
      <c r="H50" s="3200" t="s">
        <v>305</v>
      </c>
      <c r="I50" s="3201"/>
      <c r="J50" s="3173" t="s">
        <v>306</v>
      </c>
      <c r="K50" s="3174"/>
      <c r="L50" s="3176"/>
      <c r="M50" s="189"/>
      <c r="N50" s="188"/>
      <c r="O50" s="188"/>
      <c r="P50" s="171"/>
      <c r="Q50" s="190"/>
      <c r="R50" s="190"/>
      <c r="S50" s="172"/>
      <c r="T50" s="172"/>
      <c r="U50" s="170"/>
      <c r="V50" s="170"/>
      <c r="W50" s="170"/>
      <c r="X50" s="170"/>
      <c r="Y50" s="16"/>
      <c r="Z50" s="16"/>
    </row>
    <row r="51" spans="1:26" s="6" customFormat="1" ht="21.95" customHeight="1">
      <c r="A51" s="3190">
        <v>11</v>
      </c>
      <c r="B51" s="2774" t="s">
        <v>339</v>
      </c>
      <c r="C51" s="2774"/>
      <c r="D51" s="2774"/>
      <c r="E51" s="2774"/>
      <c r="F51" s="3183" t="s">
        <v>408</v>
      </c>
      <c r="G51" s="2826" t="s">
        <v>338</v>
      </c>
      <c r="H51" s="344"/>
      <c r="I51" s="94" t="s">
        <v>304</v>
      </c>
      <c r="J51" s="348"/>
      <c r="K51" s="109" t="s">
        <v>130</v>
      </c>
      <c r="L51" s="3164"/>
      <c r="M51" s="189"/>
      <c r="N51" s="165"/>
      <c r="O51" s="165"/>
      <c r="P51" s="165"/>
      <c r="Q51" s="190"/>
      <c r="R51" s="190"/>
      <c r="S51" s="172"/>
      <c r="T51" s="172"/>
      <c r="U51" s="170"/>
      <c r="V51" s="170"/>
      <c r="W51" s="170"/>
      <c r="X51" s="170"/>
      <c r="Y51" s="16"/>
      <c r="Z51" s="16"/>
    </row>
    <row r="52" spans="1:26" s="6" customFormat="1" ht="21.95" customHeight="1">
      <c r="A52" s="3161"/>
      <c r="B52" s="2774"/>
      <c r="C52" s="2774"/>
      <c r="D52" s="2774"/>
      <c r="E52" s="2774"/>
      <c r="F52" s="3183"/>
      <c r="G52" s="2826"/>
      <c r="H52" s="344"/>
      <c r="I52" s="94" t="s">
        <v>543</v>
      </c>
      <c r="J52" s="348"/>
      <c r="K52" s="109" t="s">
        <v>543</v>
      </c>
      <c r="L52" s="3164"/>
      <c r="M52" s="189"/>
      <c r="N52" s="165"/>
      <c r="O52" s="165"/>
      <c r="P52" s="165"/>
      <c r="Q52" s="190"/>
      <c r="R52" s="190"/>
      <c r="S52" s="172"/>
      <c r="T52" s="172"/>
      <c r="U52" s="170"/>
      <c r="V52" s="170"/>
      <c r="W52" s="170"/>
      <c r="X52" s="170"/>
      <c r="Y52" s="16"/>
      <c r="Z52" s="16"/>
    </row>
    <row r="53" spans="1:26" s="6" customFormat="1" ht="21.95" customHeight="1">
      <c r="A53" s="3161"/>
      <c r="B53" s="2774"/>
      <c r="C53" s="2774"/>
      <c r="D53" s="2774"/>
      <c r="E53" s="2774"/>
      <c r="F53" s="3183"/>
      <c r="G53" s="2826"/>
      <c r="H53" s="344"/>
      <c r="I53" s="94" t="s">
        <v>542</v>
      </c>
      <c r="J53" s="348"/>
      <c r="K53" s="109" t="s">
        <v>542</v>
      </c>
      <c r="L53" s="3164"/>
      <c r="M53" s="189"/>
      <c r="N53" s="165"/>
      <c r="O53" s="165"/>
      <c r="P53" s="165"/>
      <c r="Q53" s="190"/>
      <c r="R53" s="190"/>
      <c r="S53" s="172"/>
      <c r="T53" s="172"/>
      <c r="U53" s="170"/>
      <c r="V53" s="170"/>
      <c r="W53" s="170"/>
      <c r="X53" s="170"/>
      <c r="Y53" s="16"/>
      <c r="Z53" s="16"/>
    </row>
    <row r="54" spans="1:26" s="16" customFormat="1" ht="21.95" customHeight="1">
      <c r="A54" s="3161"/>
      <c r="B54" s="2774"/>
      <c r="C54" s="2774"/>
      <c r="D54" s="2774"/>
      <c r="E54" s="2774"/>
      <c r="F54" s="3183"/>
      <c r="G54" s="2826"/>
      <c r="H54" s="344"/>
      <c r="I54" s="24" t="s">
        <v>179</v>
      </c>
      <c r="J54" s="348"/>
      <c r="K54" s="111" t="s">
        <v>179</v>
      </c>
      <c r="L54" s="3164"/>
      <c r="M54" s="189"/>
      <c r="N54" s="170"/>
      <c r="O54" s="170"/>
      <c r="P54" s="170"/>
      <c r="Q54" s="190"/>
      <c r="R54" s="190"/>
      <c r="S54" s="172" t="str">
        <f>IFERROR(CHOOSE(Q54,$O$4,$O$5,$O$6,$O$7),"")</f>
        <v/>
      </c>
      <c r="T54" s="172" t="str">
        <f t="shared" ref="T54:Z54" si="10">IFERROR(CHOOSE(R54,$P$4,$P$5,$P$6,$P$7),"")</f>
        <v/>
      </c>
      <c r="U54" s="170" t="str">
        <f t="shared" si="10"/>
        <v/>
      </c>
      <c r="V54" s="170" t="str">
        <f t="shared" si="10"/>
        <v/>
      </c>
      <c r="W54" s="170" t="str">
        <f t="shared" si="10"/>
        <v/>
      </c>
      <c r="X54" s="170" t="str">
        <f t="shared" si="10"/>
        <v/>
      </c>
      <c r="Y54" s="16" t="str">
        <f t="shared" si="10"/>
        <v/>
      </c>
      <c r="Z54" s="16" t="str">
        <f t="shared" si="10"/>
        <v/>
      </c>
    </row>
    <row r="55" spans="1:26" s="16" customFormat="1" ht="21.95" customHeight="1">
      <c r="A55" s="3166">
        <v>12</v>
      </c>
      <c r="B55" s="2771" t="s">
        <v>340</v>
      </c>
      <c r="C55" s="2771"/>
      <c r="D55" s="2771"/>
      <c r="E55" s="2771"/>
      <c r="F55" s="3191" t="s">
        <v>563</v>
      </c>
      <c r="G55" s="2836" t="s">
        <v>341</v>
      </c>
      <c r="H55" s="346"/>
      <c r="I55" s="96" t="s">
        <v>304</v>
      </c>
      <c r="J55" s="349"/>
      <c r="K55" s="119" t="s">
        <v>130</v>
      </c>
      <c r="L55" s="3193"/>
      <c r="M55" s="189"/>
      <c r="N55" s="170"/>
      <c r="O55" s="170"/>
      <c r="P55" s="170"/>
      <c r="Q55" s="190"/>
      <c r="R55" s="190"/>
      <c r="S55" s="172"/>
      <c r="T55" s="172"/>
      <c r="U55" s="170"/>
      <c r="V55" s="170"/>
      <c r="W55" s="170"/>
      <c r="X55" s="170"/>
    </row>
    <row r="56" spans="1:26" s="16" customFormat="1" ht="21.95" customHeight="1">
      <c r="A56" s="3161"/>
      <c r="B56" s="2774"/>
      <c r="C56" s="2774"/>
      <c r="D56" s="2774"/>
      <c r="E56" s="2774"/>
      <c r="F56" s="3183"/>
      <c r="G56" s="2826"/>
      <c r="H56" s="344"/>
      <c r="I56" s="94" t="s">
        <v>543</v>
      </c>
      <c r="J56" s="348"/>
      <c r="K56" s="109" t="s">
        <v>543</v>
      </c>
      <c r="L56" s="3170"/>
      <c r="M56" s="189"/>
      <c r="N56" s="170"/>
      <c r="O56" s="170"/>
      <c r="P56" s="170"/>
      <c r="Q56" s="190"/>
      <c r="R56" s="190"/>
      <c r="S56" s="172"/>
      <c r="T56" s="172"/>
      <c r="U56" s="170"/>
      <c r="V56" s="170"/>
      <c r="W56" s="170"/>
      <c r="X56" s="170"/>
    </row>
    <row r="57" spans="1:26" s="16" customFormat="1" ht="21.95" customHeight="1">
      <c r="A57" s="3161"/>
      <c r="B57" s="2774"/>
      <c r="C57" s="2774"/>
      <c r="D57" s="2774"/>
      <c r="E57" s="2774"/>
      <c r="F57" s="3183"/>
      <c r="G57" s="2826"/>
      <c r="H57" s="344"/>
      <c r="I57" s="94" t="s">
        <v>542</v>
      </c>
      <c r="J57" s="348"/>
      <c r="K57" s="109" t="s">
        <v>542</v>
      </c>
      <c r="L57" s="3170"/>
      <c r="M57" s="189"/>
      <c r="N57" s="170"/>
      <c r="O57" s="170"/>
      <c r="P57" s="170"/>
      <c r="Q57" s="190"/>
      <c r="R57" s="190"/>
      <c r="S57" s="172"/>
      <c r="T57" s="172"/>
      <c r="U57" s="170"/>
      <c r="V57" s="170"/>
      <c r="W57" s="170"/>
      <c r="X57" s="170"/>
    </row>
    <row r="58" spans="1:26" s="16" customFormat="1" ht="21.95" customHeight="1">
      <c r="A58" s="3167"/>
      <c r="B58" s="2777"/>
      <c r="C58" s="2777"/>
      <c r="D58" s="2777"/>
      <c r="E58" s="2777"/>
      <c r="F58" s="3192"/>
      <c r="G58" s="2835"/>
      <c r="H58" s="345"/>
      <c r="I58" s="17" t="s">
        <v>179</v>
      </c>
      <c r="J58" s="350"/>
      <c r="K58" s="120" t="s">
        <v>179</v>
      </c>
      <c r="L58" s="3194"/>
      <c r="M58" s="189"/>
      <c r="N58" s="170"/>
      <c r="O58" s="170"/>
      <c r="P58" s="170"/>
      <c r="Q58" s="190"/>
      <c r="R58" s="190"/>
      <c r="S58" s="172" t="str">
        <f>IFERROR(CHOOSE(Q58,$O$4,$O$5,$O$6,$O$7),"")</f>
        <v/>
      </c>
      <c r="T58" s="172" t="str">
        <f t="shared" ref="T58:Z58" si="11">IFERROR(CHOOSE(R58,$P$4,$P$5,$P$6,$P$7),"")</f>
        <v/>
      </c>
      <c r="U58" s="170" t="str">
        <f t="shared" si="11"/>
        <v/>
      </c>
      <c r="V58" s="170" t="str">
        <f t="shared" si="11"/>
        <v/>
      </c>
      <c r="W58" s="170" t="str">
        <f t="shared" si="11"/>
        <v/>
      </c>
      <c r="X58" s="170" t="str">
        <f t="shared" si="11"/>
        <v/>
      </c>
      <c r="Y58" s="16" t="str">
        <f t="shared" si="11"/>
        <v/>
      </c>
      <c r="Z58" s="16" t="str">
        <f t="shared" si="11"/>
        <v/>
      </c>
    </row>
    <row r="59" spans="1:26" s="16" customFormat="1" ht="21.95" customHeight="1">
      <c r="A59" s="3180">
        <v>13</v>
      </c>
      <c r="B59" s="2821" t="s">
        <v>342</v>
      </c>
      <c r="C59" s="2821"/>
      <c r="D59" s="2821"/>
      <c r="E59" s="2821"/>
      <c r="F59" s="3183" t="s">
        <v>409</v>
      </c>
      <c r="G59" s="2826" t="s">
        <v>343</v>
      </c>
      <c r="H59" s="344"/>
      <c r="I59" s="94" t="s">
        <v>304</v>
      </c>
      <c r="J59" s="348"/>
      <c r="K59" s="109" t="s">
        <v>130</v>
      </c>
      <c r="L59" s="3170"/>
      <c r="M59" s="189"/>
      <c r="N59" s="170"/>
      <c r="O59" s="170"/>
      <c r="P59" s="170"/>
      <c r="Q59" s="190"/>
      <c r="R59" s="190"/>
      <c r="S59" s="172"/>
      <c r="T59" s="172"/>
      <c r="U59" s="170"/>
      <c r="V59" s="170"/>
      <c r="W59" s="170"/>
      <c r="X59" s="170"/>
    </row>
    <row r="60" spans="1:26" s="16" customFormat="1" ht="21.95" customHeight="1">
      <c r="A60" s="3180"/>
      <c r="B60" s="2821"/>
      <c r="C60" s="2821"/>
      <c r="D60" s="2821"/>
      <c r="E60" s="2821"/>
      <c r="F60" s="3183"/>
      <c r="G60" s="2826"/>
      <c r="H60" s="344"/>
      <c r="I60" s="94" t="s">
        <v>543</v>
      </c>
      <c r="J60" s="348"/>
      <c r="K60" s="109" t="s">
        <v>543</v>
      </c>
      <c r="L60" s="3170"/>
      <c r="M60" s="189"/>
      <c r="N60" s="170"/>
      <c r="O60" s="170"/>
      <c r="P60" s="170"/>
      <c r="Q60" s="190"/>
      <c r="R60" s="190"/>
      <c r="S60" s="172"/>
      <c r="T60" s="172"/>
      <c r="U60" s="170"/>
      <c r="V60" s="170"/>
      <c r="W60" s="170"/>
      <c r="X60" s="170"/>
    </row>
    <row r="61" spans="1:26" s="16" customFormat="1" ht="21.95" customHeight="1">
      <c r="A61" s="3180"/>
      <c r="B61" s="2821"/>
      <c r="C61" s="2821"/>
      <c r="D61" s="2821"/>
      <c r="E61" s="2821"/>
      <c r="F61" s="3183"/>
      <c r="G61" s="2826"/>
      <c r="H61" s="344"/>
      <c r="I61" s="94" t="s">
        <v>542</v>
      </c>
      <c r="J61" s="348"/>
      <c r="K61" s="109" t="s">
        <v>542</v>
      </c>
      <c r="L61" s="3170"/>
      <c r="M61" s="189"/>
      <c r="N61" s="170"/>
      <c r="O61" s="170"/>
      <c r="P61" s="170"/>
      <c r="Q61" s="190"/>
      <c r="R61" s="190"/>
      <c r="S61" s="172"/>
      <c r="T61" s="172"/>
      <c r="U61" s="170"/>
      <c r="V61" s="170"/>
      <c r="W61" s="170"/>
      <c r="X61" s="170"/>
    </row>
    <row r="62" spans="1:26" s="16" customFormat="1" ht="21.95" customHeight="1">
      <c r="A62" s="3181"/>
      <c r="B62" s="3182"/>
      <c r="C62" s="3182"/>
      <c r="D62" s="3182"/>
      <c r="E62" s="3182"/>
      <c r="F62" s="3184"/>
      <c r="G62" s="3185"/>
      <c r="H62" s="347"/>
      <c r="I62" s="76" t="s">
        <v>179</v>
      </c>
      <c r="J62" s="351"/>
      <c r="K62" s="118" t="s">
        <v>179</v>
      </c>
      <c r="L62" s="3171"/>
      <c r="M62" s="189"/>
      <c r="N62" s="170"/>
      <c r="O62" s="170"/>
      <c r="P62" s="170"/>
      <c r="Q62" s="190"/>
      <c r="R62" s="190"/>
      <c r="S62" s="172" t="str">
        <f>IFERROR(CHOOSE(Q62,$O$4,$O$5,$O$6,$O$7),"")</f>
        <v/>
      </c>
      <c r="T62" s="172" t="str">
        <f t="shared" ref="T62:Z62" si="12">IFERROR(CHOOSE(R62,$P$4,$P$5,$P$6,$P$7),"")</f>
        <v/>
      </c>
      <c r="U62" s="170" t="str">
        <f t="shared" si="12"/>
        <v/>
      </c>
      <c r="V62" s="170" t="str">
        <f t="shared" si="12"/>
        <v/>
      </c>
      <c r="W62" s="170" t="str">
        <f t="shared" si="12"/>
        <v/>
      </c>
      <c r="X62" s="170" t="str">
        <f t="shared" si="12"/>
        <v/>
      </c>
      <c r="Y62" s="16" t="str">
        <f t="shared" si="12"/>
        <v/>
      </c>
      <c r="Z62" s="16" t="str">
        <f t="shared" si="12"/>
        <v/>
      </c>
    </row>
    <row r="63" spans="1:26" s="16" customFormat="1" ht="26.25" customHeight="1">
      <c r="A63" s="2831" t="s">
        <v>344</v>
      </c>
      <c r="B63" s="2831"/>
      <c r="C63" s="2831"/>
      <c r="D63" s="2831"/>
      <c r="E63" s="2831"/>
      <c r="F63" s="2831"/>
      <c r="G63" s="2831"/>
      <c r="H63" s="2831"/>
      <c r="I63" s="2831"/>
      <c r="J63" s="2831"/>
      <c r="K63" s="2831"/>
      <c r="L63" s="2831"/>
      <c r="M63" s="189"/>
      <c r="N63" s="170"/>
      <c r="O63" s="170"/>
      <c r="P63" s="170"/>
      <c r="Q63" s="190"/>
      <c r="R63" s="190"/>
      <c r="S63" s="172"/>
      <c r="T63" s="172"/>
      <c r="U63" s="170"/>
      <c r="V63" s="170"/>
      <c r="W63" s="170"/>
      <c r="X63" s="170"/>
    </row>
    <row r="64" spans="1:26" s="16" customFormat="1" ht="12" customHeight="1">
      <c r="A64" s="114"/>
      <c r="B64" s="98"/>
      <c r="C64" s="98"/>
      <c r="D64" s="98"/>
      <c r="E64" s="98"/>
      <c r="F64" s="15"/>
      <c r="G64" s="15"/>
      <c r="H64" s="19"/>
      <c r="I64" s="19"/>
      <c r="J64" s="20"/>
      <c r="K64" s="20"/>
      <c r="L64" s="23"/>
      <c r="M64" s="189"/>
      <c r="N64" s="170"/>
      <c r="O64" s="170"/>
      <c r="P64" s="170"/>
      <c r="Q64" s="190"/>
      <c r="R64" s="190"/>
      <c r="S64" s="172"/>
      <c r="T64" s="172"/>
      <c r="U64" s="170"/>
      <c r="V64" s="170"/>
      <c r="W64" s="170"/>
      <c r="X64" s="170"/>
    </row>
    <row r="65" spans="1:26" s="16" customFormat="1" ht="20.25" customHeight="1">
      <c r="A65" s="50" t="s">
        <v>545</v>
      </c>
      <c r="B65" s="15"/>
      <c r="C65" s="15"/>
      <c r="D65" s="15"/>
      <c r="E65" s="2"/>
      <c r="F65" s="2"/>
      <c r="G65" s="2"/>
      <c r="H65" s="88"/>
      <c r="I65" s="88"/>
      <c r="J65" s="88"/>
      <c r="K65" s="88"/>
      <c r="L65" s="5"/>
      <c r="M65" s="189"/>
      <c r="N65" s="170"/>
      <c r="O65" s="170"/>
      <c r="P65" s="170"/>
      <c r="Q65" s="190"/>
      <c r="R65" s="190"/>
      <c r="S65" s="172"/>
      <c r="T65" s="172"/>
      <c r="U65" s="170"/>
      <c r="V65" s="170"/>
      <c r="W65" s="170"/>
      <c r="X65" s="170"/>
    </row>
    <row r="66" spans="1:26" s="16" customFormat="1" ht="15.2" customHeight="1">
      <c r="A66" s="2673" t="s">
        <v>184</v>
      </c>
      <c r="B66" s="2674"/>
      <c r="C66" s="2674"/>
      <c r="D66" s="2674"/>
      <c r="E66" s="2674"/>
      <c r="F66" s="3186" t="s">
        <v>302</v>
      </c>
      <c r="G66" s="3187"/>
      <c r="H66" s="3172" t="s">
        <v>544</v>
      </c>
      <c r="I66" s="3173"/>
      <c r="J66" s="3173"/>
      <c r="K66" s="3174"/>
      <c r="L66" s="3175" t="s">
        <v>141</v>
      </c>
      <c r="M66" s="189"/>
      <c r="N66" s="170"/>
      <c r="O66" s="170"/>
      <c r="P66" s="170"/>
      <c r="Q66" s="190"/>
      <c r="R66" s="190"/>
      <c r="S66" s="172"/>
      <c r="T66" s="172"/>
      <c r="U66" s="170"/>
      <c r="V66" s="170"/>
      <c r="W66" s="170"/>
      <c r="X66" s="170"/>
    </row>
    <row r="67" spans="1:26" s="16" customFormat="1" ht="23.25" customHeight="1">
      <c r="A67" s="3097"/>
      <c r="B67" s="2654"/>
      <c r="C67" s="2654"/>
      <c r="D67" s="2654"/>
      <c r="E67" s="2654"/>
      <c r="F67" s="3188"/>
      <c r="G67" s="3189"/>
      <c r="H67" s="3177" t="s">
        <v>305</v>
      </c>
      <c r="I67" s="3178"/>
      <c r="J67" s="3172" t="s">
        <v>306</v>
      </c>
      <c r="K67" s="3174"/>
      <c r="L67" s="3176"/>
      <c r="M67" s="189"/>
      <c r="N67" s="170"/>
      <c r="O67" s="170"/>
      <c r="P67" s="170"/>
      <c r="Q67" s="190"/>
      <c r="R67" s="190"/>
      <c r="S67" s="172"/>
      <c r="T67" s="172"/>
      <c r="U67" s="170"/>
      <c r="V67" s="170"/>
      <c r="W67" s="170"/>
      <c r="X67" s="170"/>
    </row>
    <row r="68" spans="1:26" s="16" customFormat="1" ht="21.95" customHeight="1">
      <c r="A68" s="3179">
        <v>14</v>
      </c>
      <c r="B68" s="2760" t="s">
        <v>135</v>
      </c>
      <c r="C68" s="2760"/>
      <c r="D68" s="2760"/>
      <c r="E68" s="2760"/>
      <c r="F68" s="2773" t="s">
        <v>307</v>
      </c>
      <c r="G68" s="2775"/>
      <c r="H68" s="348"/>
      <c r="I68" s="108" t="s">
        <v>308</v>
      </c>
      <c r="J68" s="344"/>
      <c r="K68" s="95" t="s">
        <v>130</v>
      </c>
      <c r="L68" s="3164"/>
      <c r="M68" s="189"/>
      <c r="N68" s="170"/>
      <c r="O68" s="170"/>
      <c r="P68" s="170"/>
      <c r="Q68" s="190"/>
      <c r="R68" s="190"/>
      <c r="S68" s="172"/>
      <c r="T68" s="172"/>
      <c r="U68" s="170"/>
      <c r="V68" s="170"/>
      <c r="W68" s="170"/>
      <c r="X68" s="170"/>
    </row>
    <row r="69" spans="1:26" s="16" customFormat="1" ht="21.95" customHeight="1">
      <c r="A69" s="3180"/>
      <c r="B69" s="2760"/>
      <c r="C69" s="2760"/>
      <c r="D69" s="2760"/>
      <c r="E69" s="2760"/>
      <c r="F69" s="2773"/>
      <c r="G69" s="2775"/>
      <c r="H69" s="348"/>
      <c r="I69" s="108" t="s">
        <v>543</v>
      </c>
      <c r="J69" s="344"/>
      <c r="K69" s="95" t="s">
        <v>543</v>
      </c>
      <c r="L69" s="3164"/>
      <c r="M69" s="189"/>
      <c r="N69" s="170"/>
      <c r="O69" s="170"/>
      <c r="P69" s="170"/>
      <c r="Q69" s="190"/>
      <c r="R69" s="190"/>
      <c r="S69" s="172"/>
      <c r="T69" s="172"/>
      <c r="U69" s="170"/>
      <c r="V69" s="170"/>
      <c r="W69" s="170"/>
      <c r="X69" s="170"/>
    </row>
    <row r="70" spans="1:26" s="16" customFormat="1" ht="21.95" customHeight="1">
      <c r="A70" s="3180"/>
      <c r="B70" s="2760"/>
      <c r="C70" s="2760"/>
      <c r="D70" s="2760"/>
      <c r="E70" s="2760"/>
      <c r="F70" s="2773"/>
      <c r="G70" s="2775"/>
      <c r="H70" s="348"/>
      <c r="I70" s="108" t="s">
        <v>542</v>
      </c>
      <c r="J70" s="344"/>
      <c r="K70" s="95" t="s">
        <v>542</v>
      </c>
      <c r="L70" s="3164"/>
      <c r="M70" s="189"/>
      <c r="N70" s="170"/>
      <c r="O70" s="170"/>
      <c r="P70" s="170"/>
      <c r="Q70" s="190"/>
      <c r="R70" s="190"/>
      <c r="S70" s="172"/>
      <c r="T70" s="172"/>
      <c r="U70" s="170"/>
      <c r="V70" s="170"/>
      <c r="W70" s="170"/>
      <c r="X70" s="170"/>
    </row>
    <row r="71" spans="1:26" s="16" customFormat="1" ht="21.95" customHeight="1">
      <c r="A71" s="3180"/>
      <c r="B71" s="2760"/>
      <c r="C71" s="2760"/>
      <c r="D71" s="2760"/>
      <c r="E71" s="2760"/>
      <c r="F71" s="2773"/>
      <c r="G71" s="2775"/>
      <c r="H71" s="348"/>
      <c r="I71" s="110" t="s">
        <v>179</v>
      </c>
      <c r="J71" s="344"/>
      <c r="K71" s="115" t="s">
        <v>179</v>
      </c>
      <c r="L71" s="3164"/>
      <c r="M71" s="189"/>
      <c r="N71" s="170"/>
      <c r="O71" s="170"/>
      <c r="P71" s="170"/>
      <c r="Q71" s="190"/>
      <c r="R71" s="190"/>
      <c r="S71" s="172" t="str">
        <f>IFERROR(CHOOSE(Q71,$N$4,$N$5,$N$6,$N$7),"")</f>
        <v/>
      </c>
      <c r="T71" s="172" t="str">
        <f t="shared" ref="T71:Z71" si="13">IFERROR(CHOOSE(R71,$P$4,$P$5,$P$6,$P$7),"")</f>
        <v/>
      </c>
      <c r="U71" s="170" t="str">
        <f t="shared" si="13"/>
        <v/>
      </c>
      <c r="V71" s="170" t="str">
        <f t="shared" si="13"/>
        <v/>
      </c>
      <c r="W71" s="170" t="str">
        <f t="shared" si="13"/>
        <v/>
      </c>
      <c r="X71" s="170" t="str">
        <f t="shared" si="13"/>
        <v/>
      </c>
      <c r="Y71" s="16" t="str">
        <f t="shared" si="13"/>
        <v/>
      </c>
      <c r="Z71" s="16" t="str">
        <f t="shared" si="13"/>
        <v/>
      </c>
    </row>
    <row r="72" spans="1:26" s="16" customFormat="1" ht="21.95" customHeight="1">
      <c r="A72" s="3166">
        <v>15</v>
      </c>
      <c r="B72" s="2771" t="s">
        <v>142</v>
      </c>
      <c r="C72" s="2771"/>
      <c r="D72" s="2771"/>
      <c r="E72" s="2771"/>
      <c r="F72" s="2817" t="s">
        <v>346</v>
      </c>
      <c r="G72" s="2819"/>
      <c r="H72" s="349"/>
      <c r="I72" s="121" t="s">
        <v>308</v>
      </c>
      <c r="J72" s="346"/>
      <c r="K72" s="116" t="s">
        <v>130</v>
      </c>
      <c r="L72" s="3168"/>
      <c r="M72" s="189"/>
      <c r="N72" s="170"/>
      <c r="O72" s="170"/>
      <c r="P72" s="170"/>
      <c r="Q72" s="190"/>
      <c r="R72" s="190"/>
      <c r="S72" s="172"/>
      <c r="T72" s="172"/>
      <c r="U72" s="170"/>
      <c r="V72" s="170"/>
      <c r="W72" s="170"/>
      <c r="X72" s="170"/>
    </row>
    <row r="73" spans="1:26" s="16" customFormat="1" ht="21.95" customHeight="1">
      <c r="A73" s="3161"/>
      <c r="B73" s="2774"/>
      <c r="C73" s="2774"/>
      <c r="D73" s="2774"/>
      <c r="E73" s="2774"/>
      <c r="F73" s="2820"/>
      <c r="G73" s="2822"/>
      <c r="H73" s="348"/>
      <c r="I73" s="108" t="s">
        <v>543</v>
      </c>
      <c r="J73" s="344"/>
      <c r="K73" s="95" t="s">
        <v>543</v>
      </c>
      <c r="L73" s="3164"/>
      <c r="M73" s="189"/>
      <c r="N73" s="170"/>
      <c r="O73" s="170"/>
      <c r="P73" s="170"/>
      <c r="Q73" s="190"/>
      <c r="R73" s="190"/>
      <c r="S73" s="172"/>
      <c r="T73" s="172"/>
      <c r="U73" s="170"/>
      <c r="V73" s="170"/>
      <c r="W73" s="170"/>
      <c r="X73" s="170"/>
    </row>
    <row r="74" spans="1:26" s="16" customFormat="1" ht="21.95" customHeight="1">
      <c r="A74" s="3161"/>
      <c r="B74" s="2774"/>
      <c r="C74" s="2774"/>
      <c r="D74" s="2774"/>
      <c r="E74" s="2774"/>
      <c r="F74" s="2820"/>
      <c r="G74" s="2822"/>
      <c r="H74" s="348"/>
      <c r="I74" s="108" t="s">
        <v>542</v>
      </c>
      <c r="J74" s="344"/>
      <c r="K74" s="95" t="s">
        <v>542</v>
      </c>
      <c r="L74" s="3164"/>
      <c r="M74" s="189"/>
      <c r="N74" s="170"/>
      <c r="O74" s="170"/>
      <c r="P74" s="170"/>
      <c r="Q74" s="190"/>
      <c r="R74" s="190"/>
      <c r="S74" s="172"/>
      <c r="T74" s="172"/>
      <c r="U74" s="170"/>
      <c r="V74" s="170"/>
      <c r="W74" s="170"/>
      <c r="X74" s="170"/>
    </row>
    <row r="75" spans="1:26" s="16" customFormat="1" ht="21.95" customHeight="1">
      <c r="A75" s="3167"/>
      <c r="B75" s="2777"/>
      <c r="C75" s="2777"/>
      <c r="D75" s="2777"/>
      <c r="E75" s="2777"/>
      <c r="F75" s="2840"/>
      <c r="G75" s="2842"/>
      <c r="H75" s="350"/>
      <c r="I75" s="122" t="s">
        <v>179</v>
      </c>
      <c r="J75" s="345"/>
      <c r="K75" s="18" t="s">
        <v>179</v>
      </c>
      <c r="L75" s="3169"/>
      <c r="M75" s="189"/>
      <c r="N75" s="170"/>
      <c r="O75" s="170"/>
      <c r="P75" s="170"/>
      <c r="Q75" s="190"/>
      <c r="R75" s="190"/>
      <c r="S75" s="172" t="str">
        <f>IFERROR(CHOOSE(Q75,$N$4,$N$5,$N$6,$N$7),"")</f>
        <v/>
      </c>
      <c r="T75" s="172" t="str">
        <f t="shared" ref="T75:Z75" si="14">IFERROR(CHOOSE(R75,$P$4,$P$5,$P$6,$P$7),"")</f>
        <v/>
      </c>
      <c r="U75" s="170" t="str">
        <f t="shared" si="14"/>
        <v/>
      </c>
      <c r="V75" s="170" t="str">
        <f t="shared" si="14"/>
        <v/>
      </c>
      <c r="W75" s="170" t="str">
        <f t="shared" si="14"/>
        <v/>
      </c>
      <c r="X75" s="170" t="str">
        <f t="shared" si="14"/>
        <v/>
      </c>
      <c r="Y75" s="16" t="str">
        <f t="shared" si="14"/>
        <v/>
      </c>
      <c r="Z75" s="16" t="str">
        <f t="shared" si="14"/>
        <v/>
      </c>
    </row>
    <row r="76" spans="1:26" s="16" customFormat="1" ht="21.95" customHeight="1">
      <c r="A76" s="3161">
        <v>16</v>
      </c>
      <c r="B76" s="2774" t="s">
        <v>143</v>
      </c>
      <c r="C76" s="2774"/>
      <c r="D76" s="2774"/>
      <c r="E76" s="2774"/>
      <c r="F76" s="2820" t="s">
        <v>347</v>
      </c>
      <c r="G76" s="2822"/>
      <c r="H76" s="348"/>
      <c r="I76" s="108" t="s">
        <v>304</v>
      </c>
      <c r="J76" s="344"/>
      <c r="K76" s="95" t="s">
        <v>130</v>
      </c>
      <c r="L76" s="3164"/>
      <c r="M76" s="189"/>
      <c r="N76" s="170"/>
      <c r="O76" s="170"/>
      <c r="P76" s="170"/>
      <c r="Q76" s="190"/>
      <c r="R76" s="190"/>
      <c r="S76" s="172"/>
      <c r="T76" s="172"/>
      <c r="U76" s="170"/>
      <c r="V76" s="170"/>
      <c r="W76" s="170"/>
      <c r="X76" s="170"/>
    </row>
    <row r="77" spans="1:26" s="16" customFormat="1" ht="21.95" customHeight="1">
      <c r="A77" s="3161"/>
      <c r="B77" s="2774"/>
      <c r="C77" s="2774"/>
      <c r="D77" s="2774"/>
      <c r="E77" s="2774"/>
      <c r="F77" s="2820"/>
      <c r="G77" s="2822"/>
      <c r="H77" s="348"/>
      <c r="I77" s="108" t="s">
        <v>543</v>
      </c>
      <c r="J77" s="344"/>
      <c r="K77" s="95" t="s">
        <v>543</v>
      </c>
      <c r="L77" s="3164"/>
      <c r="M77" s="189"/>
      <c r="N77" s="170"/>
      <c r="O77" s="170"/>
      <c r="P77" s="170"/>
      <c r="Q77" s="190"/>
      <c r="R77" s="190"/>
      <c r="S77" s="172"/>
      <c r="T77" s="172"/>
      <c r="U77" s="170"/>
      <c r="V77" s="170"/>
      <c r="W77" s="170"/>
      <c r="X77" s="170"/>
    </row>
    <row r="78" spans="1:26" s="16" customFormat="1" ht="21.95" customHeight="1">
      <c r="A78" s="3161"/>
      <c r="B78" s="2774"/>
      <c r="C78" s="2774"/>
      <c r="D78" s="2774"/>
      <c r="E78" s="2774"/>
      <c r="F78" s="2820"/>
      <c r="G78" s="2822"/>
      <c r="H78" s="348"/>
      <c r="I78" s="108" t="s">
        <v>542</v>
      </c>
      <c r="J78" s="344"/>
      <c r="K78" s="95" t="s">
        <v>542</v>
      </c>
      <c r="L78" s="3164"/>
      <c r="M78" s="189"/>
      <c r="N78" s="170"/>
      <c r="O78" s="170"/>
      <c r="P78" s="170"/>
      <c r="Q78" s="190"/>
      <c r="R78" s="190"/>
      <c r="S78" s="172"/>
      <c r="T78" s="172"/>
      <c r="U78" s="170"/>
      <c r="V78" s="170"/>
      <c r="W78" s="170"/>
      <c r="X78" s="170"/>
    </row>
    <row r="79" spans="1:26" s="16" customFormat="1" ht="21.95" customHeight="1">
      <c r="A79" s="3161"/>
      <c r="B79" s="2774"/>
      <c r="C79" s="2774"/>
      <c r="D79" s="2774"/>
      <c r="E79" s="2774"/>
      <c r="F79" s="2820"/>
      <c r="G79" s="2822"/>
      <c r="H79" s="348"/>
      <c r="I79" s="110" t="s">
        <v>179</v>
      </c>
      <c r="J79" s="344"/>
      <c r="K79" s="115" t="s">
        <v>179</v>
      </c>
      <c r="L79" s="3164"/>
      <c r="M79" s="189"/>
      <c r="N79" s="170"/>
      <c r="O79" s="170"/>
      <c r="P79" s="170"/>
      <c r="Q79" s="190"/>
      <c r="R79" s="190"/>
      <c r="S79" s="172" t="str">
        <f>IFERROR(CHOOSE(Q79,$O$4,$O$5,$O$6,$O$7),"")</f>
        <v/>
      </c>
      <c r="T79" s="172" t="str">
        <f t="shared" ref="T79:Z79" si="15">IFERROR(CHOOSE(R79,$P$4,$P$5,$P$6,$P$7),"")</f>
        <v/>
      </c>
      <c r="U79" s="170" t="str">
        <f t="shared" si="15"/>
        <v/>
      </c>
      <c r="V79" s="170" t="str">
        <f t="shared" si="15"/>
        <v/>
      </c>
      <c r="W79" s="170" t="str">
        <f t="shared" si="15"/>
        <v/>
      </c>
      <c r="X79" s="170" t="str">
        <f t="shared" si="15"/>
        <v/>
      </c>
      <c r="Y79" s="16" t="str">
        <f t="shared" si="15"/>
        <v/>
      </c>
      <c r="Z79" s="16" t="str">
        <f t="shared" si="15"/>
        <v/>
      </c>
    </row>
    <row r="80" spans="1:26" s="16" customFormat="1" ht="21.95" customHeight="1">
      <c r="A80" s="3166">
        <v>17</v>
      </c>
      <c r="B80" s="2771" t="s">
        <v>144</v>
      </c>
      <c r="C80" s="2771"/>
      <c r="D80" s="2771"/>
      <c r="E80" s="2771"/>
      <c r="F80" s="2817" t="s">
        <v>410</v>
      </c>
      <c r="G80" s="2819"/>
      <c r="H80" s="349"/>
      <c r="I80" s="121" t="s">
        <v>304</v>
      </c>
      <c r="J80" s="346"/>
      <c r="K80" s="116" t="s">
        <v>130</v>
      </c>
      <c r="L80" s="3168"/>
      <c r="M80" s="189"/>
      <c r="N80" s="170"/>
      <c r="O80" s="170"/>
      <c r="P80" s="170"/>
      <c r="Q80" s="190"/>
      <c r="R80" s="190"/>
      <c r="S80" s="172"/>
      <c r="T80" s="172"/>
      <c r="U80" s="170"/>
      <c r="V80" s="170"/>
      <c r="W80" s="170"/>
      <c r="X80" s="170"/>
    </row>
    <row r="81" spans="1:26" s="16" customFormat="1" ht="21.95" customHeight="1">
      <c r="A81" s="3161"/>
      <c r="B81" s="2774"/>
      <c r="C81" s="2774"/>
      <c r="D81" s="2774"/>
      <c r="E81" s="2774"/>
      <c r="F81" s="2820"/>
      <c r="G81" s="2822"/>
      <c r="H81" s="348"/>
      <c r="I81" s="108" t="s">
        <v>543</v>
      </c>
      <c r="J81" s="344"/>
      <c r="K81" s="95" t="s">
        <v>543</v>
      </c>
      <c r="L81" s="3164"/>
      <c r="M81" s="189"/>
      <c r="N81" s="170"/>
      <c r="O81" s="170"/>
      <c r="P81" s="170"/>
      <c r="Q81" s="190"/>
      <c r="R81" s="190"/>
      <c r="S81" s="172"/>
      <c r="T81" s="172"/>
      <c r="U81" s="170"/>
      <c r="V81" s="170"/>
      <c r="W81" s="170"/>
      <c r="X81" s="170"/>
    </row>
    <row r="82" spans="1:26" s="16" customFormat="1" ht="21.95" customHeight="1">
      <c r="A82" s="3161"/>
      <c r="B82" s="2774"/>
      <c r="C82" s="2774"/>
      <c r="D82" s="2774"/>
      <c r="E82" s="2774"/>
      <c r="F82" s="2820"/>
      <c r="G82" s="2822"/>
      <c r="H82" s="348"/>
      <c r="I82" s="108" t="s">
        <v>542</v>
      </c>
      <c r="J82" s="344"/>
      <c r="K82" s="95" t="s">
        <v>542</v>
      </c>
      <c r="L82" s="3164"/>
      <c r="M82" s="189"/>
      <c r="N82" s="170"/>
      <c r="O82" s="170"/>
      <c r="P82" s="170"/>
      <c r="Q82" s="190"/>
      <c r="R82" s="190"/>
      <c r="S82" s="172"/>
      <c r="T82" s="172"/>
      <c r="U82" s="170"/>
      <c r="V82" s="170"/>
      <c r="W82" s="170"/>
      <c r="X82" s="170"/>
    </row>
    <row r="83" spans="1:26" s="16" customFormat="1" ht="21.95" customHeight="1">
      <c r="A83" s="3167"/>
      <c r="B83" s="2777"/>
      <c r="C83" s="2777"/>
      <c r="D83" s="2777"/>
      <c r="E83" s="2777"/>
      <c r="F83" s="2840"/>
      <c r="G83" s="2842"/>
      <c r="H83" s="350"/>
      <c r="I83" s="122" t="s">
        <v>179</v>
      </c>
      <c r="J83" s="345"/>
      <c r="K83" s="18" t="s">
        <v>179</v>
      </c>
      <c r="L83" s="3169"/>
      <c r="M83" s="189"/>
      <c r="N83" s="170"/>
      <c r="O83" s="170"/>
      <c r="P83" s="170"/>
      <c r="Q83" s="190"/>
      <c r="R83" s="190"/>
      <c r="S83" s="172" t="str">
        <f>IFERROR(CHOOSE(Q83,$O$4,$O$5,$O$6,$O$7),"")</f>
        <v/>
      </c>
      <c r="T83" s="172" t="str">
        <f t="shared" ref="T83:Z83" si="16">IFERROR(CHOOSE(R83,$P$4,$P$5,$P$6,$P$7),"")</f>
        <v/>
      </c>
      <c r="U83" s="170" t="str">
        <f t="shared" si="16"/>
        <v/>
      </c>
      <c r="V83" s="170" t="str">
        <f t="shared" si="16"/>
        <v/>
      </c>
      <c r="W83" s="170" t="str">
        <f t="shared" si="16"/>
        <v/>
      </c>
      <c r="X83" s="170" t="str">
        <f t="shared" si="16"/>
        <v/>
      </c>
      <c r="Y83" s="16" t="str">
        <f t="shared" si="16"/>
        <v/>
      </c>
      <c r="Z83" s="16" t="str">
        <f t="shared" si="16"/>
        <v/>
      </c>
    </row>
    <row r="84" spans="1:26" s="16" customFormat="1" ht="21.95" customHeight="1">
      <c r="A84" s="3161">
        <v>18</v>
      </c>
      <c r="B84" s="2774" t="s">
        <v>145</v>
      </c>
      <c r="C84" s="2774"/>
      <c r="D84" s="2774"/>
      <c r="E84" s="2774"/>
      <c r="F84" s="2820" t="s">
        <v>348</v>
      </c>
      <c r="G84" s="2822"/>
      <c r="H84" s="348"/>
      <c r="I84" s="108" t="s">
        <v>304</v>
      </c>
      <c r="J84" s="344"/>
      <c r="K84" s="95" t="s">
        <v>130</v>
      </c>
      <c r="L84" s="3164"/>
      <c r="M84" s="189"/>
      <c r="N84" s="170"/>
      <c r="O84" s="170"/>
      <c r="P84" s="170"/>
      <c r="Q84" s="190"/>
      <c r="R84" s="190"/>
      <c r="S84" s="172"/>
      <c r="T84" s="172"/>
      <c r="U84" s="170"/>
      <c r="V84" s="170"/>
      <c r="W84" s="170"/>
      <c r="X84" s="170"/>
    </row>
    <row r="85" spans="1:26" s="16" customFormat="1" ht="21.95" customHeight="1">
      <c r="A85" s="3161"/>
      <c r="B85" s="2774"/>
      <c r="C85" s="2774"/>
      <c r="D85" s="2774"/>
      <c r="E85" s="2774"/>
      <c r="F85" s="2820"/>
      <c r="G85" s="2822"/>
      <c r="H85" s="348"/>
      <c r="I85" s="108" t="s">
        <v>543</v>
      </c>
      <c r="J85" s="344"/>
      <c r="K85" s="95" t="s">
        <v>543</v>
      </c>
      <c r="L85" s="3164"/>
      <c r="M85" s="189"/>
      <c r="N85" s="170"/>
      <c r="O85" s="170"/>
      <c r="P85" s="170"/>
      <c r="Q85" s="190"/>
      <c r="R85" s="190"/>
      <c r="S85" s="172"/>
      <c r="T85" s="172"/>
      <c r="U85" s="170"/>
      <c r="V85" s="170"/>
      <c r="W85" s="170"/>
      <c r="X85" s="170"/>
    </row>
    <row r="86" spans="1:26" s="16" customFormat="1" ht="21.95" customHeight="1">
      <c r="A86" s="3161"/>
      <c r="B86" s="2774"/>
      <c r="C86" s="2774"/>
      <c r="D86" s="2774"/>
      <c r="E86" s="2774"/>
      <c r="F86" s="2820"/>
      <c r="G86" s="2822"/>
      <c r="H86" s="348"/>
      <c r="I86" s="108" t="s">
        <v>542</v>
      </c>
      <c r="J86" s="344"/>
      <c r="K86" s="95" t="s">
        <v>542</v>
      </c>
      <c r="L86" s="3164"/>
      <c r="M86" s="189"/>
      <c r="N86" s="170"/>
      <c r="O86" s="170"/>
      <c r="P86" s="170"/>
      <c r="Q86" s="190"/>
      <c r="R86" s="190"/>
      <c r="S86" s="172"/>
      <c r="T86" s="172"/>
      <c r="U86" s="170"/>
      <c r="V86" s="170"/>
      <c r="W86" s="170"/>
      <c r="X86" s="170"/>
    </row>
    <row r="87" spans="1:26" s="16" customFormat="1" ht="21.95" customHeight="1">
      <c r="A87" s="3162"/>
      <c r="B87" s="3163"/>
      <c r="C87" s="3163"/>
      <c r="D87" s="3163"/>
      <c r="E87" s="3163"/>
      <c r="F87" s="3159"/>
      <c r="G87" s="3160"/>
      <c r="H87" s="351"/>
      <c r="I87" s="117" t="s">
        <v>179</v>
      </c>
      <c r="J87" s="347"/>
      <c r="K87" s="77" t="s">
        <v>179</v>
      </c>
      <c r="L87" s="3165"/>
      <c r="M87" s="189"/>
      <c r="N87" s="170"/>
      <c r="O87" s="170"/>
      <c r="P87" s="170"/>
      <c r="Q87" s="190"/>
      <c r="R87" s="190"/>
      <c r="S87" s="172" t="str">
        <f>IFERROR(CHOOSE(Q87,$O$4,$O$5,$O$6,$O$7),"")</f>
        <v/>
      </c>
      <c r="T87" s="172" t="str">
        <f t="shared" ref="T87:Z87" si="17">IFERROR(CHOOSE(R87,$P$4,$P$5,$P$6,$P$7),"")</f>
        <v/>
      </c>
      <c r="U87" s="170" t="str">
        <f t="shared" si="17"/>
        <v/>
      </c>
      <c r="V87" s="170" t="str">
        <f t="shared" si="17"/>
        <v/>
      </c>
      <c r="W87" s="170" t="str">
        <f t="shared" si="17"/>
        <v/>
      </c>
      <c r="X87" s="170" t="str">
        <f t="shared" si="17"/>
        <v/>
      </c>
      <c r="Y87" s="16" t="str">
        <f t="shared" si="17"/>
        <v/>
      </c>
      <c r="Z87" s="16" t="str">
        <f t="shared" si="17"/>
        <v/>
      </c>
    </row>
    <row r="88" spans="1:26" s="6" customFormat="1" ht="18" customHeight="1">
      <c r="A88" s="197"/>
      <c r="B88" s="198"/>
      <c r="C88" s="199"/>
      <c r="D88" s="199"/>
      <c r="E88" s="199"/>
      <c r="F88" s="192"/>
      <c r="G88" s="192"/>
      <c r="H88" s="193"/>
      <c r="I88" s="193"/>
      <c r="J88" s="194"/>
      <c r="K88" s="194"/>
      <c r="L88" s="195"/>
      <c r="M88" s="189"/>
      <c r="N88" s="165"/>
      <c r="O88" s="165"/>
      <c r="P88" s="165"/>
      <c r="Q88" s="172"/>
      <c r="R88" s="172"/>
      <c r="S88" s="172" t="str">
        <f>IFERROR(CHOOSE(Q88,$O$7,$O$4,$O$5,$O$6),"")</f>
        <v/>
      </c>
      <c r="T88" s="172" t="str">
        <f t="shared" ref="T88:Z88" si="18">IFERROR(CHOOSE(R88,$P$7,$P$4,$P$5,$P$6),"")</f>
        <v/>
      </c>
      <c r="U88" s="170" t="str">
        <f t="shared" si="18"/>
        <v/>
      </c>
      <c r="V88" s="170" t="str">
        <f t="shared" si="18"/>
        <v/>
      </c>
      <c r="W88" s="170" t="str">
        <f t="shared" si="18"/>
        <v/>
      </c>
      <c r="X88" s="170" t="str">
        <f t="shared" si="18"/>
        <v/>
      </c>
      <c r="Y88" s="16" t="str">
        <f t="shared" si="18"/>
        <v/>
      </c>
      <c r="Z88" s="16" t="str">
        <f t="shared" si="18"/>
        <v/>
      </c>
    </row>
    <row r="89" spans="1:26" s="16" customFormat="1" ht="39.950000000000003" customHeight="1">
      <c r="A89" s="182"/>
      <c r="B89" s="182"/>
      <c r="C89" s="200"/>
      <c r="D89" s="200"/>
      <c r="E89" s="182"/>
      <c r="F89" s="182"/>
      <c r="G89" s="182"/>
      <c r="H89" s="196"/>
      <c r="I89" s="196"/>
      <c r="J89" s="196"/>
      <c r="K89" s="196"/>
      <c r="L89" s="184"/>
      <c r="M89" s="189"/>
      <c r="N89" s="170"/>
      <c r="O89" s="170"/>
      <c r="P89" s="170"/>
      <c r="Q89" s="172"/>
      <c r="R89" s="172"/>
      <c r="S89" s="172"/>
      <c r="T89" s="172"/>
      <c r="U89" s="170"/>
      <c r="V89" s="170"/>
      <c r="W89" s="170"/>
      <c r="X89" s="170"/>
    </row>
    <row r="90" spans="1:26" s="16" customFormat="1" ht="39.950000000000003" customHeight="1">
      <c r="A90" s="182"/>
      <c r="B90" s="182"/>
      <c r="C90" s="200"/>
      <c r="D90" s="200"/>
      <c r="E90" s="182"/>
      <c r="F90" s="182"/>
      <c r="G90" s="182"/>
      <c r="H90" s="196"/>
      <c r="I90" s="196"/>
      <c r="J90" s="196"/>
      <c r="K90" s="196"/>
      <c r="L90" s="184"/>
      <c r="M90" s="189"/>
      <c r="N90" s="170"/>
      <c r="O90" s="170"/>
      <c r="P90" s="170"/>
      <c r="Q90" s="172"/>
      <c r="R90" s="172"/>
      <c r="S90" s="172"/>
      <c r="T90" s="172"/>
      <c r="U90" s="170"/>
      <c r="V90" s="170"/>
      <c r="W90" s="170"/>
      <c r="X90" s="170"/>
    </row>
    <row r="91" spans="1:26" s="6" customFormat="1" ht="39.950000000000003" customHeight="1">
      <c r="A91" s="182"/>
      <c r="B91" s="182"/>
      <c r="C91" s="200"/>
      <c r="D91" s="200"/>
      <c r="E91" s="182"/>
      <c r="F91" s="182"/>
      <c r="G91" s="182"/>
      <c r="H91" s="196"/>
      <c r="I91" s="196"/>
      <c r="J91" s="196"/>
      <c r="K91" s="196"/>
      <c r="L91" s="184"/>
      <c r="M91" s="189"/>
      <c r="N91" s="170"/>
      <c r="O91" s="170"/>
      <c r="P91" s="170"/>
      <c r="Q91" s="172"/>
      <c r="R91" s="172"/>
      <c r="S91" s="172"/>
      <c r="T91" s="172"/>
      <c r="U91" s="170"/>
      <c r="V91" s="170"/>
      <c r="W91" s="170"/>
      <c r="X91" s="170"/>
      <c r="Y91" s="16"/>
      <c r="Z91" s="16"/>
    </row>
    <row r="92" spans="1:26" s="6" customFormat="1" ht="39.950000000000003" customHeight="1">
      <c r="A92" s="182"/>
      <c r="B92" s="182"/>
      <c r="C92" s="200"/>
      <c r="D92" s="200"/>
      <c r="E92" s="182"/>
      <c r="F92" s="182"/>
      <c r="G92" s="182"/>
      <c r="H92" s="196"/>
      <c r="I92" s="196"/>
      <c r="J92" s="196"/>
      <c r="K92" s="196"/>
      <c r="L92" s="184"/>
      <c r="M92" s="189"/>
      <c r="N92" s="170"/>
      <c r="O92" s="170"/>
      <c r="P92" s="170"/>
      <c r="Q92" s="172"/>
      <c r="R92" s="172"/>
      <c r="S92" s="172"/>
      <c r="T92" s="172"/>
      <c r="U92" s="170"/>
      <c r="V92" s="170"/>
      <c r="W92" s="170"/>
      <c r="X92" s="170"/>
      <c r="Y92" s="16"/>
      <c r="Z92" s="16"/>
    </row>
    <row r="93" spans="1:26" s="6" customFormat="1" ht="39.950000000000003" customHeight="1">
      <c r="A93" s="182"/>
      <c r="B93" s="182"/>
      <c r="C93" s="200"/>
      <c r="D93" s="200"/>
      <c r="E93" s="182"/>
      <c r="F93" s="182"/>
      <c r="G93" s="182"/>
      <c r="H93" s="196"/>
      <c r="I93" s="196"/>
      <c r="J93" s="196"/>
      <c r="K93" s="196"/>
      <c r="L93" s="184"/>
      <c r="M93" s="183"/>
      <c r="N93" s="170"/>
      <c r="O93" s="170"/>
      <c r="P93" s="170"/>
      <c r="Q93" s="172"/>
      <c r="R93" s="172"/>
      <c r="S93" s="172"/>
      <c r="T93" s="172"/>
      <c r="U93" s="170"/>
      <c r="V93" s="170"/>
      <c r="W93" s="170"/>
      <c r="X93" s="170"/>
      <c r="Y93" s="16"/>
      <c r="Z93" s="16"/>
    </row>
    <row r="94" spans="1:26" s="6" customFormat="1" ht="39.950000000000003" customHeight="1">
      <c r="A94" s="182"/>
      <c r="B94" s="182"/>
      <c r="C94" s="200"/>
      <c r="D94" s="200"/>
      <c r="E94" s="182"/>
      <c r="F94" s="182"/>
      <c r="G94" s="182"/>
      <c r="H94" s="196"/>
      <c r="I94" s="196"/>
      <c r="J94" s="196"/>
      <c r="K94" s="196"/>
      <c r="L94" s="184"/>
      <c r="M94" s="189"/>
      <c r="N94" s="170"/>
      <c r="O94" s="170"/>
      <c r="P94" s="170"/>
      <c r="Q94" s="172"/>
      <c r="R94" s="172"/>
      <c r="S94" s="172"/>
      <c r="T94" s="172"/>
      <c r="U94" s="170"/>
      <c r="V94" s="170"/>
      <c r="W94" s="170"/>
      <c r="X94" s="170"/>
      <c r="Y94" s="16"/>
      <c r="Z94" s="16"/>
    </row>
    <row r="95" spans="1:26" s="6" customFormat="1" ht="39.950000000000003" customHeight="1">
      <c r="A95" s="182"/>
      <c r="B95" s="182"/>
      <c r="C95" s="200"/>
      <c r="D95" s="200"/>
      <c r="E95" s="182"/>
      <c r="F95" s="182"/>
      <c r="G95" s="182"/>
      <c r="H95" s="196"/>
      <c r="I95" s="196"/>
      <c r="J95" s="196"/>
      <c r="K95" s="196"/>
      <c r="L95" s="184"/>
      <c r="M95" s="189"/>
      <c r="N95" s="170"/>
      <c r="O95" s="170"/>
      <c r="P95" s="170"/>
      <c r="Q95" s="172"/>
      <c r="R95" s="172"/>
      <c r="S95" s="172"/>
      <c r="T95" s="172"/>
      <c r="U95" s="170"/>
      <c r="V95" s="170"/>
      <c r="W95" s="170"/>
      <c r="X95" s="170"/>
      <c r="Y95" s="16"/>
      <c r="Z95" s="16"/>
    </row>
    <row r="96" spans="1:26" s="6" customFormat="1" ht="39.950000000000003" customHeight="1">
      <c r="A96" s="182"/>
      <c r="B96" s="182"/>
      <c r="C96" s="200"/>
      <c r="D96" s="200"/>
      <c r="E96" s="182"/>
      <c r="F96" s="182"/>
      <c r="G96" s="182"/>
      <c r="H96" s="196"/>
      <c r="I96" s="196"/>
      <c r="J96" s="196"/>
      <c r="K96" s="196"/>
      <c r="L96" s="184"/>
      <c r="M96" s="189"/>
      <c r="N96" s="170"/>
      <c r="O96" s="170"/>
      <c r="P96" s="170"/>
      <c r="Q96" s="172"/>
      <c r="R96" s="172"/>
      <c r="S96" s="172"/>
      <c r="T96" s="172"/>
      <c r="U96" s="170"/>
      <c r="V96" s="170"/>
      <c r="W96" s="170"/>
      <c r="X96" s="170"/>
      <c r="Y96" s="16"/>
      <c r="Z96" s="16"/>
    </row>
    <row r="97" spans="1:26" s="6" customFormat="1" ht="39.950000000000003" customHeight="1">
      <c r="A97" s="182"/>
      <c r="B97" s="182"/>
      <c r="C97" s="200"/>
      <c r="D97" s="200"/>
      <c r="E97" s="182"/>
      <c r="F97" s="182"/>
      <c r="G97" s="182"/>
      <c r="H97" s="196"/>
      <c r="I97" s="196"/>
      <c r="J97" s="196"/>
      <c r="K97" s="196"/>
      <c r="L97" s="184"/>
      <c r="M97" s="189"/>
      <c r="N97" s="170"/>
      <c r="O97" s="170"/>
      <c r="P97" s="170"/>
      <c r="Q97" s="172"/>
      <c r="R97" s="172"/>
      <c r="S97" s="172"/>
      <c r="T97" s="172"/>
      <c r="U97" s="170"/>
      <c r="V97" s="170"/>
      <c r="W97" s="170"/>
      <c r="X97" s="170"/>
      <c r="Y97" s="16"/>
      <c r="Z97" s="16"/>
    </row>
    <row r="98" spans="1:26" s="6" customFormat="1" ht="39.950000000000003" customHeight="1">
      <c r="A98" s="182"/>
      <c r="B98" s="182"/>
      <c r="C98" s="200"/>
      <c r="D98" s="200"/>
      <c r="E98" s="182"/>
      <c r="F98" s="182"/>
      <c r="G98" s="182"/>
      <c r="H98" s="196"/>
      <c r="I98" s="196"/>
      <c r="J98" s="196"/>
      <c r="K98" s="196"/>
      <c r="L98" s="184"/>
      <c r="M98" s="189"/>
      <c r="N98" s="170"/>
      <c r="O98" s="170"/>
      <c r="P98" s="170"/>
      <c r="Q98" s="172"/>
      <c r="R98" s="172"/>
      <c r="S98" s="172"/>
      <c r="T98" s="172"/>
      <c r="U98" s="170"/>
      <c r="V98" s="170"/>
      <c r="W98" s="170"/>
      <c r="X98" s="170"/>
      <c r="Y98" s="16"/>
      <c r="Z98" s="16"/>
    </row>
    <row r="99" spans="1:26" s="6" customFormat="1" ht="39.950000000000003" customHeight="1">
      <c r="A99" s="182"/>
      <c r="B99" s="182"/>
      <c r="C99" s="200"/>
      <c r="D99" s="200"/>
      <c r="E99" s="182"/>
      <c r="F99" s="182"/>
      <c r="G99" s="182"/>
      <c r="H99" s="196"/>
      <c r="I99" s="196"/>
      <c r="J99" s="196"/>
      <c r="K99" s="196"/>
      <c r="L99" s="184"/>
      <c r="M99" s="189"/>
      <c r="N99" s="170"/>
      <c r="O99" s="170"/>
      <c r="P99" s="170"/>
      <c r="Q99" s="172"/>
      <c r="R99" s="172"/>
      <c r="S99" s="172"/>
      <c r="T99" s="172"/>
      <c r="U99" s="170"/>
      <c r="V99" s="170"/>
      <c r="W99" s="170"/>
      <c r="X99" s="170"/>
      <c r="Y99" s="16"/>
      <c r="Z99" s="16"/>
    </row>
    <row r="100" spans="1:26" ht="39.950000000000003" customHeight="1">
      <c r="A100" s="182"/>
      <c r="B100" s="200"/>
      <c r="C100" s="200"/>
      <c r="D100" s="200"/>
      <c r="E100" s="182"/>
      <c r="F100" s="182"/>
      <c r="G100" s="182"/>
      <c r="H100" s="196"/>
      <c r="I100" s="196"/>
      <c r="J100" s="196"/>
      <c r="K100" s="196"/>
      <c r="L100" s="184"/>
      <c r="M100" s="183"/>
      <c r="N100" s="182"/>
      <c r="O100" s="182"/>
      <c r="P100" s="182"/>
      <c r="Q100" s="184"/>
      <c r="R100" s="184"/>
      <c r="S100" s="184"/>
      <c r="T100" s="184"/>
      <c r="U100" s="182"/>
      <c r="V100" s="182"/>
      <c r="W100" s="182"/>
      <c r="X100" s="182"/>
    </row>
    <row r="101" spans="1:26" s="6" customFormat="1" ht="39.950000000000003" customHeight="1">
      <c r="A101" s="2"/>
      <c r="B101" s="15"/>
      <c r="C101" s="15"/>
      <c r="D101" s="15"/>
      <c r="E101" s="2"/>
      <c r="F101" s="2"/>
      <c r="G101" s="2"/>
      <c r="H101" s="88"/>
      <c r="I101" s="88"/>
      <c r="J101" s="88"/>
      <c r="K101" s="88"/>
      <c r="L101" s="5"/>
      <c r="M101" s="25"/>
      <c r="Q101" s="7"/>
      <c r="R101" s="7"/>
      <c r="S101" s="7"/>
      <c r="T101" s="7"/>
      <c r="U101" s="16"/>
      <c r="V101" s="16"/>
      <c r="W101" s="16"/>
      <c r="X101" s="16"/>
      <c r="Y101" s="16"/>
      <c r="Z101" s="16"/>
    </row>
    <row r="102" spans="1:26" s="6" customFormat="1" ht="39.950000000000003" customHeight="1">
      <c r="A102" s="2"/>
      <c r="B102" s="15"/>
      <c r="C102" s="15"/>
      <c r="D102" s="15"/>
      <c r="E102" s="2"/>
      <c r="F102" s="2"/>
      <c r="G102" s="2"/>
      <c r="H102" s="88"/>
      <c r="I102" s="88"/>
      <c r="J102" s="88"/>
      <c r="K102" s="88"/>
      <c r="L102" s="5"/>
      <c r="M102" s="25"/>
      <c r="N102" s="7"/>
      <c r="O102" s="7"/>
      <c r="P102" s="91"/>
      <c r="Q102" s="7"/>
      <c r="R102" s="7"/>
      <c r="S102" s="7"/>
      <c r="T102" s="7"/>
      <c r="U102" s="16"/>
      <c r="V102" s="16"/>
      <c r="W102" s="16"/>
      <c r="X102" s="16"/>
      <c r="Y102" s="16"/>
      <c r="Z102" s="16"/>
    </row>
    <row r="103" spans="1:26" s="16" customFormat="1" ht="110.25" customHeight="1">
      <c r="A103" s="2"/>
      <c r="B103" s="15"/>
      <c r="C103" s="15"/>
      <c r="D103" s="15"/>
      <c r="E103" s="2"/>
      <c r="F103" s="2"/>
      <c r="G103" s="2"/>
      <c r="H103" s="88"/>
      <c r="I103" s="88"/>
      <c r="J103" s="88"/>
      <c r="K103" s="88"/>
      <c r="L103" s="5"/>
      <c r="M103" s="25"/>
      <c r="Q103" s="7"/>
      <c r="R103" s="7"/>
      <c r="S103" s="7"/>
      <c r="T103" s="7"/>
    </row>
    <row r="104" spans="1:26" s="6" customFormat="1" ht="39.950000000000003" customHeight="1">
      <c r="A104" s="2"/>
      <c r="B104" s="15"/>
      <c r="C104" s="15"/>
      <c r="D104" s="15"/>
      <c r="E104" s="2"/>
      <c r="F104" s="2"/>
      <c r="G104" s="2"/>
      <c r="H104" s="88"/>
      <c r="I104" s="88"/>
      <c r="J104" s="88"/>
      <c r="K104" s="88"/>
      <c r="L104" s="5"/>
      <c r="M104" s="25"/>
      <c r="N104" s="16"/>
      <c r="O104" s="16"/>
      <c r="P104" s="16"/>
      <c r="Q104" s="7"/>
      <c r="R104" s="7"/>
      <c r="S104" s="7"/>
      <c r="T104" s="7"/>
      <c r="U104" s="16"/>
      <c r="V104" s="16"/>
      <c r="W104" s="16"/>
      <c r="X104" s="16"/>
      <c r="Y104" s="16"/>
      <c r="Z104" s="16"/>
    </row>
    <row r="105" spans="1:26" s="6" customFormat="1" ht="39.950000000000003" customHeight="1">
      <c r="A105" s="2"/>
      <c r="B105" s="15"/>
      <c r="C105" s="15"/>
      <c r="D105" s="15"/>
      <c r="E105" s="2"/>
      <c r="F105" s="2"/>
      <c r="G105" s="2"/>
      <c r="H105" s="88"/>
      <c r="I105" s="88"/>
      <c r="J105" s="88"/>
      <c r="K105" s="88"/>
      <c r="L105" s="5"/>
      <c r="M105" s="25"/>
      <c r="N105" s="16"/>
      <c r="O105" s="16"/>
      <c r="P105" s="16"/>
      <c r="Q105" s="7"/>
      <c r="R105" s="7"/>
      <c r="S105" s="7"/>
      <c r="T105" s="7"/>
      <c r="U105" s="16"/>
      <c r="V105" s="16"/>
      <c r="W105" s="16"/>
      <c r="X105" s="16"/>
      <c r="Y105" s="16"/>
      <c r="Z105" s="16"/>
    </row>
    <row r="106" spans="1:26" s="6" customFormat="1" ht="39.950000000000003" customHeight="1">
      <c r="A106" s="2"/>
      <c r="B106" s="15"/>
      <c r="C106" s="15"/>
      <c r="D106" s="15"/>
      <c r="E106" s="2"/>
      <c r="F106" s="2"/>
      <c r="G106" s="2"/>
      <c r="H106" s="88"/>
      <c r="I106" s="88"/>
      <c r="J106" s="88"/>
      <c r="K106" s="88"/>
      <c r="L106" s="5"/>
      <c r="M106" s="25"/>
      <c r="N106" s="16"/>
      <c r="O106" s="16"/>
      <c r="P106" s="16"/>
      <c r="Q106" s="7"/>
      <c r="R106" s="7"/>
      <c r="S106" s="7"/>
      <c r="T106" s="7"/>
      <c r="U106" s="16"/>
      <c r="V106" s="16"/>
      <c r="W106" s="16"/>
      <c r="X106" s="16"/>
      <c r="Y106" s="16"/>
      <c r="Z106" s="16"/>
    </row>
    <row r="107" spans="1:26" ht="39.950000000000003" customHeight="1"/>
    <row r="108" spans="1:26" ht="39.950000000000003" customHeight="1"/>
    <row r="109" spans="1:26" ht="39.950000000000003" customHeight="1"/>
    <row r="110" spans="1:26" ht="39.950000000000003" customHeight="1"/>
    <row r="111" spans="1:26" ht="39.950000000000003" customHeight="1"/>
    <row r="112" spans="1:26" ht="39.950000000000003" customHeight="1"/>
    <row r="113" spans="2:12" ht="39.950000000000003" customHeight="1">
      <c r="B113" s="2"/>
      <c r="C113" s="2"/>
      <c r="D113" s="2"/>
    </row>
    <row r="114" spans="2:12" ht="39.950000000000003" customHeight="1">
      <c r="B114" s="2"/>
      <c r="C114" s="2"/>
      <c r="D114" s="2"/>
    </row>
    <row r="115" spans="2:12" ht="39.950000000000003" customHeight="1">
      <c r="B115" s="2"/>
      <c r="C115" s="2"/>
      <c r="D115" s="2"/>
    </row>
    <row r="116" spans="2:12" ht="39.950000000000003" customHeight="1">
      <c r="B116" s="2"/>
      <c r="C116" s="2"/>
      <c r="D116" s="2"/>
    </row>
    <row r="117" spans="2:12" ht="39.950000000000003" customHeight="1">
      <c r="B117" s="2"/>
      <c r="C117" s="2"/>
      <c r="D117" s="2"/>
      <c r="L117" s="23"/>
    </row>
    <row r="118" spans="2:12" ht="39.950000000000003" customHeight="1">
      <c r="B118" s="2"/>
      <c r="C118" s="2"/>
      <c r="D118" s="2"/>
    </row>
    <row r="119" spans="2:12" ht="39.950000000000003" customHeight="1">
      <c r="B119" s="2"/>
      <c r="C119" s="2"/>
      <c r="D119" s="2"/>
    </row>
    <row r="120" spans="2:12" ht="39.950000000000003" customHeight="1">
      <c r="B120" s="2"/>
      <c r="C120" s="2"/>
      <c r="D120" s="2"/>
      <c r="L120" s="23"/>
    </row>
    <row r="121" spans="2:12" ht="39.950000000000003" customHeight="1">
      <c r="B121" s="2"/>
      <c r="C121" s="2"/>
      <c r="D121" s="2"/>
    </row>
    <row r="122" spans="2:12" ht="39.950000000000003" customHeight="1">
      <c r="B122" s="2"/>
      <c r="C122" s="2"/>
      <c r="D122" s="2"/>
    </row>
    <row r="123" spans="2:12" ht="39.950000000000003" customHeight="1">
      <c r="B123" s="2"/>
      <c r="C123" s="2"/>
      <c r="D123" s="2"/>
    </row>
    <row r="124" spans="2:12" ht="39.950000000000003" customHeight="1">
      <c r="B124" s="2"/>
      <c r="C124" s="2"/>
      <c r="D124" s="2"/>
    </row>
    <row r="125" spans="2:12" ht="39.950000000000003" customHeight="1">
      <c r="B125" s="2"/>
      <c r="C125" s="2"/>
      <c r="D125" s="2"/>
    </row>
    <row r="126" spans="2:12" ht="39.950000000000003" customHeight="1">
      <c r="B126" s="2"/>
      <c r="C126" s="2"/>
      <c r="D126" s="2"/>
    </row>
    <row r="127" spans="2:12" ht="39.950000000000003" customHeight="1">
      <c r="B127" s="2"/>
      <c r="C127" s="2"/>
      <c r="D127" s="2"/>
    </row>
    <row r="128" spans="2:12" ht="39.950000000000003" customHeight="1">
      <c r="B128" s="2"/>
      <c r="C128" s="2"/>
      <c r="D128" s="2"/>
    </row>
    <row r="129" spans="2:12" ht="39.950000000000003" customHeight="1">
      <c r="B129" s="2"/>
      <c r="C129" s="2"/>
      <c r="D129" s="2"/>
      <c r="H129" s="97"/>
      <c r="I129" s="97"/>
      <c r="J129" s="97"/>
      <c r="K129" s="97"/>
      <c r="L129" s="2"/>
    </row>
    <row r="130" spans="2:12" ht="39.950000000000003" customHeight="1">
      <c r="B130" s="2"/>
      <c r="C130" s="2"/>
      <c r="D130" s="2"/>
      <c r="H130" s="97"/>
      <c r="I130" s="97"/>
      <c r="J130" s="97"/>
      <c r="K130" s="97"/>
      <c r="L130" s="2"/>
    </row>
    <row r="131" spans="2:12" ht="39.950000000000003" customHeight="1">
      <c r="B131" s="2"/>
      <c r="C131" s="2"/>
      <c r="D131" s="2"/>
      <c r="H131" s="97"/>
      <c r="I131" s="97"/>
      <c r="J131" s="97"/>
      <c r="K131" s="97"/>
      <c r="L131" s="2"/>
    </row>
    <row r="132" spans="2:12" ht="39.950000000000003" customHeight="1">
      <c r="B132" s="2"/>
      <c r="C132" s="2"/>
      <c r="D132" s="2"/>
      <c r="H132" s="97"/>
      <c r="I132" s="97"/>
      <c r="J132" s="97"/>
      <c r="K132" s="97"/>
      <c r="L132" s="2"/>
    </row>
    <row r="133" spans="2:12" ht="39.950000000000003" customHeight="1">
      <c r="B133" s="2"/>
      <c r="C133" s="2"/>
      <c r="D133" s="2"/>
      <c r="H133" s="97"/>
      <c r="I133" s="97"/>
      <c r="J133" s="97"/>
      <c r="K133" s="97"/>
      <c r="L133" s="2"/>
    </row>
    <row r="134" spans="2:12" ht="39.950000000000003" customHeight="1">
      <c r="B134" s="2"/>
      <c r="C134" s="2"/>
      <c r="D134" s="2"/>
      <c r="H134" s="97"/>
      <c r="I134" s="97"/>
      <c r="J134" s="97"/>
      <c r="K134" s="97"/>
      <c r="L134" s="2"/>
    </row>
    <row r="135" spans="2:12" ht="39.950000000000003" customHeight="1">
      <c r="B135" s="2"/>
      <c r="C135" s="2"/>
      <c r="D135" s="2"/>
      <c r="H135" s="97"/>
      <c r="I135" s="97"/>
      <c r="J135" s="97"/>
      <c r="K135" s="97"/>
      <c r="L135" s="2"/>
    </row>
    <row r="136" spans="2:12" ht="39.950000000000003" customHeight="1">
      <c r="B136" s="2"/>
      <c r="C136" s="2"/>
      <c r="D136" s="2"/>
      <c r="H136" s="97"/>
      <c r="I136" s="97"/>
      <c r="J136" s="97"/>
      <c r="K136" s="97"/>
      <c r="L136" s="2"/>
    </row>
    <row r="137" spans="2:12" ht="39.950000000000003" customHeight="1">
      <c r="B137" s="2"/>
      <c r="C137" s="2"/>
      <c r="D137" s="2"/>
      <c r="H137" s="97"/>
      <c r="I137" s="97"/>
      <c r="J137" s="97"/>
      <c r="K137" s="97"/>
      <c r="L137" s="2"/>
    </row>
    <row r="138" spans="2:12" ht="39.950000000000003" customHeight="1">
      <c r="B138" s="2"/>
      <c r="C138" s="2"/>
      <c r="D138" s="2"/>
      <c r="H138" s="97"/>
      <c r="I138" s="97"/>
      <c r="J138" s="97"/>
      <c r="K138" s="97"/>
      <c r="L138" s="2"/>
    </row>
    <row r="139" spans="2:12" ht="39.950000000000003" customHeight="1">
      <c r="B139" s="2"/>
      <c r="C139" s="2"/>
      <c r="D139" s="2"/>
      <c r="H139" s="97"/>
      <c r="I139" s="97"/>
      <c r="J139" s="97"/>
      <c r="K139" s="97"/>
      <c r="L139" s="2"/>
    </row>
    <row r="140" spans="2:12" ht="39.950000000000003" customHeight="1">
      <c r="B140" s="2"/>
      <c r="C140" s="2"/>
      <c r="D140" s="2"/>
      <c r="H140" s="97"/>
      <c r="I140" s="97"/>
      <c r="J140" s="97"/>
      <c r="K140" s="97"/>
      <c r="L140" s="2"/>
    </row>
    <row r="141" spans="2:12" ht="39.950000000000003" customHeight="1">
      <c r="B141" s="2"/>
      <c r="C141" s="2"/>
      <c r="D141" s="2"/>
      <c r="H141" s="97"/>
      <c r="I141" s="97"/>
      <c r="J141" s="97"/>
      <c r="K141" s="97"/>
      <c r="L141" s="2"/>
    </row>
    <row r="142" spans="2:12" ht="39.950000000000003" customHeight="1">
      <c r="B142" s="2"/>
      <c r="C142" s="2"/>
      <c r="D142" s="2"/>
      <c r="H142" s="97"/>
      <c r="I142" s="97"/>
      <c r="J142" s="97"/>
      <c r="K142" s="97"/>
      <c r="L142" s="2"/>
    </row>
    <row r="143" spans="2:12" ht="39.950000000000003" customHeight="1">
      <c r="B143" s="2"/>
      <c r="C143" s="2"/>
      <c r="D143" s="2"/>
      <c r="H143" s="97"/>
      <c r="I143" s="97"/>
      <c r="J143" s="97"/>
      <c r="K143" s="97"/>
      <c r="L143" s="2"/>
    </row>
    <row r="144" spans="2:12" ht="39.950000000000003" customHeight="1">
      <c r="B144" s="2"/>
      <c r="C144" s="2"/>
      <c r="D144" s="2"/>
      <c r="H144" s="97"/>
      <c r="I144" s="97"/>
      <c r="J144" s="97"/>
      <c r="K144" s="97"/>
      <c r="L144" s="2"/>
    </row>
    <row r="145" spans="2:12" ht="39.950000000000003" customHeight="1">
      <c r="B145" s="2"/>
      <c r="C145" s="2"/>
      <c r="D145" s="2"/>
      <c r="H145" s="97"/>
      <c r="I145" s="97"/>
      <c r="J145" s="97"/>
      <c r="K145" s="97"/>
      <c r="L145" s="2"/>
    </row>
    <row r="146" spans="2:12">
      <c r="B146" s="2"/>
      <c r="C146" s="2"/>
      <c r="D146" s="2"/>
      <c r="H146" s="97"/>
      <c r="I146" s="97"/>
      <c r="J146" s="97"/>
      <c r="K146" s="97"/>
      <c r="L146" s="2"/>
    </row>
    <row r="147" spans="2:12">
      <c r="B147" s="2"/>
      <c r="C147" s="2"/>
      <c r="D147" s="2"/>
      <c r="H147" s="97"/>
      <c r="I147" s="97"/>
      <c r="J147" s="97"/>
      <c r="K147" s="97"/>
      <c r="L147" s="2"/>
    </row>
    <row r="148" spans="2:12">
      <c r="B148" s="2"/>
      <c r="C148" s="2"/>
      <c r="D148" s="2"/>
      <c r="H148" s="97"/>
      <c r="I148" s="97"/>
      <c r="J148" s="97"/>
      <c r="K148" s="97"/>
      <c r="L148" s="2"/>
    </row>
    <row r="149" spans="2:12">
      <c r="B149" s="2"/>
      <c r="C149" s="2"/>
      <c r="D149" s="2"/>
      <c r="H149" s="97"/>
      <c r="I149" s="97"/>
      <c r="J149" s="97"/>
      <c r="K149" s="97"/>
      <c r="L149" s="2"/>
    </row>
    <row r="150" spans="2:12">
      <c r="B150" s="2"/>
      <c r="C150" s="2"/>
      <c r="D150" s="2"/>
      <c r="H150" s="97"/>
      <c r="I150" s="97"/>
      <c r="J150" s="97"/>
      <c r="K150" s="97"/>
      <c r="L150" s="2"/>
    </row>
    <row r="151" spans="2:12">
      <c r="B151" s="2"/>
      <c r="C151" s="2"/>
      <c r="D151" s="2"/>
      <c r="H151" s="97"/>
      <c r="I151" s="97"/>
      <c r="J151" s="97"/>
      <c r="K151" s="97"/>
      <c r="L151" s="2"/>
    </row>
    <row r="152" spans="2:12">
      <c r="B152" s="2"/>
      <c r="C152" s="2"/>
      <c r="D152" s="2"/>
      <c r="H152" s="97"/>
      <c r="I152" s="97"/>
      <c r="J152" s="97"/>
      <c r="K152" s="97"/>
      <c r="L152" s="2"/>
    </row>
  </sheetData>
  <sheetProtection algorithmName="SHA-512" hashValue="EPJGMhUpAKpIV9FVePrV1pzLHAziJE4gxNTiuDrAah48wFadMeB9MlguQewEZkV6x9wVgrJkx7gHaror3f4djA==" saltValue="sVFx5erL3gIm87HntXwmcQ==" spinCount="100000" sheet="1" objects="1" scenarios="1"/>
  <mergeCells count="107">
    <mergeCell ref="J5:K5"/>
    <mergeCell ref="A6:A9"/>
    <mergeCell ref="B6:E9"/>
    <mergeCell ref="F6:F9"/>
    <mergeCell ref="G6:G9"/>
    <mergeCell ref="B14:E17"/>
    <mergeCell ref="F14:F17"/>
    <mergeCell ref="G14:G17"/>
    <mergeCell ref="L14:L17"/>
    <mergeCell ref="A18:A21"/>
    <mergeCell ref="B18:E21"/>
    <mergeCell ref="F18:F21"/>
    <mergeCell ref="G18:G21"/>
    <mergeCell ref="L18:L21"/>
    <mergeCell ref="A22:A25"/>
    <mergeCell ref="M1:M5"/>
    <mergeCell ref="A4:E5"/>
    <mergeCell ref="F4:F5"/>
    <mergeCell ref="G4:G5"/>
    <mergeCell ref="H4:K4"/>
    <mergeCell ref="L4:L5"/>
    <mergeCell ref="B22:E25"/>
    <mergeCell ref="F22:F25"/>
    <mergeCell ref="G22:G25"/>
    <mergeCell ref="L22:L25"/>
    <mergeCell ref="A10:A13"/>
    <mergeCell ref="B10:E13"/>
    <mergeCell ref="F10:F13"/>
    <mergeCell ref="G10:G13"/>
    <mergeCell ref="L10:L13"/>
    <mergeCell ref="A14:A17"/>
    <mergeCell ref="L6:L9"/>
    <mergeCell ref="H5:I5"/>
    <mergeCell ref="A26:A29"/>
    <mergeCell ref="B26:E29"/>
    <mergeCell ref="F26:F29"/>
    <mergeCell ref="G26:G29"/>
    <mergeCell ref="L26:L29"/>
    <mergeCell ref="A30:A33"/>
    <mergeCell ref="B30:E33"/>
    <mergeCell ref="F30:F33"/>
    <mergeCell ref="G30:G33"/>
    <mergeCell ref="L30:L33"/>
    <mergeCell ref="A34:A37"/>
    <mergeCell ref="B34:E37"/>
    <mergeCell ref="F34:F37"/>
    <mergeCell ref="G34:G37"/>
    <mergeCell ref="L34:L37"/>
    <mergeCell ref="A49:E50"/>
    <mergeCell ref="F49:F50"/>
    <mergeCell ref="G49:G50"/>
    <mergeCell ref="H49:K49"/>
    <mergeCell ref="L49:L50"/>
    <mergeCell ref="H50:I50"/>
    <mergeCell ref="J50:K50"/>
    <mergeCell ref="A38:A41"/>
    <mergeCell ref="B38:E41"/>
    <mergeCell ref="F38:F41"/>
    <mergeCell ref="G38:G41"/>
    <mergeCell ref="L38:L41"/>
    <mergeCell ref="A42:A45"/>
    <mergeCell ref="B42:E45"/>
    <mergeCell ref="F42:F45"/>
    <mergeCell ref="G42:G45"/>
    <mergeCell ref="L42:L45"/>
    <mergeCell ref="A51:A54"/>
    <mergeCell ref="B51:E54"/>
    <mergeCell ref="F51:F54"/>
    <mergeCell ref="G51:G54"/>
    <mergeCell ref="L51:L54"/>
    <mergeCell ref="A55:A58"/>
    <mergeCell ref="B55:E58"/>
    <mergeCell ref="F55:F58"/>
    <mergeCell ref="G55:G58"/>
    <mergeCell ref="L55:L58"/>
    <mergeCell ref="L59:L62"/>
    <mergeCell ref="A63:L63"/>
    <mergeCell ref="L72:L75"/>
    <mergeCell ref="A66:E67"/>
    <mergeCell ref="H66:K66"/>
    <mergeCell ref="L66:L67"/>
    <mergeCell ref="H67:I67"/>
    <mergeCell ref="J67:K67"/>
    <mergeCell ref="A68:A71"/>
    <mergeCell ref="B68:E71"/>
    <mergeCell ref="L68:L71"/>
    <mergeCell ref="A59:A62"/>
    <mergeCell ref="B59:E62"/>
    <mergeCell ref="F59:F62"/>
    <mergeCell ref="G59:G62"/>
    <mergeCell ref="F66:G67"/>
    <mergeCell ref="F68:G71"/>
    <mergeCell ref="F72:G75"/>
    <mergeCell ref="A72:A75"/>
    <mergeCell ref="B72:E75"/>
    <mergeCell ref="F76:G79"/>
    <mergeCell ref="F80:G83"/>
    <mergeCell ref="F84:G87"/>
    <mergeCell ref="A84:A87"/>
    <mergeCell ref="B84:E87"/>
    <mergeCell ref="L84:L87"/>
    <mergeCell ref="A76:A79"/>
    <mergeCell ref="B76:E79"/>
    <mergeCell ref="L76:L79"/>
    <mergeCell ref="A80:A83"/>
    <mergeCell ref="B80:E83"/>
    <mergeCell ref="L80:L83"/>
  </mergeCells>
  <phoneticPr fontId="15"/>
  <printOptions horizontalCentered="1"/>
  <pageMargins left="0.59055118110236227" right="0.59055118110236227" top="0.39370078740157483" bottom="0.59055118110236227" header="0.31496062992125984" footer="0.23622047244094491"/>
  <pageSetup paperSize="9" scale="87" orientation="portrait" r:id="rId1"/>
  <rowBreaks count="1" manualBreakCount="1">
    <brk id="45"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80897" r:id="rId4" name="Option Button 1">
              <controlPr defaultSize="0" autoFill="0" autoLine="0" autoPict="0">
                <anchor>
                  <from>
                    <xdr:col>7</xdr:col>
                    <xdr:colOff>28575</xdr:colOff>
                    <xdr:row>5</xdr:row>
                    <xdr:rowOff>66675</xdr:rowOff>
                  </from>
                  <to>
                    <xdr:col>8</xdr:col>
                    <xdr:colOff>57150</xdr:colOff>
                    <xdr:row>5</xdr:row>
                    <xdr:rowOff>238125</xdr:rowOff>
                  </to>
                </anchor>
              </controlPr>
            </control>
          </mc:Choice>
        </mc:AlternateContent>
        <mc:AlternateContent xmlns:mc="http://schemas.openxmlformats.org/markup-compatibility/2006">
          <mc:Choice Requires="x14">
            <control shapeId="80898" r:id="rId5" name="Option Button 2">
              <controlPr defaultSize="0" autoFill="0" autoLine="0" autoPict="0">
                <anchor>
                  <from>
                    <xdr:col>7</xdr:col>
                    <xdr:colOff>28575</xdr:colOff>
                    <xdr:row>6</xdr:row>
                    <xdr:rowOff>66675</xdr:rowOff>
                  </from>
                  <to>
                    <xdr:col>8</xdr:col>
                    <xdr:colOff>57150</xdr:colOff>
                    <xdr:row>6</xdr:row>
                    <xdr:rowOff>238125</xdr:rowOff>
                  </to>
                </anchor>
              </controlPr>
            </control>
          </mc:Choice>
        </mc:AlternateContent>
        <mc:AlternateContent xmlns:mc="http://schemas.openxmlformats.org/markup-compatibility/2006">
          <mc:Choice Requires="x14">
            <control shapeId="80899" r:id="rId6" name="Option Button 3">
              <controlPr defaultSize="0" autoFill="0" autoLine="0" autoPict="0">
                <anchor>
                  <from>
                    <xdr:col>7</xdr:col>
                    <xdr:colOff>28575</xdr:colOff>
                    <xdr:row>7</xdr:row>
                    <xdr:rowOff>66675</xdr:rowOff>
                  </from>
                  <to>
                    <xdr:col>8</xdr:col>
                    <xdr:colOff>57150</xdr:colOff>
                    <xdr:row>7</xdr:row>
                    <xdr:rowOff>238125</xdr:rowOff>
                  </to>
                </anchor>
              </controlPr>
            </control>
          </mc:Choice>
        </mc:AlternateContent>
        <mc:AlternateContent xmlns:mc="http://schemas.openxmlformats.org/markup-compatibility/2006">
          <mc:Choice Requires="x14">
            <control shapeId="80900" r:id="rId7" name="Option Button 4">
              <controlPr defaultSize="0" autoFill="0" autoLine="0" autoPict="0">
                <anchor>
                  <from>
                    <xdr:col>7</xdr:col>
                    <xdr:colOff>28575</xdr:colOff>
                    <xdr:row>8</xdr:row>
                    <xdr:rowOff>66675</xdr:rowOff>
                  </from>
                  <to>
                    <xdr:col>8</xdr:col>
                    <xdr:colOff>57150</xdr:colOff>
                    <xdr:row>8</xdr:row>
                    <xdr:rowOff>238125</xdr:rowOff>
                  </to>
                </anchor>
              </controlPr>
            </control>
          </mc:Choice>
        </mc:AlternateContent>
        <mc:AlternateContent xmlns:mc="http://schemas.openxmlformats.org/markup-compatibility/2006">
          <mc:Choice Requires="x14">
            <control shapeId="80901" r:id="rId8" name="Group Box 5">
              <controlPr defaultSize="0" autoFill="0" autoPict="0">
                <anchor moveWithCells="1">
                  <from>
                    <xdr:col>7</xdr:col>
                    <xdr:colOff>19050</xdr:colOff>
                    <xdr:row>4</xdr:row>
                    <xdr:rowOff>285750</xdr:rowOff>
                  </from>
                  <to>
                    <xdr:col>8</xdr:col>
                    <xdr:colOff>685800</xdr:colOff>
                    <xdr:row>8</xdr:row>
                    <xdr:rowOff>266700</xdr:rowOff>
                  </to>
                </anchor>
              </controlPr>
            </control>
          </mc:Choice>
        </mc:AlternateContent>
        <mc:AlternateContent xmlns:mc="http://schemas.openxmlformats.org/markup-compatibility/2006">
          <mc:Choice Requires="x14">
            <control shapeId="80902" r:id="rId9" name="Option Button 6">
              <controlPr defaultSize="0" autoFill="0" autoLine="0" autoPict="0">
                <anchor>
                  <from>
                    <xdr:col>9</xdr:col>
                    <xdr:colOff>28575</xdr:colOff>
                    <xdr:row>5</xdr:row>
                    <xdr:rowOff>66675</xdr:rowOff>
                  </from>
                  <to>
                    <xdr:col>10</xdr:col>
                    <xdr:colOff>66675</xdr:colOff>
                    <xdr:row>5</xdr:row>
                    <xdr:rowOff>238125</xdr:rowOff>
                  </to>
                </anchor>
              </controlPr>
            </control>
          </mc:Choice>
        </mc:AlternateContent>
        <mc:AlternateContent xmlns:mc="http://schemas.openxmlformats.org/markup-compatibility/2006">
          <mc:Choice Requires="x14">
            <control shapeId="80903" r:id="rId10" name="Option Button 7">
              <controlPr defaultSize="0" autoFill="0" autoLine="0" autoPict="0">
                <anchor>
                  <from>
                    <xdr:col>9</xdr:col>
                    <xdr:colOff>28575</xdr:colOff>
                    <xdr:row>6</xdr:row>
                    <xdr:rowOff>66675</xdr:rowOff>
                  </from>
                  <to>
                    <xdr:col>10</xdr:col>
                    <xdr:colOff>66675</xdr:colOff>
                    <xdr:row>6</xdr:row>
                    <xdr:rowOff>238125</xdr:rowOff>
                  </to>
                </anchor>
              </controlPr>
            </control>
          </mc:Choice>
        </mc:AlternateContent>
        <mc:AlternateContent xmlns:mc="http://schemas.openxmlformats.org/markup-compatibility/2006">
          <mc:Choice Requires="x14">
            <control shapeId="80904" r:id="rId11" name="Option Button 8">
              <controlPr defaultSize="0" autoFill="0" autoLine="0" autoPict="0">
                <anchor>
                  <from>
                    <xdr:col>9</xdr:col>
                    <xdr:colOff>28575</xdr:colOff>
                    <xdr:row>7</xdr:row>
                    <xdr:rowOff>66675</xdr:rowOff>
                  </from>
                  <to>
                    <xdr:col>10</xdr:col>
                    <xdr:colOff>66675</xdr:colOff>
                    <xdr:row>7</xdr:row>
                    <xdr:rowOff>238125</xdr:rowOff>
                  </to>
                </anchor>
              </controlPr>
            </control>
          </mc:Choice>
        </mc:AlternateContent>
        <mc:AlternateContent xmlns:mc="http://schemas.openxmlformats.org/markup-compatibility/2006">
          <mc:Choice Requires="x14">
            <control shapeId="80905" r:id="rId12" name="Option Button 9">
              <controlPr defaultSize="0" autoFill="0" autoLine="0" autoPict="0">
                <anchor>
                  <from>
                    <xdr:col>9</xdr:col>
                    <xdr:colOff>28575</xdr:colOff>
                    <xdr:row>8</xdr:row>
                    <xdr:rowOff>66675</xdr:rowOff>
                  </from>
                  <to>
                    <xdr:col>10</xdr:col>
                    <xdr:colOff>66675</xdr:colOff>
                    <xdr:row>8</xdr:row>
                    <xdr:rowOff>238125</xdr:rowOff>
                  </to>
                </anchor>
              </controlPr>
            </control>
          </mc:Choice>
        </mc:AlternateContent>
        <mc:AlternateContent xmlns:mc="http://schemas.openxmlformats.org/markup-compatibility/2006">
          <mc:Choice Requires="x14">
            <control shapeId="80906" r:id="rId13" name="Group Box 10">
              <controlPr defaultSize="0" autoFill="0" autoPict="0">
                <anchor moveWithCells="1">
                  <from>
                    <xdr:col>9</xdr:col>
                    <xdr:colOff>19050</xdr:colOff>
                    <xdr:row>4</xdr:row>
                    <xdr:rowOff>285750</xdr:rowOff>
                  </from>
                  <to>
                    <xdr:col>10</xdr:col>
                    <xdr:colOff>685800</xdr:colOff>
                    <xdr:row>8</xdr:row>
                    <xdr:rowOff>266700</xdr:rowOff>
                  </to>
                </anchor>
              </controlPr>
            </control>
          </mc:Choice>
        </mc:AlternateContent>
        <mc:AlternateContent xmlns:mc="http://schemas.openxmlformats.org/markup-compatibility/2006">
          <mc:Choice Requires="x14">
            <control shapeId="80907" r:id="rId14" name="Option Button 11">
              <controlPr defaultSize="0" autoFill="0" autoLine="0" autoPict="0">
                <anchor>
                  <from>
                    <xdr:col>7</xdr:col>
                    <xdr:colOff>28575</xdr:colOff>
                    <xdr:row>9</xdr:row>
                    <xdr:rowOff>57150</xdr:rowOff>
                  </from>
                  <to>
                    <xdr:col>8</xdr:col>
                    <xdr:colOff>57150</xdr:colOff>
                    <xdr:row>9</xdr:row>
                    <xdr:rowOff>228600</xdr:rowOff>
                  </to>
                </anchor>
              </controlPr>
            </control>
          </mc:Choice>
        </mc:AlternateContent>
        <mc:AlternateContent xmlns:mc="http://schemas.openxmlformats.org/markup-compatibility/2006">
          <mc:Choice Requires="x14">
            <control shapeId="80908" r:id="rId15" name="Option Button 12">
              <controlPr defaultSize="0" autoFill="0" autoLine="0" autoPict="0">
                <anchor>
                  <from>
                    <xdr:col>7</xdr:col>
                    <xdr:colOff>28575</xdr:colOff>
                    <xdr:row>10</xdr:row>
                    <xdr:rowOff>57150</xdr:rowOff>
                  </from>
                  <to>
                    <xdr:col>8</xdr:col>
                    <xdr:colOff>57150</xdr:colOff>
                    <xdr:row>10</xdr:row>
                    <xdr:rowOff>228600</xdr:rowOff>
                  </to>
                </anchor>
              </controlPr>
            </control>
          </mc:Choice>
        </mc:AlternateContent>
        <mc:AlternateContent xmlns:mc="http://schemas.openxmlformats.org/markup-compatibility/2006">
          <mc:Choice Requires="x14">
            <control shapeId="80909" r:id="rId16" name="Option Button 13">
              <controlPr defaultSize="0" autoFill="0" autoLine="0" autoPict="0">
                <anchor>
                  <from>
                    <xdr:col>7</xdr:col>
                    <xdr:colOff>28575</xdr:colOff>
                    <xdr:row>11</xdr:row>
                    <xdr:rowOff>57150</xdr:rowOff>
                  </from>
                  <to>
                    <xdr:col>8</xdr:col>
                    <xdr:colOff>57150</xdr:colOff>
                    <xdr:row>11</xdr:row>
                    <xdr:rowOff>228600</xdr:rowOff>
                  </to>
                </anchor>
              </controlPr>
            </control>
          </mc:Choice>
        </mc:AlternateContent>
        <mc:AlternateContent xmlns:mc="http://schemas.openxmlformats.org/markup-compatibility/2006">
          <mc:Choice Requires="x14">
            <control shapeId="80910" r:id="rId17" name="Option Button 14">
              <controlPr defaultSize="0" autoFill="0" autoLine="0" autoPict="0">
                <anchor>
                  <from>
                    <xdr:col>7</xdr:col>
                    <xdr:colOff>28575</xdr:colOff>
                    <xdr:row>12</xdr:row>
                    <xdr:rowOff>57150</xdr:rowOff>
                  </from>
                  <to>
                    <xdr:col>8</xdr:col>
                    <xdr:colOff>57150</xdr:colOff>
                    <xdr:row>12</xdr:row>
                    <xdr:rowOff>228600</xdr:rowOff>
                  </to>
                </anchor>
              </controlPr>
            </control>
          </mc:Choice>
        </mc:AlternateContent>
        <mc:AlternateContent xmlns:mc="http://schemas.openxmlformats.org/markup-compatibility/2006">
          <mc:Choice Requires="x14">
            <control shapeId="80911" r:id="rId18" name="Group Box 15">
              <controlPr defaultSize="0" autoFill="0" autoPict="0">
                <anchor moveWithCells="1">
                  <from>
                    <xdr:col>7</xdr:col>
                    <xdr:colOff>19050</xdr:colOff>
                    <xdr:row>9</xdr:row>
                    <xdr:rowOff>0</xdr:rowOff>
                  </from>
                  <to>
                    <xdr:col>8</xdr:col>
                    <xdr:colOff>685800</xdr:colOff>
                    <xdr:row>12</xdr:row>
                    <xdr:rowOff>266700</xdr:rowOff>
                  </to>
                </anchor>
              </controlPr>
            </control>
          </mc:Choice>
        </mc:AlternateContent>
        <mc:AlternateContent xmlns:mc="http://schemas.openxmlformats.org/markup-compatibility/2006">
          <mc:Choice Requires="x14">
            <control shapeId="80912" r:id="rId19" name="Option Button 16">
              <controlPr defaultSize="0" autoFill="0" autoLine="0" autoPict="0">
                <anchor>
                  <from>
                    <xdr:col>9</xdr:col>
                    <xdr:colOff>28575</xdr:colOff>
                    <xdr:row>9</xdr:row>
                    <xdr:rowOff>57150</xdr:rowOff>
                  </from>
                  <to>
                    <xdr:col>10</xdr:col>
                    <xdr:colOff>66675</xdr:colOff>
                    <xdr:row>9</xdr:row>
                    <xdr:rowOff>228600</xdr:rowOff>
                  </to>
                </anchor>
              </controlPr>
            </control>
          </mc:Choice>
        </mc:AlternateContent>
        <mc:AlternateContent xmlns:mc="http://schemas.openxmlformats.org/markup-compatibility/2006">
          <mc:Choice Requires="x14">
            <control shapeId="80913" r:id="rId20" name="Option Button 17">
              <controlPr defaultSize="0" autoFill="0" autoLine="0" autoPict="0">
                <anchor>
                  <from>
                    <xdr:col>9</xdr:col>
                    <xdr:colOff>28575</xdr:colOff>
                    <xdr:row>10</xdr:row>
                    <xdr:rowOff>57150</xdr:rowOff>
                  </from>
                  <to>
                    <xdr:col>10</xdr:col>
                    <xdr:colOff>66675</xdr:colOff>
                    <xdr:row>10</xdr:row>
                    <xdr:rowOff>228600</xdr:rowOff>
                  </to>
                </anchor>
              </controlPr>
            </control>
          </mc:Choice>
        </mc:AlternateContent>
        <mc:AlternateContent xmlns:mc="http://schemas.openxmlformats.org/markup-compatibility/2006">
          <mc:Choice Requires="x14">
            <control shapeId="80914" r:id="rId21" name="Option Button 18">
              <controlPr defaultSize="0" autoFill="0" autoLine="0" autoPict="0">
                <anchor>
                  <from>
                    <xdr:col>9</xdr:col>
                    <xdr:colOff>28575</xdr:colOff>
                    <xdr:row>11</xdr:row>
                    <xdr:rowOff>57150</xdr:rowOff>
                  </from>
                  <to>
                    <xdr:col>10</xdr:col>
                    <xdr:colOff>66675</xdr:colOff>
                    <xdr:row>11</xdr:row>
                    <xdr:rowOff>228600</xdr:rowOff>
                  </to>
                </anchor>
              </controlPr>
            </control>
          </mc:Choice>
        </mc:AlternateContent>
        <mc:AlternateContent xmlns:mc="http://schemas.openxmlformats.org/markup-compatibility/2006">
          <mc:Choice Requires="x14">
            <control shapeId="80915" r:id="rId22" name="Option Button 19">
              <controlPr defaultSize="0" autoFill="0" autoLine="0" autoPict="0">
                <anchor>
                  <from>
                    <xdr:col>9</xdr:col>
                    <xdr:colOff>28575</xdr:colOff>
                    <xdr:row>12</xdr:row>
                    <xdr:rowOff>57150</xdr:rowOff>
                  </from>
                  <to>
                    <xdr:col>10</xdr:col>
                    <xdr:colOff>66675</xdr:colOff>
                    <xdr:row>12</xdr:row>
                    <xdr:rowOff>228600</xdr:rowOff>
                  </to>
                </anchor>
              </controlPr>
            </control>
          </mc:Choice>
        </mc:AlternateContent>
        <mc:AlternateContent xmlns:mc="http://schemas.openxmlformats.org/markup-compatibility/2006">
          <mc:Choice Requires="x14">
            <control shapeId="80916" r:id="rId23" name="Group Box 20">
              <controlPr defaultSize="0" autoFill="0" autoPict="0">
                <anchor moveWithCells="1">
                  <from>
                    <xdr:col>9</xdr:col>
                    <xdr:colOff>19050</xdr:colOff>
                    <xdr:row>9</xdr:row>
                    <xdr:rowOff>0</xdr:rowOff>
                  </from>
                  <to>
                    <xdr:col>10</xdr:col>
                    <xdr:colOff>685800</xdr:colOff>
                    <xdr:row>12</xdr:row>
                    <xdr:rowOff>266700</xdr:rowOff>
                  </to>
                </anchor>
              </controlPr>
            </control>
          </mc:Choice>
        </mc:AlternateContent>
        <mc:AlternateContent xmlns:mc="http://schemas.openxmlformats.org/markup-compatibility/2006">
          <mc:Choice Requires="x14">
            <control shapeId="80917" r:id="rId24" name="Option Button 21">
              <controlPr defaultSize="0" autoFill="0" autoLine="0" autoPict="0">
                <anchor>
                  <from>
                    <xdr:col>7</xdr:col>
                    <xdr:colOff>28575</xdr:colOff>
                    <xdr:row>13</xdr:row>
                    <xdr:rowOff>47625</xdr:rowOff>
                  </from>
                  <to>
                    <xdr:col>8</xdr:col>
                    <xdr:colOff>57150</xdr:colOff>
                    <xdr:row>13</xdr:row>
                    <xdr:rowOff>219075</xdr:rowOff>
                  </to>
                </anchor>
              </controlPr>
            </control>
          </mc:Choice>
        </mc:AlternateContent>
        <mc:AlternateContent xmlns:mc="http://schemas.openxmlformats.org/markup-compatibility/2006">
          <mc:Choice Requires="x14">
            <control shapeId="80918" r:id="rId25" name="Option Button 22">
              <controlPr defaultSize="0" autoFill="0" autoLine="0" autoPict="0">
                <anchor>
                  <from>
                    <xdr:col>7</xdr:col>
                    <xdr:colOff>28575</xdr:colOff>
                    <xdr:row>14</xdr:row>
                    <xdr:rowOff>47625</xdr:rowOff>
                  </from>
                  <to>
                    <xdr:col>8</xdr:col>
                    <xdr:colOff>57150</xdr:colOff>
                    <xdr:row>14</xdr:row>
                    <xdr:rowOff>219075</xdr:rowOff>
                  </to>
                </anchor>
              </controlPr>
            </control>
          </mc:Choice>
        </mc:AlternateContent>
        <mc:AlternateContent xmlns:mc="http://schemas.openxmlformats.org/markup-compatibility/2006">
          <mc:Choice Requires="x14">
            <control shapeId="80919" r:id="rId26" name="Option Button 23">
              <controlPr defaultSize="0" autoFill="0" autoLine="0" autoPict="0">
                <anchor>
                  <from>
                    <xdr:col>7</xdr:col>
                    <xdr:colOff>28575</xdr:colOff>
                    <xdr:row>15</xdr:row>
                    <xdr:rowOff>47625</xdr:rowOff>
                  </from>
                  <to>
                    <xdr:col>8</xdr:col>
                    <xdr:colOff>57150</xdr:colOff>
                    <xdr:row>15</xdr:row>
                    <xdr:rowOff>219075</xdr:rowOff>
                  </to>
                </anchor>
              </controlPr>
            </control>
          </mc:Choice>
        </mc:AlternateContent>
        <mc:AlternateContent xmlns:mc="http://schemas.openxmlformats.org/markup-compatibility/2006">
          <mc:Choice Requires="x14">
            <control shapeId="80920" r:id="rId27" name="Option Button 24">
              <controlPr defaultSize="0" autoFill="0" autoLine="0" autoPict="0">
                <anchor>
                  <from>
                    <xdr:col>7</xdr:col>
                    <xdr:colOff>28575</xdr:colOff>
                    <xdr:row>16</xdr:row>
                    <xdr:rowOff>47625</xdr:rowOff>
                  </from>
                  <to>
                    <xdr:col>8</xdr:col>
                    <xdr:colOff>57150</xdr:colOff>
                    <xdr:row>16</xdr:row>
                    <xdr:rowOff>219075</xdr:rowOff>
                  </to>
                </anchor>
              </controlPr>
            </control>
          </mc:Choice>
        </mc:AlternateContent>
        <mc:AlternateContent xmlns:mc="http://schemas.openxmlformats.org/markup-compatibility/2006">
          <mc:Choice Requires="x14">
            <control shapeId="80921" r:id="rId28" name="Group Box 25">
              <controlPr defaultSize="0" autoFill="0" autoPict="0">
                <anchor moveWithCells="1">
                  <from>
                    <xdr:col>7</xdr:col>
                    <xdr:colOff>19050</xdr:colOff>
                    <xdr:row>13</xdr:row>
                    <xdr:rowOff>0</xdr:rowOff>
                  </from>
                  <to>
                    <xdr:col>8</xdr:col>
                    <xdr:colOff>685800</xdr:colOff>
                    <xdr:row>16</xdr:row>
                    <xdr:rowOff>266700</xdr:rowOff>
                  </to>
                </anchor>
              </controlPr>
            </control>
          </mc:Choice>
        </mc:AlternateContent>
        <mc:AlternateContent xmlns:mc="http://schemas.openxmlformats.org/markup-compatibility/2006">
          <mc:Choice Requires="x14">
            <control shapeId="80922" r:id="rId29" name="Option Button 26">
              <controlPr defaultSize="0" autoFill="0" autoLine="0" autoPict="0">
                <anchor>
                  <from>
                    <xdr:col>9</xdr:col>
                    <xdr:colOff>28575</xdr:colOff>
                    <xdr:row>13</xdr:row>
                    <xdr:rowOff>47625</xdr:rowOff>
                  </from>
                  <to>
                    <xdr:col>10</xdr:col>
                    <xdr:colOff>66675</xdr:colOff>
                    <xdr:row>13</xdr:row>
                    <xdr:rowOff>219075</xdr:rowOff>
                  </to>
                </anchor>
              </controlPr>
            </control>
          </mc:Choice>
        </mc:AlternateContent>
        <mc:AlternateContent xmlns:mc="http://schemas.openxmlformats.org/markup-compatibility/2006">
          <mc:Choice Requires="x14">
            <control shapeId="80923" r:id="rId30" name="Option Button 27">
              <controlPr defaultSize="0" autoFill="0" autoLine="0" autoPict="0">
                <anchor>
                  <from>
                    <xdr:col>9</xdr:col>
                    <xdr:colOff>28575</xdr:colOff>
                    <xdr:row>14</xdr:row>
                    <xdr:rowOff>47625</xdr:rowOff>
                  </from>
                  <to>
                    <xdr:col>10</xdr:col>
                    <xdr:colOff>66675</xdr:colOff>
                    <xdr:row>14</xdr:row>
                    <xdr:rowOff>219075</xdr:rowOff>
                  </to>
                </anchor>
              </controlPr>
            </control>
          </mc:Choice>
        </mc:AlternateContent>
        <mc:AlternateContent xmlns:mc="http://schemas.openxmlformats.org/markup-compatibility/2006">
          <mc:Choice Requires="x14">
            <control shapeId="80924" r:id="rId31" name="Option Button 28">
              <controlPr defaultSize="0" autoFill="0" autoLine="0" autoPict="0">
                <anchor>
                  <from>
                    <xdr:col>9</xdr:col>
                    <xdr:colOff>28575</xdr:colOff>
                    <xdr:row>15</xdr:row>
                    <xdr:rowOff>47625</xdr:rowOff>
                  </from>
                  <to>
                    <xdr:col>10</xdr:col>
                    <xdr:colOff>66675</xdr:colOff>
                    <xdr:row>15</xdr:row>
                    <xdr:rowOff>219075</xdr:rowOff>
                  </to>
                </anchor>
              </controlPr>
            </control>
          </mc:Choice>
        </mc:AlternateContent>
        <mc:AlternateContent xmlns:mc="http://schemas.openxmlformats.org/markup-compatibility/2006">
          <mc:Choice Requires="x14">
            <control shapeId="80925" r:id="rId32" name="Option Button 29">
              <controlPr defaultSize="0" autoFill="0" autoLine="0" autoPict="0">
                <anchor>
                  <from>
                    <xdr:col>9</xdr:col>
                    <xdr:colOff>9525</xdr:colOff>
                    <xdr:row>16</xdr:row>
                    <xdr:rowOff>47625</xdr:rowOff>
                  </from>
                  <to>
                    <xdr:col>10</xdr:col>
                    <xdr:colOff>47625</xdr:colOff>
                    <xdr:row>16</xdr:row>
                    <xdr:rowOff>219075</xdr:rowOff>
                  </to>
                </anchor>
              </controlPr>
            </control>
          </mc:Choice>
        </mc:AlternateContent>
        <mc:AlternateContent xmlns:mc="http://schemas.openxmlformats.org/markup-compatibility/2006">
          <mc:Choice Requires="x14">
            <control shapeId="80926" r:id="rId33" name="Option Button 30">
              <controlPr defaultSize="0" autoFill="0" autoLine="0" autoPict="0">
                <anchor>
                  <from>
                    <xdr:col>7</xdr:col>
                    <xdr:colOff>28575</xdr:colOff>
                    <xdr:row>17</xdr:row>
                    <xdr:rowOff>38100</xdr:rowOff>
                  </from>
                  <to>
                    <xdr:col>8</xdr:col>
                    <xdr:colOff>57150</xdr:colOff>
                    <xdr:row>17</xdr:row>
                    <xdr:rowOff>209550</xdr:rowOff>
                  </to>
                </anchor>
              </controlPr>
            </control>
          </mc:Choice>
        </mc:AlternateContent>
        <mc:AlternateContent xmlns:mc="http://schemas.openxmlformats.org/markup-compatibility/2006">
          <mc:Choice Requires="x14">
            <control shapeId="80927" r:id="rId34" name="Option Button 31">
              <controlPr defaultSize="0" autoFill="0" autoLine="0" autoPict="0">
                <anchor>
                  <from>
                    <xdr:col>7</xdr:col>
                    <xdr:colOff>28575</xdr:colOff>
                    <xdr:row>18</xdr:row>
                    <xdr:rowOff>38100</xdr:rowOff>
                  </from>
                  <to>
                    <xdr:col>8</xdr:col>
                    <xdr:colOff>57150</xdr:colOff>
                    <xdr:row>18</xdr:row>
                    <xdr:rowOff>209550</xdr:rowOff>
                  </to>
                </anchor>
              </controlPr>
            </control>
          </mc:Choice>
        </mc:AlternateContent>
        <mc:AlternateContent xmlns:mc="http://schemas.openxmlformats.org/markup-compatibility/2006">
          <mc:Choice Requires="x14">
            <control shapeId="80928" r:id="rId35" name="Option Button 32">
              <controlPr defaultSize="0" autoFill="0" autoLine="0" autoPict="0">
                <anchor>
                  <from>
                    <xdr:col>7</xdr:col>
                    <xdr:colOff>28575</xdr:colOff>
                    <xdr:row>19</xdr:row>
                    <xdr:rowOff>38100</xdr:rowOff>
                  </from>
                  <to>
                    <xdr:col>8</xdr:col>
                    <xdr:colOff>57150</xdr:colOff>
                    <xdr:row>19</xdr:row>
                    <xdr:rowOff>209550</xdr:rowOff>
                  </to>
                </anchor>
              </controlPr>
            </control>
          </mc:Choice>
        </mc:AlternateContent>
        <mc:AlternateContent xmlns:mc="http://schemas.openxmlformats.org/markup-compatibility/2006">
          <mc:Choice Requires="x14">
            <control shapeId="80929" r:id="rId36" name="Option Button 33">
              <controlPr defaultSize="0" autoFill="0" autoLine="0" autoPict="0">
                <anchor>
                  <from>
                    <xdr:col>7</xdr:col>
                    <xdr:colOff>28575</xdr:colOff>
                    <xdr:row>20</xdr:row>
                    <xdr:rowOff>38100</xdr:rowOff>
                  </from>
                  <to>
                    <xdr:col>8</xdr:col>
                    <xdr:colOff>57150</xdr:colOff>
                    <xdr:row>20</xdr:row>
                    <xdr:rowOff>209550</xdr:rowOff>
                  </to>
                </anchor>
              </controlPr>
            </control>
          </mc:Choice>
        </mc:AlternateContent>
        <mc:AlternateContent xmlns:mc="http://schemas.openxmlformats.org/markup-compatibility/2006">
          <mc:Choice Requires="x14">
            <control shapeId="80930" r:id="rId37" name="Group Box 34">
              <controlPr defaultSize="0" autoFill="0" autoPict="0">
                <anchor moveWithCells="1">
                  <from>
                    <xdr:col>7</xdr:col>
                    <xdr:colOff>19050</xdr:colOff>
                    <xdr:row>17</xdr:row>
                    <xdr:rowOff>0</xdr:rowOff>
                  </from>
                  <to>
                    <xdr:col>8</xdr:col>
                    <xdr:colOff>685800</xdr:colOff>
                    <xdr:row>20</xdr:row>
                    <xdr:rowOff>266700</xdr:rowOff>
                  </to>
                </anchor>
              </controlPr>
            </control>
          </mc:Choice>
        </mc:AlternateContent>
        <mc:AlternateContent xmlns:mc="http://schemas.openxmlformats.org/markup-compatibility/2006">
          <mc:Choice Requires="x14">
            <control shapeId="80931" r:id="rId38" name="Option Button 35">
              <controlPr defaultSize="0" autoFill="0" autoLine="0" autoPict="0">
                <anchor>
                  <from>
                    <xdr:col>9</xdr:col>
                    <xdr:colOff>28575</xdr:colOff>
                    <xdr:row>17</xdr:row>
                    <xdr:rowOff>38100</xdr:rowOff>
                  </from>
                  <to>
                    <xdr:col>10</xdr:col>
                    <xdr:colOff>66675</xdr:colOff>
                    <xdr:row>17</xdr:row>
                    <xdr:rowOff>209550</xdr:rowOff>
                  </to>
                </anchor>
              </controlPr>
            </control>
          </mc:Choice>
        </mc:AlternateContent>
        <mc:AlternateContent xmlns:mc="http://schemas.openxmlformats.org/markup-compatibility/2006">
          <mc:Choice Requires="x14">
            <control shapeId="80932" r:id="rId39" name="Option Button 36">
              <controlPr defaultSize="0" autoFill="0" autoLine="0" autoPict="0">
                <anchor>
                  <from>
                    <xdr:col>9</xdr:col>
                    <xdr:colOff>28575</xdr:colOff>
                    <xdr:row>18</xdr:row>
                    <xdr:rowOff>38100</xdr:rowOff>
                  </from>
                  <to>
                    <xdr:col>10</xdr:col>
                    <xdr:colOff>66675</xdr:colOff>
                    <xdr:row>18</xdr:row>
                    <xdr:rowOff>209550</xdr:rowOff>
                  </to>
                </anchor>
              </controlPr>
            </control>
          </mc:Choice>
        </mc:AlternateContent>
        <mc:AlternateContent xmlns:mc="http://schemas.openxmlformats.org/markup-compatibility/2006">
          <mc:Choice Requires="x14">
            <control shapeId="80933" r:id="rId40" name="Option Button 37">
              <controlPr defaultSize="0" autoFill="0" autoLine="0" autoPict="0">
                <anchor>
                  <from>
                    <xdr:col>9</xdr:col>
                    <xdr:colOff>28575</xdr:colOff>
                    <xdr:row>19</xdr:row>
                    <xdr:rowOff>38100</xdr:rowOff>
                  </from>
                  <to>
                    <xdr:col>10</xdr:col>
                    <xdr:colOff>66675</xdr:colOff>
                    <xdr:row>19</xdr:row>
                    <xdr:rowOff>209550</xdr:rowOff>
                  </to>
                </anchor>
              </controlPr>
            </control>
          </mc:Choice>
        </mc:AlternateContent>
        <mc:AlternateContent xmlns:mc="http://schemas.openxmlformats.org/markup-compatibility/2006">
          <mc:Choice Requires="x14">
            <control shapeId="80934" r:id="rId41" name="Option Button 38">
              <controlPr defaultSize="0" autoFill="0" autoLine="0" autoPict="0">
                <anchor>
                  <from>
                    <xdr:col>9</xdr:col>
                    <xdr:colOff>28575</xdr:colOff>
                    <xdr:row>20</xdr:row>
                    <xdr:rowOff>38100</xdr:rowOff>
                  </from>
                  <to>
                    <xdr:col>10</xdr:col>
                    <xdr:colOff>66675</xdr:colOff>
                    <xdr:row>20</xdr:row>
                    <xdr:rowOff>209550</xdr:rowOff>
                  </to>
                </anchor>
              </controlPr>
            </control>
          </mc:Choice>
        </mc:AlternateContent>
        <mc:AlternateContent xmlns:mc="http://schemas.openxmlformats.org/markup-compatibility/2006">
          <mc:Choice Requires="x14">
            <control shapeId="80935" r:id="rId42" name="Group Box 39">
              <controlPr defaultSize="0" autoFill="0" autoPict="0">
                <anchor moveWithCells="1">
                  <from>
                    <xdr:col>9</xdr:col>
                    <xdr:colOff>19050</xdr:colOff>
                    <xdr:row>17</xdr:row>
                    <xdr:rowOff>0</xdr:rowOff>
                  </from>
                  <to>
                    <xdr:col>10</xdr:col>
                    <xdr:colOff>685800</xdr:colOff>
                    <xdr:row>20</xdr:row>
                    <xdr:rowOff>266700</xdr:rowOff>
                  </to>
                </anchor>
              </controlPr>
            </control>
          </mc:Choice>
        </mc:AlternateContent>
        <mc:AlternateContent xmlns:mc="http://schemas.openxmlformats.org/markup-compatibility/2006">
          <mc:Choice Requires="x14">
            <control shapeId="80936" r:id="rId43" name="Group Box 40">
              <controlPr defaultSize="0" autoFill="0" autoPict="0">
                <anchor moveWithCells="1">
                  <from>
                    <xdr:col>9</xdr:col>
                    <xdr:colOff>0</xdr:colOff>
                    <xdr:row>13</xdr:row>
                    <xdr:rowOff>19050</xdr:rowOff>
                  </from>
                  <to>
                    <xdr:col>10</xdr:col>
                    <xdr:colOff>666750</xdr:colOff>
                    <xdr:row>16</xdr:row>
                    <xdr:rowOff>238125</xdr:rowOff>
                  </to>
                </anchor>
              </controlPr>
            </control>
          </mc:Choice>
        </mc:AlternateContent>
        <mc:AlternateContent xmlns:mc="http://schemas.openxmlformats.org/markup-compatibility/2006">
          <mc:Choice Requires="x14">
            <control shapeId="80937" r:id="rId44" name="Option Button 41">
              <controlPr defaultSize="0" autoFill="0" autoLine="0" autoPict="0">
                <anchor>
                  <from>
                    <xdr:col>7</xdr:col>
                    <xdr:colOff>28575</xdr:colOff>
                    <xdr:row>21</xdr:row>
                    <xdr:rowOff>47625</xdr:rowOff>
                  </from>
                  <to>
                    <xdr:col>8</xdr:col>
                    <xdr:colOff>57150</xdr:colOff>
                    <xdr:row>21</xdr:row>
                    <xdr:rowOff>219075</xdr:rowOff>
                  </to>
                </anchor>
              </controlPr>
            </control>
          </mc:Choice>
        </mc:AlternateContent>
        <mc:AlternateContent xmlns:mc="http://schemas.openxmlformats.org/markup-compatibility/2006">
          <mc:Choice Requires="x14">
            <control shapeId="80938" r:id="rId45" name="Option Button 42">
              <controlPr defaultSize="0" autoFill="0" autoLine="0" autoPict="0">
                <anchor>
                  <from>
                    <xdr:col>7</xdr:col>
                    <xdr:colOff>28575</xdr:colOff>
                    <xdr:row>22</xdr:row>
                    <xdr:rowOff>47625</xdr:rowOff>
                  </from>
                  <to>
                    <xdr:col>8</xdr:col>
                    <xdr:colOff>57150</xdr:colOff>
                    <xdr:row>22</xdr:row>
                    <xdr:rowOff>219075</xdr:rowOff>
                  </to>
                </anchor>
              </controlPr>
            </control>
          </mc:Choice>
        </mc:AlternateContent>
        <mc:AlternateContent xmlns:mc="http://schemas.openxmlformats.org/markup-compatibility/2006">
          <mc:Choice Requires="x14">
            <control shapeId="80939" r:id="rId46" name="Option Button 43">
              <controlPr defaultSize="0" autoFill="0" autoLine="0" autoPict="0">
                <anchor>
                  <from>
                    <xdr:col>7</xdr:col>
                    <xdr:colOff>28575</xdr:colOff>
                    <xdr:row>23</xdr:row>
                    <xdr:rowOff>47625</xdr:rowOff>
                  </from>
                  <to>
                    <xdr:col>8</xdr:col>
                    <xdr:colOff>57150</xdr:colOff>
                    <xdr:row>23</xdr:row>
                    <xdr:rowOff>219075</xdr:rowOff>
                  </to>
                </anchor>
              </controlPr>
            </control>
          </mc:Choice>
        </mc:AlternateContent>
        <mc:AlternateContent xmlns:mc="http://schemas.openxmlformats.org/markup-compatibility/2006">
          <mc:Choice Requires="x14">
            <control shapeId="80940" r:id="rId47" name="Option Button 44">
              <controlPr defaultSize="0" autoFill="0" autoLine="0" autoPict="0">
                <anchor>
                  <from>
                    <xdr:col>7</xdr:col>
                    <xdr:colOff>28575</xdr:colOff>
                    <xdr:row>24</xdr:row>
                    <xdr:rowOff>47625</xdr:rowOff>
                  </from>
                  <to>
                    <xdr:col>8</xdr:col>
                    <xdr:colOff>57150</xdr:colOff>
                    <xdr:row>24</xdr:row>
                    <xdr:rowOff>219075</xdr:rowOff>
                  </to>
                </anchor>
              </controlPr>
            </control>
          </mc:Choice>
        </mc:AlternateContent>
        <mc:AlternateContent xmlns:mc="http://schemas.openxmlformats.org/markup-compatibility/2006">
          <mc:Choice Requires="x14">
            <control shapeId="80941" r:id="rId48" name="Group Box 45">
              <controlPr defaultSize="0" autoFill="0" autoPict="0">
                <anchor moveWithCells="1">
                  <from>
                    <xdr:col>7</xdr:col>
                    <xdr:colOff>19050</xdr:colOff>
                    <xdr:row>21</xdr:row>
                    <xdr:rowOff>0</xdr:rowOff>
                  </from>
                  <to>
                    <xdr:col>8</xdr:col>
                    <xdr:colOff>685800</xdr:colOff>
                    <xdr:row>24</xdr:row>
                    <xdr:rowOff>266700</xdr:rowOff>
                  </to>
                </anchor>
              </controlPr>
            </control>
          </mc:Choice>
        </mc:AlternateContent>
        <mc:AlternateContent xmlns:mc="http://schemas.openxmlformats.org/markup-compatibility/2006">
          <mc:Choice Requires="x14">
            <control shapeId="80942" r:id="rId49" name="Option Button 46">
              <controlPr defaultSize="0" autoFill="0" autoLine="0" autoPict="0">
                <anchor>
                  <from>
                    <xdr:col>9</xdr:col>
                    <xdr:colOff>28575</xdr:colOff>
                    <xdr:row>21</xdr:row>
                    <xdr:rowOff>47625</xdr:rowOff>
                  </from>
                  <to>
                    <xdr:col>10</xdr:col>
                    <xdr:colOff>66675</xdr:colOff>
                    <xdr:row>21</xdr:row>
                    <xdr:rowOff>219075</xdr:rowOff>
                  </to>
                </anchor>
              </controlPr>
            </control>
          </mc:Choice>
        </mc:AlternateContent>
        <mc:AlternateContent xmlns:mc="http://schemas.openxmlformats.org/markup-compatibility/2006">
          <mc:Choice Requires="x14">
            <control shapeId="80943" r:id="rId50" name="Option Button 47">
              <controlPr defaultSize="0" autoFill="0" autoLine="0" autoPict="0">
                <anchor>
                  <from>
                    <xdr:col>9</xdr:col>
                    <xdr:colOff>28575</xdr:colOff>
                    <xdr:row>22</xdr:row>
                    <xdr:rowOff>38100</xdr:rowOff>
                  </from>
                  <to>
                    <xdr:col>10</xdr:col>
                    <xdr:colOff>66675</xdr:colOff>
                    <xdr:row>22</xdr:row>
                    <xdr:rowOff>209550</xdr:rowOff>
                  </to>
                </anchor>
              </controlPr>
            </control>
          </mc:Choice>
        </mc:AlternateContent>
        <mc:AlternateContent xmlns:mc="http://schemas.openxmlformats.org/markup-compatibility/2006">
          <mc:Choice Requires="x14">
            <control shapeId="80944" r:id="rId51" name="Option Button 48">
              <controlPr defaultSize="0" autoFill="0" autoLine="0" autoPict="0">
                <anchor>
                  <from>
                    <xdr:col>9</xdr:col>
                    <xdr:colOff>28575</xdr:colOff>
                    <xdr:row>23</xdr:row>
                    <xdr:rowOff>28575</xdr:rowOff>
                  </from>
                  <to>
                    <xdr:col>10</xdr:col>
                    <xdr:colOff>66675</xdr:colOff>
                    <xdr:row>23</xdr:row>
                    <xdr:rowOff>200025</xdr:rowOff>
                  </to>
                </anchor>
              </controlPr>
            </control>
          </mc:Choice>
        </mc:AlternateContent>
        <mc:AlternateContent xmlns:mc="http://schemas.openxmlformats.org/markup-compatibility/2006">
          <mc:Choice Requires="x14">
            <control shapeId="80945" r:id="rId52" name="Option Button 49">
              <controlPr defaultSize="0" autoFill="0" autoLine="0" autoPict="0">
                <anchor>
                  <from>
                    <xdr:col>9</xdr:col>
                    <xdr:colOff>28575</xdr:colOff>
                    <xdr:row>24</xdr:row>
                    <xdr:rowOff>38100</xdr:rowOff>
                  </from>
                  <to>
                    <xdr:col>10</xdr:col>
                    <xdr:colOff>66675</xdr:colOff>
                    <xdr:row>24</xdr:row>
                    <xdr:rowOff>209550</xdr:rowOff>
                  </to>
                </anchor>
              </controlPr>
            </control>
          </mc:Choice>
        </mc:AlternateContent>
        <mc:AlternateContent xmlns:mc="http://schemas.openxmlformats.org/markup-compatibility/2006">
          <mc:Choice Requires="x14">
            <control shapeId="80946" r:id="rId53" name="Group Box 50">
              <controlPr defaultSize="0" autoFill="0" autoPict="0">
                <anchor moveWithCells="1">
                  <from>
                    <xdr:col>9</xdr:col>
                    <xdr:colOff>19050</xdr:colOff>
                    <xdr:row>21</xdr:row>
                    <xdr:rowOff>0</xdr:rowOff>
                  </from>
                  <to>
                    <xdr:col>10</xdr:col>
                    <xdr:colOff>685800</xdr:colOff>
                    <xdr:row>24</xdr:row>
                    <xdr:rowOff>266700</xdr:rowOff>
                  </to>
                </anchor>
              </controlPr>
            </control>
          </mc:Choice>
        </mc:AlternateContent>
        <mc:AlternateContent xmlns:mc="http://schemas.openxmlformats.org/markup-compatibility/2006">
          <mc:Choice Requires="x14">
            <control shapeId="80947" r:id="rId54" name="Option Button 51">
              <controlPr defaultSize="0" autoFill="0" autoLine="0" autoPict="0">
                <anchor>
                  <from>
                    <xdr:col>7</xdr:col>
                    <xdr:colOff>28575</xdr:colOff>
                    <xdr:row>25</xdr:row>
                    <xdr:rowOff>38100</xdr:rowOff>
                  </from>
                  <to>
                    <xdr:col>8</xdr:col>
                    <xdr:colOff>57150</xdr:colOff>
                    <xdr:row>25</xdr:row>
                    <xdr:rowOff>209550</xdr:rowOff>
                  </to>
                </anchor>
              </controlPr>
            </control>
          </mc:Choice>
        </mc:AlternateContent>
        <mc:AlternateContent xmlns:mc="http://schemas.openxmlformats.org/markup-compatibility/2006">
          <mc:Choice Requires="x14">
            <control shapeId="80948" r:id="rId55" name="Option Button 52">
              <controlPr defaultSize="0" autoFill="0" autoLine="0" autoPict="0">
                <anchor>
                  <from>
                    <xdr:col>7</xdr:col>
                    <xdr:colOff>28575</xdr:colOff>
                    <xdr:row>26</xdr:row>
                    <xdr:rowOff>19050</xdr:rowOff>
                  </from>
                  <to>
                    <xdr:col>8</xdr:col>
                    <xdr:colOff>57150</xdr:colOff>
                    <xdr:row>26</xdr:row>
                    <xdr:rowOff>190500</xdr:rowOff>
                  </to>
                </anchor>
              </controlPr>
            </control>
          </mc:Choice>
        </mc:AlternateContent>
        <mc:AlternateContent xmlns:mc="http://schemas.openxmlformats.org/markup-compatibility/2006">
          <mc:Choice Requires="x14">
            <control shapeId="80949" r:id="rId56" name="Option Button 53">
              <controlPr defaultSize="0" autoFill="0" autoLine="0" autoPict="0">
                <anchor>
                  <from>
                    <xdr:col>7</xdr:col>
                    <xdr:colOff>28575</xdr:colOff>
                    <xdr:row>27</xdr:row>
                    <xdr:rowOff>19050</xdr:rowOff>
                  </from>
                  <to>
                    <xdr:col>8</xdr:col>
                    <xdr:colOff>57150</xdr:colOff>
                    <xdr:row>27</xdr:row>
                    <xdr:rowOff>190500</xdr:rowOff>
                  </to>
                </anchor>
              </controlPr>
            </control>
          </mc:Choice>
        </mc:AlternateContent>
        <mc:AlternateContent xmlns:mc="http://schemas.openxmlformats.org/markup-compatibility/2006">
          <mc:Choice Requires="x14">
            <control shapeId="80950" r:id="rId57" name="Option Button 54">
              <controlPr defaultSize="0" autoFill="0" autoLine="0" autoPict="0">
                <anchor>
                  <from>
                    <xdr:col>7</xdr:col>
                    <xdr:colOff>28575</xdr:colOff>
                    <xdr:row>28</xdr:row>
                    <xdr:rowOff>19050</xdr:rowOff>
                  </from>
                  <to>
                    <xdr:col>8</xdr:col>
                    <xdr:colOff>57150</xdr:colOff>
                    <xdr:row>28</xdr:row>
                    <xdr:rowOff>190500</xdr:rowOff>
                  </to>
                </anchor>
              </controlPr>
            </control>
          </mc:Choice>
        </mc:AlternateContent>
        <mc:AlternateContent xmlns:mc="http://schemas.openxmlformats.org/markup-compatibility/2006">
          <mc:Choice Requires="x14">
            <control shapeId="80951" r:id="rId58" name="Group Box 55">
              <controlPr defaultSize="0" autoFill="0" autoPict="0">
                <anchor moveWithCells="1">
                  <from>
                    <xdr:col>7</xdr:col>
                    <xdr:colOff>19050</xdr:colOff>
                    <xdr:row>25</xdr:row>
                    <xdr:rowOff>0</xdr:rowOff>
                  </from>
                  <to>
                    <xdr:col>8</xdr:col>
                    <xdr:colOff>685800</xdr:colOff>
                    <xdr:row>28</xdr:row>
                    <xdr:rowOff>266700</xdr:rowOff>
                  </to>
                </anchor>
              </controlPr>
            </control>
          </mc:Choice>
        </mc:AlternateContent>
        <mc:AlternateContent xmlns:mc="http://schemas.openxmlformats.org/markup-compatibility/2006">
          <mc:Choice Requires="x14">
            <control shapeId="80952" r:id="rId59" name="Option Button 56">
              <controlPr defaultSize="0" autoFill="0" autoLine="0" autoPict="0">
                <anchor>
                  <from>
                    <xdr:col>9</xdr:col>
                    <xdr:colOff>28575</xdr:colOff>
                    <xdr:row>25</xdr:row>
                    <xdr:rowOff>38100</xdr:rowOff>
                  </from>
                  <to>
                    <xdr:col>10</xdr:col>
                    <xdr:colOff>66675</xdr:colOff>
                    <xdr:row>25</xdr:row>
                    <xdr:rowOff>209550</xdr:rowOff>
                  </to>
                </anchor>
              </controlPr>
            </control>
          </mc:Choice>
        </mc:AlternateContent>
        <mc:AlternateContent xmlns:mc="http://schemas.openxmlformats.org/markup-compatibility/2006">
          <mc:Choice Requires="x14">
            <control shapeId="80953" r:id="rId60" name="Option Button 57">
              <controlPr defaultSize="0" autoFill="0" autoLine="0" autoPict="0">
                <anchor>
                  <from>
                    <xdr:col>9</xdr:col>
                    <xdr:colOff>28575</xdr:colOff>
                    <xdr:row>26</xdr:row>
                    <xdr:rowOff>19050</xdr:rowOff>
                  </from>
                  <to>
                    <xdr:col>10</xdr:col>
                    <xdr:colOff>66675</xdr:colOff>
                    <xdr:row>26</xdr:row>
                    <xdr:rowOff>190500</xdr:rowOff>
                  </to>
                </anchor>
              </controlPr>
            </control>
          </mc:Choice>
        </mc:AlternateContent>
        <mc:AlternateContent xmlns:mc="http://schemas.openxmlformats.org/markup-compatibility/2006">
          <mc:Choice Requires="x14">
            <control shapeId="80954" r:id="rId61" name="Option Button 58">
              <controlPr defaultSize="0" autoFill="0" autoLine="0" autoPict="0">
                <anchor>
                  <from>
                    <xdr:col>9</xdr:col>
                    <xdr:colOff>28575</xdr:colOff>
                    <xdr:row>27</xdr:row>
                    <xdr:rowOff>28575</xdr:rowOff>
                  </from>
                  <to>
                    <xdr:col>10</xdr:col>
                    <xdr:colOff>66675</xdr:colOff>
                    <xdr:row>27</xdr:row>
                    <xdr:rowOff>200025</xdr:rowOff>
                  </to>
                </anchor>
              </controlPr>
            </control>
          </mc:Choice>
        </mc:AlternateContent>
        <mc:AlternateContent xmlns:mc="http://schemas.openxmlformats.org/markup-compatibility/2006">
          <mc:Choice Requires="x14">
            <control shapeId="80955" r:id="rId62" name="Option Button 59">
              <controlPr defaultSize="0" autoFill="0" autoLine="0" autoPict="0">
                <anchor>
                  <from>
                    <xdr:col>9</xdr:col>
                    <xdr:colOff>28575</xdr:colOff>
                    <xdr:row>28</xdr:row>
                    <xdr:rowOff>38100</xdr:rowOff>
                  </from>
                  <to>
                    <xdr:col>10</xdr:col>
                    <xdr:colOff>66675</xdr:colOff>
                    <xdr:row>28</xdr:row>
                    <xdr:rowOff>209550</xdr:rowOff>
                  </to>
                </anchor>
              </controlPr>
            </control>
          </mc:Choice>
        </mc:AlternateContent>
        <mc:AlternateContent xmlns:mc="http://schemas.openxmlformats.org/markup-compatibility/2006">
          <mc:Choice Requires="x14">
            <control shapeId="80956" r:id="rId63" name="Group Box 60">
              <controlPr defaultSize="0" autoFill="0" autoPict="0">
                <anchor moveWithCells="1">
                  <from>
                    <xdr:col>9</xdr:col>
                    <xdr:colOff>19050</xdr:colOff>
                    <xdr:row>25</xdr:row>
                    <xdr:rowOff>0</xdr:rowOff>
                  </from>
                  <to>
                    <xdr:col>10</xdr:col>
                    <xdr:colOff>685800</xdr:colOff>
                    <xdr:row>28</xdr:row>
                    <xdr:rowOff>266700</xdr:rowOff>
                  </to>
                </anchor>
              </controlPr>
            </control>
          </mc:Choice>
        </mc:AlternateContent>
        <mc:AlternateContent xmlns:mc="http://schemas.openxmlformats.org/markup-compatibility/2006">
          <mc:Choice Requires="x14">
            <control shapeId="80957" r:id="rId64" name="Option Button 61">
              <controlPr defaultSize="0" autoFill="0" autoLine="0" autoPict="0">
                <anchor>
                  <from>
                    <xdr:col>7</xdr:col>
                    <xdr:colOff>28575</xdr:colOff>
                    <xdr:row>29</xdr:row>
                    <xdr:rowOff>47625</xdr:rowOff>
                  </from>
                  <to>
                    <xdr:col>8</xdr:col>
                    <xdr:colOff>57150</xdr:colOff>
                    <xdr:row>29</xdr:row>
                    <xdr:rowOff>219075</xdr:rowOff>
                  </to>
                </anchor>
              </controlPr>
            </control>
          </mc:Choice>
        </mc:AlternateContent>
        <mc:AlternateContent xmlns:mc="http://schemas.openxmlformats.org/markup-compatibility/2006">
          <mc:Choice Requires="x14">
            <control shapeId="80958" r:id="rId65" name="Option Button 62">
              <controlPr defaultSize="0" autoFill="0" autoLine="0" autoPict="0">
                <anchor>
                  <from>
                    <xdr:col>7</xdr:col>
                    <xdr:colOff>28575</xdr:colOff>
                    <xdr:row>30</xdr:row>
                    <xdr:rowOff>47625</xdr:rowOff>
                  </from>
                  <to>
                    <xdr:col>8</xdr:col>
                    <xdr:colOff>57150</xdr:colOff>
                    <xdr:row>30</xdr:row>
                    <xdr:rowOff>219075</xdr:rowOff>
                  </to>
                </anchor>
              </controlPr>
            </control>
          </mc:Choice>
        </mc:AlternateContent>
        <mc:AlternateContent xmlns:mc="http://schemas.openxmlformats.org/markup-compatibility/2006">
          <mc:Choice Requires="x14">
            <control shapeId="80959" r:id="rId66" name="Option Button 63">
              <controlPr defaultSize="0" autoFill="0" autoLine="0" autoPict="0">
                <anchor>
                  <from>
                    <xdr:col>7</xdr:col>
                    <xdr:colOff>28575</xdr:colOff>
                    <xdr:row>31</xdr:row>
                    <xdr:rowOff>47625</xdr:rowOff>
                  </from>
                  <to>
                    <xdr:col>8</xdr:col>
                    <xdr:colOff>57150</xdr:colOff>
                    <xdr:row>31</xdr:row>
                    <xdr:rowOff>219075</xdr:rowOff>
                  </to>
                </anchor>
              </controlPr>
            </control>
          </mc:Choice>
        </mc:AlternateContent>
        <mc:AlternateContent xmlns:mc="http://schemas.openxmlformats.org/markup-compatibility/2006">
          <mc:Choice Requires="x14">
            <control shapeId="80960" r:id="rId67" name="Option Button 64">
              <controlPr defaultSize="0" autoFill="0" autoLine="0" autoPict="0">
                <anchor>
                  <from>
                    <xdr:col>7</xdr:col>
                    <xdr:colOff>28575</xdr:colOff>
                    <xdr:row>32</xdr:row>
                    <xdr:rowOff>47625</xdr:rowOff>
                  </from>
                  <to>
                    <xdr:col>8</xdr:col>
                    <xdr:colOff>57150</xdr:colOff>
                    <xdr:row>32</xdr:row>
                    <xdr:rowOff>219075</xdr:rowOff>
                  </to>
                </anchor>
              </controlPr>
            </control>
          </mc:Choice>
        </mc:AlternateContent>
        <mc:AlternateContent xmlns:mc="http://schemas.openxmlformats.org/markup-compatibility/2006">
          <mc:Choice Requires="x14">
            <control shapeId="80961" r:id="rId68" name="Group Box 65">
              <controlPr defaultSize="0" autoFill="0" autoPict="0">
                <anchor moveWithCells="1">
                  <from>
                    <xdr:col>7</xdr:col>
                    <xdr:colOff>19050</xdr:colOff>
                    <xdr:row>29</xdr:row>
                    <xdr:rowOff>0</xdr:rowOff>
                  </from>
                  <to>
                    <xdr:col>8</xdr:col>
                    <xdr:colOff>685800</xdr:colOff>
                    <xdr:row>32</xdr:row>
                    <xdr:rowOff>266700</xdr:rowOff>
                  </to>
                </anchor>
              </controlPr>
            </control>
          </mc:Choice>
        </mc:AlternateContent>
        <mc:AlternateContent xmlns:mc="http://schemas.openxmlformats.org/markup-compatibility/2006">
          <mc:Choice Requires="x14">
            <control shapeId="80962" r:id="rId69" name="Option Button 66">
              <controlPr defaultSize="0" autoFill="0" autoLine="0" autoPict="0">
                <anchor>
                  <from>
                    <xdr:col>9</xdr:col>
                    <xdr:colOff>28575</xdr:colOff>
                    <xdr:row>29</xdr:row>
                    <xdr:rowOff>28575</xdr:rowOff>
                  </from>
                  <to>
                    <xdr:col>10</xdr:col>
                    <xdr:colOff>66675</xdr:colOff>
                    <xdr:row>29</xdr:row>
                    <xdr:rowOff>200025</xdr:rowOff>
                  </to>
                </anchor>
              </controlPr>
            </control>
          </mc:Choice>
        </mc:AlternateContent>
        <mc:AlternateContent xmlns:mc="http://schemas.openxmlformats.org/markup-compatibility/2006">
          <mc:Choice Requires="x14">
            <control shapeId="80963" r:id="rId70" name="Option Button 67">
              <controlPr defaultSize="0" autoFill="0" autoLine="0" autoPict="0">
                <anchor>
                  <from>
                    <xdr:col>9</xdr:col>
                    <xdr:colOff>28575</xdr:colOff>
                    <xdr:row>30</xdr:row>
                    <xdr:rowOff>9525</xdr:rowOff>
                  </from>
                  <to>
                    <xdr:col>10</xdr:col>
                    <xdr:colOff>66675</xdr:colOff>
                    <xdr:row>30</xdr:row>
                    <xdr:rowOff>180975</xdr:rowOff>
                  </to>
                </anchor>
              </controlPr>
            </control>
          </mc:Choice>
        </mc:AlternateContent>
        <mc:AlternateContent xmlns:mc="http://schemas.openxmlformats.org/markup-compatibility/2006">
          <mc:Choice Requires="x14">
            <control shapeId="80964" r:id="rId71" name="Option Button 68">
              <controlPr defaultSize="0" autoFill="0" autoLine="0" autoPict="0">
                <anchor>
                  <from>
                    <xdr:col>9</xdr:col>
                    <xdr:colOff>28575</xdr:colOff>
                    <xdr:row>31</xdr:row>
                    <xdr:rowOff>28575</xdr:rowOff>
                  </from>
                  <to>
                    <xdr:col>10</xdr:col>
                    <xdr:colOff>66675</xdr:colOff>
                    <xdr:row>31</xdr:row>
                    <xdr:rowOff>200025</xdr:rowOff>
                  </to>
                </anchor>
              </controlPr>
            </control>
          </mc:Choice>
        </mc:AlternateContent>
        <mc:AlternateContent xmlns:mc="http://schemas.openxmlformats.org/markup-compatibility/2006">
          <mc:Choice Requires="x14">
            <control shapeId="80965" r:id="rId72" name="Option Button 69">
              <controlPr defaultSize="0" autoFill="0" autoLine="0" autoPict="0">
                <anchor>
                  <from>
                    <xdr:col>9</xdr:col>
                    <xdr:colOff>28575</xdr:colOff>
                    <xdr:row>32</xdr:row>
                    <xdr:rowOff>28575</xdr:rowOff>
                  </from>
                  <to>
                    <xdr:col>10</xdr:col>
                    <xdr:colOff>66675</xdr:colOff>
                    <xdr:row>32</xdr:row>
                    <xdr:rowOff>200025</xdr:rowOff>
                  </to>
                </anchor>
              </controlPr>
            </control>
          </mc:Choice>
        </mc:AlternateContent>
        <mc:AlternateContent xmlns:mc="http://schemas.openxmlformats.org/markup-compatibility/2006">
          <mc:Choice Requires="x14">
            <control shapeId="80966" r:id="rId73" name="Group Box 70">
              <controlPr defaultSize="0" autoFill="0" autoPict="0">
                <anchor moveWithCells="1">
                  <from>
                    <xdr:col>9</xdr:col>
                    <xdr:colOff>19050</xdr:colOff>
                    <xdr:row>29</xdr:row>
                    <xdr:rowOff>0</xdr:rowOff>
                  </from>
                  <to>
                    <xdr:col>10</xdr:col>
                    <xdr:colOff>685800</xdr:colOff>
                    <xdr:row>32</xdr:row>
                    <xdr:rowOff>266700</xdr:rowOff>
                  </to>
                </anchor>
              </controlPr>
            </control>
          </mc:Choice>
        </mc:AlternateContent>
        <mc:AlternateContent xmlns:mc="http://schemas.openxmlformats.org/markup-compatibility/2006">
          <mc:Choice Requires="x14">
            <control shapeId="80967" r:id="rId74" name="Option Button 71">
              <controlPr defaultSize="0" autoFill="0" autoLine="0" autoPict="0">
                <anchor>
                  <from>
                    <xdr:col>7</xdr:col>
                    <xdr:colOff>28575</xdr:colOff>
                    <xdr:row>33</xdr:row>
                    <xdr:rowOff>0</xdr:rowOff>
                  </from>
                  <to>
                    <xdr:col>8</xdr:col>
                    <xdr:colOff>57150</xdr:colOff>
                    <xdr:row>33</xdr:row>
                    <xdr:rowOff>171450</xdr:rowOff>
                  </to>
                </anchor>
              </controlPr>
            </control>
          </mc:Choice>
        </mc:AlternateContent>
        <mc:AlternateContent xmlns:mc="http://schemas.openxmlformats.org/markup-compatibility/2006">
          <mc:Choice Requires="x14">
            <control shapeId="80968" r:id="rId75" name="Option Button 72">
              <controlPr defaultSize="0" autoFill="0" autoLine="0" autoPict="0">
                <anchor>
                  <from>
                    <xdr:col>7</xdr:col>
                    <xdr:colOff>28575</xdr:colOff>
                    <xdr:row>34</xdr:row>
                    <xdr:rowOff>0</xdr:rowOff>
                  </from>
                  <to>
                    <xdr:col>8</xdr:col>
                    <xdr:colOff>57150</xdr:colOff>
                    <xdr:row>34</xdr:row>
                    <xdr:rowOff>171450</xdr:rowOff>
                  </to>
                </anchor>
              </controlPr>
            </control>
          </mc:Choice>
        </mc:AlternateContent>
        <mc:AlternateContent xmlns:mc="http://schemas.openxmlformats.org/markup-compatibility/2006">
          <mc:Choice Requires="x14">
            <control shapeId="80969" r:id="rId76" name="Option Button 73">
              <controlPr defaultSize="0" autoFill="0" autoLine="0" autoPict="0">
                <anchor>
                  <from>
                    <xdr:col>7</xdr:col>
                    <xdr:colOff>28575</xdr:colOff>
                    <xdr:row>35</xdr:row>
                    <xdr:rowOff>0</xdr:rowOff>
                  </from>
                  <to>
                    <xdr:col>8</xdr:col>
                    <xdr:colOff>57150</xdr:colOff>
                    <xdr:row>35</xdr:row>
                    <xdr:rowOff>171450</xdr:rowOff>
                  </to>
                </anchor>
              </controlPr>
            </control>
          </mc:Choice>
        </mc:AlternateContent>
        <mc:AlternateContent xmlns:mc="http://schemas.openxmlformats.org/markup-compatibility/2006">
          <mc:Choice Requires="x14">
            <control shapeId="80970" r:id="rId77" name="Option Button 74">
              <controlPr defaultSize="0" autoFill="0" autoLine="0" autoPict="0">
                <anchor>
                  <from>
                    <xdr:col>7</xdr:col>
                    <xdr:colOff>28575</xdr:colOff>
                    <xdr:row>36</xdr:row>
                    <xdr:rowOff>0</xdr:rowOff>
                  </from>
                  <to>
                    <xdr:col>8</xdr:col>
                    <xdr:colOff>57150</xdr:colOff>
                    <xdr:row>36</xdr:row>
                    <xdr:rowOff>171450</xdr:rowOff>
                  </to>
                </anchor>
              </controlPr>
            </control>
          </mc:Choice>
        </mc:AlternateContent>
        <mc:AlternateContent xmlns:mc="http://schemas.openxmlformats.org/markup-compatibility/2006">
          <mc:Choice Requires="x14">
            <control shapeId="80971" r:id="rId78" name="Group Box 75">
              <controlPr defaultSize="0" autoFill="0" autoPict="0">
                <anchor moveWithCells="1">
                  <from>
                    <xdr:col>7</xdr:col>
                    <xdr:colOff>19050</xdr:colOff>
                    <xdr:row>33</xdr:row>
                    <xdr:rowOff>0</xdr:rowOff>
                  </from>
                  <to>
                    <xdr:col>8</xdr:col>
                    <xdr:colOff>685800</xdr:colOff>
                    <xdr:row>36</xdr:row>
                    <xdr:rowOff>266700</xdr:rowOff>
                  </to>
                </anchor>
              </controlPr>
            </control>
          </mc:Choice>
        </mc:AlternateContent>
        <mc:AlternateContent xmlns:mc="http://schemas.openxmlformats.org/markup-compatibility/2006">
          <mc:Choice Requires="x14">
            <control shapeId="80972" r:id="rId79" name="Option Button 76">
              <controlPr defaultSize="0" autoFill="0" autoLine="0" autoPict="0">
                <anchor>
                  <from>
                    <xdr:col>9</xdr:col>
                    <xdr:colOff>28575</xdr:colOff>
                    <xdr:row>33</xdr:row>
                    <xdr:rowOff>0</xdr:rowOff>
                  </from>
                  <to>
                    <xdr:col>10</xdr:col>
                    <xdr:colOff>66675</xdr:colOff>
                    <xdr:row>33</xdr:row>
                    <xdr:rowOff>171450</xdr:rowOff>
                  </to>
                </anchor>
              </controlPr>
            </control>
          </mc:Choice>
        </mc:AlternateContent>
        <mc:AlternateContent xmlns:mc="http://schemas.openxmlformats.org/markup-compatibility/2006">
          <mc:Choice Requires="x14">
            <control shapeId="80973" r:id="rId80" name="Option Button 77">
              <controlPr defaultSize="0" autoFill="0" autoLine="0" autoPict="0">
                <anchor>
                  <from>
                    <xdr:col>9</xdr:col>
                    <xdr:colOff>28575</xdr:colOff>
                    <xdr:row>34</xdr:row>
                    <xdr:rowOff>0</xdr:rowOff>
                  </from>
                  <to>
                    <xdr:col>10</xdr:col>
                    <xdr:colOff>66675</xdr:colOff>
                    <xdr:row>34</xdr:row>
                    <xdr:rowOff>171450</xdr:rowOff>
                  </to>
                </anchor>
              </controlPr>
            </control>
          </mc:Choice>
        </mc:AlternateContent>
        <mc:AlternateContent xmlns:mc="http://schemas.openxmlformats.org/markup-compatibility/2006">
          <mc:Choice Requires="x14">
            <control shapeId="80974" r:id="rId81" name="Option Button 78">
              <controlPr defaultSize="0" autoFill="0" autoLine="0" autoPict="0">
                <anchor>
                  <from>
                    <xdr:col>9</xdr:col>
                    <xdr:colOff>28575</xdr:colOff>
                    <xdr:row>35</xdr:row>
                    <xdr:rowOff>0</xdr:rowOff>
                  </from>
                  <to>
                    <xdr:col>10</xdr:col>
                    <xdr:colOff>66675</xdr:colOff>
                    <xdr:row>35</xdr:row>
                    <xdr:rowOff>171450</xdr:rowOff>
                  </to>
                </anchor>
              </controlPr>
            </control>
          </mc:Choice>
        </mc:AlternateContent>
        <mc:AlternateContent xmlns:mc="http://schemas.openxmlformats.org/markup-compatibility/2006">
          <mc:Choice Requires="x14">
            <control shapeId="80975" r:id="rId82" name="Option Button 79">
              <controlPr defaultSize="0" autoFill="0" autoLine="0" autoPict="0">
                <anchor>
                  <from>
                    <xdr:col>9</xdr:col>
                    <xdr:colOff>28575</xdr:colOff>
                    <xdr:row>36</xdr:row>
                    <xdr:rowOff>0</xdr:rowOff>
                  </from>
                  <to>
                    <xdr:col>10</xdr:col>
                    <xdr:colOff>66675</xdr:colOff>
                    <xdr:row>36</xdr:row>
                    <xdr:rowOff>171450</xdr:rowOff>
                  </to>
                </anchor>
              </controlPr>
            </control>
          </mc:Choice>
        </mc:AlternateContent>
        <mc:AlternateContent xmlns:mc="http://schemas.openxmlformats.org/markup-compatibility/2006">
          <mc:Choice Requires="x14">
            <control shapeId="80976" r:id="rId83" name="Group Box 80">
              <controlPr defaultSize="0" autoFill="0" autoPict="0">
                <anchor moveWithCells="1">
                  <from>
                    <xdr:col>9</xdr:col>
                    <xdr:colOff>19050</xdr:colOff>
                    <xdr:row>33</xdr:row>
                    <xdr:rowOff>0</xdr:rowOff>
                  </from>
                  <to>
                    <xdr:col>10</xdr:col>
                    <xdr:colOff>685800</xdr:colOff>
                    <xdr:row>36</xdr:row>
                    <xdr:rowOff>266700</xdr:rowOff>
                  </to>
                </anchor>
              </controlPr>
            </control>
          </mc:Choice>
        </mc:AlternateContent>
        <mc:AlternateContent xmlns:mc="http://schemas.openxmlformats.org/markup-compatibility/2006">
          <mc:Choice Requires="x14">
            <control shapeId="80977" r:id="rId84" name="Option Button 81">
              <controlPr defaultSize="0" autoFill="0" autoLine="0" autoPict="0">
                <anchor>
                  <from>
                    <xdr:col>7</xdr:col>
                    <xdr:colOff>28575</xdr:colOff>
                    <xdr:row>37</xdr:row>
                    <xdr:rowOff>38100</xdr:rowOff>
                  </from>
                  <to>
                    <xdr:col>8</xdr:col>
                    <xdr:colOff>57150</xdr:colOff>
                    <xdr:row>37</xdr:row>
                    <xdr:rowOff>209550</xdr:rowOff>
                  </to>
                </anchor>
              </controlPr>
            </control>
          </mc:Choice>
        </mc:AlternateContent>
        <mc:AlternateContent xmlns:mc="http://schemas.openxmlformats.org/markup-compatibility/2006">
          <mc:Choice Requires="x14">
            <control shapeId="80978" r:id="rId85" name="Option Button 82">
              <controlPr defaultSize="0" autoFill="0" autoLine="0" autoPict="0">
                <anchor>
                  <from>
                    <xdr:col>7</xdr:col>
                    <xdr:colOff>28575</xdr:colOff>
                    <xdr:row>38</xdr:row>
                    <xdr:rowOff>28575</xdr:rowOff>
                  </from>
                  <to>
                    <xdr:col>8</xdr:col>
                    <xdr:colOff>57150</xdr:colOff>
                    <xdr:row>38</xdr:row>
                    <xdr:rowOff>200025</xdr:rowOff>
                  </to>
                </anchor>
              </controlPr>
            </control>
          </mc:Choice>
        </mc:AlternateContent>
        <mc:AlternateContent xmlns:mc="http://schemas.openxmlformats.org/markup-compatibility/2006">
          <mc:Choice Requires="x14">
            <control shapeId="80979" r:id="rId86" name="Option Button 83">
              <controlPr defaultSize="0" autoFill="0" autoLine="0" autoPict="0">
                <anchor>
                  <from>
                    <xdr:col>7</xdr:col>
                    <xdr:colOff>28575</xdr:colOff>
                    <xdr:row>39</xdr:row>
                    <xdr:rowOff>28575</xdr:rowOff>
                  </from>
                  <to>
                    <xdr:col>8</xdr:col>
                    <xdr:colOff>57150</xdr:colOff>
                    <xdr:row>39</xdr:row>
                    <xdr:rowOff>200025</xdr:rowOff>
                  </to>
                </anchor>
              </controlPr>
            </control>
          </mc:Choice>
        </mc:AlternateContent>
        <mc:AlternateContent xmlns:mc="http://schemas.openxmlformats.org/markup-compatibility/2006">
          <mc:Choice Requires="x14">
            <control shapeId="80980" r:id="rId87" name="Option Button 84">
              <controlPr defaultSize="0" autoFill="0" autoLine="0" autoPict="0">
                <anchor>
                  <from>
                    <xdr:col>7</xdr:col>
                    <xdr:colOff>28575</xdr:colOff>
                    <xdr:row>40</xdr:row>
                    <xdr:rowOff>28575</xdr:rowOff>
                  </from>
                  <to>
                    <xdr:col>8</xdr:col>
                    <xdr:colOff>57150</xdr:colOff>
                    <xdr:row>40</xdr:row>
                    <xdr:rowOff>200025</xdr:rowOff>
                  </to>
                </anchor>
              </controlPr>
            </control>
          </mc:Choice>
        </mc:AlternateContent>
        <mc:AlternateContent xmlns:mc="http://schemas.openxmlformats.org/markup-compatibility/2006">
          <mc:Choice Requires="x14">
            <control shapeId="80981" r:id="rId88" name="Group Box 85">
              <controlPr defaultSize="0" autoFill="0" autoPict="0">
                <anchor moveWithCells="1">
                  <from>
                    <xdr:col>7</xdr:col>
                    <xdr:colOff>19050</xdr:colOff>
                    <xdr:row>37</xdr:row>
                    <xdr:rowOff>0</xdr:rowOff>
                  </from>
                  <to>
                    <xdr:col>8</xdr:col>
                    <xdr:colOff>685800</xdr:colOff>
                    <xdr:row>40</xdr:row>
                    <xdr:rowOff>266700</xdr:rowOff>
                  </to>
                </anchor>
              </controlPr>
            </control>
          </mc:Choice>
        </mc:AlternateContent>
        <mc:AlternateContent xmlns:mc="http://schemas.openxmlformats.org/markup-compatibility/2006">
          <mc:Choice Requires="x14">
            <control shapeId="80982" r:id="rId89" name="Option Button 86">
              <controlPr defaultSize="0" autoFill="0" autoLine="0" autoPict="0">
                <anchor>
                  <from>
                    <xdr:col>9</xdr:col>
                    <xdr:colOff>28575</xdr:colOff>
                    <xdr:row>37</xdr:row>
                    <xdr:rowOff>28575</xdr:rowOff>
                  </from>
                  <to>
                    <xdr:col>10</xdr:col>
                    <xdr:colOff>66675</xdr:colOff>
                    <xdr:row>37</xdr:row>
                    <xdr:rowOff>200025</xdr:rowOff>
                  </to>
                </anchor>
              </controlPr>
            </control>
          </mc:Choice>
        </mc:AlternateContent>
        <mc:AlternateContent xmlns:mc="http://schemas.openxmlformats.org/markup-compatibility/2006">
          <mc:Choice Requires="x14">
            <control shapeId="80983" r:id="rId90" name="Option Button 87">
              <controlPr defaultSize="0" autoFill="0" autoLine="0" autoPict="0">
                <anchor>
                  <from>
                    <xdr:col>9</xdr:col>
                    <xdr:colOff>28575</xdr:colOff>
                    <xdr:row>38</xdr:row>
                    <xdr:rowOff>28575</xdr:rowOff>
                  </from>
                  <to>
                    <xdr:col>10</xdr:col>
                    <xdr:colOff>66675</xdr:colOff>
                    <xdr:row>38</xdr:row>
                    <xdr:rowOff>200025</xdr:rowOff>
                  </to>
                </anchor>
              </controlPr>
            </control>
          </mc:Choice>
        </mc:AlternateContent>
        <mc:AlternateContent xmlns:mc="http://schemas.openxmlformats.org/markup-compatibility/2006">
          <mc:Choice Requires="x14">
            <control shapeId="80984" r:id="rId91" name="Option Button 88">
              <controlPr defaultSize="0" autoFill="0" autoLine="0" autoPict="0">
                <anchor>
                  <from>
                    <xdr:col>9</xdr:col>
                    <xdr:colOff>28575</xdr:colOff>
                    <xdr:row>39</xdr:row>
                    <xdr:rowOff>38100</xdr:rowOff>
                  </from>
                  <to>
                    <xdr:col>10</xdr:col>
                    <xdr:colOff>66675</xdr:colOff>
                    <xdr:row>39</xdr:row>
                    <xdr:rowOff>209550</xdr:rowOff>
                  </to>
                </anchor>
              </controlPr>
            </control>
          </mc:Choice>
        </mc:AlternateContent>
        <mc:AlternateContent xmlns:mc="http://schemas.openxmlformats.org/markup-compatibility/2006">
          <mc:Choice Requires="x14">
            <control shapeId="80985" r:id="rId92" name="Option Button 89">
              <controlPr defaultSize="0" autoFill="0" autoLine="0" autoPict="0">
                <anchor>
                  <from>
                    <xdr:col>9</xdr:col>
                    <xdr:colOff>28575</xdr:colOff>
                    <xdr:row>40</xdr:row>
                    <xdr:rowOff>38100</xdr:rowOff>
                  </from>
                  <to>
                    <xdr:col>10</xdr:col>
                    <xdr:colOff>66675</xdr:colOff>
                    <xdr:row>40</xdr:row>
                    <xdr:rowOff>209550</xdr:rowOff>
                  </to>
                </anchor>
              </controlPr>
            </control>
          </mc:Choice>
        </mc:AlternateContent>
        <mc:AlternateContent xmlns:mc="http://schemas.openxmlformats.org/markup-compatibility/2006">
          <mc:Choice Requires="x14">
            <control shapeId="80986" r:id="rId93" name="Group Box 90">
              <controlPr defaultSize="0" autoFill="0" autoPict="0">
                <anchor moveWithCells="1">
                  <from>
                    <xdr:col>9</xdr:col>
                    <xdr:colOff>19050</xdr:colOff>
                    <xdr:row>37</xdr:row>
                    <xdr:rowOff>0</xdr:rowOff>
                  </from>
                  <to>
                    <xdr:col>10</xdr:col>
                    <xdr:colOff>685800</xdr:colOff>
                    <xdr:row>40</xdr:row>
                    <xdr:rowOff>266700</xdr:rowOff>
                  </to>
                </anchor>
              </controlPr>
            </control>
          </mc:Choice>
        </mc:AlternateContent>
        <mc:AlternateContent xmlns:mc="http://schemas.openxmlformats.org/markup-compatibility/2006">
          <mc:Choice Requires="x14">
            <control shapeId="80987" r:id="rId94" name="Option Button 91">
              <controlPr defaultSize="0" autoFill="0" autoLine="0" autoPict="0">
                <anchor>
                  <from>
                    <xdr:col>9</xdr:col>
                    <xdr:colOff>28575</xdr:colOff>
                    <xdr:row>41</xdr:row>
                    <xdr:rowOff>28575</xdr:rowOff>
                  </from>
                  <to>
                    <xdr:col>10</xdr:col>
                    <xdr:colOff>66675</xdr:colOff>
                    <xdr:row>41</xdr:row>
                    <xdr:rowOff>200025</xdr:rowOff>
                  </to>
                </anchor>
              </controlPr>
            </control>
          </mc:Choice>
        </mc:AlternateContent>
        <mc:AlternateContent xmlns:mc="http://schemas.openxmlformats.org/markup-compatibility/2006">
          <mc:Choice Requires="x14">
            <control shapeId="80988" r:id="rId95" name="Option Button 92">
              <controlPr defaultSize="0" autoFill="0" autoLine="0" autoPict="0">
                <anchor>
                  <from>
                    <xdr:col>9</xdr:col>
                    <xdr:colOff>28575</xdr:colOff>
                    <xdr:row>42</xdr:row>
                    <xdr:rowOff>28575</xdr:rowOff>
                  </from>
                  <to>
                    <xdr:col>10</xdr:col>
                    <xdr:colOff>66675</xdr:colOff>
                    <xdr:row>42</xdr:row>
                    <xdr:rowOff>200025</xdr:rowOff>
                  </to>
                </anchor>
              </controlPr>
            </control>
          </mc:Choice>
        </mc:AlternateContent>
        <mc:AlternateContent xmlns:mc="http://schemas.openxmlformats.org/markup-compatibility/2006">
          <mc:Choice Requires="x14">
            <control shapeId="80989" r:id="rId96" name="Option Button 93">
              <controlPr defaultSize="0" autoFill="0" autoLine="0" autoPict="0">
                <anchor>
                  <from>
                    <xdr:col>9</xdr:col>
                    <xdr:colOff>28575</xdr:colOff>
                    <xdr:row>43</xdr:row>
                    <xdr:rowOff>28575</xdr:rowOff>
                  </from>
                  <to>
                    <xdr:col>10</xdr:col>
                    <xdr:colOff>66675</xdr:colOff>
                    <xdr:row>43</xdr:row>
                    <xdr:rowOff>200025</xdr:rowOff>
                  </to>
                </anchor>
              </controlPr>
            </control>
          </mc:Choice>
        </mc:AlternateContent>
        <mc:AlternateContent xmlns:mc="http://schemas.openxmlformats.org/markup-compatibility/2006">
          <mc:Choice Requires="x14">
            <control shapeId="80990" r:id="rId97" name="Option Button 94">
              <controlPr defaultSize="0" autoFill="0" autoLine="0" autoPict="0">
                <anchor>
                  <from>
                    <xdr:col>9</xdr:col>
                    <xdr:colOff>28575</xdr:colOff>
                    <xdr:row>44</xdr:row>
                    <xdr:rowOff>28575</xdr:rowOff>
                  </from>
                  <to>
                    <xdr:col>10</xdr:col>
                    <xdr:colOff>66675</xdr:colOff>
                    <xdr:row>44</xdr:row>
                    <xdr:rowOff>200025</xdr:rowOff>
                  </to>
                </anchor>
              </controlPr>
            </control>
          </mc:Choice>
        </mc:AlternateContent>
        <mc:AlternateContent xmlns:mc="http://schemas.openxmlformats.org/markup-compatibility/2006">
          <mc:Choice Requires="x14">
            <control shapeId="80991" r:id="rId98" name="Group Box 95">
              <controlPr defaultSize="0" autoFill="0" autoPict="0">
                <anchor moveWithCells="1">
                  <from>
                    <xdr:col>9</xdr:col>
                    <xdr:colOff>19050</xdr:colOff>
                    <xdr:row>41</xdr:row>
                    <xdr:rowOff>0</xdr:rowOff>
                  </from>
                  <to>
                    <xdr:col>10</xdr:col>
                    <xdr:colOff>685800</xdr:colOff>
                    <xdr:row>44</xdr:row>
                    <xdr:rowOff>266700</xdr:rowOff>
                  </to>
                </anchor>
              </controlPr>
            </control>
          </mc:Choice>
        </mc:AlternateContent>
        <mc:AlternateContent xmlns:mc="http://schemas.openxmlformats.org/markup-compatibility/2006">
          <mc:Choice Requires="x14">
            <control shapeId="80992" r:id="rId99" name="Option Button 96">
              <controlPr defaultSize="0" autoFill="0" autoLine="0" autoPict="0">
                <anchor>
                  <from>
                    <xdr:col>7</xdr:col>
                    <xdr:colOff>28575</xdr:colOff>
                    <xdr:row>41</xdr:row>
                    <xdr:rowOff>28575</xdr:rowOff>
                  </from>
                  <to>
                    <xdr:col>8</xdr:col>
                    <xdr:colOff>57150</xdr:colOff>
                    <xdr:row>41</xdr:row>
                    <xdr:rowOff>200025</xdr:rowOff>
                  </to>
                </anchor>
              </controlPr>
            </control>
          </mc:Choice>
        </mc:AlternateContent>
        <mc:AlternateContent xmlns:mc="http://schemas.openxmlformats.org/markup-compatibility/2006">
          <mc:Choice Requires="x14">
            <control shapeId="80993" r:id="rId100" name="Option Button 97">
              <controlPr defaultSize="0" autoFill="0" autoLine="0" autoPict="0">
                <anchor>
                  <from>
                    <xdr:col>7</xdr:col>
                    <xdr:colOff>28575</xdr:colOff>
                    <xdr:row>42</xdr:row>
                    <xdr:rowOff>28575</xdr:rowOff>
                  </from>
                  <to>
                    <xdr:col>8</xdr:col>
                    <xdr:colOff>57150</xdr:colOff>
                    <xdr:row>42</xdr:row>
                    <xdr:rowOff>200025</xdr:rowOff>
                  </to>
                </anchor>
              </controlPr>
            </control>
          </mc:Choice>
        </mc:AlternateContent>
        <mc:AlternateContent xmlns:mc="http://schemas.openxmlformats.org/markup-compatibility/2006">
          <mc:Choice Requires="x14">
            <control shapeId="80994" r:id="rId101" name="Option Button 98">
              <controlPr defaultSize="0" autoFill="0" autoLine="0" autoPict="0">
                <anchor>
                  <from>
                    <xdr:col>7</xdr:col>
                    <xdr:colOff>28575</xdr:colOff>
                    <xdr:row>43</xdr:row>
                    <xdr:rowOff>19050</xdr:rowOff>
                  </from>
                  <to>
                    <xdr:col>8</xdr:col>
                    <xdr:colOff>57150</xdr:colOff>
                    <xdr:row>43</xdr:row>
                    <xdr:rowOff>190500</xdr:rowOff>
                  </to>
                </anchor>
              </controlPr>
            </control>
          </mc:Choice>
        </mc:AlternateContent>
        <mc:AlternateContent xmlns:mc="http://schemas.openxmlformats.org/markup-compatibility/2006">
          <mc:Choice Requires="x14">
            <control shapeId="80995" r:id="rId102" name="Option Button 99">
              <controlPr defaultSize="0" autoFill="0" autoLine="0" autoPict="0">
                <anchor>
                  <from>
                    <xdr:col>7</xdr:col>
                    <xdr:colOff>38100</xdr:colOff>
                    <xdr:row>44</xdr:row>
                    <xdr:rowOff>28575</xdr:rowOff>
                  </from>
                  <to>
                    <xdr:col>8</xdr:col>
                    <xdr:colOff>66675</xdr:colOff>
                    <xdr:row>44</xdr:row>
                    <xdr:rowOff>200025</xdr:rowOff>
                  </to>
                </anchor>
              </controlPr>
            </control>
          </mc:Choice>
        </mc:AlternateContent>
        <mc:AlternateContent xmlns:mc="http://schemas.openxmlformats.org/markup-compatibility/2006">
          <mc:Choice Requires="x14">
            <control shapeId="80996" r:id="rId103" name="Group Box 100">
              <controlPr defaultSize="0" autoFill="0" autoPict="0">
                <anchor moveWithCells="1">
                  <from>
                    <xdr:col>7</xdr:col>
                    <xdr:colOff>19050</xdr:colOff>
                    <xdr:row>41</xdr:row>
                    <xdr:rowOff>0</xdr:rowOff>
                  </from>
                  <to>
                    <xdr:col>8</xdr:col>
                    <xdr:colOff>685800</xdr:colOff>
                    <xdr:row>44</xdr:row>
                    <xdr:rowOff>266700</xdr:rowOff>
                  </to>
                </anchor>
              </controlPr>
            </control>
          </mc:Choice>
        </mc:AlternateContent>
        <mc:AlternateContent xmlns:mc="http://schemas.openxmlformats.org/markup-compatibility/2006">
          <mc:Choice Requires="x14">
            <control shapeId="80997" r:id="rId104" name="Option Button 101">
              <controlPr defaultSize="0" autoFill="0" autoLine="0" autoPict="0">
                <anchor>
                  <from>
                    <xdr:col>7</xdr:col>
                    <xdr:colOff>28575</xdr:colOff>
                    <xdr:row>50</xdr:row>
                    <xdr:rowOff>66675</xdr:rowOff>
                  </from>
                  <to>
                    <xdr:col>8</xdr:col>
                    <xdr:colOff>57150</xdr:colOff>
                    <xdr:row>50</xdr:row>
                    <xdr:rowOff>247650</xdr:rowOff>
                  </to>
                </anchor>
              </controlPr>
            </control>
          </mc:Choice>
        </mc:AlternateContent>
        <mc:AlternateContent xmlns:mc="http://schemas.openxmlformats.org/markup-compatibility/2006">
          <mc:Choice Requires="x14">
            <control shapeId="80998" r:id="rId105" name="Option Button 102">
              <controlPr defaultSize="0" autoFill="0" autoLine="0" autoPict="0">
                <anchor>
                  <from>
                    <xdr:col>7</xdr:col>
                    <xdr:colOff>28575</xdr:colOff>
                    <xdr:row>51</xdr:row>
                    <xdr:rowOff>38100</xdr:rowOff>
                  </from>
                  <to>
                    <xdr:col>8</xdr:col>
                    <xdr:colOff>57150</xdr:colOff>
                    <xdr:row>51</xdr:row>
                    <xdr:rowOff>209550</xdr:rowOff>
                  </to>
                </anchor>
              </controlPr>
            </control>
          </mc:Choice>
        </mc:AlternateContent>
        <mc:AlternateContent xmlns:mc="http://schemas.openxmlformats.org/markup-compatibility/2006">
          <mc:Choice Requires="x14">
            <control shapeId="80999" r:id="rId106" name="Option Button 103">
              <controlPr defaultSize="0" autoFill="0" autoLine="0" autoPict="0">
                <anchor>
                  <from>
                    <xdr:col>7</xdr:col>
                    <xdr:colOff>28575</xdr:colOff>
                    <xdr:row>52</xdr:row>
                    <xdr:rowOff>57150</xdr:rowOff>
                  </from>
                  <to>
                    <xdr:col>8</xdr:col>
                    <xdr:colOff>57150</xdr:colOff>
                    <xdr:row>52</xdr:row>
                    <xdr:rowOff>219075</xdr:rowOff>
                  </to>
                </anchor>
              </controlPr>
            </control>
          </mc:Choice>
        </mc:AlternateContent>
        <mc:AlternateContent xmlns:mc="http://schemas.openxmlformats.org/markup-compatibility/2006">
          <mc:Choice Requires="x14">
            <control shapeId="81000" r:id="rId107" name="Option Button 104">
              <controlPr defaultSize="0" autoFill="0" autoLine="0" autoPict="0">
                <anchor>
                  <from>
                    <xdr:col>7</xdr:col>
                    <xdr:colOff>38100</xdr:colOff>
                    <xdr:row>53</xdr:row>
                    <xdr:rowOff>38100</xdr:rowOff>
                  </from>
                  <to>
                    <xdr:col>8</xdr:col>
                    <xdr:colOff>66675</xdr:colOff>
                    <xdr:row>53</xdr:row>
                    <xdr:rowOff>209550</xdr:rowOff>
                  </to>
                </anchor>
              </controlPr>
            </control>
          </mc:Choice>
        </mc:AlternateContent>
        <mc:AlternateContent xmlns:mc="http://schemas.openxmlformats.org/markup-compatibility/2006">
          <mc:Choice Requires="x14">
            <control shapeId="81001" r:id="rId108" name="Group Box 105">
              <controlPr defaultSize="0" autoFill="0" autoPict="0">
                <anchor moveWithCells="1">
                  <from>
                    <xdr:col>7</xdr:col>
                    <xdr:colOff>19050</xdr:colOff>
                    <xdr:row>49</xdr:row>
                    <xdr:rowOff>285750</xdr:rowOff>
                  </from>
                  <to>
                    <xdr:col>8</xdr:col>
                    <xdr:colOff>685800</xdr:colOff>
                    <xdr:row>53</xdr:row>
                    <xdr:rowOff>266700</xdr:rowOff>
                  </to>
                </anchor>
              </controlPr>
            </control>
          </mc:Choice>
        </mc:AlternateContent>
        <mc:AlternateContent xmlns:mc="http://schemas.openxmlformats.org/markup-compatibility/2006">
          <mc:Choice Requires="x14">
            <control shapeId="81002" r:id="rId109" name="Option Button 106">
              <controlPr defaultSize="0" autoFill="0" autoLine="0" autoPict="0">
                <anchor>
                  <from>
                    <xdr:col>9</xdr:col>
                    <xdr:colOff>28575</xdr:colOff>
                    <xdr:row>50</xdr:row>
                    <xdr:rowOff>47625</xdr:rowOff>
                  </from>
                  <to>
                    <xdr:col>10</xdr:col>
                    <xdr:colOff>66675</xdr:colOff>
                    <xdr:row>50</xdr:row>
                    <xdr:rowOff>219075</xdr:rowOff>
                  </to>
                </anchor>
              </controlPr>
            </control>
          </mc:Choice>
        </mc:AlternateContent>
        <mc:AlternateContent xmlns:mc="http://schemas.openxmlformats.org/markup-compatibility/2006">
          <mc:Choice Requires="x14">
            <control shapeId="81003" r:id="rId110" name="Option Button 107">
              <controlPr defaultSize="0" autoFill="0" autoLine="0" autoPict="0">
                <anchor>
                  <from>
                    <xdr:col>9</xdr:col>
                    <xdr:colOff>28575</xdr:colOff>
                    <xdr:row>51</xdr:row>
                    <xdr:rowOff>28575</xdr:rowOff>
                  </from>
                  <to>
                    <xdr:col>10</xdr:col>
                    <xdr:colOff>66675</xdr:colOff>
                    <xdr:row>51</xdr:row>
                    <xdr:rowOff>200025</xdr:rowOff>
                  </to>
                </anchor>
              </controlPr>
            </control>
          </mc:Choice>
        </mc:AlternateContent>
        <mc:AlternateContent xmlns:mc="http://schemas.openxmlformats.org/markup-compatibility/2006">
          <mc:Choice Requires="x14">
            <control shapeId="81004" r:id="rId111" name="Option Button 108">
              <controlPr defaultSize="0" autoFill="0" autoLine="0" autoPict="0">
                <anchor>
                  <from>
                    <xdr:col>9</xdr:col>
                    <xdr:colOff>28575</xdr:colOff>
                    <xdr:row>52</xdr:row>
                    <xdr:rowOff>28575</xdr:rowOff>
                  </from>
                  <to>
                    <xdr:col>10</xdr:col>
                    <xdr:colOff>66675</xdr:colOff>
                    <xdr:row>52</xdr:row>
                    <xdr:rowOff>200025</xdr:rowOff>
                  </to>
                </anchor>
              </controlPr>
            </control>
          </mc:Choice>
        </mc:AlternateContent>
        <mc:AlternateContent xmlns:mc="http://schemas.openxmlformats.org/markup-compatibility/2006">
          <mc:Choice Requires="x14">
            <control shapeId="81005" r:id="rId112" name="Option Button 109">
              <controlPr defaultSize="0" autoFill="0" autoLine="0" autoPict="0">
                <anchor>
                  <from>
                    <xdr:col>9</xdr:col>
                    <xdr:colOff>28575</xdr:colOff>
                    <xdr:row>53</xdr:row>
                    <xdr:rowOff>57150</xdr:rowOff>
                  </from>
                  <to>
                    <xdr:col>10</xdr:col>
                    <xdr:colOff>66675</xdr:colOff>
                    <xdr:row>53</xdr:row>
                    <xdr:rowOff>219075</xdr:rowOff>
                  </to>
                </anchor>
              </controlPr>
            </control>
          </mc:Choice>
        </mc:AlternateContent>
        <mc:AlternateContent xmlns:mc="http://schemas.openxmlformats.org/markup-compatibility/2006">
          <mc:Choice Requires="x14">
            <control shapeId="81006" r:id="rId113" name="Group Box 110">
              <controlPr defaultSize="0" autoFill="0" autoPict="0">
                <anchor moveWithCells="1">
                  <from>
                    <xdr:col>9</xdr:col>
                    <xdr:colOff>19050</xdr:colOff>
                    <xdr:row>49</xdr:row>
                    <xdr:rowOff>285750</xdr:rowOff>
                  </from>
                  <to>
                    <xdr:col>10</xdr:col>
                    <xdr:colOff>685800</xdr:colOff>
                    <xdr:row>53</xdr:row>
                    <xdr:rowOff>266700</xdr:rowOff>
                  </to>
                </anchor>
              </controlPr>
            </control>
          </mc:Choice>
        </mc:AlternateContent>
        <mc:AlternateContent xmlns:mc="http://schemas.openxmlformats.org/markup-compatibility/2006">
          <mc:Choice Requires="x14">
            <control shapeId="81007" r:id="rId114" name="Option Button 111">
              <controlPr defaultSize="0" autoFill="0" autoLine="0" autoPict="0">
                <anchor>
                  <from>
                    <xdr:col>7</xdr:col>
                    <xdr:colOff>28575</xdr:colOff>
                    <xdr:row>54</xdr:row>
                    <xdr:rowOff>38100</xdr:rowOff>
                  </from>
                  <to>
                    <xdr:col>8</xdr:col>
                    <xdr:colOff>57150</xdr:colOff>
                    <xdr:row>54</xdr:row>
                    <xdr:rowOff>209550</xdr:rowOff>
                  </to>
                </anchor>
              </controlPr>
            </control>
          </mc:Choice>
        </mc:AlternateContent>
        <mc:AlternateContent xmlns:mc="http://schemas.openxmlformats.org/markup-compatibility/2006">
          <mc:Choice Requires="x14">
            <control shapeId="81008" r:id="rId115" name="Option Button 112">
              <controlPr defaultSize="0" autoFill="0" autoLine="0" autoPict="0">
                <anchor>
                  <from>
                    <xdr:col>7</xdr:col>
                    <xdr:colOff>28575</xdr:colOff>
                    <xdr:row>55</xdr:row>
                    <xdr:rowOff>28575</xdr:rowOff>
                  </from>
                  <to>
                    <xdr:col>8</xdr:col>
                    <xdr:colOff>57150</xdr:colOff>
                    <xdr:row>55</xdr:row>
                    <xdr:rowOff>200025</xdr:rowOff>
                  </to>
                </anchor>
              </controlPr>
            </control>
          </mc:Choice>
        </mc:AlternateContent>
        <mc:AlternateContent xmlns:mc="http://schemas.openxmlformats.org/markup-compatibility/2006">
          <mc:Choice Requires="x14">
            <control shapeId="81009" r:id="rId116" name="Option Button 113">
              <controlPr defaultSize="0" autoFill="0" autoLine="0" autoPict="0">
                <anchor>
                  <from>
                    <xdr:col>7</xdr:col>
                    <xdr:colOff>28575</xdr:colOff>
                    <xdr:row>56</xdr:row>
                    <xdr:rowOff>28575</xdr:rowOff>
                  </from>
                  <to>
                    <xdr:col>8</xdr:col>
                    <xdr:colOff>57150</xdr:colOff>
                    <xdr:row>56</xdr:row>
                    <xdr:rowOff>200025</xdr:rowOff>
                  </to>
                </anchor>
              </controlPr>
            </control>
          </mc:Choice>
        </mc:AlternateContent>
        <mc:AlternateContent xmlns:mc="http://schemas.openxmlformats.org/markup-compatibility/2006">
          <mc:Choice Requires="x14">
            <control shapeId="81010" r:id="rId117" name="Option Button 114">
              <controlPr defaultSize="0" autoFill="0" autoLine="0" autoPict="0">
                <anchor>
                  <from>
                    <xdr:col>7</xdr:col>
                    <xdr:colOff>28575</xdr:colOff>
                    <xdr:row>57</xdr:row>
                    <xdr:rowOff>47625</xdr:rowOff>
                  </from>
                  <to>
                    <xdr:col>8</xdr:col>
                    <xdr:colOff>57150</xdr:colOff>
                    <xdr:row>57</xdr:row>
                    <xdr:rowOff>209550</xdr:rowOff>
                  </to>
                </anchor>
              </controlPr>
            </control>
          </mc:Choice>
        </mc:AlternateContent>
        <mc:AlternateContent xmlns:mc="http://schemas.openxmlformats.org/markup-compatibility/2006">
          <mc:Choice Requires="x14">
            <control shapeId="81011" r:id="rId118" name="Group Box 115">
              <controlPr defaultSize="0" autoFill="0" autoPict="0">
                <anchor moveWithCells="1">
                  <from>
                    <xdr:col>7</xdr:col>
                    <xdr:colOff>19050</xdr:colOff>
                    <xdr:row>54</xdr:row>
                    <xdr:rowOff>0</xdr:rowOff>
                  </from>
                  <to>
                    <xdr:col>8</xdr:col>
                    <xdr:colOff>685800</xdr:colOff>
                    <xdr:row>57</xdr:row>
                    <xdr:rowOff>266700</xdr:rowOff>
                  </to>
                </anchor>
              </controlPr>
            </control>
          </mc:Choice>
        </mc:AlternateContent>
        <mc:AlternateContent xmlns:mc="http://schemas.openxmlformats.org/markup-compatibility/2006">
          <mc:Choice Requires="x14">
            <control shapeId="81012" r:id="rId119" name="Option Button 116">
              <controlPr defaultSize="0" autoFill="0" autoLine="0" autoPict="0">
                <anchor>
                  <from>
                    <xdr:col>9</xdr:col>
                    <xdr:colOff>28575</xdr:colOff>
                    <xdr:row>54</xdr:row>
                    <xdr:rowOff>38100</xdr:rowOff>
                  </from>
                  <to>
                    <xdr:col>10</xdr:col>
                    <xdr:colOff>66675</xdr:colOff>
                    <xdr:row>54</xdr:row>
                    <xdr:rowOff>209550</xdr:rowOff>
                  </to>
                </anchor>
              </controlPr>
            </control>
          </mc:Choice>
        </mc:AlternateContent>
        <mc:AlternateContent xmlns:mc="http://schemas.openxmlformats.org/markup-compatibility/2006">
          <mc:Choice Requires="x14">
            <control shapeId="81013" r:id="rId120" name="Option Button 117">
              <controlPr defaultSize="0" autoFill="0" autoLine="0" autoPict="0">
                <anchor>
                  <from>
                    <xdr:col>9</xdr:col>
                    <xdr:colOff>28575</xdr:colOff>
                    <xdr:row>55</xdr:row>
                    <xdr:rowOff>28575</xdr:rowOff>
                  </from>
                  <to>
                    <xdr:col>10</xdr:col>
                    <xdr:colOff>66675</xdr:colOff>
                    <xdr:row>55</xdr:row>
                    <xdr:rowOff>200025</xdr:rowOff>
                  </to>
                </anchor>
              </controlPr>
            </control>
          </mc:Choice>
        </mc:AlternateContent>
        <mc:AlternateContent xmlns:mc="http://schemas.openxmlformats.org/markup-compatibility/2006">
          <mc:Choice Requires="x14">
            <control shapeId="81014" r:id="rId121" name="Option Button 118">
              <controlPr defaultSize="0" autoFill="0" autoLine="0" autoPict="0">
                <anchor>
                  <from>
                    <xdr:col>9</xdr:col>
                    <xdr:colOff>28575</xdr:colOff>
                    <xdr:row>56</xdr:row>
                    <xdr:rowOff>28575</xdr:rowOff>
                  </from>
                  <to>
                    <xdr:col>10</xdr:col>
                    <xdr:colOff>66675</xdr:colOff>
                    <xdr:row>56</xdr:row>
                    <xdr:rowOff>200025</xdr:rowOff>
                  </to>
                </anchor>
              </controlPr>
            </control>
          </mc:Choice>
        </mc:AlternateContent>
        <mc:AlternateContent xmlns:mc="http://schemas.openxmlformats.org/markup-compatibility/2006">
          <mc:Choice Requires="x14">
            <control shapeId="81015" r:id="rId122" name="Option Button 119">
              <controlPr defaultSize="0" autoFill="0" autoLine="0" autoPict="0">
                <anchor>
                  <from>
                    <xdr:col>9</xdr:col>
                    <xdr:colOff>28575</xdr:colOff>
                    <xdr:row>57</xdr:row>
                    <xdr:rowOff>47625</xdr:rowOff>
                  </from>
                  <to>
                    <xdr:col>10</xdr:col>
                    <xdr:colOff>66675</xdr:colOff>
                    <xdr:row>57</xdr:row>
                    <xdr:rowOff>209550</xdr:rowOff>
                  </to>
                </anchor>
              </controlPr>
            </control>
          </mc:Choice>
        </mc:AlternateContent>
        <mc:AlternateContent xmlns:mc="http://schemas.openxmlformats.org/markup-compatibility/2006">
          <mc:Choice Requires="x14">
            <control shapeId="81016" r:id="rId123" name="Group Box 120">
              <controlPr defaultSize="0" autoFill="0" autoPict="0">
                <anchor moveWithCells="1">
                  <from>
                    <xdr:col>9</xdr:col>
                    <xdr:colOff>19050</xdr:colOff>
                    <xdr:row>54</xdr:row>
                    <xdr:rowOff>0</xdr:rowOff>
                  </from>
                  <to>
                    <xdr:col>10</xdr:col>
                    <xdr:colOff>685800</xdr:colOff>
                    <xdr:row>57</xdr:row>
                    <xdr:rowOff>266700</xdr:rowOff>
                  </to>
                </anchor>
              </controlPr>
            </control>
          </mc:Choice>
        </mc:AlternateContent>
        <mc:AlternateContent xmlns:mc="http://schemas.openxmlformats.org/markup-compatibility/2006">
          <mc:Choice Requires="x14">
            <control shapeId="81017" r:id="rId124" name="Option Button 121">
              <controlPr defaultSize="0" autoFill="0" autoLine="0" autoPict="0">
                <anchor>
                  <from>
                    <xdr:col>7</xdr:col>
                    <xdr:colOff>28575</xdr:colOff>
                    <xdr:row>58</xdr:row>
                    <xdr:rowOff>66675</xdr:rowOff>
                  </from>
                  <to>
                    <xdr:col>8</xdr:col>
                    <xdr:colOff>57150</xdr:colOff>
                    <xdr:row>58</xdr:row>
                    <xdr:rowOff>238125</xdr:rowOff>
                  </to>
                </anchor>
              </controlPr>
            </control>
          </mc:Choice>
        </mc:AlternateContent>
        <mc:AlternateContent xmlns:mc="http://schemas.openxmlformats.org/markup-compatibility/2006">
          <mc:Choice Requires="x14">
            <control shapeId="81018" r:id="rId125" name="Option Button 122">
              <controlPr defaultSize="0" autoFill="0" autoLine="0" autoPict="0">
                <anchor>
                  <from>
                    <xdr:col>7</xdr:col>
                    <xdr:colOff>28575</xdr:colOff>
                    <xdr:row>59</xdr:row>
                    <xdr:rowOff>47625</xdr:rowOff>
                  </from>
                  <to>
                    <xdr:col>8</xdr:col>
                    <xdr:colOff>57150</xdr:colOff>
                    <xdr:row>59</xdr:row>
                    <xdr:rowOff>219075</xdr:rowOff>
                  </to>
                </anchor>
              </controlPr>
            </control>
          </mc:Choice>
        </mc:AlternateContent>
        <mc:AlternateContent xmlns:mc="http://schemas.openxmlformats.org/markup-compatibility/2006">
          <mc:Choice Requires="x14">
            <control shapeId="81019" r:id="rId126" name="Option Button 123">
              <controlPr defaultSize="0" autoFill="0" autoLine="0" autoPict="0">
                <anchor>
                  <from>
                    <xdr:col>7</xdr:col>
                    <xdr:colOff>28575</xdr:colOff>
                    <xdr:row>60</xdr:row>
                    <xdr:rowOff>38100</xdr:rowOff>
                  </from>
                  <to>
                    <xdr:col>8</xdr:col>
                    <xdr:colOff>57150</xdr:colOff>
                    <xdr:row>60</xdr:row>
                    <xdr:rowOff>200025</xdr:rowOff>
                  </to>
                </anchor>
              </controlPr>
            </control>
          </mc:Choice>
        </mc:AlternateContent>
        <mc:AlternateContent xmlns:mc="http://schemas.openxmlformats.org/markup-compatibility/2006">
          <mc:Choice Requires="x14">
            <control shapeId="81020" r:id="rId127" name="Option Button 124">
              <controlPr defaultSize="0" autoFill="0" autoLine="0" autoPict="0">
                <anchor>
                  <from>
                    <xdr:col>7</xdr:col>
                    <xdr:colOff>28575</xdr:colOff>
                    <xdr:row>61</xdr:row>
                    <xdr:rowOff>38100</xdr:rowOff>
                  </from>
                  <to>
                    <xdr:col>8</xdr:col>
                    <xdr:colOff>57150</xdr:colOff>
                    <xdr:row>61</xdr:row>
                    <xdr:rowOff>200025</xdr:rowOff>
                  </to>
                </anchor>
              </controlPr>
            </control>
          </mc:Choice>
        </mc:AlternateContent>
        <mc:AlternateContent xmlns:mc="http://schemas.openxmlformats.org/markup-compatibility/2006">
          <mc:Choice Requires="x14">
            <control shapeId="81021" r:id="rId128" name="Group Box 125">
              <controlPr defaultSize="0" autoFill="0" autoPict="0">
                <anchor moveWithCells="1">
                  <from>
                    <xdr:col>7</xdr:col>
                    <xdr:colOff>19050</xdr:colOff>
                    <xdr:row>58</xdr:row>
                    <xdr:rowOff>0</xdr:rowOff>
                  </from>
                  <to>
                    <xdr:col>8</xdr:col>
                    <xdr:colOff>685800</xdr:colOff>
                    <xdr:row>61</xdr:row>
                    <xdr:rowOff>266700</xdr:rowOff>
                  </to>
                </anchor>
              </controlPr>
            </control>
          </mc:Choice>
        </mc:AlternateContent>
        <mc:AlternateContent xmlns:mc="http://schemas.openxmlformats.org/markup-compatibility/2006">
          <mc:Choice Requires="x14">
            <control shapeId="81022" r:id="rId129" name="Option Button 126">
              <controlPr defaultSize="0" autoFill="0" autoLine="0" autoPict="0">
                <anchor>
                  <from>
                    <xdr:col>9</xdr:col>
                    <xdr:colOff>28575</xdr:colOff>
                    <xdr:row>58</xdr:row>
                    <xdr:rowOff>47625</xdr:rowOff>
                  </from>
                  <to>
                    <xdr:col>10</xdr:col>
                    <xdr:colOff>66675</xdr:colOff>
                    <xdr:row>58</xdr:row>
                    <xdr:rowOff>209550</xdr:rowOff>
                  </to>
                </anchor>
              </controlPr>
            </control>
          </mc:Choice>
        </mc:AlternateContent>
        <mc:AlternateContent xmlns:mc="http://schemas.openxmlformats.org/markup-compatibility/2006">
          <mc:Choice Requires="x14">
            <control shapeId="81023" r:id="rId130" name="Option Button 127">
              <controlPr defaultSize="0" autoFill="0" autoLine="0" autoPict="0">
                <anchor>
                  <from>
                    <xdr:col>9</xdr:col>
                    <xdr:colOff>28575</xdr:colOff>
                    <xdr:row>59</xdr:row>
                    <xdr:rowOff>38100</xdr:rowOff>
                  </from>
                  <to>
                    <xdr:col>10</xdr:col>
                    <xdr:colOff>66675</xdr:colOff>
                    <xdr:row>59</xdr:row>
                    <xdr:rowOff>200025</xdr:rowOff>
                  </to>
                </anchor>
              </controlPr>
            </control>
          </mc:Choice>
        </mc:AlternateContent>
        <mc:AlternateContent xmlns:mc="http://schemas.openxmlformats.org/markup-compatibility/2006">
          <mc:Choice Requires="x14">
            <control shapeId="81024" r:id="rId131" name="Option Button 128">
              <controlPr defaultSize="0" autoFill="0" autoLine="0" autoPict="0">
                <anchor>
                  <from>
                    <xdr:col>9</xdr:col>
                    <xdr:colOff>28575</xdr:colOff>
                    <xdr:row>60</xdr:row>
                    <xdr:rowOff>47625</xdr:rowOff>
                  </from>
                  <to>
                    <xdr:col>10</xdr:col>
                    <xdr:colOff>66675</xdr:colOff>
                    <xdr:row>60</xdr:row>
                    <xdr:rowOff>219075</xdr:rowOff>
                  </to>
                </anchor>
              </controlPr>
            </control>
          </mc:Choice>
        </mc:AlternateContent>
        <mc:AlternateContent xmlns:mc="http://schemas.openxmlformats.org/markup-compatibility/2006">
          <mc:Choice Requires="x14">
            <control shapeId="81025" r:id="rId132" name="Option Button 129">
              <controlPr defaultSize="0" autoFill="0" autoLine="0" autoPict="0">
                <anchor>
                  <from>
                    <xdr:col>9</xdr:col>
                    <xdr:colOff>28575</xdr:colOff>
                    <xdr:row>61</xdr:row>
                    <xdr:rowOff>38100</xdr:rowOff>
                  </from>
                  <to>
                    <xdr:col>10</xdr:col>
                    <xdr:colOff>66675</xdr:colOff>
                    <xdr:row>61</xdr:row>
                    <xdr:rowOff>200025</xdr:rowOff>
                  </to>
                </anchor>
              </controlPr>
            </control>
          </mc:Choice>
        </mc:AlternateContent>
        <mc:AlternateContent xmlns:mc="http://schemas.openxmlformats.org/markup-compatibility/2006">
          <mc:Choice Requires="x14">
            <control shapeId="81026" r:id="rId133" name="Group Box 130">
              <controlPr defaultSize="0" autoFill="0" autoPict="0">
                <anchor moveWithCells="1">
                  <from>
                    <xdr:col>9</xdr:col>
                    <xdr:colOff>19050</xdr:colOff>
                    <xdr:row>58</xdr:row>
                    <xdr:rowOff>0</xdr:rowOff>
                  </from>
                  <to>
                    <xdr:col>10</xdr:col>
                    <xdr:colOff>685800</xdr:colOff>
                    <xdr:row>61</xdr:row>
                    <xdr:rowOff>266700</xdr:rowOff>
                  </to>
                </anchor>
              </controlPr>
            </control>
          </mc:Choice>
        </mc:AlternateContent>
        <mc:AlternateContent xmlns:mc="http://schemas.openxmlformats.org/markup-compatibility/2006">
          <mc:Choice Requires="x14">
            <control shapeId="81027" r:id="rId134" name="Option Button 131">
              <controlPr defaultSize="0" autoFill="0" autoLine="0" autoPict="0">
                <anchor>
                  <from>
                    <xdr:col>7</xdr:col>
                    <xdr:colOff>28575</xdr:colOff>
                    <xdr:row>67</xdr:row>
                    <xdr:rowOff>76200</xdr:rowOff>
                  </from>
                  <to>
                    <xdr:col>8</xdr:col>
                    <xdr:colOff>57150</xdr:colOff>
                    <xdr:row>67</xdr:row>
                    <xdr:rowOff>247650</xdr:rowOff>
                  </to>
                </anchor>
              </controlPr>
            </control>
          </mc:Choice>
        </mc:AlternateContent>
        <mc:AlternateContent xmlns:mc="http://schemas.openxmlformats.org/markup-compatibility/2006">
          <mc:Choice Requires="x14">
            <control shapeId="81028" r:id="rId135" name="Option Button 132">
              <controlPr defaultSize="0" autoFill="0" autoLine="0" autoPict="0">
                <anchor>
                  <from>
                    <xdr:col>7</xdr:col>
                    <xdr:colOff>28575</xdr:colOff>
                    <xdr:row>68</xdr:row>
                    <xdr:rowOff>57150</xdr:rowOff>
                  </from>
                  <to>
                    <xdr:col>8</xdr:col>
                    <xdr:colOff>57150</xdr:colOff>
                    <xdr:row>68</xdr:row>
                    <xdr:rowOff>228600</xdr:rowOff>
                  </to>
                </anchor>
              </controlPr>
            </control>
          </mc:Choice>
        </mc:AlternateContent>
        <mc:AlternateContent xmlns:mc="http://schemas.openxmlformats.org/markup-compatibility/2006">
          <mc:Choice Requires="x14">
            <control shapeId="81029" r:id="rId136" name="Option Button 133">
              <controlPr defaultSize="0" autoFill="0" autoLine="0" autoPict="0">
                <anchor>
                  <from>
                    <xdr:col>7</xdr:col>
                    <xdr:colOff>28575</xdr:colOff>
                    <xdr:row>69</xdr:row>
                    <xdr:rowOff>57150</xdr:rowOff>
                  </from>
                  <to>
                    <xdr:col>8</xdr:col>
                    <xdr:colOff>57150</xdr:colOff>
                    <xdr:row>69</xdr:row>
                    <xdr:rowOff>228600</xdr:rowOff>
                  </to>
                </anchor>
              </controlPr>
            </control>
          </mc:Choice>
        </mc:AlternateContent>
        <mc:AlternateContent xmlns:mc="http://schemas.openxmlformats.org/markup-compatibility/2006">
          <mc:Choice Requires="x14">
            <control shapeId="81030" r:id="rId137" name="Option Button 134">
              <controlPr defaultSize="0" autoFill="0" autoLine="0" autoPict="0">
                <anchor>
                  <from>
                    <xdr:col>7</xdr:col>
                    <xdr:colOff>28575</xdr:colOff>
                    <xdr:row>70</xdr:row>
                    <xdr:rowOff>57150</xdr:rowOff>
                  </from>
                  <to>
                    <xdr:col>8</xdr:col>
                    <xdr:colOff>57150</xdr:colOff>
                    <xdr:row>70</xdr:row>
                    <xdr:rowOff>228600</xdr:rowOff>
                  </to>
                </anchor>
              </controlPr>
            </control>
          </mc:Choice>
        </mc:AlternateContent>
        <mc:AlternateContent xmlns:mc="http://schemas.openxmlformats.org/markup-compatibility/2006">
          <mc:Choice Requires="x14">
            <control shapeId="81031" r:id="rId138" name="Group Box 135">
              <controlPr defaultSize="0" autoFill="0" autoPict="0">
                <anchor moveWithCells="1">
                  <from>
                    <xdr:col>7</xdr:col>
                    <xdr:colOff>19050</xdr:colOff>
                    <xdr:row>66</xdr:row>
                    <xdr:rowOff>285750</xdr:rowOff>
                  </from>
                  <to>
                    <xdr:col>8</xdr:col>
                    <xdr:colOff>685800</xdr:colOff>
                    <xdr:row>70</xdr:row>
                    <xdr:rowOff>266700</xdr:rowOff>
                  </to>
                </anchor>
              </controlPr>
            </control>
          </mc:Choice>
        </mc:AlternateContent>
        <mc:AlternateContent xmlns:mc="http://schemas.openxmlformats.org/markup-compatibility/2006">
          <mc:Choice Requires="x14">
            <control shapeId="81032" r:id="rId139" name="Option Button 136">
              <controlPr defaultSize="0" autoFill="0" autoLine="0" autoPict="0">
                <anchor>
                  <from>
                    <xdr:col>9</xdr:col>
                    <xdr:colOff>28575</xdr:colOff>
                    <xdr:row>67</xdr:row>
                    <xdr:rowOff>66675</xdr:rowOff>
                  </from>
                  <to>
                    <xdr:col>10</xdr:col>
                    <xdr:colOff>66675</xdr:colOff>
                    <xdr:row>67</xdr:row>
                    <xdr:rowOff>238125</xdr:rowOff>
                  </to>
                </anchor>
              </controlPr>
            </control>
          </mc:Choice>
        </mc:AlternateContent>
        <mc:AlternateContent xmlns:mc="http://schemas.openxmlformats.org/markup-compatibility/2006">
          <mc:Choice Requires="x14">
            <control shapeId="81033" r:id="rId140" name="Option Button 137">
              <controlPr defaultSize="0" autoFill="0" autoLine="0" autoPict="0">
                <anchor>
                  <from>
                    <xdr:col>9</xdr:col>
                    <xdr:colOff>28575</xdr:colOff>
                    <xdr:row>68</xdr:row>
                    <xdr:rowOff>57150</xdr:rowOff>
                  </from>
                  <to>
                    <xdr:col>10</xdr:col>
                    <xdr:colOff>66675</xdr:colOff>
                    <xdr:row>68</xdr:row>
                    <xdr:rowOff>228600</xdr:rowOff>
                  </to>
                </anchor>
              </controlPr>
            </control>
          </mc:Choice>
        </mc:AlternateContent>
        <mc:AlternateContent xmlns:mc="http://schemas.openxmlformats.org/markup-compatibility/2006">
          <mc:Choice Requires="x14">
            <control shapeId="81034" r:id="rId141" name="Option Button 138">
              <controlPr defaultSize="0" autoFill="0" autoLine="0" autoPict="0">
                <anchor>
                  <from>
                    <xdr:col>9</xdr:col>
                    <xdr:colOff>28575</xdr:colOff>
                    <xdr:row>69</xdr:row>
                    <xdr:rowOff>57150</xdr:rowOff>
                  </from>
                  <to>
                    <xdr:col>10</xdr:col>
                    <xdr:colOff>66675</xdr:colOff>
                    <xdr:row>69</xdr:row>
                    <xdr:rowOff>228600</xdr:rowOff>
                  </to>
                </anchor>
              </controlPr>
            </control>
          </mc:Choice>
        </mc:AlternateContent>
        <mc:AlternateContent xmlns:mc="http://schemas.openxmlformats.org/markup-compatibility/2006">
          <mc:Choice Requires="x14">
            <control shapeId="81035" r:id="rId142" name="Option Button 139">
              <controlPr defaultSize="0" autoFill="0" autoLine="0" autoPict="0">
                <anchor>
                  <from>
                    <xdr:col>9</xdr:col>
                    <xdr:colOff>28575</xdr:colOff>
                    <xdr:row>70</xdr:row>
                    <xdr:rowOff>57150</xdr:rowOff>
                  </from>
                  <to>
                    <xdr:col>10</xdr:col>
                    <xdr:colOff>66675</xdr:colOff>
                    <xdr:row>70</xdr:row>
                    <xdr:rowOff>228600</xdr:rowOff>
                  </to>
                </anchor>
              </controlPr>
            </control>
          </mc:Choice>
        </mc:AlternateContent>
        <mc:AlternateContent xmlns:mc="http://schemas.openxmlformats.org/markup-compatibility/2006">
          <mc:Choice Requires="x14">
            <control shapeId="81036" r:id="rId143" name="Group Box 140">
              <controlPr defaultSize="0" autoFill="0" autoPict="0">
                <anchor moveWithCells="1">
                  <from>
                    <xdr:col>9</xdr:col>
                    <xdr:colOff>19050</xdr:colOff>
                    <xdr:row>66</xdr:row>
                    <xdr:rowOff>285750</xdr:rowOff>
                  </from>
                  <to>
                    <xdr:col>10</xdr:col>
                    <xdr:colOff>685800</xdr:colOff>
                    <xdr:row>70</xdr:row>
                    <xdr:rowOff>266700</xdr:rowOff>
                  </to>
                </anchor>
              </controlPr>
            </control>
          </mc:Choice>
        </mc:AlternateContent>
        <mc:AlternateContent xmlns:mc="http://schemas.openxmlformats.org/markup-compatibility/2006">
          <mc:Choice Requires="x14">
            <control shapeId="81037" r:id="rId144" name="Option Button 141">
              <controlPr defaultSize="0" autoFill="0" autoLine="0" autoPict="0">
                <anchor>
                  <from>
                    <xdr:col>7</xdr:col>
                    <xdr:colOff>28575</xdr:colOff>
                    <xdr:row>71</xdr:row>
                    <xdr:rowOff>57150</xdr:rowOff>
                  </from>
                  <to>
                    <xdr:col>8</xdr:col>
                    <xdr:colOff>57150</xdr:colOff>
                    <xdr:row>71</xdr:row>
                    <xdr:rowOff>228600</xdr:rowOff>
                  </to>
                </anchor>
              </controlPr>
            </control>
          </mc:Choice>
        </mc:AlternateContent>
        <mc:AlternateContent xmlns:mc="http://schemas.openxmlformats.org/markup-compatibility/2006">
          <mc:Choice Requires="x14">
            <control shapeId="81038" r:id="rId145" name="Option Button 142">
              <controlPr defaultSize="0" autoFill="0" autoLine="0" autoPict="0">
                <anchor>
                  <from>
                    <xdr:col>7</xdr:col>
                    <xdr:colOff>28575</xdr:colOff>
                    <xdr:row>72</xdr:row>
                    <xdr:rowOff>47625</xdr:rowOff>
                  </from>
                  <to>
                    <xdr:col>8</xdr:col>
                    <xdr:colOff>57150</xdr:colOff>
                    <xdr:row>72</xdr:row>
                    <xdr:rowOff>219075</xdr:rowOff>
                  </to>
                </anchor>
              </controlPr>
            </control>
          </mc:Choice>
        </mc:AlternateContent>
        <mc:AlternateContent xmlns:mc="http://schemas.openxmlformats.org/markup-compatibility/2006">
          <mc:Choice Requires="x14">
            <control shapeId="81039" r:id="rId146" name="Option Button 143">
              <controlPr defaultSize="0" autoFill="0" autoLine="0" autoPict="0">
                <anchor>
                  <from>
                    <xdr:col>7</xdr:col>
                    <xdr:colOff>28575</xdr:colOff>
                    <xdr:row>73</xdr:row>
                    <xdr:rowOff>57150</xdr:rowOff>
                  </from>
                  <to>
                    <xdr:col>8</xdr:col>
                    <xdr:colOff>57150</xdr:colOff>
                    <xdr:row>73</xdr:row>
                    <xdr:rowOff>228600</xdr:rowOff>
                  </to>
                </anchor>
              </controlPr>
            </control>
          </mc:Choice>
        </mc:AlternateContent>
        <mc:AlternateContent xmlns:mc="http://schemas.openxmlformats.org/markup-compatibility/2006">
          <mc:Choice Requires="x14">
            <control shapeId="81040" r:id="rId147" name="Option Button 144">
              <controlPr defaultSize="0" autoFill="0" autoLine="0" autoPict="0">
                <anchor>
                  <from>
                    <xdr:col>7</xdr:col>
                    <xdr:colOff>28575</xdr:colOff>
                    <xdr:row>74</xdr:row>
                    <xdr:rowOff>47625</xdr:rowOff>
                  </from>
                  <to>
                    <xdr:col>8</xdr:col>
                    <xdr:colOff>57150</xdr:colOff>
                    <xdr:row>74</xdr:row>
                    <xdr:rowOff>219075</xdr:rowOff>
                  </to>
                </anchor>
              </controlPr>
            </control>
          </mc:Choice>
        </mc:AlternateContent>
        <mc:AlternateContent xmlns:mc="http://schemas.openxmlformats.org/markup-compatibility/2006">
          <mc:Choice Requires="x14">
            <control shapeId="81041" r:id="rId148" name="Group Box 145">
              <controlPr defaultSize="0" autoFill="0" autoPict="0">
                <anchor moveWithCells="1">
                  <from>
                    <xdr:col>7</xdr:col>
                    <xdr:colOff>19050</xdr:colOff>
                    <xdr:row>71</xdr:row>
                    <xdr:rowOff>0</xdr:rowOff>
                  </from>
                  <to>
                    <xdr:col>8</xdr:col>
                    <xdr:colOff>685800</xdr:colOff>
                    <xdr:row>74</xdr:row>
                    <xdr:rowOff>266700</xdr:rowOff>
                  </to>
                </anchor>
              </controlPr>
            </control>
          </mc:Choice>
        </mc:AlternateContent>
        <mc:AlternateContent xmlns:mc="http://schemas.openxmlformats.org/markup-compatibility/2006">
          <mc:Choice Requires="x14">
            <control shapeId="81042" r:id="rId149" name="Option Button 146">
              <controlPr defaultSize="0" autoFill="0" autoLine="0" autoPict="0">
                <anchor>
                  <from>
                    <xdr:col>9</xdr:col>
                    <xdr:colOff>28575</xdr:colOff>
                    <xdr:row>71</xdr:row>
                    <xdr:rowOff>57150</xdr:rowOff>
                  </from>
                  <to>
                    <xdr:col>10</xdr:col>
                    <xdr:colOff>66675</xdr:colOff>
                    <xdr:row>71</xdr:row>
                    <xdr:rowOff>228600</xdr:rowOff>
                  </to>
                </anchor>
              </controlPr>
            </control>
          </mc:Choice>
        </mc:AlternateContent>
        <mc:AlternateContent xmlns:mc="http://schemas.openxmlformats.org/markup-compatibility/2006">
          <mc:Choice Requires="x14">
            <control shapeId="81043" r:id="rId150" name="Option Button 147">
              <controlPr defaultSize="0" autoFill="0" autoLine="0" autoPict="0">
                <anchor>
                  <from>
                    <xdr:col>9</xdr:col>
                    <xdr:colOff>28575</xdr:colOff>
                    <xdr:row>72</xdr:row>
                    <xdr:rowOff>57150</xdr:rowOff>
                  </from>
                  <to>
                    <xdr:col>10</xdr:col>
                    <xdr:colOff>66675</xdr:colOff>
                    <xdr:row>72</xdr:row>
                    <xdr:rowOff>228600</xdr:rowOff>
                  </to>
                </anchor>
              </controlPr>
            </control>
          </mc:Choice>
        </mc:AlternateContent>
        <mc:AlternateContent xmlns:mc="http://schemas.openxmlformats.org/markup-compatibility/2006">
          <mc:Choice Requires="x14">
            <control shapeId="81044" r:id="rId151" name="Option Button 148">
              <controlPr defaultSize="0" autoFill="0" autoLine="0" autoPict="0">
                <anchor>
                  <from>
                    <xdr:col>9</xdr:col>
                    <xdr:colOff>28575</xdr:colOff>
                    <xdr:row>73</xdr:row>
                    <xdr:rowOff>76200</xdr:rowOff>
                  </from>
                  <to>
                    <xdr:col>10</xdr:col>
                    <xdr:colOff>66675</xdr:colOff>
                    <xdr:row>73</xdr:row>
                    <xdr:rowOff>238125</xdr:rowOff>
                  </to>
                </anchor>
              </controlPr>
            </control>
          </mc:Choice>
        </mc:AlternateContent>
        <mc:AlternateContent xmlns:mc="http://schemas.openxmlformats.org/markup-compatibility/2006">
          <mc:Choice Requires="x14">
            <control shapeId="81045" r:id="rId152" name="Option Button 149">
              <controlPr defaultSize="0" autoFill="0" autoLine="0" autoPict="0">
                <anchor>
                  <from>
                    <xdr:col>9</xdr:col>
                    <xdr:colOff>28575</xdr:colOff>
                    <xdr:row>74</xdr:row>
                    <xdr:rowOff>76200</xdr:rowOff>
                  </from>
                  <to>
                    <xdr:col>10</xdr:col>
                    <xdr:colOff>66675</xdr:colOff>
                    <xdr:row>74</xdr:row>
                    <xdr:rowOff>238125</xdr:rowOff>
                  </to>
                </anchor>
              </controlPr>
            </control>
          </mc:Choice>
        </mc:AlternateContent>
        <mc:AlternateContent xmlns:mc="http://schemas.openxmlformats.org/markup-compatibility/2006">
          <mc:Choice Requires="x14">
            <control shapeId="81046" r:id="rId153" name="Group Box 150">
              <controlPr defaultSize="0" autoFill="0" autoPict="0">
                <anchor moveWithCells="1">
                  <from>
                    <xdr:col>9</xdr:col>
                    <xdr:colOff>19050</xdr:colOff>
                    <xdr:row>71</xdr:row>
                    <xdr:rowOff>0</xdr:rowOff>
                  </from>
                  <to>
                    <xdr:col>10</xdr:col>
                    <xdr:colOff>685800</xdr:colOff>
                    <xdr:row>74</xdr:row>
                    <xdr:rowOff>266700</xdr:rowOff>
                  </to>
                </anchor>
              </controlPr>
            </control>
          </mc:Choice>
        </mc:AlternateContent>
        <mc:AlternateContent xmlns:mc="http://schemas.openxmlformats.org/markup-compatibility/2006">
          <mc:Choice Requires="x14">
            <control shapeId="81047" r:id="rId154" name="Option Button 151">
              <controlPr defaultSize="0" autoFill="0" autoLine="0" autoPict="0">
                <anchor>
                  <from>
                    <xdr:col>7</xdr:col>
                    <xdr:colOff>28575</xdr:colOff>
                    <xdr:row>75</xdr:row>
                    <xdr:rowOff>76200</xdr:rowOff>
                  </from>
                  <to>
                    <xdr:col>8</xdr:col>
                    <xdr:colOff>57150</xdr:colOff>
                    <xdr:row>75</xdr:row>
                    <xdr:rowOff>238125</xdr:rowOff>
                  </to>
                </anchor>
              </controlPr>
            </control>
          </mc:Choice>
        </mc:AlternateContent>
        <mc:AlternateContent xmlns:mc="http://schemas.openxmlformats.org/markup-compatibility/2006">
          <mc:Choice Requires="x14">
            <control shapeId="81048" r:id="rId155" name="Option Button 152">
              <controlPr defaultSize="0" autoFill="0" autoLine="0" autoPict="0">
                <anchor>
                  <from>
                    <xdr:col>7</xdr:col>
                    <xdr:colOff>28575</xdr:colOff>
                    <xdr:row>76</xdr:row>
                    <xdr:rowOff>66675</xdr:rowOff>
                  </from>
                  <to>
                    <xdr:col>8</xdr:col>
                    <xdr:colOff>57150</xdr:colOff>
                    <xdr:row>76</xdr:row>
                    <xdr:rowOff>228600</xdr:rowOff>
                  </to>
                </anchor>
              </controlPr>
            </control>
          </mc:Choice>
        </mc:AlternateContent>
        <mc:AlternateContent xmlns:mc="http://schemas.openxmlformats.org/markup-compatibility/2006">
          <mc:Choice Requires="x14">
            <control shapeId="81049" r:id="rId156" name="Option Button 153">
              <controlPr defaultSize="0" autoFill="0" autoLine="0" autoPict="0">
                <anchor>
                  <from>
                    <xdr:col>7</xdr:col>
                    <xdr:colOff>28575</xdr:colOff>
                    <xdr:row>77</xdr:row>
                    <xdr:rowOff>66675</xdr:rowOff>
                  </from>
                  <to>
                    <xdr:col>8</xdr:col>
                    <xdr:colOff>57150</xdr:colOff>
                    <xdr:row>77</xdr:row>
                    <xdr:rowOff>228600</xdr:rowOff>
                  </to>
                </anchor>
              </controlPr>
            </control>
          </mc:Choice>
        </mc:AlternateContent>
        <mc:AlternateContent xmlns:mc="http://schemas.openxmlformats.org/markup-compatibility/2006">
          <mc:Choice Requires="x14">
            <control shapeId="81050" r:id="rId157" name="Option Button 154">
              <controlPr defaultSize="0" autoFill="0" autoLine="0" autoPict="0">
                <anchor>
                  <from>
                    <xdr:col>7</xdr:col>
                    <xdr:colOff>28575</xdr:colOff>
                    <xdr:row>78</xdr:row>
                    <xdr:rowOff>66675</xdr:rowOff>
                  </from>
                  <to>
                    <xdr:col>8</xdr:col>
                    <xdr:colOff>57150</xdr:colOff>
                    <xdr:row>78</xdr:row>
                    <xdr:rowOff>228600</xdr:rowOff>
                  </to>
                </anchor>
              </controlPr>
            </control>
          </mc:Choice>
        </mc:AlternateContent>
        <mc:AlternateContent xmlns:mc="http://schemas.openxmlformats.org/markup-compatibility/2006">
          <mc:Choice Requires="x14">
            <control shapeId="81051" r:id="rId158" name="Group Box 155">
              <controlPr defaultSize="0" autoFill="0" autoPict="0">
                <anchor moveWithCells="1">
                  <from>
                    <xdr:col>7</xdr:col>
                    <xdr:colOff>19050</xdr:colOff>
                    <xdr:row>75</xdr:row>
                    <xdr:rowOff>0</xdr:rowOff>
                  </from>
                  <to>
                    <xdr:col>8</xdr:col>
                    <xdr:colOff>685800</xdr:colOff>
                    <xdr:row>78</xdr:row>
                    <xdr:rowOff>266700</xdr:rowOff>
                  </to>
                </anchor>
              </controlPr>
            </control>
          </mc:Choice>
        </mc:AlternateContent>
        <mc:AlternateContent xmlns:mc="http://schemas.openxmlformats.org/markup-compatibility/2006">
          <mc:Choice Requires="x14">
            <control shapeId="81052" r:id="rId159" name="Option Button 156">
              <controlPr defaultSize="0" autoFill="0" autoLine="0" autoPict="0">
                <anchor>
                  <from>
                    <xdr:col>9</xdr:col>
                    <xdr:colOff>47625</xdr:colOff>
                    <xdr:row>75</xdr:row>
                    <xdr:rowOff>76200</xdr:rowOff>
                  </from>
                  <to>
                    <xdr:col>10</xdr:col>
                    <xdr:colOff>85725</xdr:colOff>
                    <xdr:row>75</xdr:row>
                    <xdr:rowOff>238125</xdr:rowOff>
                  </to>
                </anchor>
              </controlPr>
            </control>
          </mc:Choice>
        </mc:AlternateContent>
        <mc:AlternateContent xmlns:mc="http://schemas.openxmlformats.org/markup-compatibility/2006">
          <mc:Choice Requires="x14">
            <control shapeId="81053" r:id="rId160" name="Option Button 157">
              <controlPr defaultSize="0" autoFill="0" autoLine="0" autoPict="0">
                <anchor>
                  <from>
                    <xdr:col>9</xdr:col>
                    <xdr:colOff>47625</xdr:colOff>
                    <xdr:row>76</xdr:row>
                    <xdr:rowOff>66675</xdr:rowOff>
                  </from>
                  <to>
                    <xdr:col>10</xdr:col>
                    <xdr:colOff>85725</xdr:colOff>
                    <xdr:row>76</xdr:row>
                    <xdr:rowOff>228600</xdr:rowOff>
                  </to>
                </anchor>
              </controlPr>
            </control>
          </mc:Choice>
        </mc:AlternateContent>
        <mc:AlternateContent xmlns:mc="http://schemas.openxmlformats.org/markup-compatibility/2006">
          <mc:Choice Requires="x14">
            <control shapeId="81054" r:id="rId161" name="Option Button 158">
              <controlPr defaultSize="0" autoFill="0" autoLine="0" autoPict="0">
                <anchor>
                  <from>
                    <xdr:col>9</xdr:col>
                    <xdr:colOff>47625</xdr:colOff>
                    <xdr:row>77</xdr:row>
                    <xdr:rowOff>76200</xdr:rowOff>
                  </from>
                  <to>
                    <xdr:col>10</xdr:col>
                    <xdr:colOff>85725</xdr:colOff>
                    <xdr:row>77</xdr:row>
                    <xdr:rowOff>247650</xdr:rowOff>
                  </to>
                </anchor>
              </controlPr>
            </control>
          </mc:Choice>
        </mc:AlternateContent>
        <mc:AlternateContent xmlns:mc="http://schemas.openxmlformats.org/markup-compatibility/2006">
          <mc:Choice Requires="x14">
            <control shapeId="81055" r:id="rId162" name="Option Button 159">
              <controlPr defaultSize="0" autoFill="0" autoLine="0" autoPict="0">
                <anchor>
                  <from>
                    <xdr:col>9</xdr:col>
                    <xdr:colOff>47625</xdr:colOff>
                    <xdr:row>78</xdr:row>
                    <xdr:rowOff>66675</xdr:rowOff>
                  </from>
                  <to>
                    <xdr:col>10</xdr:col>
                    <xdr:colOff>85725</xdr:colOff>
                    <xdr:row>78</xdr:row>
                    <xdr:rowOff>228600</xdr:rowOff>
                  </to>
                </anchor>
              </controlPr>
            </control>
          </mc:Choice>
        </mc:AlternateContent>
        <mc:AlternateContent xmlns:mc="http://schemas.openxmlformats.org/markup-compatibility/2006">
          <mc:Choice Requires="x14">
            <control shapeId="81056" r:id="rId163" name="Group Box 160">
              <controlPr defaultSize="0" autoFill="0" autoPict="0">
                <anchor moveWithCells="1">
                  <from>
                    <xdr:col>9</xdr:col>
                    <xdr:colOff>19050</xdr:colOff>
                    <xdr:row>75</xdr:row>
                    <xdr:rowOff>0</xdr:rowOff>
                  </from>
                  <to>
                    <xdr:col>10</xdr:col>
                    <xdr:colOff>685800</xdr:colOff>
                    <xdr:row>78</xdr:row>
                    <xdr:rowOff>266700</xdr:rowOff>
                  </to>
                </anchor>
              </controlPr>
            </control>
          </mc:Choice>
        </mc:AlternateContent>
        <mc:AlternateContent xmlns:mc="http://schemas.openxmlformats.org/markup-compatibility/2006">
          <mc:Choice Requires="x14">
            <control shapeId="81057" r:id="rId164" name="Option Button 161">
              <controlPr defaultSize="0" autoFill="0" autoLine="0" autoPict="0">
                <anchor>
                  <from>
                    <xdr:col>7</xdr:col>
                    <xdr:colOff>28575</xdr:colOff>
                    <xdr:row>79</xdr:row>
                    <xdr:rowOff>76200</xdr:rowOff>
                  </from>
                  <to>
                    <xdr:col>8</xdr:col>
                    <xdr:colOff>57150</xdr:colOff>
                    <xdr:row>79</xdr:row>
                    <xdr:rowOff>247650</xdr:rowOff>
                  </to>
                </anchor>
              </controlPr>
            </control>
          </mc:Choice>
        </mc:AlternateContent>
        <mc:AlternateContent xmlns:mc="http://schemas.openxmlformats.org/markup-compatibility/2006">
          <mc:Choice Requires="x14">
            <control shapeId="81058" r:id="rId165" name="Option Button 162">
              <controlPr defaultSize="0" autoFill="0" autoLine="0" autoPict="0">
                <anchor>
                  <from>
                    <xdr:col>7</xdr:col>
                    <xdr:colOff>28575</xdr:colOff>
                    <xdr:row>80</xdr:row>
                    <xdr:rowOff>57150</xdr:rowOff>
                  </from>
                  <to>
                    <xdr:col>8</xdr:col>
                    <xdr:colOff>57150</xdr:colOff>
                    <xdr:row>80</xdr:row>
                    <xdr:rowOff>219075</xdr:rowOff>
                  </to>
                </anchor>
              </controlPr>
            </control>
          </mc:Choice>
        </mc:AlternateContent>
        <mc:AlternateContent xmlns:mc="http://schemas.openxmlformats.org/markup-compatibility/2006">
          <mc:Choice Requires="x14">
            <control shapeId="81059" r:id="rId166" name="Option Button 163">
              <controlPr defaultSize="0" autoFill="0" autoLine="0" autoPict="0">
                <anchor>
                  <from>
                    <xdr:col>7</xdr:col>
                    <xdr:colOff>28575</xdr:colOff>
                    <xdr:row>81</xdr:row>
                    <xdr:rowOff>57150</xdr:rowOff>
                  </from>
                  <to>
                    <xdr:col>8</xdr:col>
                    <xdr:colOff>57150</xdr:colOff>
                    <xdr:row>81</xdr:row>
                    <xdr:rowOff>219075</xdr:rowOff>
                  </to>
                </anchor>
              </controlPr>
            </control>
          </mc:Choice>
        </mc:AlternateContent>
        <mc:AlternateContent xmlns:mc="http://schemas.openxmlformats.org/markup-compatibility/2006">
          <mc:Choice Requires="x14">
            <control shapeId="81060" r:id="rId167" name="Option Button 164">
              <controlPr defaultSize="0" autoFill="0" autoLine="0" autoPict="0">
                <anchor>
                  <from>
                    <xdr:col>7</xdr:col>
                    <xdr:colOff>28575</xdr:colOff>
                    <xdr:row>82</xdr:row>
                    <xdr:rowOff>66675</xdr:rowOff>
                  </from>
                  <to>
                    <xdr:col>8</xdr:col>
                    <xdr:colOff>57150</xdr:colOff>
                    <xdr:row>82</xdr:row>
                    <xdr:rowOff>238125</xdr:rowOff>
                  </to>
                </anchor>
              </controlPr>
            </control>
          </mc:Choice>
        </mc:AlternateContent>
        <mc:AlternateContent xmlns:mc="http://schemas.openxmlformats.org/markup-compatibility/2006">
          <mc:Choice Requires="x14">
            <control shapeId="81061" r:id="rId168" name="Group Box 165">
              <controlPr defaultSize="0" autoFill="0" autoPict="0">
                <anchor moveWithCells="1">
                  <from>
                    <xdr:col>7</xdr:col>
                    <xdr:colOff>19050</xdr:colOff>
                    <xdr:row>79</xdr:row>
                    <xdr:rowOff>0</xdr:rowOff>
                  </from>
                  <to>
                    <xdr:col>8</xdr:col>
                    <xdr:colOff>685800</xdr:colOff>
                    <xdr:row>82</xdr:row>
                    <xdr:rowOff>266700</xdr:rowOff>
                  </to>
                </anchor>
              </controlPr>
            </control>
          </mc:Choice>
        </mc:AlternateContent>
        <mc:AlternateContent xmlns:mc="http://schemas.openxmlformats.org/markup-compatibility/2006">
          <mc:Choice Requires="x14">
            <control shapeId="81062" r:id="rId169" name="Option Button 166">
              <controlPr defaultSize="0" autoFill="0" autoLine="0" autoPict="0">
                <anchor>
                  <from>
                    <xdr:col>9</xdr:col>
                    <xdr:colOff>28575</xdr:colOff>
                    <xdr:row>79</xdr:row>
                    <xdr:rowOff>66675</xdr:rowOff>
                  </from>
                  <to>
                    <xdr:col>10</xdr:col>
                    <xdr:colOff>66675</xdr:colOff>
                    <xdr:row>79</xdr:row>
                    <xdr:rowOff>228600</xdr:rowOff>
                  </to>
                </anchor>
              </controlPr>
            </control>
          </mc:Choice>
        </mc:AlternateContent>
        <mc:AlternateContent xmlns:mc="http://schemas.openxmlformats.org/markup-compatibility/2006">
          <mc:Choice Requires="x14">
            <control shapeId="81063" r:id="rId170" name="Option Button 167">
              <controlPr defaultSize="0" autoFill="0" autoLine="0" autoPict="0">
                <anchor>
                  <from>
                    <xdr:col>9</xdr:col>
                    <xdr:colOff>28575</xdr:colOff>
                    <xdr:row>80</xdr:row>
                    <xdr:rowOff>66675</xdr:rowOff>
                  </from>
                  <to>
                    <xdr:col>10</xdr:col>
                    <xdr:colOff>66675</xdr:colOff>
                    <xdr:row>80</xdr:row>
                    <xdr:rowOff>238125</xdr:rowOff>
                  </to>
                </anchor>
              </controlPr>
            </control>
          </mc:Choice>
        </mc:AlternateContent>
        <mc:AlternateContent xmlns:mc="http://schemas.openxmlformats.org/markup-compatibility/2006">
          <mc:Choice Requires="x14">
            <control shapeId="81064" r:id="rId171" name="Option Button 168">
              <controlPr defaultSize="0" autoFill="0" autoLine="0" autoPict="0">
                <anchor>
                  <from>
                    <xdr:col>9</xdr:col>
                    <xdr:colOff>28575</xdr:colOff>
                    <xdr:row>81</xdr:row>
                    <xdr:rowOff>76200</xdr:rowOff>
                  </from>
                  <to>
                    <xdr:col>10</xdr:col>
                    <xdr:colOff>66675</xdr:colOff>
                    <xdr:row>81</xdr:row>
                    <xdr:rowOff>247650</xdr:rowOff>
                  </to>
                </anchor>
              </controlPr>
            </control>
          </mc:Choice>
        </mc:AlternateContent>
        <mc:AlternateContent xmlns:mc="http://schemas.openxmlformats.org/markup-compatibility/2006">
          <mc:Choice Requires="x14">
            <control shapeId="81065" r:id="rId172" name="Option Button 169">
              <controlPr defaultSize="0" autoFill="0" autoLine="0" autoPict="0">
                <anchor>
                  <from>
                    <xdr:col>9</xdr:col>
                    <xdr:colOff>28575</xdr:colOff>
                    <xdr:row>82</xdr:row>
                    <xdr:rowOff>57150</xdr:rowOff>
                  </from>
                  <to>
                    <xdr:col>10</xdr:col>
                    <xdr:colOff>66675</xdr:colOff>
                    <xdr:row>82</xdr:row>
                    <xdr:rowOff>219075</xdr:rowOff>
                  </to>
                </anchor>
              </controlPr>
            </control>
          </mc:Choice>
        </mc:AlternateContent>
        <mc:AlternateContent xmlns:mc="http://schemas.openxmlformats.org/markup-compatibility/2006">
          <mc:Choice Requires="x14">
            <control shapeId="81066" r:id="rId173" name="Group Box 170">
              <controlPr defaultSize="0" autoFill="0" autoPict="0">
                <anchor moveWithCells="1">
                  <from>
                    <xdr:col>9</xdr:col>
                    <xdr:colOff>19050</xdr:colOff>
                    <xdr:row>79</xdr:row>
                    <xdr:rowOff>0</xdr:rowOff>
                  </from>
                  <to>
                    <xdr:col>10</xdr:col>
                    <xdr:colOff>685800</xdr:colOff>
                    <xdr:row>82</xdr:row>
                    <xdr:rowOff>266700</xdr:rowOff>
                  </to>
                </anchor>
              </controlPr>
            </control>
          </mc:Choice>
        </mc:AlternateContent>
        <mc:AlternateContent xmlns:mc="http://schemas.openxmlformats.org/markup-compatibility/2006">
          <mc:Choice Requires="x14">
            <control shapeId="81067" r:id="rId174" name="Option Button 171">
              <controlPr defaultSize="0" autoFill="0" autoLine="0" autoPict="0">
                <anchor>
                  <from>
                    <xdr:col>7</xdr:col>
                    <xdr:colOff>38100</xdr:colOff>
                    <xdr:row>83</xdr:row>
                    <xdr:rowOff>57150</xdr:rowOff>
                  </from>
                  <to>
                    <xdr:col>8</xdr:col>
                    <xdr:colOff>66675</xdr:colOff>
                    <xdr:row>83</xdr:row>
                    <xdr:rowOff>219075</xdr:rowOff>
                  </to>
                </anchor>
              </controlPr>
            </control>
          </mc:Choice>
        </mc:AlternateContent>
        <mc:AlternateContent xmlns:mc="http://schemas.openxmlformats.org/markup-compatibility/2006">
          <mc:Choice Requires="x14">
            <control shapeId="81068" r:id="rId175" name="Option Button 172">
              <controlPr defaultSize="0" autoFill="0" autoLine="0" autoPict="0">
                <anchor>
                  <from>
                    <xdr:col>7</xdr:col>
                    <xdr:colOff>38100</xdr:colOff>
                    <xdr:row>84</xdr:row>
                    <xdr:rowOff>47625</xdr:rowOff>
                  </from>
                  <to>
                    <xdr:col>8</xdr:col>
                    <xdr:colOff>66675</xdr:colOff>
                    <xdr:row>84</xdr:row>
                    <xdr:rowOff>209550</xdr:rowOff>
                  </to>
                </anchor>
              </controlPr>
            </control>
          </mc:Choice>
        </mc:AlternateContent>
        <mc:AlternateContent xmlns:mc="http://schemas.openxmlformats.org/markup-compatibility/2006">
          <mc:Choice Requires="x14">
            <control shapeId="81069" r:id="rId176" name="Option Button 173">
              <controlPr defaultSize="0" autoFill="0" autoLine="0" autoPict="0">
                <anchor>
                  <from>
                    <xdr:col>7</xdr:col>
                    <xdr:colOff>38100</xdr:colOff>
                    <xdr:row>85</xdr:row>
                    <xdr:rowOff>47625</xdr:rowOff>
                  </from>
                  <to>
                    <xdr:col>8</xdr:col>
                    <xdr:colOff>66675</xdr:colOff>
                    <xdr:row>85</xdr:row>
                    <xdr:rowOff>209550</xdr:rowOff>
                  </to>
                </anchor>
              </controlPr>
            </control>
          </mc:Choice>
        </mc:AlternateContent>
        <mc:AlternateContent xmlns:mc="http://schemas.openxmlformats.org/markup-compatibility/2006">
          <mc:Choice Requires="x14">
            <control shapeId="81070" r:id="rId177" name="Option Button 174">
              <controlPr defaultSize="0" autoFill="0" autoLine="0" autoPict="0">
                <anchor>
                  <from>
                    <xdr:col>7</xdr:col>
                    <xdr:colOff>38100</xdr:colOff>
                    <xdr:row>86</xdr:row>
                    <xdr:rowOff>47625</xdr:rowOff>
                  </from>
                  <to>
                    <xdr:col>8</xdr:col>
                    <xdr:colOff>66675</xdr:colOff>
                    <xdr:row>86</xdr:row>
                    <xdr:rowOff>209550</xdr:rowOff>
                  </to>
                </anchor>
              </controlPr>
            </control>
          </mc:Choice>
        </mc:AlternateContent>
        <mc:AlternateContent xmlns:mc="http://schemas.openxmlformats.org/markup-compatibility/2006">
          <mc:Choice Requires="x14">
            <control shapeId="81071" r:id="rId178" name="Group Box 175">
              <controlPr defaultSize="0" autoFill="0" autoPict="0">
                <anchor moveWithCells="1">
                  <from>
                    <xdr:col>7</xdr:col>
                    <xdr:colOff>19050</xdr:colOff>
                    <xdr:row>83</xdr:row>
                    <xdr:rowOff>0</xdr:rowOff>
                  </from>
                  <to>
                    <xdr:col>8</xdr:col>
                    <xdr:colOff>685800</xdr:colOff>
                    <xdr:row>86</xdr:row>
                    <xdr:rowOff>266700</xdr:rowOff>
                  </to>
                </anchor>
              </controlPr>
            </control>
          </mc:Choice>
        </mc:AlternateContent>
        <mc:AlternateContent xmlns:mc="http://schemas.openxmlformats.org/markup-compatibility/2006">
          <mc:Choice Requires="x14">
            <control shapeId="81072" r:id="rId179" name="Option Button 176">
              <controlPr defaultSize="0" autoFill="0" autoLine="0" autoPict="0">
                <anchor>
                  <from>
                    <xdr:col>9</xdr:col>
                    <xdr:colOff>38100</xdr:colOff>
                    <xdr:row>83</xdr:row>
                    <xdr:rowOff>66675</xdr:rowOff>
                  </from>
                  <to>
                    <xdr:col>10</xdr:col>
                    <xdr:colOff>76200</xdr:colOff>
                    <xdr:row>83</xdr:row>
                    <xdr:rowOff>238125</xdr:rowOff>
                  </to>
                </anchor>
              </controlPr>
            </control>
          </mc:Choice>
        </mc:AlternateContent>
        <mc:AlternateContent xmlns:mc="http://schemas.openxmlformats.org/markup-compatibility/2006">
          <mc:Choice Requires="x14">
            <control shapeId="81073" r:id="rId180" name="Option Button 177">
              <controlPr defaultSize="0" autoFill="0" autoLine="0" autoPict="0">
                <anchor>
                  <from>
                    <xdr:col>9</xdr:col>
                    <xdr:colOff>38100</xdr:colOff>
                    <xdr:row>84</xdr:row>
                    <xdr:rowOff>57150</xdr:rowOff>
                  </from>
                  <to>
                    <xdr:col>10</xdr:col>
                    <xdr:colOff>76200</xdr:colOff>
                    <xdr:row>84</xdr:row>
                    <xdr:rowOff>228600</xdr:rowOff>
                  </to>
                </anchor>
              </controlPr>
            </control>
          </mc:Choice>
        </mc:AlternateContent>
        <mc:AlternateContent xmlns:mc="http://schemas.openxmlformats.org/markup-compatibility/2006">
          <mc:Choice Requires="x14">
            <control shapeId="81074" r:id="rId181" name="Option Button 178">
              <controlPr defaultSize="0" autoFill="0" autoLine="0" autoPict="0">
                <anchor>
                  <from>
                    <xdr:col>9</xdr:col>
                    <xdr:colOff>38100</xdr:colOff>
                    <xdr:row>85</xdr:row>
                    <xdr:rowOff>57150</xdr:rowOff>
                  </from>
                  <to>
                    <xdr:col>10</xdr:col>
                    <xdr:colOff>76200</xdr:colOff>
                    <xdr:row>85</xdr:row>
                    <xdr:rowOff>228600</xdr:rowOff>
                  </to>
                </anchor>
              </controlPr>
            </control>
          </mc:Choice>
        </mc:AlternateContent>
        <mc:AlternateContent xmlns:mc="http://schemas.openxmlformats.org/markup-compatibility/2006">
          <mc:Choice Requires="x14">
            <control shapeId="81075" r:id="rId182" name="Option Button 179">
              <controlPr defaultSize="0" autoFill="0" autoLine="0" autoPict="0">
                <anchor>
                  <from>
                    <xdr:col>9</xdr:col>
                    <xdr:colOff>38100</xdr:colOff>
                    <xdr:row>86</xdr:row>
                    <xdr:rowOff>47625</xdr:rowOff>
                  </from>
                  <to>
                    <xdr:col>10</xdr:col>
                    <xdr:colOff>76200</xdr:colOff>
                    <xdr:row>86</xdr:row>
                    <xdr:rowOff>209550</xdr:rowOff>
                  </to>
                </anchor>
              </controlPr>
            </control>
          </mc:Choice>
        </mc:AlternateContent>
        <mc:AlternateContent xmlns:mc="http://schemas.openxmlformats.org/markup-compatibility/2006">
          <mc:Choice Requires="x14">
            <control shapeId="81076" r:id="rId183" name="Group Box 180">
              <controlPr defaultSize="0" autoFill="0" autoPict="0">
                <anchor moveWithCells="1">
                  <from>
                    <xdr:col>9</xdr:col>
                    <xdr:colOff>19050</xdr:colOff>
                    <xdr:row>83</xdr:row>
                    <xdr:rowOff>0</xdr:rowOff>
                  </from>
                  <to>
                    <xdr:col>10</xdr:col>
                    <xdr:colOff>685800</xdr:colOff>
                    <xdr:row>86</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8CC81C83-16C5-4F62-8F30-105DD1E68760}">
            <xm:f>AND(計1!$P$7=FALSE,計1!$P$8=FALSE,計1!$P$10=FALSE)</xm:f>
            <x14:dxf>
              <fill>
                <patternFill>
                  <bgColor theme="0" tint="-0.14996795556505021"/>
                </patternFill>
              </fill>
            </x14:dxf>
          </x14:cfRule>
          <xm:sqref>H6:K45 H51:K62</xm:sqref>
        </x14:conditionalFormatting>
        <x14:conditionalFormatting xmlns:xm="http://schemas.microsoft.com/office/excel/2006/main">
          <x14:cfRule type="expression" priority="2" id="{8EBC5834-1DC5-4454-9B6B-E612B06A94D8}">
            <xm:f>AND(計1!$P$9=FALSE,計1!$P$11=FALSE)</xm:f>
            <x14:dxf>
              <fill>
                <patternFill>
                  <bgColor theme="0" tint="-0.14996795556505021"/>
                </patternFill>
              </fill>
            </x14:dxf>
          </x14:cfRule>
          <xm:sqref>H68:K87</xm:sqref>
        </x14:conditionalFormatting>
        <x14:conditionalFormatting xmlns:xm="http://schemas.microsoft.com/office/excel/2006/main">
          <x14:cfRule type="expression" priority="1" id="{26F68188-B356-4090-9DA5-F12DD4F45121}">
            <xm:f>はじめに!$B$36&lt;&gt;"計画書"</xm:f>
            <x14:dxf>
              <fill>
                <patternFill>
                  <bgColor theme="0" tint="-0.14996795556505021"/>
                </patternFill>
              </fill>
            </x14:dxf>
          </x14:cfRule>
          <xm:sqref>H6:K45 H51:K62 H68:K87</xm:sqref>
        </x14:conditionalFormatting>
      </x14:conditionalFormatting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
    <pageSetUpPr fitToPage="1"/>
  </sheetPr>
  <dimension ref="A1:Z1000"/>
  <sheetViews>
    <sheetView showGridLines="0" showZeros="0" topLeftCell="A980" zoomScale="86" zoomScaleNormal="86" workbookViewId="0">
      <selection activeCell="A6" sqref="A6:C6"/>
    </sheetView>
  </sheetViews>
  <sheetFormatPr defaultColWidth="9" defaultRowHeight="13.5"/>
  <cols>
    <col min="1" max="1" width="6.625" style="3" customWidth="1"/>
    <col min="2" max="2" width="10.625" style="3" customWidth="1"/>
    <col min="3" max="3" width="4.625" style="3" customWidth="1"/>
    <col min="4" max="4" width="6.625" style="3" customWidth="1"/>
    <col min="5" max="5" width="5.875" style="3" customWidth="1"/>
    <col min="6" max="6" width="4.75" style="3" customWidth="1"/>
    <col min="7" max="7" width="8.75" style="3" customWidth="1"/>
    <col min="8" max="8" width="6.125" style="3" customWidth="1"/>
    <col min="9" max="9" width="5.125" style="3" customWidth="1"/>
    <col min="10" max="10" width="5" style="3" customWidth="1"/>
    <col min="11" max="11" width="5.625" style="3" customWidth="1"/>
    <col min="12" max="12" width="6.125" style="3" customWidth="1"/>
    <col min="13" max="13" width="5.625" style="3" customWidth="1"/>
    <col min="14" max="14" width="4.125" style="3" customWidth="1"/>
    <col min="15" max="15" width="7.375" style="3" customWidth="1"/>
    <col min="16" max="16" width="9.375" style="3" customWidth="1"/>
    <col min="17" max="17" width="5.25" style="1242" hidden="1" customWidth="1"/>
    <col min="18" max="21" width="9" style="1242" hidden="1" customWidth="1"/>
    <col min="22" max="22" width="12.875" style="1242" hidden="1" customWidth="1"/>
    <col min="23" max="23" width="9.875" style="3" customWidth="1"/>
    <col min="24" max="24" width="12.75" style="3" customWidth="1"/>
    <col min="25" max="25" width="13.5" style="3" customWidth="1"/>
    <col min="26" max="26" width="20.875" style="3" customWidth="1"/>
    <col min="27" max="16384" width="9" style="3"/>
  </cols>
  <sheetData>
    <row r="1" spans="1:26">
      <c r="A1" s="1" t="s">
        <v>520</v>
      </c>
      <c r="B1" s="2"/>
      <c r="C1" s="2"/>
      <c r="D1" s="2"/>
      <c r="E1" s="2"/>
      <c r="F1" s="2"/>
      <c r="G1" s="2"/>
      <c r="H1" s="2"/>
      <c r="I1" s="2"/>
      <c r="J1" s="2"/>
      <c r="K1" s="2"/>
      <c r="L1" s="2"/>
      <c r="M1" s="2"/>
      <c r="N1" s="2"/>
      <c r="O1" s="2"/>
      <c r="P1" s="156" t="str">
        <f>"個別票"&amp;Q1</f>
        <v>個別票1</v>
      </c>
      <c r="Q1" s="1242">
        <v>1</v>
      </c>
      <c r="W1" s="156"/>
      <c r="X1" s="156"/>
      <c r="Y1" s="156"/>
      <c r="Z1" s="156"/>
    </row>
    <row r="2" spans="1:26">
      <c r="A2" s="2" t="s">
        <v>557</v>
      </c>
      <c r="B2" s="4"/>
      <c r="C2" s="4"/>
      <c r="D2" s="4"/>
      <c r="E2" s="4"/>
      <c r="F2" s="4"/>
      <c r="G2" s="4"/>
      <c r="H2" s="4"/>
      <c r="I2" s="4"/>
      <c r="J2" s="4"/>
      <c r="K2" s="4"/>
      <c r="L2" s="4"/>
      <c r="M2" s="4"/>
      <c r="N2" s="2"/>
      <c r="O2" s="2"/>
      <c r="P2" s="156"/>
      <c r="W2" s="156"/>
      <c r="X2" s="156"/>
      <c r="Y2" s="156"/>
      <c r="Z2" s="156"/>
    </row>
    <row r="3" spans="1:26" ht="17.25">
      <c r="A3" s="2612" t="s">
        <v>556</v>
      </c>
      <c r="B3" s="2612"/>
      <c r="C3" s="2612"/>
      <c r="D3" s="2612"/>
      <c r="E3" s="2612"/>
      <c r="F3" s="2612"/>
      <c r="G3" s="2612"/>
      <c r="H3" s="2612"/>
      <c r="I3" s="2612"/>
      <c r="J3" s="2612"/>
      <c r="K3" s="2612"/>
      <c r="L3" s="2612"/>
      <c r="M3" s="2612"/>
      <c r="N3" s="2612"/>
      <c r="O3" s="2612"/>
      <c r="P3" s="156"/>
      <c r="W3" s="156"/>
      <c r="X3" s="156"/>
      <c r="Y3" s="156"/>
      <c r="Z3" s="156"/>
    </row>
    <row r="4" spans="1:26" ht="17.25">
      <c r="A4" s="38"/>
      <c r="B4" s="38"/>
      <c r="C4" s="38"/>
      <c r="D4" s="38"/>
      <c r="E4" s="38"/>
      <c r="F4" s="38"/>
      <c r="G4" s="38"/>
      <c r="H4" s="38"/>
      <c r="I4" s="38"/>
      <c r="J4" s="38"/>
      <c r="K4" s="38"/>
      <c r="L4" s="38"/>
      <c r="M4" s="38"/>
      <c r="N4" s="38"/>
      <c r="O4" s="38"/>
      <c r="P4" s="156"/>
      <c r="W4" s="156"/>
      <c r="X4" s="156"/>
      <c r="Y4" s="156"/>
      <c r="Z4" s="156"/>
    </row>
    <row r="5" spans="1:26" ht="18" customHeight="1">
      <c r="A5" s="48" t="s">
        <v>151</v>
      </c>
      <c r="B5" s="4"/>
      <c r="C5" s="4"/>
      <c r="D5" s="4"/>
      <c r="E5" s="4"/>
      <c r="F5" s="4"/>
      <c r="G5" s="4"/>
      <c r="H5" s="4"/>
      <c r="I5" s="4"/>
      <c r="J5" s="4"/>
      <c r="K5" s="4"/>
      <c r="L5" s="4"/>
      <c r="M5" s="4"/>
      <c r="N5" s="2"/>
      <c r="O5" s="2"/>
      <c r="P5" s="156"/>
      <c r="W5" s="156"/>
      <c r="X5" s="156"/>
      <c r="Y5" s="156"/>
      <c r="Z5" s="156"/>
    </row>
    <row r="6" spans="1:26" ht="39.950000000000003" customHeight="1">
      <c r="A6" s="2984" t="s">
        <v>152</v>
      </c>
      <c r="B6" s="2985"/>
      <c r="C6" s="2986"/>
      <c r="D6" s="2987" t="str">
        <f>報7!D6</f>
        <v>事業所名を入力1</v>
      </c>
      <c r="E6" s="2988"/>
      <c r="F6" s="2988"/>
      <c r="G6" s="2988"/>
      <c r="H6" s="2988"/>
      <c r="I6" s="2988"/>
      <c r="J6" s="2988"/>
      <c r="K6" s="2988"/>
      <c r="L6" s="2988"/>
      <c r="M6" s="2988"/>
      <c r="N6" s="2988"/>
      <c r="O6" s="2989"/>
      <c r="P6" s="156"/>
      <c r="U6" s="1693" t="s">
        <v>164</v>
      </c>
      <c r="V6" s="1242" t="s">
        <v>5698</v>
      </c>
      <c r="W6" s="156"/>
      <c r="X6" s="156"/>
      <c r="Y6" s="156"/>
      <c r="Z6" s="156"/>
    </row>
    <row r="7" spans="1:26" ht="39.950000000000003" customHeight="1">
      <c r="A7" s="2570" t="s">
        <v>153</v>
      </c>
      <c r="B7" s="2571"/>
      <c r="C7" s="2990"/>
      <c r="D7" s="2573" t="str">
        <f>IF(報7!D7="","",報7!D7)</f>
        <v/>
      </c>
      <c r="E7" s="2574"/>
      <c r="F7" s="2574"/>
      <c r="G7" s="2574"/>
      <c r="H7" s="2574"/>
      <c r="I7" s="2574"/>
      <c r="J7" s="2574"/>
      <c r="K7" s="2574"/>
      <c r="L7" s="2574"/>
      <c r="M7" s="2574"/>
      <c r="N7" s="2574"/>
      <c r="O7" s="2575"/>
      <c r="P7" s="156"/>
      <c r="R7" s="1242" t="s">
        <v>4784</v>
      </c>
      <c r="T7" s="1242" t="s">
        <v>4785</v>
      </c>
      <c r="U7" s="1693" t="s">
        <v>165</v>
      </c>
      <c r="V7" s="1242" t="s">
        <v>5699</v>
      </c>
      <c r="W7" s="156"/>
      <c r="X7" s="156"/>
      <c r="Y7" s="156"/>
      <c r="Z7" s="156"/>
    </row>
    <row r="8" spans="1:26" ht="39.950000000000003" customHeight="1">
      <c r="A8" s="2536" t="s">
        <v>154</v>
      </c>
      <c r="B8" s="2978"/>
      <c r="C8" s="3245" t="str">
        <f>IF(報7!C8="","",報7!C8)</f>
        <v/>
      </c>
      <c r="D8" s="3246"/>
      <c r="E8" s="101" t="s">
        <v>180</v>
      </c>
      <c r="F8" s="2974" t="s">
        <v>404</v>
      </c>
      <c r="G8" s="2975"/>
      <c r="H8" s="2981" t="str">
        <f ca="1">報7!H8</f>
        <v/>
      </c>
      <c r="I8" s="2982"/>
      <c r="J8" s="58" t="s">
        <v>176</v>
      </c>
      <c r="K8" s="2974" t="s">
        <v>405</v>
      </c>
      <c r="L8" s="2975"/>
      <c r="M8" s="3247">
        <f>報7!M8</f>
        <v>0</v>
      </c>
      <c r="N8" s="3248"/>
      <c r="O8" s="3249"/>
      <c r="P8" s="156" t="str">
        <f>IFERROR(VLOOKUP(M8,$U$6:$V$22,2,0),"")</f>
        <v/>
      </c>
      <c r="R8" s="1693" t="s">
        <v>155</v>
      </c>
      <c r="S8" s="1242" t="s">
        <v>156</v>
      </c>
      <c r="T8" s="1693" t="s">
        <v>157</v>
      </c>
      <c r="U8" s="1693" t="s">
        <v>183</v>
      </c>
      <c r="V8" s="1242" t="s">
        <v>5699</v>
      </c>
      <c r="W8" s="156"/>
      <c r="X8" s="156"/>
      <c r="Y8" s="156"/>
      <c r="Z8" s="156"/>
    </row>
    <row r="9" spans="1:26" ht="39.950000000000003" customHeight="1">
      <c r="A9" s="2974" t="s">
        <v>406</v>
      </c>
      <c r="B9" s="2975"/>
      <c r="C9" s="3250">
        <f>報7!C9</f>
        <v>0</v>
      </c>
      <c r="D9" s="2507"/>
      <c r="E9" s="2508"/>
      <c r="F9" s="2974" t="s">
        <v>158</v>
      </c>
      <c r="G9" s="2975"/>
      <c r="H9" s="3250">
        <f>報7!H9</f>
        <v>0</v>
      </c>
      <c r="I9" s="2507"/>
      <c r="J9" s="2508"/>
      <c r="K9" s="2580"/>
      <c r="L9" s="2977"/>
      <c r="M9" s="2977"/>
      <c r="N9" s="2977"/>
      <c r="O9" s="2977"/>
      <c r="P9" s="156"/>
      <c r="R9" s="1693" t="s">
        <v>159</v>
      </c>
      <c r="S9" s="1242" t="s">
        <v>160</v>
      </c>
      <c r="T9" s="1693" t="s">
        <v>161</v>
      </c>
      <c r="U9" s="1693" t="s">
        <v>166</v>
      </c>
      <c r="V9" s="1242" t="s">
        <v>5698</v>
      </c>
      <c r="W9" s="156"/>
      <c r="X9" s="156"/>
      <c r="Y9" s="156"/>
      <c r="Z9" s="156"/>
    </row>
    <row r="10" spans="1:26" ht="49.9" customHeight="1">
      <c r="A10" s="39"/>
      <c r="B10" s="39"/>
      <c r="C10" s="40"/>
      <c r="D10" s="41"/>
      <c r="E10" s="40"/>
      <c r="F10" s="42"/>
      <c r="P10" s="156"/>
      <c r="R10" s="1693" t="s">
        <v>123</v>
      </c>
      <c r="S10" s="1242" t="s">
        <v>162</v>
      </c>
      <c r="T10" s="1693" t="s">
        <v>163</v>
      </c>
      <c r="U10" s="1693" t="s">
        <v>167</v>
      </c>
      <c r="V10" s="1242" t="s">
        <v>5698</v>
      </c>
      <c r="W10" s="156"/>
      <c r="X10" s="156"/>
      <c r="Y10" s="156" t="str">
        <f>IF(報7!C8="","",報7!C8)</f>
        <v/>
      </c>
      <c r="Z10" s="156"/>
    </row>
    <row r="11" spans="1:26" s="103" customFormat="1" ht="19.5" customHeight="1">
      <c r="A11" s="3251" t="s">
        <v>555</v>
      </c>
      <c r="B11" s="3252"/>
      <c r="C11" s="3252"/>
      <c r="D11" s="3252"/>
      <c r="E11" s="3252"/>
      <c r="F11" s="3252"/>
      <c r="G11" s="3252"/>
      <c r="H11" s="3252"/>
      <c r="I11" s="3252"/>
      <c r="J11" s="3252"/>
      <c r="K11" s="3252"/>
      <c r="L11" s="3252"/>
      <c r="M11" s="3252"/>
      <c r="N11" s="3252"/>
      <c r="O11" s="3252"/>
      <c r="P11" s="334"/>
      <c r="Q11" s="1243"/>
      <c r="R11" s="1243"/>
      <c r="S11" s="1243" t="s">
        <v>123</v>
      </c>
      <c r="T11" s="1243"/>
      <c r="U11" s="1695" t="s">
        <v>168</v>
      </c>
      <c r="V11" s="1243" t="s">
        <v>5700</v>
      </c>
      <c r="W11" s="334"/>
      <c r="X11" s="334"/>
      <c r="Y11" s="334"/>
      <c r="Z11" s="334"/>
    </row>
    <row r="12" spans="1:26" ht="49.9" customHeight="1">
      <c r="A12" s="104"/>
      <c r="B12" s="39"/>
      <c r="E12" s="105"/>
      <c r="F12" s="105"/>
      <c r="G12" s="105"/>
      <c r="H12" s="105"/>
      <c r="I12" s="105"/>
      <c r="J12" s="105"/>
      <c r="K12" s="105"/>
      <c r="L12" s="105"/>
      <c r="M12" s="105"/>
      <c r="N12" s="105"/>
      <c r="O12" s="105"/>
      <c r="P12" s="156"/>
      <c r="U12" s="1693" t="s">
        <v>169</v>
      </c>
      <c r="V12" s="1243" t="s">
        <v>5700</v>
      </c>
      <c r="W12" s="156"/>
      <c r="X12" s="156"/>
      <c r="Y12" s="156"/>
      <c r="Z12" s="156"/>
    </row>
    <row r="13" spans="1:26" ht="20.25" customHeight="1">
      <c r="A13" s="50" t="s">
        <v>554</v>
      </c>
      <c r="B13" s="30"/>
      <c r="C13" s="30"/>
      <c r="D13" s="30"/>
      <c r="E13" s="30"/>
      <c r="F13" s="30"/>
      <c r="G13" s="30"/>
      <c r="H13" s="30"/>
      <c r="I13" s="30"/>
      <c r="J13" s="30"/>
      <c r="K13" s="30"/>
      <c r="L13" s="6"/>
      <c r="M13" s="6"/>
      <c r="N13" s="6"/>
      <c r="O13" s="6"/>
      <c r="P13" s="156"/>
      <c r="U13" s="1693" t="s">
        <v>170</v>
      </c>
      <c r="V13" s="1243" t="s">
        <v>5700</v>
      </c>
      <c r="W13" s="156"/>
      <c r="X13" s="156"/>
      <c r="Y13" s="156"/>
      <c r="Z13" s="156"/>
    </row>
    <row r="14" spans="1:26" ht="20.100000000000001" customHeight="1">
      <c r="A14" s="2654"/>
      <c r="B14" s="2655"/>
      <c r="C14" s="2673" t="s">
        <v>561</v>
      </c>
      <c r="D14" s="2674"/>
      <c r="E14" s="2674"/>
      <c r="F14" s="2674"/>
      <c r="G14" s="2674"/>
      <c r="H14" s="2675"/>
      <c r="I14" s="2673" t="s">
        <v>560</v>
      </c>
      <c r="J14" s="2674"/>
      <c r="K14" s="2674"/>
      <c r="L14" s="2674"/>
      <c r="M14" s="2674"/>
      <c r="N14" s="2674"/>
      <c r="O14" s="2675"/>
      <c r="P14" s="156"/>
      <c r="U14" s="1693" t="s">
        <v>171</v>
      </c>
      <c r="V14" s="1243" t="s">
        <v>5700</v>
      </c>
      <c r="W14" s="156"/>
      <c r="X14" s="156"/>
      <c r="Y14" s="156"/>
      <c r="Z14" s="156"/>
    </row>
    <row r="15" spans="1:26" ht="22.15" customHeight="1">
      <c r="A15" s="3253" t="s">
        <v>122</v>
      </c>
      <c r="B15" s="3254"/>
      <c r="C15" s="3270" t="str">
        <f ca="1">IF(計1!$L$23=1,"",参照元個別!E5)</f>
        <v/>
      </c>
      <c r="D15" s="3267"/>
      <c r="E15" s="3267"/>
      <c r="F15" s="3267"/>
      <c r="G15" s="3047" t="s">
        <v>414</v>
      </c>
      <c r="H15" s="2959"/>
      <c r="I15" s="3260" t="str">
        <f>IF(計1!$L$23=1,"",参照元個別!F5)</f>
        <v/>
      </c>
      <c r="J15" s="3261"/>
      <c r="K15" s="3261"/>
      <c r="L15" s="3261"/>
      <c r="M15" s="3047" t="s">
        <v>415</v>
      </c>
      <c r="N15" s="3047"/>
      <c r="O15" s="3264" t="str">
        <f>IF(計1!$L$23=1,"",参照元個別!G5)</f>
        <v/>
      </c>
      <c r="P15" s="165"/>
      <c r="Q15" s="1244"/>
      <c r="U15" s="1693" t="s">
        <v>172</v>
      </c>
      <c r="V15" s="1243" t="s">
        <v>5700</v>
      </c>
      <c r="W15" s="156"/>
      <c r="X15" s="156"/>
      <c r="Y15" s="156"/>
      <c r="Z15" s="156"/>
    </row>
    <row r="16" spans="1:26" ht="22.15" customHeight="1">
      <c r="A16" s="3097">
        <f>IF(計1!$D$28="","",計1!$D$28-1)</f>
        <v>2023</v>
      </c>
      <c r="B16" s="2655"/>
      <c r="C16" s="3268"/>
      <c r="D16" s="3269"/>
      <c r="E16" s="3269"/>
      <c r="F16" s="3269"/>
      <c r="G16" s="3076"/>
      <c r="H16" s="3259"/>
      <c r="I16" s="3262"/>
      <c r="J16" s="3263"/>
      <c r="K16" s="3263"/>
      <c r="L16" s="3263"/>
      <c r="M16" s="3048"/>
      <c r="N16" s="3048"/>
      <c r="O16" s="3265"/>
      <c r="P16" s="165"/>
      <c r="Q16" s="1244"/>
      <c r="U16" s="1693" t="s">
        <v>173</v>
      </c>
      <c r="V16" s="1243" t="s">
        <v>5700</v>
      </c>
      <c r="W16" s="156"/>
      <c r="X16" s="156"/>
      <c r="Y16" s="156"/>
      <c r="Z16" s="156"/>
    </row>
    <row r="17" spans="1:26" ht="22.15" customHeight="1">
      <c r="A17" s="2633" t="s">
        <v>558</v>
      </c>
      <c r="B17" s="3065"/>
      <c r="C17" s="3216"/>
      <c r="D17" s="3217"/>
      <c r="E17" s="3217"/>
      <c r="F17" s="3217"/>
      <c r="G17" s="3047" t="s">
        <v>414</v>
      </c>
      <c r="H17" s="2959"/>
      <c r="I17" s="3221"/>
      <c r="J17" s="3222"/>
      <c r="K17" s="3222"/>
      <c r="L17" s="3222"/>
      <c r="M17" s="3047" t="s">
        <v>415</v>
      </c>
      <c r="N17" s="3047"/>
      <c r="O17" s="3225" t="str">
        <f>IF(O15="","",O15)</f>
        <v/>
      </c>
      <c r="P17" s="3229"/>
      <c r="Q17" s="3229"/>
      <c r="U17" s="1693" t="s">
        <v>553</v>
      </c>
      <c r="V17" s="1243" t="s">
        <v>5700</v>
      </c>
      <c r="W17" s="156"/>
      <c r="X17" s="156"/>
      <c r="Y17" s="156"/>
      <c r="Z17" s="156"/>
    </row>
    <row r="18" spans="1:26" ht="22.15" customHeight="1">
      <c r="A18" s="3080">
        <f>IF(計1!$D$28="","",計1!$G$28)</f>
        <v>2026</v>
      </c>
      <c r="B18" s="3059"/>
      <c r="C18" s="3218"/>
      <c r="D18" s="3219"/>
      <c r="E18" s="3219"/>
      <c r="F18" s="3219"/>
      <c r="G18" s="3048"/>
      <c r="H18" s="3220"/>
      <c r="I18" s="3223"/>
      <c r="J18" s="3224"/>
      <c r="K18" s="3224"/>
      <c r="L18" s="3224"/>
      <c r="M18" s="3048"/>
      <c r="N18" s="3048"/>
      <c r="O18" s="3226"/>
      <c r="P18" s="3230"/>
      <c r="Q18" s="3231"/>
      <c r="U18" s="1693" t="s">
        <v>552</v>
      </c>
      <c r="V18" s="1243" t="s">
        <v>5700</v>
      </c>
      <c r="W18" s="156"/>
      <c r="X18" s="357"/>
      <c r="Y18" s="156"/>
      <c r="Z18" s="156"/>
    </row>
    <row r="19" spans="1:26" ht="24.95" customHeight="1">
      <c r="A19" s="145"/>
      <c r="B19" s="146" t="s">
        <v>577</v>
      </c>
      <c r="C19" s="147"/>
      <c r="D19" s="3232" t="str">
        <f ca="1">IF(OR(C15=0,C17=""),"",INT((C15-C17)/C15*10000)/100)</f>
        <v/>
      </c>
      <c r="E19" s="3232"/>
      <c r="F19" s="3232"/>
      <c r="G19" s="3233" t="s">
        <v>562</v>
      </c>
      <c r="H19" s="3234"/>
      <c r="I19" s="148"/>
      <c r="J19" s="3235" t="str">
        <f>IF(OR(I15=0,I17=""),"",INT((I15-I17)/I15*10000)/100)</f>
        <v/>
      </c>
      <c r="K19" s="3235"/>
      <c r="L19" s="3235"/>
      <c r="M19" s="3232" t="s">
        <v>501</v>
      </c>
      <c r="N19" s="3232"/>
      <c r="O19" s="3236"/>
      <c r="P19" s="335"/>
      <c r="Q19" s="1245"/>
      <c r="U19" s="1693" t="s">
        <v>551</v>
      </c>
      <c r="V19" s="1243" t="s">
        <v>5700</v>
      </c>
      <c r="W19" s="359"/>
      <c r="X19" s="359"/>
      <c r="Y19" s="359"/>
      <c r="Z19" s="156"/>
    </row>
    <row r="20" spans="1:26" ht="27.75" customHeight="1">
      <c r="A20" s="2672" t="s">
        <v>559</v>
      </c>
      <c r="B20" s="2635"/>
      <c r="C20" s="3240"/>
      <c r="D20" s="3241"/>
      <c r="E20" s="3241"/>
      <c r="F20" s="3241"/>
      <c r="G20" s="3241"/>
      <c r="H20" s="3241"/>
      <c r="I20" s="3241"/>
      <c r="J20" s="3241"/>
      <c r="K20" s="3241"/>
      <c r="L20" s="3241"/>
      <c r="M20" s="3241"/>
      <c r="N20" s="3241"/>
      <c r="O20" s="3242"/>
      <c r="P20" s="335"/>
      <c r="Q20" s="1245"/>
      <c r="R20" s="1692" t="s">
        <v>4786</v>
      </c>
      <c r="U20" s="1693" t="s">
        <v>550</v>
      </c>
      <c r="V20" s="1243" t="s">
        <v>5700</v>
      </c>
      <c r="W20" s="359"/>
      <c r="X20" s="359" t="s">
        <v>586</v>
      </c>
      <c r="Y20" s="359"/>
      <c r="Z20" s="156"/>
    </row>
    <row r="21" spans="1:26" ht="35.1" customHeight="1">
      <c r="A21" s="3237"/>
      <c r="B21" s="2648"/>
      <c r="C21" s="3243"/>
      <c r="D21" s="2941"/>
      <c r="E21" s="2941"/>
      <c r="F21" s="2941"/>
      <c r="G21" s="2941"/>
      <c r="H21" s="2941"/>
      <c r="I21" s="2941"/>
      <c r="J21" s="2941"/>
      <c r="K21" s="2941"/>
      <c r="L21" s="2941"/>
      <c r="M21" s="2941"/>
      <c r="N21" s="2941"/>
      <c r="O21" s="2942"/>
      <c r="P21" s="358"/>
      <c r="Q21" s="1247"/>
      <c r="R21" s="1248"/>
      <c r="U21" s="1693" t="s">
        <v>123</v>
      </c>
      <c r="V21" s="1243" t="s">
        <v>5700</v>
      </c>
      <c r="W21" s="359"/>
      <c r="X21" s="360" t="s">
        <v>587</v>
      </c>
      <c r="Y21" s="359"/>
      <c r="Z21" s="156"/>
    </row>
    <row r="22" spans="1:26" ht="93" customHeight="1">
      <c r="A22" s="3238"/>
      <c r="B22" s="3239"/>
      <c r="C22" s="3244"/>
      <c r="D22" s="2943"/>
      <c r="E22" s="2943"/>
      <c r="F22" s="2943"/>
      <c r="G22" s="2943"/>
      <c r="H22" s="2943"/>
      <c r="I22" s="2943"/>
      <c r="J22" s="2943"/>
      <c r="K22" s="2943"/>
      <c r="L22" s="2943"/>
      <c r="M22" s="2943"/>
      <c r="N22" s="2943"/>
      <c r="O22" s="2944"/>
      <c r="P22" s="336"/>
      <c r="Q22" s="1249"/>
      <c r="U22" s="1693"/>
      <c r="V22" s="1243"/>
      <c r="W22" s="156"/>
      <c r="X22" s="156"/>
      <c r="Y22" s="156"/>
      <c r="Z22" s="156"/>
    </row>
    <row r="23" spans="1:26" ht="18" customHeight="1">
      <c r="A23" s="2831" t="s">
        <v>583</v>
      </c>
      <c r="B23" s="2831"/>
      <c r="C23" s="2831"/>
      <c r="D23" s="2831"/>
      <c r="E23" s="2831"/>
      <c r="F23" s="2831"/>
      <c r="G23" s="2831"/>
      <c r="H23" s="2831"/>
      <c r="I23" s="2831"/>
      <c r="J23" s="2831"/>
      <c r="K23" s="2831"/>
      <c r="L23" s="2831"/>
      <c r="M23" s="2831"/>
      <c r="N23" s="2831"/>
      <c r="O23" s="2831"/>
      <c r="P23" s="3227"/>
      <c r="Q23" s="3227"/>
      <c r="U23" s="1692" t="s">
        <v>4783</v>
      </c>
      <c r="W23" s="156"/>
      <c r="X23" s="156"/>
      <c r="Y23" s="156"/>
      <c r="Z23" s="156"/>
    </row>
    <row r="24" spans="1:26" ht="9.75" customHeight="1">
      <c r="A24" s="89"/>
      <c r="B24" s="89"/>
      <c r="C24" s="106"/>
      <c r="D24" s="106"/>
      <c r="E24" s="106"/>
      <c r="F24" s="106"/>
      <c r="G24" s="106"/>
      <c r="H24" s="106"/>
      <c r="I24" s="106"/>
      <c r="J24" s="106"/>
      <c r="K24" s="106"/>
      <c r="L24" s="106"/>
      <c r="M24" s="106"/>
      <c r="N24" s="3228"/>
      <c r="O24" s="3228"/>
      <c r="P24" s="156"/>
      <c r="W24" s="156"/>
      <c r="X24" s="156"/>
      <c r="Y24" s="156"/>
      <c r="Z24" s="156"/>
    </row>
    <row r="25" spans="1:26" ht="26.25" customHeight="1">
      <c r="A25" s="156"/>
      <c r="B25" s="156"/>
      <c r="C25" s="156"/>
      <c r="D25" s="156"/>
      <c r="E25" s="156"/>
      <c r="F25" s="156"/>
      <c r="G25" s="156"/>
      <c r="H25" s="156"/>
      <c r="I25" s="156"/>
      <c r="J25" s="156"/>
      <c r="K25" s="156"/>
      <c r="L25" s="156"/>
      <c r="M25" s="156"/>
      <c r="N25" s="156"/>
      <c r="O25" s="156"/>
      <c r="P25" s="156"/>
      <c r="W25" s="156"/>
      <c r="X25" s="156"/>
      <c r="Y25" s="156"/>
      <c r="Z25" s="156"/>
    </row>
    <row r="26" spans="1:26">
      <c r="A26" s="1" t="s">
        <v>520</v>
      </c>
      <c r="B26" s="2"/>
      <c r="C26" s="2"/>
      <c r="D26" s="2"/>
      <c r="E26" s="2"/>
      <c r="F26" s="2"/>
      <c r="G26" s="2"/>
      <c r="H26" s="2"/>
      <c r="I26" s="2"/>
      <c r="J26" s="2"/>
      <c r="K26" s="2"/>
      <c r="L26" s="2"/>
      <c r="M26" s="2"/>
      <c r="N26" s="2"/>
      <c r="O26" s="2"/>
      <c r="P26" s="156" t="str">
        <f>"個別票"&amp;Q26</f>
        <v>個別票2</v>
      </c>
      <c r="Q26" s="1242">
        <f>Q1+1</f>
        <v>2</v>
      </c>
      <c r="W26" s="156"/>
      <c r="X26" s="156"/>
      <c r="Y26" s="156"/>
      <c r="Z26" s="156"/>
    </row>
    <row r="27" spans="1:26">
      <c r="A27" s="2" t="s">
        <v>557</v>
      </c>
      <c r="B27" s="4"/>
      <c r="C27" s="4"/>
      <c r="D27" s="4"/>
      <c r="E27" s="4"/>
      <c r="F27" s="4"/>
      <c r="G27" s="4"/>
      <c r="H27" s="4"/>
      <c r="I27" s="4"/>
      <c r="J27" s="4"/>
      <c r="K27" s="4"/>
      <c r="L27" s="4"/>
      <c r="M27" s="4"/>
      <c r="N27" s="2"/>
      <c r="O27" s="2"/>
      <c r="P27" s="156"/>
      <c r="W27" s="156"/>
      <c r="X27" s="156"/>
      <c r="Y27" s="156"/>
      <c r="Z27" s="156"/>
    </row>
    <row r="28" spans="1:26" ht="17.25">
      <c r="A28" s="2612" t="s">
        <v>556</v>
      </c>
      <c r="B28" s="2612"/>
      <c r="C28" s="2612"/>
      <c r="D28" s="2612"/>
      <c r="E28" s="2612"/>
      <c r="F28" s="2612"/>
      <c r="G28" s="2612"/>
      <c r="H28" s="2612"/>
      <c r="I28" s="2612"/>
      <c r="J28" s="2612"/>
      <c r="K28" s="2612"/>
      <c r="L28" s="2612"/>
      <c r="M28" s="2612"/>
      <c r="N28" s="2612"/>
      <c r="O28" s="2612"/>
      <c r="P28" s="156"/>
      <c r="W28" s="156"/>
      <c r="X28" s="156"/>
      <c r="Y28" s="156"/>
      <c r="Z28" s="156"/>
    </row>
    <row r="29" spans="1:26" ht="17.25">
      <c r="A29" s="38"/>
      <c r="B29" s="38"/>
      <c r="C29" s="38"/>
      <c r="D29" s="38"/>
      <c r="E29" s="38"/>
      <c r="F29" s="38"/>
      <c r="G29" s="38"/>
      <c r="H29" s="38"/>
      <c r="I29" s="38"/>
      <c r="J29" s="38"/>
      <c r="K29" s="38"/>
      <c r="L29" s="38"/>
      <c r="M29" s="38"/>
      <c r="N29" s="38"/>
      <c r="O29" s="38"/>
      <c r="P29" s="156"/>
      <c r="W29" s="156"/>
      <c r="X29" s="156"/>
      <c r="Y29" s="156"/>
      <c r="Z29" s="156"/>
    </row>
    <row r="30" spans="1:26" ht="18" customHeight="1">
      <c r="A30" s="48" t="s">
        <v>151</v>
      </c>
      <c r="B30" s="4"/>
      <c r="C30" s="4"/>
      <c r="D30" s="4"/>
      <c r="E30" s="4"/>
      <c r="F30" s="4"/>
      <c r="G30" s="4"/>
      <c r="H30" s="4"/>
      <c r="I30" s="4"/>
      <c r="J30" s="4"/>
      <c r="K30" s="4"/>
      <c r="L30" s="4"/>
      <c r="M30" s="4"/>
      <c r="N30" s="2"/>
      <c r="O30" s="2"/>
      <c r="P30" s="156"/>
      <c r="W30" s="156"/>
      <c r="X30" s="156"/>
      <c r="Y30" s="156"/>
      <c r="Z30" s="156"/>
    </row>
    <row r="31" spans="1:26" ht="39.950000000000003" customHeight="1">
      <c r="A31" s="2984" t="s">
        <v>152</v>
      </c>
      <c r="B31" s="2985"/>
      <c r="C31" s="2986"/>
      <c r="D31" s="2987" t="str">
        <f>報7!D31</f>
        <v>事業所名を入力2</v>
      </c>
      <c r="E31" s="2988"/>
      <c r="F31" s="2988"/>
      <c r="G31" s="2988"/>
      <c r="H31" s="2988"/>
      <c r="I31" s="2988"/>
      <c r="J31" s="2988"/>
      <c r="K31" s="2988"/>
      <c r="L31" s="2988"/>
      <c r="M31" s="2988"/>
      <c r="N31" s="2988"/>
      <c r="O31" s="2989"/>
      <c r="P31" s="156"/>
      <c r="W31" s="156"/>
      <c r="X31" s="156"/>
      <c r="Y31" s="156"/>
      <c r="Z31" s="156"/>
    </row>
    <row r="32" spans="1:26" ht="39.950000000000003" customHeight="1">
      <c r="A32" s="2570" t="s">
        <v>153</v>
      </c>
      <c r="B32" s="2571"/>
      <c r="C32" s="2990"/>
      <c r="D32" s="2573">
        <f>報7!D32</f>
        <v>0</v>
      </c>
      <c r="E32" s="2574"/>
      <c r="F32" s="2574"/>
      <c r="G32" s="2574"/>
      <c r="H32" s="2574"/>
      <c r="I32" s="2574"/>
      <c r="J32" s="2574"/>
      <c r="K32" s="2574"/>
      <c r="L32" s="2574"/>
      <c r="M32" s="2574"/>
      <c r="N32" s="2574"/>
      <c r="O32" s="2575"/>
      <c r="P32" s="156"/>
      <c r="W32" s="156"/>
      <c r="X32" s="156"/>
      <c r="Y32" s="156"/>
      <c r="Z32" s="156"/>
    </row>
    <row r="33" spans="1:26" ht="39.950000000000003" customHeight="1">
      <c r="A33" s="2536" t="s">
        <v>154</v>
      </c>
      <c r="B33" s="2978"/>
      <c r="C33" s="3245">
        <f>報7!C33</f>
        <v>0</v>
      </c>
      <c r="D33" s="3246"/>
      <c r="E33" s="101" t="s">
        <v>180</v>
      </c>
      <c r="F33" s="2974" t="s">
        <v>404</v>
      </c>
      <c r="G33" s="2975"/>
      <c r="H33" s="2981" t="str">
        <f ca="1">報7!H33</f>
        <v/>
      </c>
      <c r="I33" s="2982"/>
      <c r="J33" s="58" t="s">
        <v>176</v>
      </c>
      <c r="K33" s="2974" t="s">
        <v>405</v>
      </c>
      <c r="L33" s="2975"/>
      <c r="M33" s="3247">
        <f>報7!M33</f>
        <v>0</v>
      </c>
      <c r="N33" s="3248"/>
      <c r="O33" s="3249"/>
      <c r="P33" s="156" t="str">
        <f>IFERROR(VLOOKUP(M33,$U$6:$V$22,2,0),"")</f>
        <v/>
      </c>
      <c r="W33" s="156"/>
      <c r="X33" s="156"/>
      <c r="Y33" s="156"/>
      <c r="Z33" s="156"/>
    </row>
    <row r="34" spans="1:26" ht="39.950000000000003" customHeight="1">
      <c r="A34" s="2974" t="s">
        <v>406</v>
      </c>
      <c r="B34" s="2975"/>
      <c r="C34" s="3250">
        <f>報7!C34</f>
        <v>0</v>
      </c>
      <c r="D34" s="2507"/>
      <c r="E34" s="2508"/>
      <c r="F34" s="2974" t="s">
        <v>158</v>
      </c>
      <c r="G34" s="2975"/>
      <c r="H34" s="3250">
        <f>報7!H34</f>
        <v>0</v>
      </c>
      <c r="I34" s="2507"/>
      <c r="J34" s="2508"/>
      <c r="K34" s="2580"/>
      <c r="L34" s="2977"/>
      <c r="M34" s="2977"/>
      <c r="N34" s="2977"/>
      <c r="O34" s="2977"/>
      <c r="P34" s="156"/>
      <c r="W34" s="156"/>
      <c r="X34" s="156"/>
      <c r="Y34" s="156"/>
      <c r="Z34" s="156"/>
    </row>
    <row r="35" spans="1:26" ht="49.9" customHeight="1">
      <c r="A35" s="39"/>
      <c r="B35" s="39"/>
      <c r="C35" s="40"/>
      <c r="D35" s="41"/>
      <c r="E35" s="40"/>
      <c r="F35" s="42"/>
      <c r="P35" s="156"/>
      <c r="W35" s="156"/>
      <c r="X35" s="156"/>
      <c r="Y35" s="156"/>
      <c r="Z35" s="156"/>
    </row>
    <row r="36" spans="1:26" s="103" customFormat="1" ht="19.5" customHeight="1">
      <c r="A36" s="3251" t="s">
        <v>555</v>
      </c>
      <c r="B36" s="3252"/>
      <c r="C36" s="3252"/>
      <c r="D36" s="3252"/>
      <c r="E36" s="3252"/>
      <c r="F36" s="3252"/>
      <c r="G36" s="3252"/>
      <c r="H36" s="3252"/>
      <c r="I36" s="3252"/>
      <c r="J36" s="3252"/>
      <c r="K36" s="3252"/>
      <c r="L36" s="3252"/>
      <c r="M36" s="3252"/>
      <c r="N36" s="3252"/>
      <c r="O36" s="3252"/>
      <c r="P36" s="334"/>
      <c r="Q36" s="1243"/>
      <c r="R36" s="1243"/>
      <c r="S36" s="1243"/>
      <c r="T36" s="1243"/>
      <c r="U36" s="1243"/>
      <c r="V36" s="1243"/>
      <c r="W36" s="334"/>
      <c r="X36" s="334"/>
      <c r="Y36" s="334"/>
      <c r="Z36" s="334"/>
    </row>
    <row r="37" spans="1:26" ht="49.9" customHeight="1">
      <c r="A37" s="104"/>
      <c r="B37" s="39"/>
      <c r="E37" s="105"/>
      <c r="F37" s="105"/>
      <c r="G37" s="105"/>
      <c r="H37" s="105"/>
      <c r="I37" s="105"/>
      <c r="J37" s="105"/>
      <c r="K37" s="105"/>
      <c r="L37" s="105"/>
      <c r="M37" s="105"/>
      <c r="N37" s="105"/>
      <c r="O37" s="105"/>
      <c r="P37" s="156"/>
      <c r="W37" s="156"/>
      <c r="X37" s="156"/>
      <c r="Y37" s="156"/>
      <c r="Z37" s="156"/>
    </row>
    <row r="38" spans="1:26" ht="20.25" customHeight="1">
      <c r="A38" s="50" t="s">
        <v>554</v>
      </c>
      <c r="B38" s="30"/>
      <c r="C38" s="30"/>
      <c r="D38" s="30"/>
      <c r="E38" s="30"/>
      <c r="F38" s="30"/>
      <c r="G38" s="30"/>
      <c r="H38" s="30"/>
      <c r="I38" s="30"/>
      <c r="J38" s="30"/>
      <c r="K38" s="30"/>
      <c r="L38" s="6"/>
      <c r="M38" s="6"/>
      <c r="N38" s="6"/>
      <c r="O38" s="6"/>
      <c r="P38" s="156"/>
      <c r="W38" s="156"/>
      <c r="X38" s="156"/>
      <c r="Y38" s="156"/>
      <c r="Z38" s="156"/>
    </row>
    <row r="39" spans="1:26" ht="20.100000000000001" customHeight="1">
      <c r="A39" s="2654"/>
      <c r="B39" s="2655"/>
      <c r="C39" s="2673" t="s">
        <v>561</v>
      </c>
      <c r="D39" s="2674"/>
      <c r="E39" s="2674"/>
      <c r="F39" s="2674"/>
      <c r="G39" s="2674"/>
      <c r="H39" s="2675"/>
      <c r="I39" s="2673" t="s">
        <v>560</v>
      </c>
      <c r="J39" s="2674"/>
      <c r="K39" s="2674"/>
      <c r="L39" s="2674"/>
      <c r="M39" s="2674"/>
      <c r="N39" s="2674"/>
      <c r="O39" s="2675"/>
      <c r="P39" s="156"/>
      <c r="W39" s="156"/>
      <c r="X39" s="156"/>
      <c r="Y39" s="156"/>
      <c r="Z39" s="156"/>
    </row>
    <row r="40" spans="1:26" ht="22.15" customHeight="1">
      <c r="A40" s="3253" t="s">
        <v>122</v>
      </c>
      <c r="B40" s="3254"/>
      <c r="C40" s="3266" t="str">
        <f ca="1">参照元個別!E6</f>
        <v/>
      </c>
      <c r="D40" s="3267"/>
      <c r="E40" s="3267"/>
      <c r="F40" s="3267"/>
      <c r="G40" s="3047" t="s">
        <v>1265</v>
      </c>
      <c r="H40" s="2959"/>
      <c r="I40" s="3260" t="str">
        <f>報7!I40</f>
        <v/>
      </c>
      <c r="J40" s="3261"/>
      <c r="K40" s="3261"/>
      <c r="L40" s="3261"/>
      <c r="M40" s="3047" t="s">
        <v>4308</v>
      </c>
      <c r="N40" s="3047"/>
      <c r="O40" s="3264" t="str">
        <f>報7!N40</f>
        <v/>
      </c>
      <c r="P40" s="165"/>
      <c r="Q40" s="1244"/>
      <c r="W40" s="156"/>
      <c r="X40" s="156"/>
      <c r="Y40" s="156"/>
      <c r="Z40" s="156"/>
    </row>
    <row r="41" spans="1:26" ht="22.15" customHeight="1">
      <c r="A41" s="3097">
        <f>IF(計1!$D$28="","",計1!$D$28-1)</f>
        <v>2023</v>
      </c>
      <c r="B41" s="2655"/>
      <c r="C41" s="3268"/>
      <c r="D41" s="3269"/>
      <c r="E41" s="3269"/>
      <c r="F41" s="3269"/>
      <c r="G41" s="3076"/>
      <c r="H41" s="3259"/>
      <c r="I41" s="3262"/>
      <c r="J41" s="3263"/>
      <c r="K41" s="3263"/>
      <c r="L41" s="3263"/>
      <c r="M41" s="3048"/>
      <c r="N41" s="3048"/>
      <c r="O41" s="3265"/>
      <c r="P41" s="165"/>
      <c r="Q41" s="1244"/>
      <c r="W41" s="156"/>
      <c r="X41" s="156"/>
      <c r="Y41" s="156"/>
      <c r="Z41" s="156"/>
    </row>
    <row r="42" spans="1:26" ht="22.15" customHeight="1">
      <c r="A42" s="2633" t="s">
        <v>558</v>
      </c>
      <c r="B42" s="3065"/>
      <c r="C42" s="3216"/>
      <c r="D42" s="3217"/>
      <c r="E42" s="3217"/>
      <c r="F42" s="3217"/>
      <c r="G42" s="3047" t="s">
        <v>414</v>
      </c>
      <c r="H42" s="2959"/>
      <c r="I42" s="3221"/>
      <c r="J42" s="3222"/>
      <c r="K42" s="3222"/>
      <c r="L42" s="3222"/>
      <c r="M42" s="3047" t="s">
        <v>415</v>
      </c>
      <c r="N42" s="3047"/>
      <c r="O42" s="3225" t="str">
        <f>IF(O40="","",O40)</f>
        <v/>
      </c>
      <c r="P42" s="3229"/>
      <c r="Q42" s="3229"/>
      <c r="W42" s="156"/>
      <c r="X42" s="156"/>
      <c r="Y42" s="156"/>
      <c r="Z42" s="156"/>
    </row>
    <row r="43" spans="1:26" ht="22.15" customHeight="1">
      <c r="A43" s="3080">
        <f>IF(計1!$D$28="","",計1!$G$28)</f>
        <v>2026</v>
      </c>
      <c r="B43" s="3059"/>
      <c r="C43" s="3218"/>
      <c r="D43" s="3219"/>
      <c r="E43" s="3219"/>
      <c r="F43" s="3219"/>
      <c r="G43" s="3048"/>
      <c r="H43" s="3220"/>
      <c r="I43" s="3223"/>
      <c r="J43" s="3224"/>
      <c r="K43" s="3224"/>
      <c r="L43" s="3224"/>
      <c r="M43" s="3048"/>
      <c r="N43" s="3048"/>
      <c r="O43" s="3226"/>
      <c r="P43" s="3230"/>
      <c r="Q43" s="3231"/>
      <c r="W43" s="156"/>
      <c r="X43" s="357"/>
      <c r="Y43" s="156"/>
      <c r="Z43" s="156"/>
    </row>
    <row r="44" spans="1:26" ht="24.95" customHeight="1">
      <c r="A44" s="145"/>
      <c r="B44" s="146" t="s">
        <v>577</v>
      </c>
      <c r="C44" s="147"/>
      <c r="D44" s="3232" t="str">
        <f ca="1">IF(OR(C40=0,C42=""),"",INT((C40-C42)/C40*10000)/100)</f>
        <v/>
      </c>
      <c r="E44" s="3232"/>
      <c r="F44" s="3232"/>
      <c r="G44" s="3233" t="s">
        <v>134</v>
      </c>
      <c r="H44" s="3234"/>
      <c r="I44" s="148"/>
      <c r="J44" s="3235" t="str">
        <f>IF(OR(I40=0,I42=""),"",INT((I40-I42)/I40*10000)/100)</f>
        <v/>
      </c>
      <c r="K44" s="3235"/>
      <c r="L44" s="3235"/>
      <c r="M44" s="3232" t="s">
        <v>501</v>
      </c>
      <c r="N44" s="3232"/>
      <c r="O44" s="3236"/>
      <c r="P44" s="335"/>
      <c r="Q44" s="1245"/>
      <c r="W44" s="359"/>
      <c r="X44" s="359"/>
      <c r="Y44" s="359"/>
      <c r="Z44" s="156"/>
    </row>
    <row r="45" spans="1:26" ht="27.75" customHeight="1">
      <c r="A45" s="2672" t="s">
        <v>559</v>
      </c>
      <c r="B45" s="2635"/>
      <c r="C45" s="3240"/>
      <c r="D45" s="3241"/>
      <c r="E45" s="3241"/>
      <c r="F45" s="3241"/>
      <c r="G45" s="3241"/>
      <c r="H45" s="3241"/>
      <c r="I45" s="3241"/>
      <c r="J45" s="3241"/>
      <c r="K45" s="3241"/>
      <c r="L45" s="3241"/>
      <c r="M45" s="3241"/>
      <c r="N45" s="3241"/>
      <c r="O45" s="3242"/>
      <c r="P45" s="335"/>
      <c r="Q45" s="1245"/>
      <c r="R45" s="1246"/>
      <c r="W45" s="359"/>
      <c r="X45" s="359" t="s">
        <v>586</v>
      </c>
      <c r="Y45" s="359"/>
      <c r="Z45" s="156"/>
    </row>
    <row r="46" spans="1:26" ht="35.1" customHeight="1">
      <c r="A46" s="3237"/>
      <c r="B46" s="2648"/>
      <c r="C46" s="3243"/>
      <c r="D46" s="2941"/>
      <c r="E46" s="2941"/>
      <c r="F46" s="2941"/>
      <c r="G46" s="2941"/>
      <c r="H46" s="2941"/>
      <c r="I46" s="2941"/>
      <c r="J46" s="2941"/>
      <c r="K46" s="2941"/>
      <c r="L46" s="2941"/>
      <c r="M46" s="2941"/>
      <c r="N46" s="2941"/>
      <c r="O46" s="2942"/>
      <c r="P46" s="358"/>
      <c r="Q46" s="1247"/>
      <c r="R46" s="1248">
        <v>0</v>
      </c>
      <c r="W46" s="359"/>
      <c r="X46" s="360" t="s">
        <v>587</v>
      </c>
      <c r="Y46" s="359"/>
      <c r="Z46" s="156"/>
    </row>
    <row r="47" spans="1:26" ht="93" customHeight="1">
      <c r="A47" s="3238"/>
      <c r="B47" s="3239"/>
      <c r="C47" s="3244"/>
      <c r="D47" s="2943"/>
      <c r="E47" s="2943"/>
      <c r="F47" s="2943"/>
      <c r="G47" s="2943"/>
      <c r="H47" s="2943"/>
      <c r="I47" s="2943"/>
      <c r="J47" s="2943"/>
      <c r="K47" s="2943"/>
      <c r="L47" s="2943"/>
      <c r="M47" s="2943"/>
      <c r="N47" s="2943"/>
      <c r="O47" s="2944"/>
      <c r="P47" s="336"/>
      <c r="Q47" s="1249"/>
      <c r="W47" s="156"/>
      <c r="X47" s="156"/>
      <c r="Y47" s="156"/>
      <c r="Z47" s="156"/>
    </row>
    <row r="48" spans="1:26" ht="18" customHeight="1">
      <c r="A48" s="2831" t="s">
        <v>583</v>
      </c>
      <c r="B48" s="2831"/>
      <c r="C48" s="2831"/>
      <c r="D48" s="2831"/>
      <c r="E48" s="2831"/>
      <c r="F48" s="2831"/>
      <c r="G48" s="2831"/>
      <c r="H48" s="2831"/>
      <c r="I48" s="2831"/>
      <c r="J48" s="2831"/>
      <c r="K48" s="2831"/>
      <c r="L48" s="2831"/>
      <c r="M48" s="2831"/>
      <c r="N48" s="2831"/>
      <c r="O48" s="2831"/>
      <c r="P48" s="3227"/>
      <c r="Q48" s="3227"/>
      <c r="W48" s="156"/>
      <c r="X48" s="156"/>
      <c r="Y48" s="156"/>
      <c r="Z48" s="156"/>
    </row>
    <row r="49" spans="1:26" ht="9.75" customHeight="1">
      <c r="A49" s="89"/>
      <c r="B49" s="89"/>
      <c r="C49" s="106"/>
      <c r="D49" s="106"/>
      <c r="E49" s="106"/>
      <c r="F49" s="106"/>
      <c r="G49" s="106"/>
      <c r="H49" s="106"/>
      <c r="I49" s="106"/>
      <c r="J49" s="106"/>
      <c r="K49" s="106"/>
      <c r="L49" s="106"/>
      <c r="M49" s="106"/>
      <c r="N49" s="3228"/>
      <c r="O49" s="3228"/>
      <c r="P49" s="156"/>
      <c r="W49" s="156"/>
      <c r="X49" s="156"/>
      <c r="Y49" s="156"/>
      <c r="Z49" s="156"/>
    </row>
    <row r="50" spans="1:26">
      <c r="A50" s="156"/>
      <c r="B50" s="156"/>
      <c r="C50" s="156"/>
      <c r="D50" s="156"/>
      <c r="E50" s="156"/>
      <c r="F50" s="156"/>
      <c r="G50" s="156"/>
      <c r="H50" s="156"/>
      <c r="I50" s="156"/>
      <c r="J50" s="156"/>
      <c r="K50" s="156"/>
      <c r="L50" s="156"/>
      <c r="M50" s="156"/>
      <c r="N50" s="156"/>
      <c r="O50" s="156"/>
      <c r="P50" s="156"/>
      <c r="W50" s="156"/>
      <c r="X50" s="156"/>
      <c r="Y50" s="156"/>
      <c r="Z50" s="156"/>
    </row>
    <row r="51" spans="1:26">
      <c r="A51" s="1" t="s">
        <v>520</v>
      </c>
      <c r="B51" s="2"/>
      <c r="C51" s="2"/>
      <c r="D51" s="2"/>
      <c r="E51" s="2"/>
      <c r="F51" s="2"/>
      <c r="G51" s="2"/>
      <c r="H51" s="2"/>
      <c r="I51" s="2"/>
      <c r="J51" s="2"/>
      <c r="K51" s="2"/>
      <c r="L51" s="2"/>
      <c r="M51" s="2"/>
      <c r="N51" s="2"/>
      <c r="O51" s="2"/>
      <c r="P51" s="156" t="str">
        <f>"個別票"&amp;Q51</f>
        <v>個別票3</v>
      </c>
      <c r="Q51" s="1242">
        <f>Q26+1</f>
        <v>3</v>
      </c>
      <c r="W51" s="156"/>
      <c r="X51" s="156"/>
      <c r="Y51" s="156"/>
      <c r="Z51" s="156"/>
    </row>
    <row r="52" spans="1:26">
      <c r="A52" s="2" t="s">
        <v>557</v>
      </c>
      <c r="B52" s="4"/>
      <c r="C52" s="4"/>
      <c r="D52" s="4"/>
      <c r="E52" s="4"/>
      <c r="F52" s="4"/>
      <c r="G52" s="4"/>
      <c r="H52" s="4"/>
      <c r="I52" s="4"/>
      <c r="J52" s="4"/>
      <c r="K52" s="4"/>
      <c r="L52" s="4"/>
      <c r="M52" s="4"/>
      <c r="N52" s="2"/>
      <c r="O52" s="2"/>
      <c r="P52" s="156"/>
      <c r="W52" s="156"/>
      <c r="X52" s="156"/>
      <c r="Y52" s="156"/>
      <c r="Z52" s="156"/>
    </row>
    <row r="53" spans="1:26" ht="17.25">
      <c r="A53" s="2612" t="s">
        <v>556</v>
      </c>
      <c r="B53" s="2612"/>
      <c r="C53" s="2612"/>
      <c r="D53" s="2612"/>
      <c r="E53" s="2612"/>
      <c r="F53" s="2612"/>
      <c r="G53" s="2612"/>
      <c r="H53" s="2612"/>
      <c r="I53" s="2612"/>
      <c r="J53" s="2612"/>
      <c r="K53" s="2612"/>
      <c r="L53" s="2612"/>
      <c r="M53" s="2612"/>
      <c r="N53" s="2612"/>
      <c r="O53" s="2612"/>
      <c r="P53" s="156"/>
      <c r="W53" s="156"/>
      <c r="X53" s="156"/>
      <c r="Y53" s="156"/>
      <c r="Z53" s="156"/>
    </row>
    <row r="54" spans="1:26" ht="17.25">
      <c r="A54" s="38"/>
      <c r="B54" s="38"/>
      <c r="C54" s="38"/>
      <c r="D54" s="38"/>
      <c r="E54" s="38"/>
      <c r="F54" s="38"/>
      <c r="G54" s="38"/>
      <c r="H54" s="38"/>
      <c r="I54" s="38"/>
      <c r="J54" s="38"/>
      <c r="K54" s="38"/>
      <c r="L54" s="38"/>
      <c r="M54" s="38"/>
      <c r="N54" s="38"/>
      <c r="O54" s="38"/>
      <c r="P54" s="156"/>
      <c r="W54" s="156"/>
      <c r="X54" s="156"/>
      <c r="Y54" s="156"/>
      <c r="Z54" s="156"/>
    </row>
    <row r="55" spans="1:26" ht="18" customHeight="1">
      <c r="A55" s="48" t="s">
        <v>151</v>
      </c>
      <c r="B55" s="4"/>
      <c r="C55" s="4"/>
      <c r="D55" s="4"/>
      <c r="E55" s="4"/>
      <c r="F55" s="4"/>
      <c r="G55" s="4"/>
      <c r="H55" s="4"/>
      <c r="I55" s="4"/>
      <c r="J55" s="4"/>
      <c r="K55" s="4"/>
      <c r="L55" s="4"/>
      <c r="M55" s="4"/>
      <c r="N55" s="2"/>
      <c r="O55" s="2"/>
      <c r="P55" s="156"/>
      <c r="W55" s="156"/>
      <c r="X55" s="156"/>
      <c r="Y55" s="156"/>
      <c r="Z55" s="156"/>
    </row>
    <row r="56" spans="1:26" ht="39.950000000000003" customHeight="1">
      <c r="A56" s="2984" t="s">
        <v>152</v>
      </c>
      <c r="B56" s="2985"/>
      <c r="C56" s="2986"/>
      <c r="D56" s="2987" t="str">
        <f>報7!D56</f>
        <v>事業所名を入力3</v>
      </c>
      <c r="E56" s="2988"/>
      <c r="F56" s="2988"/>
      <c r="G56" s="2988"/>
      <c r="H56" s="2988"/>
      <c r="I56" s="2988"/>
      <c r="J56" s="2988"/>
      <c r="K56" s="2988"/>
      <c r="L56" s="2988"/>
      <c r="M56" s="2988"/>
      <c r="N56" s="2988"/>
      <c r="O56" s="2989"/>
      <c r="P56" s="156"/>
      <c r="W56" s="156"/>
      <c r="X56" s="156"/>
      <c r="Y56" s="156"/>
      <c r="Z56" s="156"/>
    </row>
    <row r="57" spans="1:26" ht="39.950000000000003" customHeight="1">
      <c r="A57" s="2570" t="s">
        <v>153</v>
      </c>
      <c r="B57" s="2571"/>
      <c r="C57" s="2990"/>
      <c r="D57" s="2573">
        <f>報7!D57</f>
        <v>0</v>
      </c>
      <c r="E57" s="2574"/>
      <c r="F57" s="2574"/>
      <c r="G57" s="2574"/>
      <c r="H57" s="2574"/>
      <c r="I57" s="2574"/>
      <c r="J57" s="2574"/>
      <c r="K57" s="2574"/>
      <c r="L57" s="2574"/>
      <c r="M57" s="2574"/>
      <c r="N57" s="2574"/>
      <c r="O57" s="2575"/>
      <c r="P57" s="156"/>
      <c r="W57" s="156"/>
      <c r="X57" s="156"/>
      <c r="Y57" s="156"/>
      <c r="Z57" s="156"/>
    </row>
    <row r="58" spans="1:26" ht="39.950000000000003" customHeight="1">
      <c r="A58" s="2536" t="s">
        <v>154</v>
      </c>
      <c r="B58" s="2978"/>
      <c r="C58" s="3245">
        <f>報7!C58</f>
        <v>0</v>
      </c>
      <c r="D58" s="3246"/>
      <c r="E58" s="101" t="s">
        <v>180</v>
      </c>
      <c r="F58" s="2974" t="s">
        <v>404</v>
      </c>
      <c r="G58" s="2975"/>
      <c r="H58" s="2981" t="str">
        <f ca="1">報7!H58</f>
        <v/>
      </c>
      <c r="I58" s="2982"/>
      <c r="J58" s="58" t="s">
        <v>176</v>
      </c>
      <c r="K58" s="2974" t="s">
        <v>405</v>
      </c>
      <c r="L58" s="2975"/>
      <c r="M58" s="3247">
        <f>報7!M58</f>
        <v>0</v>
      </c>
      <c r="N58" s="3248"/>
      <c r="O58" s="3249"/>
      <c r="P58" s="156" t="str">
        <f>IFERROR(VLOOKUP(M58,$U$6:$V$22,2,0),"")</f>
        <v/>
      </c>
      <c r="W58" s="156"/>
      <c r="X58" s="156"/>
      <c r="Y58" s="156"/>
      <c r="Z58" s="156"/>
    </row>
    <row r="59" spans="1:26" ht="39.950000000000003" customHeight="1">
      <c r="A59" s="2974" t="s">
        <v>406</v>
      </c>
      <c r="B59" s="2975"/>
      <c r="C59" s="3250">
        <f>報7!C59</f>
        <v>0</v>
      </c>
      <c r="D59" s="2507"/>
      <c r="E59" s="2508"/>
      <c r="F59" s="2974" t="s">
        <v>158</v>
      </c>
      <c r="G59" s="2975"/>
      <c r="H59" s="3250">
        <f>報7!H59</f>
        <v>0</v>
      </c>
      <c r="I59" s="2507"/>
      <c r="J59" s="2508"/>
      <c r="K59" s="2580"/>
      <c r="L59" s="2977"/>
      <c r="M59" s="2977"/>
      <c r="N59" s="2977"/>
      <c r="O59" s="2977"/>
      <c r="P59" s="156"/>
      <c r="W59" s="156"/>
      <c r="X59" s="156"/>
      <c r="Y59" s="156"/>
      <c r="Z59" s="156"/>
    </row>
    <row r="60" spans="1:26" ht="49.9" customHeight="1">
      <c r="A60" s="39"/>
      <c r="B60" s="39"/>
      <c r="C60" s="40"/>
      <c r="D60" s="41"/>
      <c r="E60" s="40"/>
      <c r="F60" s="42"/>
      <c r="P60" s="156"/>
      <c r="W60" s="156"/>
      <c r="X60" s="156"/>
      <c r="Y60" s="156"/>
      <c r="Z60" s="156"/>
    </row>
    <row r="61" spans="1:26" s="103" customFormat="1" ht="19.5" customHeight="1">
      <c r="A61" s="3251" t="s">
        <v>555</v>
      </c>
      <c r="B61" s="3252"/>
      <c r="C61" s="3252"/>
      <c r="D61" s="3252"/>
      <c r="E61" s="3252"/>
      <c r="F61" s="3252"/>
      <c r="G61" s="3252"/>
      <c r="H61" s="3252"/>
      <c r="I61" s="3252"/>
      <c r="J61" s="3252"/>
      <c r="K61" s="3252"/>
      <c r="L61" s="3252"/>
      <c r="M61" s="3252"/>
      <c r="N61" s="3252"/>
      <c r="O61" s="3252"/>
      <c r="P61" s="334"/>
      <c r="Q61" s="1243"/>
      <c r="R61" s="1243"/>
      <c r="S61" s="1243"/>
      <c r="T61" s="1243"/>
      <c r="U61" s="1243"/>
      <c r="V61" s="1243"/>
      <c r="W61" s="334"/>
      <c r="X61" s="334"/>
      <c r="Y61" s="334"/>
      <c r="Z61" s="334"/>
    </row>
    <row r="62" spans="1:26" ht="49.9" customHeight="1">
      <c r="A62" s="104"/>
      <c r="B62" s="39"/>
      <c r="E62" s="105"/>
      <c r="F62" s="105"/>
      <c r="G62" s="105"/>
      <c r="H62" s="105"/>
      <c r="I62" s="105"/>
      <c r="J62" s="105"/>
      <c r="K62" s="105"/>
      <c r="L62" s="105"/>
      <c r="M62" s="105"/>
      <c r="N62" s="105"/>
      <c r="O62" s="105"/>
      <c r="P62" s="156"/>
      <c r="W62" s="156"/>
      <c r="X62" s="156"/>
      <c r="Y62" s="156"/>
      <c r="Z62" s="156"/>
    </row>
    <row r="63" spans="1:26" ht="20.25" customHeight="1">
      <c r="A63" s="50" t="s">
        <v>554</v>
      </c>
      <c r="B63" s="30"/>
      <c r="C63" s="30"/>
      <c r="D63" s="30"/>
      <c r="E63" s="30"/>
      <c r="F63" s="30"/>
      <c r="G63" s="30"/>
      <c r="H63" s="30"/>
      <c r="I63" s="30"/>
      <c r="J63" s="30"/>
      <c r="K63" s="30"/>
      <c r="L63" s="6"/>
      <c r="M63" s="6"/>
      <c r="N63" s="6"/>
      <c r="O63" s="6"/>
      <c r="P63" s="156"/>
      <c r="W63" s="156"/>
      <c r="X63" s="156"/>
      <c r="Y63" s="156"/>
      <c r="Z63" s="156"/>
    </row>
    <row r="64" spans="1:26" ht="20.100000000000001" customHeight="1">
      <c r="A64" s="2654"/>
      <c r="B64" s="2655"/>
      <c r="C64" s="2673" t="s">
        <v>561</v>
      </c>
      <c r="D64" s="2674"/>
      <c r="E64" s="2674"/>
      <c r="F64" s="2674"/>
      <c r="G64" s="2674"/>
      <c r="H64" s="2675"/>
      <c r="I64" s="2673" t="s">
        <v>560</v>
      </c>
      <c r="J64" s="2674"/>
      <c r="K64" s="2674"/>
      <c r="L64" s="2674"/>
      <c r="M64" s="2674"/>
      <c r="N64" s="2674"/>
      <c r="O64" s="2675"/>
      <c r="P64" s="156"/>
      <c r="W64" s="156"/>
      <c r="X64" s="156"/>
      <c r="Y64" s="156"/>
      <c r="Z64" s="156"/>
    </row>
    <row r="65" spans="1:26" ht="22.15" customHeight="1">
      <c r="A65" s="3253" t="s">
        <v>122</v>
      </c>
      <c r="B65" s="3254"/>
      <c r="C65" s="3255" t="str">
        <f ca="1">参照元個別!E7</f>
        <v/>
      </c>
      <c r="D65" s="3256"/>
      <c r="E65" s="3256"/>
      <c r="F65" s="3256"/>
      <c r="G65" s="3047" t="s">
        <v>1265</v>
      </c>
      <c r="H65" s="2959"/>
      <c r="I65" s="3260" t="str">
        <f>報7!I65</f>
        <v/>
      </c>
      <c r="J65" s="3261"/>
      <c r="K65" s="3261"/>
      <c r="L65" s="3261"/>
      <c r="M65" s="3047" t="s">
        <v>4308</v>
      </c>
      <c r="N65" s="3047"/>
      <c r="O65" s="3264" t="str">
        <f>報7!N65</f>
        <v/>
      </c>
      <c r="P65" s="165"/>
      <c r="Q65" s="1244"/>
      <c r="W65" s="156"/>
      <c r="X65" s="156"/>
      <c r="Y65" s="156"/>
      <c r="Z65" s="156"/>
    </row>
    <row r="66" spans="1:26" ht="22.15" customHeight="1">
      <c r="A66" s="3097">
        <f>IF(計1!$D$28="","",計1!$D$28-1)</f>
        <v>2023</v>
      </c>
      <c r="B66" s="2655"/>
      <c r="C66" s="3257"/>
      <c r="D66" s="3258"/>
      <c r="E66" s="3258"/>
      <c r="F66" s="3258"/>
      <c r="G66" s="3076"/>
      <c r="H66" s="3259"/>
      <c r="I66" s="3262"/>
      <c r="J66" s="3263"/>
      <c r="K66" s="3263"/>
      <c r="L66" s="3263"/>
      <c r="M66" s="3048"/>
      <c r="N66" s="3048"/>
      <c r="O66" s="3265"/>
      <c r="P66" s="165"/>
      <c r="Q66" s="1244"/>
      <c r="W66" s="156"/>
      <c r="X66" s="156"/>
      <c r="Y66" s="156"/>
      <c r="Z66" s="156"/>
    </row>
    <row r="67" spans="1:26" ht="22.15" customHeight="1">
      <c r="A67" s="2633" t="s">
        <v>558</v>
      </c>
      <c r="B67" s="3065"/>
      <c r="C67" s="3216"/>
      <c r="D67" s="3217"/>
      <c r="E67" s="3217"/>
      <c r="F67" s="3217"/>
      <c r="G67" s="3047" t="s">
        <v>414</v>
      </c>
      <c r="H67" s="2959"/>
      <c r="I67" s="3221"/>
      <c r="J67" s="3222"/>
      <c r="K67" s="3222"/>
      <c r="L67" s="3222"/>
      <c r="M67" s="3047" t="s">
        <v>415</v>
      </c>
      <c r="N67" s="3047"/>
      <c r="O67" s="3225" t="str">
        <f>IF(O65="","",O65)</f>
        <v/>
      </c>
      <c r="P67" s="3229"/>
      <c r="Q67" s="3229"/>
      <c r="W67" s="156"/>
      <c r="X67" s="156"/>
      <c r="Y67" s="156"/>
      <c r="Z67" s="156"/>
    </row>
    <row r="68" spans="1:26" ht="22.15" customHeight="1">
      <c r="A68" s="3080">
        <f>IF(計1!$D$28="","",計1!$G$28)</f>
        <v>2026</v>
      </c>
      <c r="B68" s="3059"/>
      <c r="C68" s="3218"/>
      <c r="D68" s="3219"/>
      <c r="E68" s="3219"/>
      <c r="F68" s="3219"/>
      <c r="G68" s="3048"/>
      <c r="H68" s="3220"/>
      <c r="I68" s="3223"/>
      <c r="J68" s="3224"/>
      <c r="K68" s="3224"/>
      <c r="L68" s="3224"/>
      <c r="M68" s="3048"/>
      <c r="N68" s="3048"/>
      <c r="O68" s="3226"/>
      <c r="P68" s="3230"/>
      <c r="Q68" s="3231"/>
      <c r="W68" s="156"/>
      <c r="X68" s="357"/>
      <c r="Y68" s="156"/>
      <c r="Z68" s="156"/>
    </row>
    <row r="69" spans="1:26" ht="24.95" customHeight="1">
      <c r="A69" s="145"/>
      <c r="B69" s="146" t="s">
        <v>577</v>
      </c>
      <c r="C69" s="147"/>
      <c r="D69" s="3232" t="str">
        <f ca="1">IF(OR(C65=0,C67=""),"",INT((C65-C67)/C65*10000)/100)</f>
        <v/>
      </c>
      <c r="E69" s="3232"/>
      <c r="F69" s="3232"/>
      <c r="G69" s="3233" t="s">
        <v>134</v>
      </c>
      <c r="H69" s="3234"/>
      <c r="I69" s="148"/>
      <c r="J69" s="3235" t="str">
        <f>IF(OR(I65=0,I67=""),"",INT((I65-I67)/I65*10000)/100)</f>
        <v/>
      </c>
      <c r="K69" s="3235"/>
      <c r="L69" s="3235"/>
      <c r="M69" s="3232" t="s">
        <v>501</v>
      </c>
      <c r="N69" s="3232"/>
      <c r="O69" s="3236"/>
      <c r="P69" s="335"/>
      <c r="Q69" s="1245"/>
      <c r="W69" s="359"/>
      <c r="X69" s="359"/>
      <c r="Y69" s="359"/>
      <c r="Z69" s="156"/>
    </row>
    <row r="70" spans="1:26" ht="27.75" customHeight="1">
      <c r="A70" s="2672" t="s">
        <v>559</v>
      </c>
      <c r="B70" s="2635"/>
      <c r="C70" s="3240"/>
      <c r="D70" s="3241"/>
      <c r="E70" s="3241"/>
      <c r="F70" s="3241"/>
      <c r="G70" s="3241"/>
      <c r="H70" s="3241"/>
      <c r="I70" s="3241"/>
      <c r="J70" s="3241"/>
      <c r="K70" s="3241"/>
      <c r="L70" s="3241"/>
      <c r="M70" s="3241"/>
      <c r="N70" s="3241"/>
      <c r="O70" s="3242"/>
      <c r="P70" s="335"/>
      <c r="Q70" s="1245"/>
      <c r="R70" s="1246"/>
      <c r="W70" s="359"/>
      <c r="X70" s="359" t="s">
        <v>586</v>
      </c>
      <c r="Y70" s="359"/>
      <c r="Z70" s="156"/>
    </row>
    <row r="71" spans="1:26" ht="35.1" customHeight="1">
      <c r="A71" s="3237"/>
      <c r="B71" s="2648"/>
      <c r="C71" s="3243"/>
      <c r="D71" s="2941"/>
      <c r="E71" s="2941"/>
      <c r="F71" s="2941"/>
      <c r="G71" s="2941"/>
      <c r="H71" s="2941"/>
      <c r="I71" s="2941"/>
      <c r="J71" s="2941"/>
      <c r="K71" s="2941"/>
      <c r="L71" s="2941"/>
      <c r="M71" s="2941"/>
      <c r="N71" s="2941"/>
      <c r="O71" s="2942"/>
      <c r="P71" s="358"/>
      <c r="Q71" s="1247"/>
      <c r="R71" s="1248">
        <v>0</v>
      </c>
      <c r="W71" s="359"/>
      <c r="X71" s="360" t="s">
        <v>587</v>
      </c>
      <c r="Y71" s="359"/>
      <c r="Z71" s="156"/>
    </row>
    <row r="72" spans="1:26" ht="93" customHeight="1">
      <c r="A72" s="3238"/>
      <c r="B72" s="3239"/>
      <c r="C72" s="3244"/>
      <c r="D72" s="2943"/>
      <c r="E72" s="2943"/>
      <c r="F72" s="2943"/>
      <c r="G72" s="2943"/>
      <c r="H72" s="2943"/>
      <c r="I72" s="2943"/>
      <c r="J72" s="2943"/>
      <c r="K72" s="2943"/>
      <c r="L72" s="2943"/>
      <c r="M72" s="2943"/>
      <c r="N72" s="2943"/>
      <c r="O72" s="2944"/>
      <c r="P72" s="336"/>
      <c r="Q72" s="1249"/>
      <c r="W72" s="156"/>
      <c r="X72" s="156"/>
      <c r="Y72" s="156"/>
      <c r="Z72" s="156"/>
    </row>
    <row r="73" spans="1:26" ht="18" customHeight="1">
      <c r="A73" s="2831" t="s">
        <v>583</v>
      </c>
      <c r="B73" s="2831"/>
      <c r="C73" s="2831"/>
      <c r="D73" s="2831"/>
      <c r="E73" s="2831"/>
      <c r="F73" s="2831"/>
      <c r="G73" s="2831"/>
      <c r="H73" s="2831"/>
      <c r="I73" s="2831"/>
      <c r="J73" s="2831"/>
      <c r="K73" s="2831"/>
      <c r="L73" s="2831"/>
      <c r="M73" s="2831"/>
      <c r="N73" s="2831"/>
      <c r="O73" s="2831"/>
      <c r="P73" s="3227"/>
      <c r="Q73" s="3227"/>
      <c r="W73" s="156"/>
      <c r="X73" s="156"/>
      <c r="Y73" s="156"/>
      <c r="Z73" s="156"/>
    </row>
    <row r="74" spans="1:26" ht="9.75" customHeight="1">
      <c r="A74" s="89"/>
      <c r="B74" s="89"/>
      <c r="C74" s="106"/>
      <c r="D74" s="106"/>
      <c r="E74" s="106"/>
      <c r="F74" s="106"/>
      <c r="G74" s="106"/>
      <c r="H74" s="106"/>
      <c r="I74" s="106"/>
      <c r="J74" s="106"/>
      <c r="K74" s="106"/>
      <c r="L74" s="106"/>
      <c r="M74" s="106"/>
      <c r="N74" s="3228"/>
      <c r="O74" s="3228"/>
      <c r="P74" s="156"/>
      <c r="W74" s="156"/>
      <c r="X74" s="156"/>
      <c r="Y74" s="156"/>
      <c r="Z74" s="156"/>
    </row>
    <row r="75" spans="1:26">
      <c r="A75" s="156"/>
      <c r="B75" s="156"/>
      <c r="C75" s="156"/>
      <c r="D75" s="156"/>
      <c r="E75" s="156"/>
      <c r="F75" s="156"/>
      <c r="G75" s="156"/>
      <c r="H75" s="156"/>
      <c r="I75" s="156"/>
      <c r="J75" s="156"/>
      <c r="K75" s="156"/>
      <c r="L75" s="156"/>
      <c r="M75" s="156"/>
      <c r="N75" s="156"/>
      <c r="O75" s="156"/>
      <c r="P75" s="156"/>
      <c r="W75" s="156"/>
      <c r="X75" s="156"/>
      <c r="Y75" s="156"/>
      <c r="Z75" s="156"/>
    </row>
    <row r="76" spans="1:26">
      <c r="A76" s="1" t="s">
        <v>520</v>
      </c>
      <c r="B76" s="2"/>
      <c r="C76" s="2"/>
      <c r="D76" s="2"/>
      <c r="E76" s="2"/>
      <c r="F76" s="2"/>
      <c r="G76" s="2"/>
      <c r="H76" s="2"/>
      <c r="I76" s="2"/>
      <c r="J76" s="2"/>
      <c r="K76" s="2"/>
      <c r="L76" s="2"/>
      <c r="M76" s="2"/>
      <c r="N76" s="2"/>
      <c r="O76" s="2"/>
      <c r="P76" s="156" t="str">
        <f>"個別票"&amp;Q76</f>
        <v>個別票4</v>
      </c>
      <c r="Q76" s="1242">
        <f>Q51+1</f>
        <v>4</v>
      </c>
      <c r="W76" s="156"/>
      <c r="X76" s="156"/>
      <c r="Y76" s="156"/>
      <c r="Z76" s="156"/>
    </row>
    <row r="77" spans="1:26">
      <c r="A77" s="2" t="s">
        <v>557</v>
      </c>
      <c r="B77" s="4"/>
      <c r="C77" s="4"/>
      <c r="D77" s="4"/>
      <c r="E77" s="4"/>
      <c r="F77" s="4"/>
      <c r="G77" s="4"/>
      <c r="H77" s="4"/>
      <c r="I77" s="4"/>
      <c r="J77" s="4"/>
      <c r="K77" s="4"/>
      <c r="L77" s="4"/>
      <c r="M77" s="4"/>
      <c r="N77" s="2"/>
      <c r="O77" s="2"/>
      <c r="P77" s="156"/>
      <c r="W77" s="156"/>
      <c r="X77" s="156"/>
      <c r="Y77" s="156"/>
      <c r="Z77" s="156"/>
    </row>
    <row r="78" spans="1:26" ht="17.25">
      <c r="A78" s="2612" t="s">
        <v>556</v>
      </c>
      <c r="B78" s="2612"/>
      <c r="C78" s="2612"/>
      <c r="D78" s="2612"/>
      <c r="E78" s="2612"/>
      <c r="F78" s="2612"/>
      <c r="G78" s="2612"/>
      <c r="H78" s="2612"/>
      <c r="I78" s="2612"/>
      <c r="J78" s="2612"/>
      <c r="K78" s="2612"/>
      <c r="L78" s="2612"/>
      <c r="M78" s="2612"/>
      <c r="N78" s="2612"/>
      <c r="O78" s="2612"/>
      <c r="P78" s="156"/>
      <c r="W78" s="156"/>
      <c r="X78" s="156"/>
      <c r="Y78" s="156"/>
      <c r="Z78" s="156"/>
    </row>
    <row r="79" spans="1:26" ht="17.25">
      <c r="A79" s="38"/>
      <c r="B79" s="38"/>
      <c r="C79" s="38"/>
      <c r="D79" s="38"/>
      <c r="E79" s="38"/>
      <c r="F79" s="38"/>
      <c r="G79" s="38"/>
      <c r="H79" s="38"/>
      <c r="I79" s="38"/>
      <c r="J79" s="38"/>
      <c r="K79" s="38"/>
      <c r="L79" s="38"/>
      <c r="M79" s="38"/>
      <c r="N79" s="38"/>
      <c r="O79" s="38"/>
      <c r="P79" s="156"/>
      <c r="W79" s="156"/>
      <c r="X79" s="156"/>
      <c r="Y79" s="156"/>
      <c r="Z79" s="156"/>
    </row>
    <row r="80" spans="1:26" ht="18" customHeight="1">
      <c r="A80" s="48" t="s">
        <v>151</v>
      </c>
      <c r="B80" s="4"/>
      <c r="C80" s="4"/>
      <c r="D80" s="4"/>
      <c r="E80" s="4"/>
      <c r="F80" s="4"/>
      <c r="G80" s="4"/>
      <c r="H80" s="4"/>
      <c r="I80" s="4"/>
      <c r="J80" s="4"/>
      <c r="K80" s="4"/>
      <c r="L80" s="4"/>
      <c r="M80" s="4"/>
      <c r="N80" s="2"/>
      <c r="O80" s="2"/>
      <c r="P80" s="156"/>
      <c r="W80" s="156"/>
      <c r="X80" s="156"/>
      <c r="Y80" s="156"/>
      <c r="Z80" s="156"/>
    </row>
    <row r="81" spans="1:26" ht="39.950000000000003" customHeight="1">
      <c r="A81" s="2984" t="s">
        <v>152</v>
      </c>
      <c r="B81" s="2985"/>
      <c r="C81" s="2986"/>
      <c r="D81" s="2987" t="str">
        <f>報7!D81</f>
        <v>事業所名を入力4</v>
      </c>
      <c r="E81" s="2988"/>
      <c r="F81" s="2988"/>
      <c r="G81" s="2988"/>
      <c r="H81" s="2988"/>
      <c r="I81" s="2988"/>
      <c r="J81" s="2988"/>
      <c r="K81" s="2988"/>
      <c r="L81" s="2988"/>
      <c r="M81" s="2988"/>
      <c r="N81" s="2988"/>
      <c r="O81" s="2989"/>
      <c r="P81" s="156"/>
      <c r="W81" s="156"/>
      <c r="X81" s="156"/>
      <c r="Y81" s="156"/>
      <c r="Z81" s="156"/>
    </row>
    <row r="82" spans="1:26" ht="39.950000000000003" customHeight="1">
      <c r="A82" s="2570" t="s">
        <v>153</v>
      </c>
      <c r="B82" s="2571"/>
      <c r="C82" s="2990"/>
      <c r="D82" s="2573">
        <f>報7!D82</f>
        <v>0</v>
      </c>
      <c r="E82" s="2574"/>
      <c r="F82" s="2574"/>
      <c r="G82" s="2574"/>
      <c r="H82" s="2574"/>
      <c r="I82" s="2574"/>
      <c r="J82" s="2574"/>
      <c r="K82" s="2574"/>
      <c r="L82" s="2574"/>
      <c r="M82" s="2574"/>
      <c r="N82" s="2574"/>
      <c r="O82" s="2575"/>
      <c r="P82" s="156"/>
      <c r="W82" s="156"/>
      <c r="X82" s="156"/>
      <c r="Y82" s="156"/>
      <c r="Z82" s="156"/>
    </row>
    <row r="83" spans="1:26" ht="39.950000000000003" customHeight="1">
      <c r="A83" s="2536" t="s">
        <v>154</v>
      </c>
      <c r="B83" s="2978"/>
      <c r="C83" s="3245">
        <f>報7!C83</f>
        <v>0</v>
      </c>
      <c r="D83" s="3246"/>
      <c r="E83" s="101" t="s">
        <v>180</v>
      </c>
      <c r="F83" s="2974" t="s">
        <v>404</v>
      </c>
      <c r="G83" s="2975"/>
      <c r="H83" s="2981" t="str">
        <f ca="1">報7!H83</f>
        <v/>
      </c>
      <c r="I83" s="2982"/>
      <c r="J83" s="58" t="s">
        <v>176</v>
      </c>
      <c r="K83" s="2974" t="s">
        <v>405</v>
      </c>
      <c r="L83" s="2975"/>
      <c r="M83" s="3247">
        <f>報7!M83</f>
        <v>0</v>
      </c>
      <c r="N83" s="3248"/>
      <c r="O83" s="3249"/>
      <c r="P83" s="156" t="str">
        <f>IFERROR(VLOOKUP(M83,$U$6:$V$22,2,0),"")</f>
        <v/>
      </c>
      <c r="W83" s="156"/>
      <c r="X83" s="156"/>
      <c r="Y83" s="156"/>
      <c r="Z83" s="156"/>
    </row>
    <row r="84" spans="1:26" ht="39.950000000000003" customHeight="1">
      <c r="A84" s="2974" t="s">
        <v>406</v>
      </c>
      <c r="B84" s="2975"/>
      <c r="C84" s="3250">
        <f>報7!C84</f>
        <v>0</v>
      </c>
      <c r="D84" s="2507"/>
      <c r="E84" s="2508"/>
      <c r="F84" s="2974" t="s">
        <v>158</v>
      </c>
      <c r="G84" s="2975"/>
      <c r="H84" s="3250">
        <f>報7!H84</f>
        <v>0</v>
      </c>
      <c r="I84" s="2507"/>
      <c r="J84" s="2508"/>
      <c r="K84" s="2580"/>
      <c r="L84" s="2977"/>
      <c r="M84" s="2977"/>
      <c r="N84" s="2977"/>
      <c r="O84" s="2977"/>
      <c r="P84" s="156"/>
      <c r="W84" s="156"/>
      <c r="X84" s="156"/>
      <c r="Y84" s="156"/>
      <c r="Z84" s="156"/>
    </row>
    <row r="85" spans="1:26" ht="49.9" customHeight="1">
      <c r="A85" s="39"/>
      <c r="B85" s="39"/>
      <c r="C85" s="40"/>
      <c r="D85" s="41"/>
      <c r="E85" s="40"/>
      <c r="F85" s="42"/>
      <c r="P85" s="156"/>
      <c r="W85" s="156"/>
      <c r="X85" s="156"/>
      <c r="Y85" s="156"/>
      <c r="Z85" s="156"/>
    </row>
    <row r="86" spans="1:26" s="103" customFormat="1" ht="19.5" customHeight="1">
      <c r="A86" s="3251" t="s">
        <v>555</v>
      </c>
      <c r="B86" s="3252"/>
      <c r="C86" s="3252"/>
      <c r="D86" s="3252"/>
      <c r="E86" s="3252"/>
      <c r="F86" s="3252"/>
      <c r="G86" s="3252"/>
      <c r="H86" s="3252"/>
      <c r="I86" s="3252"/>
      <c r="J86" s="3252"/>
      <c r="K86" s="3252"/>
      <c r="L86" s="3252"/>
      <c r="M86" s="3252"/>
      <c r="N86" s="3252"/>
      <c r="O86" s="3252"/>
      <c r="P86" s="334"/>
      <c r="Q86" s="1243"/>
      <c r="R86" s="1243"/>
      <c r="S86" s="1243"/>
      <c r="T86" s="1243"/>
      <c r="U86" s="1243"/>
      <c r="V86" s="1243"/>
      <c r="W86" s="334"/>
      <c r="X86" s="334"/>
      <c r="Y86" s="334"/>
      <c r="Z86" s="334"/>
    </row>
    <row r="87" spans="1:26" ht="49.9" customHeight="1">
      <c r="A87" s="104"/>
      <c r="B87" s="39"/>
      <c r="E87" s="105"/>
      <c r="F87" s="105"/>
      <c r="G87" s="105"/>
      <c r="H87" s="105"/>
      <c r="I87" s="105"/>
      <c r="J87" s="105"/>
      <c r="K87" s="105"/>
      <c r="L87" s="105"/>
      <c r="M87" s="105"/>
      <c r="N87" s="105"/>
      <c r="O87" s="105"/>
      <c r="P87" s="156"/>
      <c r="W87" s="156"/>
      <c r="X87" s="156"/>
      <c r="Y87" s="156"/>
      <c r="Z87" s="156"/>
    </row>
    <row r="88" spans="1:26" ht="20.25" customHeight="1">
      <c r="A88" s="50" t="s">
        <v>554</v>
      </c>
      <c r="B88" s="30"/>
      <c r="C88" s="30"/>
      <c r="D88" s="30"/>
      <c r="E88" s="30"/>
      <c r="F88" s="30"/>
      <c r="G88" s="30"/>
      <c r="H88" s="30"/>
      <c r="I88" s="30"/>
      <c r="J88" s="30"/>
      <c r="K88" s="30"/>
      <c r="L88" s="6"/>
      <c r="M88" s="6"/>
      <c r="N88" s="6"/>
      <c r="O88" s="6"/>
      <c r="P88" s="156"/>
      <c r="W88" s="156"/>
      <c r="X88" s="156"/>
      <c r="Y88" s="156"/>
      <c r="Z88" s="156"/>
    </row>
    <row r="89" spans="1:26" ht="20.100000000000001" customHeight="1">
      <c r="A89" s="2654"/>
      <c r="B89" s="2655"/>
      <c r="C89" s="2673" t="s">
        <v>561</v>
      </c>
      <c r="D89" s="2674"/>
      <c r="E89" s="2674"/>
      <c r="F89" s="2674"/>
      <c r="G89" s="2674"/>
      <c r="H89" s="2675"/>
      <c r="I89" s="2673" t="s">
        <v>560</v>
      </c>
      <c r="J89" s="2674"/>
      <c r="K89" s="2674"/>
      <c r="L89" s="2674"/>
      <c r="M89" s="2674"/>
      <c r="N89" s="2674"/>
      <c r="O89" s="2675"/>
      <c r="P89" s="156"/>
      <c r="W89" s="156"/>
      <c r="X89" s="156"/>
      <c r="Y89" s="156"/>
      <c r="Z89" s="156"/>
    </row>
    <row r="90" spans="1:26" ht="22.15" customHeight="1">
      <c r="A90" s="3253" t="s">
        <v>122</v>
      </c>
      <c r="B90" s="3254"/>
      <c r="C90" s="3255" t="str">
        <f ca="1">参照元個別!E8</f>
        <v/>
      </c>
      <c r="D90" s="3256"/>
      <c r="E90" s="3256"/>
      <c r="F90" s="3256"/>
      <c r="G90" s="3047" t="s">
        <v>1265</v>
      </c>
      <c r="H90" s="2959"/>
      <c r="I90" s="3260" t="str">
        <f>報7!I90</f>
        <v/>
      </c>
      <c r="J90" s="3261"/>
      <c r="K90" s="3261"/>
      <c r="L90" s="3261"/>
      <c r="M90" s="3047" t="s">
        <v>4308</v>
      </c>
      <c r="N90" s="3047"/>
      <c r="O90" s="3264" t="str">
        <f>報7!N90</f>
        <v/>
      </c>
      <c r="P90" s="165"/>
      <c r="Q90" s="1244"/>
      <c r="W90" s="156"/>
      <c r="X90" s="156"/>
      <c r="Y90" s="156"/>
      <c r="Z90" s="156"/>
    </row>
    <row r="91" spans="1:26" ht="22.15" customHeight="1">
      <c r="A91" s="3097">
        <f>IF(計1!$D$28="","",計1!$D$28-1)</f>
        <v>2023</v>
      </c>
      <c r="B91" s="2655"/>
      <c r="C91" s="3257"/>
      <c r="D91" s="3258"/>
      <c r="E91" s="3258"/>
      <c r="F91" s="3258"/>
      <c r="G91" s="3076"/>
      <c r="H91" s="3259"/>
      <c r="I91" s="3262"/>
      <c r="J91" s="3263"/>
      <c r="K91" s="3263"/>
      <c r="L91" s="3263"/>
      <c r="M91" s="3048"/>
      <c r="N91" s="3048"/>
      <c r="O91" s="3265"/>
      <c r="P91" s="165"/>
      <c r="Q91" s="1244"/>
      <c r="W91" s="156"/>
      <c r="X91" s="156"/>
      <c r="Y91" s="156"/>
      <c r="Z91" s="156"/>
    </row>
    <row r="92" spans="1:26" ht="22.15" customHeight="1">
      <c r="A92" s="2633" t="s">
        <v>558</v>
      </c>
      <c r="B92" s="3065"/>
      <c r="C92" s="3216"/>
      <c r="D92" s="3217"/>
      <c r="E92" s="3217"/>
      <c r="F92" s="3217"/>
      <c r="G92" s="3047" t="s">
        <v>414</v>
      </c>
      <c r="H92" s="2959"/>
      <c r="I92" s="3221"/>
      <c r="J92" s="3222"/>
      <c r="K92" s="3222"/>
      <c r="L92" s="3222"/>
      <c r="M92" s="3047" t="s">
        <v>415</v>
      </c>
      <c r="N92" s="3047"/>
      <c r="O92" s="3225" t="str">
        <f>IF(O90="","",O90)</f>
        <v/>
      </c>
      <c r="P92" s="3229"/>
      <c r="Q92" s="3229"/>
      <c r="W92" s="156"/>
      <c r="X92" s="156"/>
      <c r="Y92" s="156"/>
      <c r="Z92" s="156"/>
    </row>
    <row r="93" spans="1:26" ht="22.15" customHeight="1">
      <c r="A93" s="3080">
        <f>IF(計1!$D$28="","",計1!$G$28)</f>
        <v>2026</v>
      </c>
      <c r="B93" s="3059"/>
      <c r="C93" s="3218"/>
      <c r="D93" s="3219"/>
      <c r="E93" s="3219"/>
      <c r="F93" s="3219"/>
      <c r="G93" s="3048"/>
      <c r="H93" s="3220"/>
      <c r="I93" s="3223"/>
      <c r="J93" s="3224"/>
      <c r="K93" s="3224"/>
      <c r="L93" s="3224"/>
      <c r="M93" s="3048"/>
      <c r="N93" s="3048"/>
      <c r="O93" s="3226"/>
      <c r="P93" s="3230"/>
      <c r="Q93" s="3231"/>
      <c r="W93" s="156"/>
      <c r="X93" s="357"/>
      <c r="Y93" s="156"/>
      <c r="Z93" s="156"/>
    </row>
    <row r="94" spans="1:26" ht="24.95" customHeight="1">
      <c r="A94" s="145"/>
      <c r="B94" s="146" t="s">
        <v>577</v>
      </c>
      <c r="C94" s="147"/>
      <c r="D94" s="3232" t="str">
        <f ca="1">IF(OR(C90=0,C92=""),"",INT((C90-C92)/C90*10000)/100)</f>
        <v/>
      </c>
      <c r="E94" s="3232"/>
      <c r="F94" s="3232"/>
      <c r="G94" s="3233" t="s">
        <v>134</v>
      </c>
      <c r="H94" s="3234"/>
      <c r="I94" s="148"/>
      <c r="J94" s="3235" t="str">
        <f>IF(OR(I90=0,I92=""),"",INT((I90-I92)/I90*10000)/100)</f>
        <v/>
      </c>
      <c r="K94" s="3235"/>
      <c r="L94" s="3235"/>
      <c r="M94" s="3232" t="s">
        <v>501</v>
      </c>
      <c r="N94" s="3232"/>
      <c r="O94" s="3236"/>
      <c r="P94" s="335"/>
      <c r="Q94" s="1245"/>
      <c r="W94" s="359"/>
      <c r="X94" s="359"/>
      <c r="Y94" s="359"/>
      <c r="Z94" s="156"/>
    </row>
    <row r="95" spans="1:26" ht="27.75" customHeight="1">
      <c r="A95" s="2672" t="s">
        <v>559</v>
      </c>
      <c r="B95" s="2635"/>
      <c r="C95" s="3240"/>
      <c r="D95" s="3241"/>
      <c r="E95" s="3241"/>
      <c r="F95" s="3241"/>
      <c r="G95" s="3241"/>
      <c r="H95" s="3241"/>
      <c r="I95" s="3241"/>
      <c r="J95" s="3241"/>
      <c r="K95" s="3241"/>
      <c r="L95" s="3241"/>
      <c r="M95" s="3241"/>
      <c r="N95" s="3241"/>
      <c r="O95" s="3242"/>
      <c r="P95" s="335"/>
      <c r="Q95" s="1245"/>
      <c r="R95" s="1246"/>
      <c r="W95" s="359"/>
      <c r="X95" s="359" t="s">
        <v>586</v>
      </c>
      <c r="Y95" s="359"/>
      <c r="Z95" s="156"/>
    </row>
    <row r="96" spans="1:26" ht="35.1" customHeight="1">
      <c r="A96" s="3237"/>
      <c r="B96" s="2648"/>
      <c r="C96" s="3243"/>
      <c r="D96" s="2941"/>
      <c r="E96" s="2941"/>
      <c r="F96" s="2941"/>
      <c r="G96" s="2941"/>
      <c r="H96" s="2941"/>
      <c r="I96" s="2941"/>
      <c r="J96" s="2941"/>
      <c r="K96" s="2941"/>
      <c r="L96" s="2941"/>
      <c r="M96" s="2941"/>
      <c r="N96" s="2941"/>
      <c r="O96" s="2942"/>
      <c r="P96" s="358"/>
      <c r="Q96" s="1247"/>
      <c r="R96" s="1248">
        <v>0</v>
      </c>
      <c r="W96" s="359"/>
      <c r="X96" s="360" t="s">
        <v>587</v>
      </c>
      <c r="Y96" s="359"/>
      <c r="Z96" s="156"/>
    </row>
    <row r="97" spans="1:26" ht="93" customHeight="1">
      <c r="A97" s="3238"/>
      <c r="B97" s="3239"/>
      <c r="C97" s="3244"/>
      <c r="D97" s="2943"/>
      <c r="E97" s="2943"/>
      <c r="F97" s="2943"/>
      <c r="G97" s="2943"/>
      <c r="H97" s="2943"/>
      <c r="I97" s="2943"/>
      <c r="J97" s="2943"/>
      <c r="K97" s="2943"/>
      <c r="L97" s="2943"/>
      <c r="M97" s="2943"/>
      <c r="N97" s="2943"/>
      <c r="O97" s="2944"/>
      <c r="P97" s="336"/>
      <c r="Q97" s="1249"/>
      <c r="W97" s="156"/>
      <c r="X97" s="156"/>
      <c r="Y97" s="156"/>
      <c r="Z97" s="156"/>
    </row>
    <row r="98" spans="1:26" ht="18" customHeight="1">
      <c r="A98" s="2831" t="s">
        <v>583</v>
      </c>
      <c r="B98" s="2831"/>
      <c r="C98" s="2831"/>
      <c r="D98" s="2831"/>
      <c r="E98" s="2831"/>
      <c r="F98" s="2831"/>
      <c r="G98" s="2831"/>
      <c r="H98" s="2831"/>
      <c r="I98" s="2831"/>
      <c r="J98" s="2831"/>
      <c r="K98" s="2831"/>
      <c r="L98" s="2831"/>
      <c r="M98" s="2831"/>
      <c r="N98" s="2831"/>
      <c r="O98" s="2831"/>
      <c r="P98" s="3227"/>
      <c r="Q98" s="3227"/>
      <c r="W98" s="156"/>
      <c r="X98" s="156"/>
      <c r="Y98" s="156"/>
      <c r="Z98" s="156"/>
    </row>
    <row r="99" spans="1:26" ht="9.75" customHeight="1">
      <c r="A99" s="89"/>
      <c r="B99" s="89"/>
      <c r="C99" s="106"/>
      <c r="D99" s="106"/>
      <c r="E99" s="106"/>
      <c r="F99" s="106"/>
      <c r="G99" s="106"/>
      <c r="H99" s="106"/>
      <c r="I99" s="106"/>
      <c r="J99" s="106"/>
      <c r="K99" s="106"/>
      <c r="L99" s="106"/>
      <c r="M99" s="106"/>
      <c r="N99" s="3228"/>
      <c r="O99" s="3228"/>
      <c r="P99" s="156"/>
      <c r="W99" s="156"/>
      <c r="X99" s="156"/>
      <c r="Y99" s="156"/>
      <c r="Z99" s="156"/>
    </row>
    <row r="100" spans="1:26">
      <c r="A100" s="156"/>
      <c r="B100" s="156"/>
      <c r="C100" s="156"/>
      <c r="D100" s="156"/>
      <c r="E100" s="156"/>
      <c r="F100" s="156"/>
      <c r="G100" s="156"/>
      <c r="H100" s="156"/>
      <c r="I100" s="156"/>
      <c r="J100" s="156"/>
      <c r="K100" s="156"/>
      <c r="L100" s="156"/>
      <c r="M100" s="156"/>
      <c r="N100" s="156"/>
      <c r="O100" s="156"/>
      <c r="P100" s="156"/>
      <c r="W100" s="156"/>
      <c r="X100" s="156"/>
      <c r="Y100" s="156"/>
      <c r="Z100" s="156"/>
    </row>
    <row r="101" spans="1:26">
      <c r="A101" s="1" t="s">
        <v>520</v>
      </c>
      <c r="B101" s="2"/>
      <c r="C101" s="2"/>
      <c r="D101" s="2"/>
      <c r="E101" s="2"/>
      <c r="F101" s="2"/>
      <c r="G101" s="2"/>
      <c r="H101" s="2"/>
      <c r="I101" s="2"/>
      <c r="J101" s="2"/>
      <c r="K101" s="2"/>
      <c r="L101" s="2"/>
      <c r="M101" s="2"/>
      <c r="N101" s="2"/>
      <c r="O101" s="2"/>
      <c r="P101" s="156" t="str">
        <f>"個別票"&amp;Q101</f>
        <v>個別票5</v>
      </c>
      <c r="Q101" s="1242">
        <f>Q76+1</f>
        <v>5</v>
      </c>
      <c r="W101" s="156"/>
      <c r="X101" s="156"/>
      <c r="Y101" s="156"/>
      <c r="Z101" s="156"/>
    </row>
    <row r="102" spans="1:26">
      <c r="A102" s="2" t="s">
        <v>557</v>
      </c>
      <c r="B102" s="4"/>
      <c r="C102" s="4"/>
      <c r="D102" s="4"/>
      <c r="E102" s="4"/>
      <c r="F102" s="4"/>
      <c r="G102" s="4"/>
      <c r="H102" s="4"/>
      <c r="I102" s="4"/>
      <c r="J102" s="4"/>
      <c r="K102" s="4"/>
      <c r="L102" s="4"/>
      <c r="M102" s="4"/>
      <c r="N102" s="2"/>
      <c r="O102" s="2"/>
      <c r="P102" s="156"/>
      <c r="W102" s="156"/>
      <c r="X102" s="156"/>
      <c r="Y102" s="156"/>
      <c r="Z102" s="156"/>
    </row>
    <row r="103" spans="1:26" ht="17.25">
      <c r="A103" s="2612" t="s">
        <v>556</v>
      </c>
      <c r="B103" s="2612"/>
      <c r="C103" s="2612"/>
      <c r="D103" s="2612"/>
      <c r="E103" s="2612"/>
      <c r="F103" s="2612"/>
      <c r="G103" s="2612"/>
      <c r="H103" s="2612"/>
      <c r="I103" s="2612"/>
      <c r="J103" s="2612"/>
      <c r="K103" s="2612"/>
      <c r="L103" s="2612"/>
      <c r="M103" s="2612"/>
      <c r="N103" s="2612"/>
      <c r="O103" s="2612"/>
      <c r="P103" s="156"/>
      <c r="W103" s="156"/>
      <c r="X103" s="156"/>
      <c r="Y103" s="156"/>
      <c r="Z103" s="156"/>
    </row>
    <row r="104" spans="1:26" ht="17.25">
      <c r="A104" s="38"/>
      <c r="B104" s="38"/>
      <c r="C104" s="38"/>
      <c r="D104" s="38"/>
      <c r="E104" s="38"/>
      <c r="F104" s="38"/>
      <c r="G104" s="38"/>
      <c r="H104" s="38"/>
      <c r="I104" s="38"/>
      <c r="J104" s="38"/>
      <c r="K104" s="38"/>
      <c r="L104" s="38"/>
      <c r="M104" s="38"/>
      <c r="N104" s="38"/>
      <c r="O104" s="38"/>
      <c r="P104" s="156"/>
      <c r="W104" s="156"/>
      <c r="X104" s="156"/>
      <c r="Y104" s="156"/>
      <c r="Z104" s="156"/>
    </row>
    <row r="105" spans="1:26" ht="18" customHeight="1">
      <c r="A105" s="48" t="s">
        <v>151</v>
      </c>
      <c r="B105" s="4"/>
      <c r="C105" s="4"/>
      <c r="D105" s="4"/>
      <c r="E105" s="4"/>
      <c r="F105" s="4"/>
      <c r="G105" s="4"/>
      <c r="H105" s="4"/>
      <c r="I105" s="4"/>
      <c r="J105" s="4"/>
      <c r="K105" s="4"/>
      <c r="L105" s="4"/>
      <c r="M105" s="4"/>
      <c r="N105" s="2"/>
      <c r="O105" s="2"/>
      <c r="P105" s="156"/>
      <c r="W105" s="156"/>
      <c r="X105" s="156"/>
      <c r="Y105" s="156"/>
      <c r="Z105" s="156"/>
    </row>
    <row r="106" spans="1:26" ht="39.950000000000003" customHeight="1">
      <c r="A106" s="2984" t="s">
        <v>152</v>
      </c>
      <c r="B106" s="2985"/>
      <c r="C106" s="2986"/>
      <c r="D106" s="2987" t="str">
        <f>報7!D106</f>
        <v>事業所名を入力5</v>
      </c>
      <c r="E106" s="2988"/>
      <c r="F106" s="2988"/>
      <c r="G106" s="2988"/>
      <c r="H106" s="2988"/>
      <c r="I106" s="2988"/>
      <c r="J106" s="2988"/>
      <c r="K106" s="2988"/>
      <c r="L106" s="2988"/>
      <c r="M106" s="2988"/>
      <c r="N106" s="2988"/>
      <c r="O106" s="2989"/>
      <c r="P106" s="156"/>
      <c r="W106" s="156"/>
      <c r="X106" s="156"/>
      <c r="Y106" s="156"/>
      <c r="Z106" s="156"/>
    </row>
    <row r="107" spans="1:26" ht="39.950000000000003" customHeight="1">
      <c r="A107" s="2570" t="s">
        <v>153</v>
      </c>
      <c r="B107" s="2571"/>
      <c r="C107" s="2990"/>
      <c r="D107" s="2573">
        <f>報7!D107</f>
        <v>0</v>
      </c>
      <c r="E107" s="2574"/>
      <c r="F107" s="2574"/>
      <c r="G107" s="2574"/>
      <c r="H107" s="2574"/>
      <c r="I107" s="2574"/>
      <c r="J107" s="2574"/>
      <c r="K107" s="2574"/>
      <c r="L107" s="2574"/>
      <c r="M107" s="2574"/>
      <c r="N107" s="2574"/>
      <c r="O107" s="2575"/>
      <c r="P107" s="156"/>
      <c r="W107" s="156"/>
      <c r="X107" s="156"/>
      <c r="Y107" s="156"/>
      <c r="Z107" s="156"/>
    </row>
    <row r="108" spans="1:26" ht="39.950000000000003" customHeight="1">
      <c r="A108" s="2536" t="s">
        <v>154</v>
      </c>
      <c r="B108" s="2978"/>
      <c r="C108" s="3245">
        <f>報7!C108</f>
        <v>0</v>
      </c>
      <c r="D108" s="3246"/>
      <c r="E108" s="101" t="s">
        <v>180</v>
      </c>
      <c r="F108" s="2974" t="s">
        <v>404</v>
      </c>
      <c r="G108" s="2975"/>
      <c r="H108" s="2981" t="str">
        <f ca="1">報7!H108</f>
        <v/>
      </c>
      <c r="I108" s="2982"/>
      <c r="J108" s="58" t="s">
        <v>176</v>
      </c>
      <c r="K108" s="2974" t="s">
        <v>405</v>
      </c>
      <c r="L108" s="2975"/>
      <c r="M108" s="3247">
        <f>報7!M108</f>
        <v>0</v>
      </c>
      <c r="N108" s="3248"/>
      <c r="O108" s="3249"/>
      <c r="P108" s="156" t="str">
        <f>IFERROR(VLOOKUP(M108,$U$6:$V$22,2,0),"")</f>
        <v/>
      </c>
      <c r="W108" s="156"/>
      <c r="X108" s="156"/>
      <c r="Y108" s="156"/>
      <c r="Z108" s="156"/>
    </row>
    <row r="109" spans="1:26" ht="39.950000000000003" customHeight="1">
      <c r="A109" s="2974" t="s">
        <v>406</v>
      </c>
      <c r="B109" s="2975"/>
      <c r="C109" s="3250">
        <f>報7!C109</f>
        <v>0</v>
      </c>
      <c r="D109" s="2507"/>
      <c r="E109" s="2508"/>
      <c r="F109" s="2974" t="s">
        <v>158</v>
      </c>
      <c r="G109" s="2975"/>
      <c r="H109" s="3250">
        <f>報7!H109</f>
        <v>0</v>
      </c>
      <c r="I109" s="2507"/>
      <c r="J109" s="2508"/>
      <c r="K109" s="2580"/>
      <c r="L109" s="2977"/>
      <c r="M109" s="2977"/>
      <c r="N109" s="2977"/>
      <c r="O109" s="2977"/>
      <c r="P109" s="156"/>
      <c r="W109" s="156"/>
      <c r="X109" s="156"/>
      <c r="Y109" s="156"/>
      <c r="Z109" s="156"/>
    </row>
    <row r="110" spans="1:26" ht="49.9" customHeight="1">
      <c r="A110" s="39"/>
      <c r="B110" s="39"/>
      <c r="C110" s="40"/>
      <c r="D110" s="41"/>
      <c r="E110" s="40"/>
      <c r="F110" s="42"/>
      <c r="P110" s="156"/>
      <c r="W110" s="156"/>
      <c r="X110" s="156"/>
      <c r="Y110" s="156"/>
      <c r="Z110" s="156"/>
    </row>
    <row r="111" spans="1:26" s="103" customFormat="1" ht="19.5" customHeight="1">
      <c r="A111" s="3251" t="s">
        <v>555</v>
      </c>
      <c r="B111" s="3252"/>
      <c r="C111" s="3252"/>
      <c r="D111" s="3252"/>
      <c r="E111" s="3252"/>
      <c r="F111" s="3252"/>
      <c r="G111" s="3252"/>
      <c r="H111" s="3252"/>
      <c r="I111" s="3252"/>
      <c r="J111" s="3252"/>
      <c r="K111" s="3252"/>
      <c r="L111" s="3252"/>
      <c r="M111" s="3252"/>
      <c r="N111" s="3252"/>
      <c r="O111" s="3252"/>
      <c r="P111" s="334"/>
      <c r="Q111" s="1243"/>
      <c r="R111" s="1243"/>
      <c r="S111" s="1243"/>
      <c r="T111" s="1243"/>
      <c r="U111" s="1243"/>
      <c r="V111" s="1243"/>
      <c r="W111" s="334"/>
      <c r="X111" s="334"/>
      <c r="Y111" s="334"/>
      <c r="Z111" s="334"/>
    </row>
    <row r="112" spans="1:26" ht="49.9" customHeight="1">
      <c r="A112" s="104"/>
      <c r="B112" s="39"/>
      <c r="E112" s="105"/>
      <c r="F112" s="105"/>
      <c r="G112" s="105"/>
      <c r="H112" s="105"/>
      <c r="I112" s="105"/>
      <c r="J112" s="105"/>
      <c r="K112" s="105"/>
      <c r="L112" s="105"/>
      <c r="M112" s="105"/>
      <c r="N112" s="105"/>
      <c r="O112" s="105"/>
      <c r="P112" s="156"/>
      <c r="W112" s="156"/>
      <c r="X112" s="156"/>
      <c r="Y112" s="156"/>
      <c r="Z112" s="156"/>
    </row>
    <row r="113" spans="1:26" ht="20.25" customHeight="1">
      <c r="A113" s="50" t="s">
        <v>554</v>
      </c>
      <c r="B113" s="30"/>
      <c r="C113" s="30"/>
      <c r="D113" s="30"/>
      <c r="E113" s="30"/>
      <c r="F113" s="30"/>
      <c r="G113" s="30"/>
      <c r="H113" s="30"/>
      <c r="I113" s="30"/>
      <c r="J113" s="30"/>
      <c r="K113" s="30"/>
      <c r="L113" s="6"/>
      <c r="M113" s="6"/>
      <c r="N113" s="6"/>
      <c r="O113" s="6"/>
      <c r="P113" s="156"/>
      <c r="W113" s="156"/>
      <c r="X113" s="156"/>
      <c r="Y113" s="156"/>
      <c r="Z113" s="156"/>
    </row>
    <row r="114" spans="1:26" ht="20.100000000000001" customHeight="1">
      <c r="A114" s="2654"/>
      <c r="B114" s="2655"/>
      <c r="C114" s="2673" t="s">
        <v>561</v>
      </c>
      <c r="D114" s="2674"/>
      <c r="E114" s="2674"/>
      <c r="F114" s="2674"/>
      <c r="G114" s="2674"/>
      <c r="H114" s="2675"/>
      <c r="I114" s="2673" t="s">
        <v>560</v>
      </c>
      <c r="J114" s="2674"/>
      <c r="K114" s="2674"/>
      <c r="L114" s="2674"/>
      <c r="M114" s="2674"/>
      <c r="N114" s="2674"/>
      <c r="O114" s="2675"/>
      <c r="P114" s="156"/>
      <c r="W114" s="156"/>
      <c r="X114" s="156"/>
      <c r="Y114" s="156"/>
      <c r="Z114" s="156"/>
    </row>
    <row r="115" spans="1:26" ht="22.15" customHeight="1">
      <c r="A115" s="3253" t="s">
        <v>122</v>
      </c>
      <c r="B115" s="3254"/>
      <c r="C115" s="3255" t="str">
        <f ca="1">参照元個別!E9</f>
        <v/>
      </c>
      <c r="D115" s="3256"/>
      <c r="E115" s="3256"/>
      <c r="F115" s="3256"/>
      <c r="G115" s="3047" t="s">
        <v>1265</v>
      </c>
      <c r="H115" s="2959"/>
      <c r="I115" s="3260" t="str">
        <f>報7!I115</f>
        <v/>
      </c>
      <c r="J115" s="3261"/>
      <c r="K115" s="3261"/>
      <c r="L115" s="3261"/>
      <c r="M115" s="3047" t="s">
        <v>4308</v>
      </c>
      <c r="N115" s="3047"/>
      <c r="O115" s="3264" t="str">
        <f>報7!N115</f>
        <v/>
      </c>
      <c r="P115" s="165"/>
      <c r="Q115" s="1244"/>
      <c r="W115" s="156"/>
      <c r="X115" s="156"/>
      <c r="Y115" s="156"/>
      <c r="Z115" s="156"/>
    </row>
    <row r="116" spans="1:26" ht="22.15" customHeight="1">
      <c r="A116" s="3097">
        <f>IF(計1!$D$28="","",計1!$D$28-1)</f>
        <v>2023</v>
      </c>
      <c r="B116" s="2655"/>
      <c r="C116" s="3257"/>
      <c r="D116" s="3258"/>
      <c r="E116" s="3258"/>
      <c r="F116" s="3258"/>
      <c r="G116" s="3076"/>
      <c r="H116" s="3259"/>
      <c r="I116" s="3262"/>
      <c r="J116" s="3263"/>
      <c r="K116" s="3263"/>
      <c r="L116" s="3263"/>
      <c r="M116" s="3048"/>
      <c r="N116" s="3048"/>
      <c r="O116" s="3265"/>
      <c r="P116" s="165"/>
      <c r="Q116" s="1244"/>
      <c r="W116" s="156"/>
      <c r="X116" s="156"/>
      <c r="Y116" s="156"/>
      <c r="Z116" s="156"/>
    </row>
    <row r="117" spans="1:26" ht="22.15" customHeight="1">
      <c r="A117" s="2633" t="s">
        <v>558</v>
      </c>
      <c r="B117" s="3065"/>
      <c r="C117" s="3216"/>
      <c r="D117" s="3217"/>
      <c r="E117" s="3217"/>
      <c r="F117" s="3217"/>
      <c r="G117" s="3047" t="s">
        <v>414</v>
      </c>
      <c r="H117" s="2959"/>
      <c r="I117" s="3221"/>
      <c r="J117" s="3222"/>
      <c r="K117" s="3222"/>
      <c r="L117" s="3222"/>
      <c r="M117" s="3047" t="s">
        <v>415</v>
      </c>
      <c r="N117" s="3047"/>
      <c r="O117" s="3225" t="str">
        <f>IF(O115="","",O115)</f>
        <v/>
      </c>
      <c r="P117" s="3229"/>
      <c r="Q117" s="3229"/>
      <c r="W117" s="156"/>
      <c r="X117" s="156"/>
      <c r="Y117" s="156"/>
      <c r="Z117" s="156"/>
    </row>
    <row r="118" spans="1:26" ht="22.15" customHeight="1">
      <c r="A118" s="3080">
        <f>IF(計1!$D$28="","",計1!$G$28)</f>
        <v>2026</v>
      </c>
      <c r="B118" s="3059"/>
      <c r="C118" s="3218"/>
      <c r="D118" s="3219"/>
      <c r="E118" s="3219"/>
      <c r="F118" s="3219"/>
      <c r="G118" s="3048"/>
      <c r="H118" s="3220"/>
      <c r="I118" s="3223"/>
      <c r="J118" s="3224"/>
      <c r="K118" s="3224"/>
      <c r="L118" s="3224"/>
      <c r="M118" s="3048"/>
      <c r="N118" s="3048"/>
      <c r="O118" s="3226"/>
      <c r="P118" s="3230"/>
      <c r="Q118" s="3231"/>
      <c r="W118" s="156"/>
      <c r="X118" s="357"/>
      <c r="Y118" s="156"/>
      <c r="Z118" s="156"/>
    </row>
    <row r="119" spans="1:26" ht="24.95" customHeight="1">
      <c r="A119" s="145"/>
      <c r="B119" s="146" t="s">
        <v>577</v>
      </c>
      <c r="C119" s="147"/>
      <c r="D119" s="3232" t="str">
        <f ca="1">IF(OR(C115=0,C117=""),"",INT((C115-C117)/C115*10000)/100)</f>
        <v/>
      </c>
      <c r="E119" s="3232"/>
      <c r="F119" s="3232"/>
      <c r="G119" s="3233" t="s">
        <v>134</v>
      </c>
      <c r="H119" s="3234"/>
      <c r="I119" s="148"/>
      <c r="J119" s="3235" t="str">
        <f>IF(OR(I115=0,I117=""),"",INT((I115-I117)/I115*10000)/100)</f>
        <v/>
      </c>
      <c r="K119" s="3235"/>
      <c r="L119" s="3235"/>
      <c r="M119" s="3232" t="s">
        <v>501</v>
      </c>
      <c r="N119" s="3232"/>
      <c r="O119" s="3236"/>
      <c r="P119" s="335"/>
      <c r="Q119" s="1245"/>
      <c r="W119" s="359"/>
      <c r="X119" s="359"/>
      <c r="Y119" s="359"/>
      <c r="Z119" s="156"/>
    </row>
    <row r="120" spans="1:26" ht="27.75" customHeight="1">
      <c r="A120" s="2672" t="s">
        <v>559</v>
      </c>
      <c r="B120" s="2635"/>
      <c r="C120" s="3240"/>
      <c r="D120" s="3241"/>
      <c r="E120" s="3241"/>
      <c r="F120" s="3241"/>
      <c r="G120" s="3241"/>
      <c r="H120" s="3241"/>
      <c r="I120" s="3241"/>
      <c r="J120" s="3241"/>
      <c r="K120" s="3241"/>
      <c r="L120" s="3241"/>
      <c r="M120" s="3241"/>
      <c r="N120" s="3241"/>
      <c r="O120" s="3242"/>
      <c r="P120" s="335"/>
      <c r="Q120" s="1245"/>
      <c r="R120" s="1246"/>
      <c r="W120" s="359"/>
      <c r="X120" s="359" t="s">
        <v>586</v>
      </c>
      <c r="Y120" s="359"/>
      <c r="Z120" s="156"/>
    </row>
    <row r="121" spans="1:26" ht="35.1" customHeight="1">
      <c r="A121" s="3237"/>
      <c r="B121" s="2648"/>
      <c r="C121" s="3243"/>
      <c r="D121" s="2941"/>
      <c r="E121" s="2941"/>
      <c r="F121" s="2941"/>
      <c r="G121" s="2941"/>
      <c r="H121" s="2941"/>
      <c r="I121" s="2941"/>
      <c r="J121" s="2941"/>
      <c r="K121" s="2941"/>
      <c r="L121" s="2941"/>
      <c r="M121" s="2941"/>
      <c r="N121" s="2941"/>
      <c r="O121" s="2942"/>
      <c r="P121" s="358"/>
      <c r="Q121" s="1247"/>
      <c r="R121" s="1248">
        <v>0</v>
      </c>
      <c r="W121" s="359"/>
      <c r="X121" s="360" t="s">
        <v>587</v>
      </c>
      <c r="Y121" s="359"/>
      <c r="Z121" s="156"/>
    </row>
    <row r="122" spans="1:26" ht="93" customHeight="1">
      <c r="A122" s="3238"/>
      <c r="B122" s="3239"/>
      <c r="C122" s="3244"/>
      <c r="D122" s="2943"/>
      <c r="E122" s="2943"/>
      <c r="F122" s="2943"/>
      <c r="G122" s="2943"/>
      <c r="H122" s="2943"/>
      <c r="I122" s="2943"/>
      <c r="J122" s="2943"/>
      <c r="K122" s="2943"/>
      <c r="L122" s="2943"/>
      <c r="M122" s="2943"/>
      <c r="N122" s="2943"/>
      <c r="O122" s="2944"/>
      <c r="P122" s="336"/>
      <c r="Q122" s="1249"/>
      <c r="W122" s="156"/>
      <c r="X122" s="156"/>
      <c r="Y122" s="156"/>
      <c r="Z122" s="156"/>
    </row>
    <row r="123" spans="1:26" ht="18" customHeight="1">
      <c r="A123" s="2831" t="s">
        <v>583</v>
      </c>
      <c r="B123" s="2831"/>
      <c r="C123" s="2831"/>
      <c r="D123" s="2831"/>
      <c r="E123" s="2831"/>
      <c r="F123" s="2831"/>
      <c r="G123" s="2831"/>
      <c r="H123" s="2831"/>
      <c r="I123" s="2831"/>
      <c r="J123" s="2831"/>
      <c r="K123" s="2831"/>
      <c r="L123" s="2831"/>
      <c r="M123" s="2831"/>
      <c r="N123" s="2831"/>
      <c r="O123" s="2831"/>
      <c r="P123" s="3227"/>
      <c r="Q123" s="3227"/>
      <c r="W123" s="156"/>
      <c r="X123" s="156"/>
      <c r="Y123" s="156"/>
      <c r="Z123" s="156"/>
    </row>
    <row r="124" spans="1:26" ht="9.75" customHeight="1">
      <c r="A124" s="89"/>
      <c r="B124" s="89"/>
      <c r="C124" s="106"/>
      <c r="D124" s="106"/>
      <c r="E124" s="106"/>
      <c r="F124" s="106"/>
      <c r="G124" s="106"/>
      <c r="H124" s="106"/>
      <c r="I124" s="106"/>
      <c r="J124" s="106"/>
      <c r="K124" s="106"/>
      <c r="L124" s="106"/>
      <c r="M124" s="106"/>
      <c r="N124" s="3228"/>
      <c r="O124" s="3228"/>
      <c r="P124" s="156"/>
      <c r="W124" s="156"/>
      <c r="X124" s="156"/>
      <c r="Y124" s="156"/>
      <c r="Z124" s="156"/>
    </row>
    <row r="125" spans="1:26">
      <c r="A125" s="156"/>
      <c r="B125" s="156"/>
      <c r="C125" s="156"/>
      <c r="D125" s="156"/>
      <c r="E125" s="156"/>
      <c r="F125" s="156"/>
      <c r="G125" s="156"/>
      <c r="H125" s="156"/>
      <c r="I125" s="156"/>
      <c r="J125" s="156"/>
      <c r="K125" s="156"/>
      <c r="L125" s="156"/>
      <c r="M125" s="156"/>
      <c r="N125" s="156"/>
      <c r="O125" s="156"/>
      <c r="P125" s="156"/>
      <c r="W125" s="156"/>
      <c r="X125" s="156"/>
      <c r="Y125" s="156"/>
      <c r="Z125" s="156"/>
    </row>
    <row r="126" spans="1:26">
      <c r="A126" s="1" t="s">
        <v>520</v>
      </c>
      <c r="B126" s="2"/>
      <c r="C126" s="2"/>
      <c r="D126" s="2"/>
      <c r="E126" s="2"/>
      <c r="F126" s="2"/>
      <c r="G126" s="2"/>
      <c r="H126" s="2"/>
      <c r="I126" s="2"/>
      <c r="J126" s="2"/>
      <c r="K126" s="2"/>
      <c r="L126" s="2"/>
      <c r="M126" s="2"/>
      <c r="N126" s="2"/>
      <c r="O126" s="2"/>
      <c r="P126" s="156" t="str">
        <f>"個別票"&amp;Q126</f>
        <v>個別票6</v>
      </c>
      <c r="Q126" s="1242">
        <f>Q101+1</f>
        <v>6</v>
      </c>
      <c r="W126" s="156"/>
      <c r="X126" s="156"/>
      <c r="Y126" s="156"/>
      <c r="Z126" s="156"/>
    </row>
    <row r="127" spans="1:26">
      <c r="A127" s="2" t="s">
        <v>557</v>
      </c>
      <c r="B127" s="4"/>
      <c r="C127" s="4"/>
      <c r="D127" s="4"/>
      <c r="E127" s="4"/>
      <c r="F127" s="4"/>
      <c r="G127" s="4"/>
      <c r="H127" s="4"/>
      <c r="I127" s="4"/>
      <c r="J127" s="4"/>
      <c r="K127" s="4"/>
      <c r="L127" s="4"/>
      <c r="M127" s="4"/>
      <c r="N127" s="2"/>
      <c r="O127" s="2"/>
      <c r="P127" s="156"/>
      <c r="W127" s="156"/>
      <c r="X127" s="156"/>
      <c r="Y127" s="156"/>
      <c r="Z127" s="156"/>
    </row>
    <row r="128" spans="1:26" ht="17.25">
      <c r="A128" s="2612" t="s">
        <v>556</v>
      </c>
      <c r="B128" s="2612"/>
      <c r="C128" s="2612"/>
      <c r="D128" s="2612"/>
      <c r="E128" s="2612"/>
      <c r="F128" s="2612"/>
      <c r="G128" s="2612"/>
      <c r="H128" s="2612"/>
      <c r="I128" s="2612"/>
      <c r="J128" s="2612"/>
      <c r="K128" s="2612"/>
      <c r="L128" s="2612"/>
      <c r="M128" s="2612"/>
      <c r="N128" s="2612"/>
      <c r="O128" s="2612"/>
      <c r="P128" s="156"/>
      <c r="W128" s="156"/>
      <c r="X128" s="156"/>
      <c r="Y128" s="156"/>
      <c r="Z128" s="156"/>
    </row>
    <row r="129" spans="1:26" ht="17.25">
      <c r="A129" s="38"/>
      <c r="B129" s="38"/>
      <c r="C129" s="38"/>
      <c r="D129" s="38"/>
      <c r="E129" s="38"/>
      <c r="F129" s="38"/>
      <c r="G129" s="38"/>
      <c r="H129" s="38"/>
      <c r="I129" s="38"/>
      <c r="J129" s="38"/>
      <c r="K129" s="38"/>
      <c r="L129" s="38"/>
      <c r="M129" s="38"/>
      <c r="N129" s="38"/>
      <c r="O129" s="38"/>
      <c r="P129" s="156"/>
      <c r="W129" s="156"/>
      <c r="X129" s="156"/>
      <c r="Y129" s="156"/>
      <c r="Z129" s="156"/>
    </row>
    <row r="130" spans="1:26" ht="18" customHeight="1">
      <c r="A130" s="48" t="s">
        <v>151</v>
      </c>
      <c r="B130" s="4"/>
      <c r="C130" s="4"/>
      <c r="D130" s="4"/>
      <c r="E130" s="4"/>
      <c r="F130" s="4"/>
      <c r="G130" s="4"/>
      <c r="H130" s="4"/>
      <c r="I130" s="4"/>
      <c r="J130" s="4"/>
      <c r="K130" s="4"/>
      <c r="L130" s="4"/>
      <c r="M130" s="4"/>
      <c r="N130" s="2"/>
      <c r="O130" s="2"/>
      <c r="P130" s="156"/>
      <c r="W130" s="156"/>
      <c r="X130" s="156"/>
      <c r="Y130" s="156"/>
      <c r="Z130" s="156"/>
    </row>
    <row r="131" spans="1:26" ht="39.950000000000003" customHeight="1">
      <c r="A131" s="2984" t="s">
        <v>152</v>
      </c>
      <c r="B131" s="2985"/>
      <c r="C131" s="2986"/>
      <c r="D131" s="2987" t="str">
        <f>報7!D131</f>
        <v>事業所名を入力6</v>
      </c>
      <c r="E131" s="2988"/>
      <c r="F131" s="2988"/>
      <c r="G131" s="2988"/>
      <c r="H131" s="2988"/>
      <c r="I131" s="2988"/>
      <c r="J131" s="2988"/>
      <c r="K131" s="2988"/>
      <c r="L131" s="2988"/>
      <c r="M131" s="2988"/>
      <c r="N131" s="2988"/>
      <c r="O131" s="2989"/>
      <c r="P131" s="156"/>
      <c r="W131" s="156"/>
      <c r="X131" s="156"/>
      <c r="Y131" s="156"/>
      <c r="Z131" s="156"/>
    </row>
    <row r="132" spans="1:26" ht="39.950000000000003" customHeight="1">
      <c r="A132" s="2570" t="s">
        <v>153</v>
      </c>
      <c r="B132" s="2571"/>
      <c r="C132" s="2990"/>
      <c r="D132" s="2573">
        <f>報7!D132</f>
        <v>0</v>
      </c>
      <c r="E132" s="2574"/>
      <c r="F132" s="2574"/>
      <c r="G132" s="2574"/>
      <c r="H132" s="2574"/>
      <c r="I132" s="2574"/>
      <c r="J132" s="2574"/>
      <c r="K132" s="2574"/>
      <c r="L132" s="2574"/>
      <c r="M132" s="2574"/>
      <c r="N132" s="2574"/>
      <c r="O132" s="2575"/>
      <c r="P132" s="156"/>
      <c r="W132" s="156"/>
      <c r="X132" s="156"/>
      <c r="Y132" s="156"/>
      <c r="Z132" s="156"/>
    </row>
    <row r="133" spans="1:26" ht="39.950000000000003" customHeight="1">
      <c r="A133" s="2536" t="s">
        <v>154</v>
      </c>
      <c r="B133" s="2978"/>
      <c r="C133" s="3245">
        <f>報7!C133</f>
        <v>0</v>
      </c>
      <c r="D133" s="3246"/>
      <c r="E133" s="101" t="s">
        <v>180</v>
      </c>
      <c r="F133" s="2974" t="s">
        <v>404</v>
      </c>
      <c r="G133" s="2975"/>
      <c r="H133" s="2981" t="str">
        <f ca="1">報7!H133</f>
        <v/>
      </c>
      <c r="I133" s="2982"/>
      <c r="J133" s="58" t="s">
        <v>176</v>
      </c>
      <c r="K133" s="2974" t="s">
        <v>405</v>
      </c>
      <c r="L133" s="2975"/>
      <c r="M133" s="3247">
        <f>報7!M133</f>
        <v>0</v>
      </c>
      <c r="N133" s="3248"/>
      <c r="O133" s="3249"/>
      <c r="P133" s="156" t="str">
        <f>IFERROR(VLOOKUP(M133,$U$6:$V$22,2,0),"")</f>
        <v/>
      </c>
      <c r="W133" s="156"/>
      <c r="X133" s="156"/>
      <c r="Y133" s="156"/>
      <c r="Z133" s="156"/>
    </row>
    <row r="134" spans="1:26" ht="39.950000000000003" customHeight="1">
      <c r="A134" s="2974" t="s">
        <v>406</v>
      </c>
      <c r="B134" s="2975"/>
      <c r="C134" s="3250">
        <f>報7!C134</f>
        <v>0</v>
      </c>
      <c r="D134" s="2507"/>
      <c r="E134" s="2508"/>
      <c r="F134" s="2974" t="s">
        <v>158</v>
      </c>
      <c r="G134" s="2975"/>
      <c r="H134" s="3250">
        <f>報7!H134</f>
        <v>0</v>
      </c>
      <c r="I134" s="2507"/>
      <c r="J134" s="2508"/>
      <c r="K134" s="2580"/>
      <c r="L134" s="2977"/>
      <c r="M134" s="2977"/>
      <c r="N134" s="2977"/>
      <c r="O134" s="2977"/>
      <c r="P134" s="156"/>
      <c r="W134" s="156"/>
      <c r="X134" s="156"/>
      <c r="Y134" s="156"/>
      <c r="Z134" s="156"/>
    </row>
    <row r="135" spans="1:26" ht="49.9" customHeight="1">
      <c r="A135" s="39"/>
      <c r="B135" s="39"/>
      <c r="C135" s="40"/>
      <c r="D135" s="41"/>
      <c r="E135" s="40"/>
      <c r="F135" s="42"/>
      <c r="P135" s="156"/>
      <c r="W135" s="156"/>
      <c r="X135" s="156"/>
      <c r="Y135" s="156"/>
      <c r="Z135" s="156"/>
    </row>
    <row r="136" spans="1:26" s="103" customFormat="1" ht="19.5" customHeight="1">
      <c r="A136" s="3251" t="s">
        <v>555</v>
      </c>
      <c r="B136" s="3252"/>
      <c r="C136" s="3252"/>
      <c r="D136" s="3252"/>
      <c r="E136" s="3252"/>
      <c r="F136" s="3252"/>
      <c r="G136" s="3252"/>
      <c r="H136" s="3252"/>
      <c r="I136" s="3252"/>
      <c r="J136" s="3252"/>
      <c r="K136" s="3252"/>
      <c r="L136" s="3252"/>
      <c r="M136" s="3252"/>
      <c r="N136" s="3252"/>
      <c r="O136" s="3252"/>
      <c r="P136" s="334"/>
      <c r="Q136" s="1243"/>
      <c r="R136" s="1243"/>
      <c r="S136" s="1243"/>
      <c r="T136" s="1243"/>
      <c r="U136" s="1243"/>
      <c r="V136" s="1243"/>
      <c r="W136" s="334"/>
      <c r="X136" s="334"/>
      <c r="Y136" s="334"/>
      <c r="Z136" s="334"/>
    </row>
    <row r="137" spans="1:26" ht="49.9" customHeight="1">
      <c r="A137" s="104"/>
      <c r="B137" s="39"/>
      <c r="E137" s="105"/>
      <c r="F137" s="105"/>
      <c r="G137" s="105"/>
      <c r="H137" s="105"/>
      <c r="I137" s="105"/>
      <c r="J137" s="105"/>
      <c r="K137" s="105"/>
      <c r="L137" s="105"/>
      <c r="M137" s="105"/>
      <c r="N137" s="105"/>
      <c r="O137" s="105"/>
      <c r="P137" s="156"/>
      <c r="W137" s="156"/>
      <c r="X137" s="156"/>
      <c r="Y137" s="156"/>
      <c r="Z137" s="156"/>
    </row>
    <row r="138" spans="1:26" ht="20.25" customHeight="1">
      <c r="A138" s="50" t="s">
        <v>554</v>
      </c>
      <c r="B138" s="30"/>
      <c r="C138" s="30"/>
      <c r="D138" s="30"/>
      <c r="E138" s="30"/>
      <c r="F138" s="30"/>
      <c r="G138" s="30"/>
      <c r="H138" s="30"/>
      <c r="I138" s="30"/>
      <c r="J138" s="30"/>
      <c r="K138" s="30"/>
      <c r="L138" s="6"/>
      <c r="M138" s="6"/>
      <c r="N138" s="6"/>
      <c r="O138" s="6"/>
      <c r="P138" s="156"/>
      <c r="W138" s="156"/>
      <c r="X138" s="156"/>
      <c r="Y138" s="156"/>
      <c r="Z138" s="156"/>
    </row>
    <row r="139" spans="1:26" ht="20.100000000000001" customHeight="1">
      <c r="A139" s="2654"/>
      <c r="B139" s="2655"/>
      <c r="C139" s="2673" t="s">
        <v>561</v>
      </c>
      <c r="D139" s="2674"/>
      <c r="E139" s="2674"/>
      <c r="F139" s="2674"/>
      <c r="G139" s="2674"/>
      <c r="H139" s="2675"/>
      <c r="I139" s="2673" t="s">
        <v>560</v>
      </c>
      <c r="J139" s="2674"/>
      <c r="K139" s="2674"/>
      <c r="L139" s="2674"/>
      <c r="M139" s="2674"/>
      <c r="N139" s="2674"/>
      <c r="O139" s="2675"/>
      <c r="P139" s="156"/>
      <c r="W139" s="156"/>
      <c r="X139" s="156"/>
      <c r="Y139" s="156"/>
      <c r="Z139" s="156"/>
    </row>
    <row r="140" spans="1:26" ht="22.15" customHeight="1">
      <c r="A140" s="3253" t="s">
        <v>122</v>
      </c>
      <c r="B140" s="3254"/>
      <c r="C140" s="3255" t="str">
        <f ca="1">参照元個別!E10</f>
        <v/>
      </c>
      <c r="D140" s="3256"/>
      <c r="E140" s="3256"/>
      <c r="F140" s="3256"/>
      <c r="G140" s="3047" t="s">
        <v>1265</v>
      </c>
      <c r="H140" s="2959"/>
      <c r="I140" s="3260" t="str">
        <f>報7!I140</f>
        <v/>
      </c>
      <c r="J140" s="3261"/>
      <c r="K140" s="3261"/>
      <c r="L140" s="3261"/>
      <c r="M140" s="3047" t="s">
        <v>4308</v>
      </c>
      <c r="N140" s="3047"/>
      <c r="O140" s="3264" t="str">
        <f>報7!N140</f>
        <v/>
      </c>
      <c r="P140" s="165"/>
      <c r="Q140" s="1244"/>
      <c r="W140" s="156"/>
      <c r="X140" s="156"/>
      <c r="Y140" s="156"/>
      <c r="Z140" s="156"/>
    </row>
    <row r="141" spans="1:26" ht="22.15" customHeight="1">
      <c r="A141" s="3097">
        <f>IF(計1!$D$28="","",計1!$D$28-1)</f>
        <v>2023</v>
      </c>
      <c r="B141" s="2655"/>
      <c r="C141" s="3257"/>
      <c r="D141" s="3258"/>
      <c r="E141" s="3258"/>
      <c r="F141" s="3258"/>
      <c r="G141" s="3076"/>
      <c r="H141" s="3259"/>
      <c r="I141" s="3262"/>
      <c r="J141" s="3263"/>
      <c r="K141" s="3263"/>
      <c r="L141" s="3263"/>
      <c r="M141" s="3048"/>
      <c r="N141" s="3048"/>
      <c r="O141" s="3265"/>
      <c r="P141" s="165"/>
      <c r="Q141" s="1244"/>
      <c r="W141" s="156"/>
      <c r="X141" s="156"/>
      <c r="Y141" s="156"/>
      <c r="Z141" s="156"/>
    </row>
    <row r="142" spans="1:26" ht="22.15" customHeight="1">
      <c r="A142" s="2633" t="s">
        <v>558</v>
      </c>
      <c r="B142" s="3065"/>
      <c r="C142" s="3216"/>
      <c r="D142" s="3217"/>
      <c r="E142" s="3217"/>
      <c r="F142" s="3217"/>
      <c r="G142" s="3047" t="s">
        <v>414</v>
      </c>
      <c r="H142" s="2959"/>
      <c r="I142" s="3221"/>
      <c r="J142" s="3222"/>
      <c r="K142" s="3222"/>
      <c r="L142" s="3222"/>
      <c r="M142" s="3047" t="s">
        <v>415</v>
      </c>
      <c r="N142" s="3047"/>
      <c r="O142" s="3225" t="str">
        <f>IF(O140="","",O140)</f>
        <v/>
      </c>
      <c r="P142" s="3229"/>
      <c r="Q142" s="3229"/>
      <c r="W142" s="156"/>
      <c r="X142" s="156"/>
      <c r="Y142" s="156"/>
      <c r="Z142" s="156"/>
    </row>
    <row r="143" spans="1:26" ht="22.15" customHeight="1">
      <c r="A143" s="3080">
        <f>IF(計1!$D$28="","",計1!$G$28)</f>
        <v>2026</v>
      </c>
      <c r="B143" s="3059"/>
      <c r="C143" s="3218"/>
      <c r="D143" s="3219"/>
      <c r="E143" s="3219"/>
      <c r="F143" s="3219"/>
      <c r="G143" s="3048"/>
      <c r="H143" s="3220"/>
      <c r="I143" s="3223"/>
      <c r="J143" s="3224"/>
      <c r="K143" s="3224"/>
      <c r="L143" s="3224"/>
      <c r="M143" s="3048"/>
      <c r="N143" s="3048"/>
      <c r="O143" s="3226"/>
      <c r="P143" s="3230"/>
      <c r="Q143" s="3231"/>
      <c r="W143" s="156"/>
      <c r="X143" s="357"/>
      <c r="Y143" s="156"/>
      <c r="Z143" s="156"/>
    </row>
    <row r="144" spans="1:26" ht="24.95" customHeight="1">
      <c r="A144" s="145"/>
      <c r="B144" s="146" t="s">
        <v>577</v>
      </c>
      <c r="C144" s="147"/>
      <c r="D144" s="3232" t="str">
        <f ca="1">IF(OR(C140=0,C142=""),"",INT((C140-C142)/C140*10000)/100)</f>
        <v/>
      </c>
      <c r="E144" s="3232"/>
      <c r="F144" s="3232"/>
      <c r="G144" s="3233" t="s">
        <v>134</v>
      </c>
      <c r="H144" s="3234"/>
      <c r="I144" s="148"/>
      <c r="J144" s="3235" t="str">
        <f>IF(OR(I140=0,I142=""),"",INT((I140-I142)/I140*10000)/100)</f>
        <v/>
      </c>
      <c r="K144" s="3235"/>
      <c r="L144" s="3235"/>
      <c r="M144" s="3232" t="s">
        <v>501</v>
      </c>
      <c r="N144" s="3232"/>
      <c r="O144" s="3236"/>
      <c r="P144" s="335"/>
      <c r="Q144" s="1245"/>
      <c r="W144" s="359"/>
      <c r="X144" s="359"/>
      <c r="Y144" s="359"/>
      <c r="Z144" s="156"/>
    </row>
    <row r="145" spans="1:26" ht="27.75" customHeight="1">
      <c r="A145" s="2672" t="s">
        <v>559</v>
      </c>
      <c r="B145" s="2635"/>
      <c r="C145" s="3240"/>
      <c r="D145" s="3241"/>
      <c r="E145" s="3241"/>
      <c r="F145" s="3241"/>
      <c r="G145" s="3241"/>
      <c r="H145" s="3241"/>
      <c r="I145" s="3241"/>
      <c r="J145" s="3241"/>
      <c r="K145" s="3241"/>
      <c r="L145" s="3241"/>
      <c r="M145" s="3241"/>
      <c r="N145" s="3241"/>
      <c r="O145" s="3242"/>
      <c r="P145" s="335"/>
      <c r="Q145" s="1245"/>
      <c r="R145" s="1246"/>
      <c r="W145" s="359"/>
      <c r="X145" s="359" t="s">
        <v>586</v>
      </c>
      <c r="Y145" s="359"/>
      <c r="Z145" s="156"/>
    </row>
    <row r="146" spans="1:26" ht="35.1" customHeight="1">
      <c r="A146" s="3237"/>
      <c r="B146" s="2648"/>
      <c r="C146" s="3243"/>
      <c r="D146" s="2941"/>
      <c r="E146" s="2941"/>
      <c r="F146" s="2941"/>
      <c r="G146" s="2941"/>
      <c r="H146" s="2941"/>
      <c r="I146" s="2941"/>
      <c r="J146" s="2941"/>
      <c r="K146" s="2941"/>
      <c r="L146" s="2941"/>
      <c r="M146" s="2941"/>
      <c r="N146" s="2941"/>
      <c r="O146" s="2942"/>
      <c r="P146" s="358"/>
      <c r="Q146" s="1247"/>
      <c r="R146" s="1248">
        <v>0</v>
      </c>
      <c r="W146" s="359"/>
      <c r="X146" s="360" t="s">
        <v>587</v>
      </c>
      <c r="Y146" s="359"/>
      <c r="Z146" s="156"/>
    </row>
    <row r="147" spans="1:26" ht="93" customHeight="1">
      <c r="A147" s="3238"/>
      <c r="B147" s="3239"/>
      <c r="C147" s="3244"/>
      <c r="D147" s="2943"/>
      <c r="E147" s="2943"/>
      <c r="F147" s="2943"/>
      <c r="G147" s="2943"/>
      <c r="H147" s="2943"/>
      <c r="I147" s="2943"/>
      <c r="J147" s="2943"/>
      <c r="K147" s="2943"/>
      <c r="L147" s="2943"/>
      <c r="M147" s="2943"/>
      <c r="N147" s="2943"/>
      <c r="O147" s="2944"/>
      <c r="P147" s="336"/>
      <c r="Q147" s="1249"/>
      <c r="W147" s="156"/>
      <c r="X147" s="156"/>
      <c r="Y147" s="156"/>
      <c r="Z147" s="156"/>
    </row>
    <row r="148" spans="1:26" ht="18" customHeight="1">
      <c r="A148" s="2831" t="s">
        <v>583</v>
      </c>
      <c r="B148" s="2831"/>
      <c r="C148" s="2831"/>
      <c r="D148" s="2831"/>
      <c r="E148" s="2831"/>
      <c r="F148" s="2831"/>
      <c r="G148" s="2831"/>
      <c r="H148" s="2831"/>
      <c r="I148" s="2831"/>
      <c r="J148" s="2831"/>
      <c r="K148" s="2831"/>
      <c r="L148" s="2831"/>
      <c r="M148" s="2831"/>
      <c r="N148" s="2831"/>
      <c r="O148" s="2831"/>
      <c r="P148" s="3227"/>
      <c r="Q148" s="3227"/>
      <c r="W148" s="156"/>
      <c r="X148" s="156"/>
      <c r="Y148" s="156"/>
      <c r="Z148" s="156"/>
    </row>
    <row r="149" spans="1:26" ht="9.75" customHeight="1">
      <c r="A149" s="89"/>
      <c r="B149" s="89"/>
      <c r="C149" s="106"/>
      <c r="D149" s="106"/>
      <c r="E149" s="106"/>
      <c r="F149" s="106"/>
      <c r="G149" s="106"/>
      <c r="H149" s="106"/>
      <c r="I149" s="106"/>
      <c r="J149" s="106"/>
      <c r="K149" s="106"/>
      <c r="L149" s="106"/>
      <c r="M149" s="106"/>
      <c r="N149" s="3228"/>
      <c r="O149" s="3228"/>
      <c r="P149" s="156"/>
      <c r="W149" s="156"/>
      <c r="X149" s="156"/>
      <c r="Y149" s="156"/>
      <c r="Z149" s="156"/>
    </row>
    <row r="150" spans="1:26">
      <c r="A150" s="156"/>
      <c r="B150" s="156"/>
      <c r="C150" s="156"/>
      <c r="D150" s="156"/>
      <c r="E150" s="156"/>
      <c r="F150" s="156"/>
      <c r="G150" s="156"/>
      <c r="H150" s="156"/>
      <c r="I150" s="156"/>
      <c r="J150" s="156"/>
      <c r="K150" s="156"/>
      <c r="L150" s="156"/>
      <c r="M150" s="156"/>
      <c r="N150" s="156"/>
      <c r="O150" s="156"/>
      <c r="P150" s="156"/>
      <c r="W150" s="156"/>
      <c r="X150" s="156"/>
      <c r="Y150" s="156"/>
      <c r="Z150" s="156"/>
    </row>
    <row r="151" spans="1:26">
      <c r="A151" s="1" t="s">
        <v>520</v>
      </c>
      <c r="B151" s="2"/>
      <c r="C151" s="2"/>
      <c r="D151" s="2"/>
      <c r="E151" s="2"/>
      <c r="F151" s="2"/>
      <c r="G151" s="2"/>
      <c r="H151" s="2"/>
      <c r="I151" s="2"/>
      <c r="J151" s="2"/>
      <c r="K151" s="2"/>
      <c r="L151" s="2"/>
      <c r="M151" s="2"/>
      <c r="N151" s="2"/>
      <c r="O151" s="2"/>
      <c r="P151" s="156" t="str">
        <f>"個別票"&amp;Q151</f>
        <v>個別票7</v>
      </c>
      <c r="Q151" s="1242">
        <f>Q126+1</f>
        <v>7</v>
      </c>
      <c r="W151" s="156"/>
      <c r="X151" s="156"/>
      <c r="Y151" s="156"/>
      <c r="Z151" s="156"/>
    </row>
    <row r="152" spans="1:26">
      <c r="A152" s="2" t="s">
        <v>557</v>
      </c>
      <c r="B152" s="4"/>
      <c r="C152" s="4"/>
      <c r="D152" s="4"/>
      <c r="E152" s="4"/>
      <c r="F152" s="4"/>
      <c r="G152" s="4"/>
      <c r="H152" s="4"/>
      <c r="I152" s="4"/>
      <c r="J152" s="4"/>
      <c r="K152" s="4"/>
      <c r="L152" s="4"/>
      <c r="M152" s="4"/>
      <c r="N152" s="2"/>
      <c r="O152" s="2"/>
      <c r="P152" s="156"/>
      <c r="W152" s="156"/>
      <c r="X152" s="156"/>
      <c r="Y152" s="156"/>
      <c r="Z152" s="156"/>
    </row>
    <row r="153" spans="1:26" ht="17.25">
      <c r="A153" s="2612" t="s">
        <v>556</v>
      </c>
      <c r="B153" s="2612"/>
      <c r="C153" s="2612"/>
      <c r="D153" s="2612"/>
      <c r="E153" s="2612"/>
      <c r="F153" s="2612"/>
      <c r="G153" s="2612"/>
      <c r="H153" s="2612"/>
      <c r="I153" s="2612"/>
      <c r="J153" s="2612"/>
      <c r="K153" s="2612"/>
      <c r="L153" s="2612"/>
      <c r="M153" s="2612"/>
      <c r="N153" s="2612"/>
      <c r="O153" s="2612"/>
      <c r="P153" s="156"/>
      <c r="W153" s="156"/>
      <c r="X153" s="156"/>
      <c r="Y153" s="156"/>
      <c r="Z153" s="156"/>
    </row>
    <row r="154" spans="1:26" ht="17.25">
      <c r="A154" s="38"/>
      <c r="B154" s="38"/>
      <c r="C154" s="38"/>
      <c r="D154" s="38"/>
      <c r="E154" s="38"/>
      <c r="F154" s="38"/>
      <c r="G154" s="38"/>
      <c r="H154" s="38"/>
      <c r="I154" s="38"/>
      <c r="J154" s="38"/>
      <c r="K154" s="38"/>
      <c r="L154" s="38"/>
      <c r="M154" s="38"/>
      <c r="N154" s="38"/>
      <c r="O154" s="38"/>
      <c r="P154" s="156"/>
      <c r="W154" s="156"/>
      <c r="X154" s="156"/>
      <c r="Y154" s="156"/>
      <c r="Z154" s="156"/>
    </row>
    <row r="155" spans="1:26" ht="18" customHeight="1">
      <c r="A155" s="48" t="s">
        <v>151</v>
      </c>
      <c r="B155" s="4"/>
      <c r="C155" s="4"/>
      <c r="D155" s="4"/>
      <c r="E155" s="4"/>
      <c r="F155" s="4"/>
      <c r="G155" s="4"/>
      <c r="H155" s="4"/>
      <c r="I155" s="4"/>
      <c r="J155" s="4"/>
      <c r="K155" s="4"/>
      <c r="L155" s="4"/>
      <c r="M155" s="4"/>
      <c r="N155" s="2"/>
      <c r="O155" s="2"/>
      <c r="P155" s="156"/>
      <c r="W155" s="156"/>
      <c r="X155" s="156"/>
      <c r="Y155" s="156"/>
      <c r="Z155" s="156"/>
    </row>
    <row r="156" spans="1:26" ht="39.950000000000003" customHeight="1">
      <c r="A156" s="2984" t="s">
        <v>152</v>
      </c>
      <c r="B156" s="2985"/>
      <c r="C156" s="2986"/>
      <c r="D156" s="2987" t="str">
        <f>報7!D156</f>
        <v>事業所名を入力7</v>
      </c>
      <c r="E156" s="2988"/>
      <c r="F156" s="2988"/>
      <c r="G156" s="2988"/>
      <c r="H156" s="2988"/>
      <c r="I156" s="2988"/>
      <c r="J156" s="2988"/>
      <c r="K156" s="2988"/>
      <c r="L156" s="2988"/>
      <c r="M156" s="2988"/>
      <c r="N156" s="2988"/>
      <c r="O156" s="2989"/>
      <c r="P156" s="156"/>
      <c r="W156" s="156"/>
      <c r="X156" s="156"/>
      <c r="Y156" s="156"/>
      <c r="Z156" s="156"/>
    </row>
    <row r="157" spans="1:26" ht="39.950000000000003" customHeight="1">
      <c r="A157" s="2570" t="s">
        <v>153</v>
      </c>
      <c r="B157" s="2571"/>
      <c r="C157" s="2990"/>
      <c r="D157" s="2573">
        <f>報7!D157</f>
        <v>0</v>
      </c>
      <c r="E157" s="2574"/>
      <c r="F157" s="2574"/>
      <c r="G157" s="2574"/>
      <c r="H157" s="2574"/>
      <c r="I157" s="2574"/>
      <c r="J157" s="2574"/>
      <c r="K157" s="2574"/>
      <c r="L157" s="2574"/>
      <c r="M157" s="2574"/>
      <c r="N157" s="2574"/>
      <c r="O157" s="2575"/>
      <c r="P157" s="156"/>
      <c r="W157" s="156"/>
      <c r="X157" s="156"/>
      <c r="Y157" s="156"/>
      <c r="Z157" s="156"/>
    </row>
    <row r="158" spans="1:26" ht="39.950000000000003" customHeight="1">
      <c r="A158" s="2536" t="s">
        <v>154</v>
      </c>
      <c r="B158" s="2978"/>
      <c r="C158" s="3245">
        <f>報7!C158</f>
        <v>0</v>
      </c>
      <c r="D158" s="3246"/>
      <c r="E158" s="101" t="s">
        <v>180</v>
      </c>
      <c r="F158" s="2974" t="s">
        <v>404</v>
      </c>
      <c r="G158" s="2975"/>
      <c r="H158" s="2981" t="str">
        <f ca="1">報7!H158</f>
        <v/>
      </c>
      <c r="I158" s="2982"/>
      <c r="J158" s="58" t="s">
        <v>176</v>
      </c>
      <c r="K158" s="2974" t="s">
        <v>405</v>
      </c>
      <c r="L158" s="2975"/>
      <c r="M158" s="3247">
        <f>報7!M158</f>
        <v>0</v>
      </c>
      <c r="N158" s="3248"/>
      <c r="O158" s="3249"/>
      <c r="P158" s="156" t="str">
        <f>IFERROR(VLOOKUP(M158,$U$6:$V$22,2,0),"")</f>
        <v/>
      </c>
      <c r="W158" s="156"/>
      <c r="X158" s="156"/>
      <c r="Y158" s="156"/>
      <c r="Z158" s="156"/>
    </row>
    <row r="159" spans="1:26" ht="39.950000000000003" customHeight="1">
      <c r="A159" s="2974" t="s">
        <v>406</v>
      </c>
      <c r="B159" s="2975"/>
      <c r="C159" s="3250">
        <f>報7!C159</f>
        <v>0</v>
      </c>
      <c r="D159" s="2507"/>
      <c r="E159" s="2508"/>
      <c r="F159" s="2974" t="s">
        <v>158</v>
      </c>
      <c r="G159" s="2975"/>
      <c r="H159" s="3250">
        <f>報7!H159</f>
        <v>0</v>
      </c>
      <c r="I159" s="2507"/>
      <c r="J159" s="2508"/>
      <c r="K159" s="2580"/>
      <c r="L159" s="2977"/>
      <c r="M159" s="2977"/>
      <c r="N159" s="2977"/>
      <c r="O159" s="2977"/>
      <c r="P159" s="156"/>
      <c r="W159" s="156"/>
      <c r="X159" s="156"/>
      <c r="Y159" s="156"/>
      <c r="Z159" s="156"/>
    </row>
    <row r="160" spans="1:26" ht="49.9" customHeight="1">
      <c r="A160" s="39"/>
      <c r="B160" s="39"/>
      <c r="C160" s="40"/>
      <c r="D160" s="41"/>
      <c r="E160" s="40"/>
      <c r="F160" s="42"/>
      <c r="P160" s="156"/>
      <c r="W160" s="156"/>
      <c r="X160" s="156"/>
      <c r="Y160" s="156"/>
      <c r="Z160" s="156"/>
    </row>
    <row r="161" spans="1:26" s="103" customFormat="1" ht="19.5" customHeight="1">
      <c r="A161" s="3251" t="s">
        <v>555</v>
      </c>
      <c r="B161" s="3252"/>
      <c r="C161" s="3252"/>
      <c r="D161" s="3252"/>
      <c r="E161" s="3252"/>
      <c r="F161" s="3252"/>
      <c r="G161" s="3252"/>
      <c r="H161" s="3252"/>
      <c r="I161" s="3252"/>
      <c r="J161" s="3252"/>
      <c r="K161" s="3252"/>
      <c r="L161" s="3252"/>
      <c r="M161" s="3252"/>
      <c r="N161" s="3252"/>
      <c r="O161" s="3252"/>
      <c r="P161" s="334"/>
      <c r="Q161" s="1243"/>
      <c r="R161" s="1243"/>
      <c r="S161" s="1243"/>
      <c r="T161" s="1243"/>
      <c r="U161" s="1243"/>
      <c r="V161" s="1243"/>
      <c r="W161" s="334"/>
      <c r="X161" s="334"/>
      <c r="Y161" s="334"/>
      <c r="Z161" s="334"/>
    </row>
    <row r="162" spans="1:26" ht="49.9" customHeight="1">
      <c r="A162" s="104"/>
      <c r="B162" s="39"/>
      <c r="E162" s="105"/>
      <c r="F162" s="105"/>
      <c r="G162" s="105"/>
      <c r="H162" s="105"/>
      <c r="I162" s="105"/>
      <c r="J162" s="105"/>
      <c r="K162" s="105"/>
      <c r="L162" s="105"/>
      <c r="M162" s="105"/>
      <c r="N162" s="105"/>
      <c r="O162" s="105"/>
      <c r="P162" s="156"/>
      <c r="W162" s="156"/>
      <c r="X162" s="156"/>
      <c r="Y162" s="156"/>
      <c r="Z162" s="156"/>
    </row>
    <row r="163" spans="1:26" ht="20.25" customHeight="1">
      <c r="A163" s="50" t="s">
        <v>554</v>
      </c>
      <c r="B163" s="30"/>
      <c r="C163" s="30"/>
      <c r="D163" s="30"/>
      <c r="E163" s="30"/>
      <c r="F163" s="30"/>
      <c r="G163" s="30"/>
      <c r="H163" s="30"/>
      <c r="I163" s="30"/>
      <c r="J163" s="30"/>
      <c r="K163" s="30"/>
      <c r="L163" s="6"/>
      <c r="M163" s="6"/>
      <c r="N163" s="6"/>
      <c r="O163" s="6"/>
      <c r="P163" s="156"/>
      <c r="W163" s="156"/>
      <c r="X163" s="156"/>
      <c r="Y163" s="156"/>
      <c r="Z163" s="156"/>
    </row>
    <row r="164" spans="1:26" ht="20.100000000000001" customHeight="1">
      <c r="A164" s="2654"/>
      <c r="B164" s="2655"/>
      <c r="C164" s="2673" t="s">
        <v>561</v>
      </c>
      <c r="D164" s="2674"/>
      <c r="E164" s="2674"/>
      <c r="F164" s="2674"/>
      <c r="G164" s="2674"/>
      <c r="H164" s="2675"/>
      <c r="I164" s="2673" t="s">
        <v>560</v>
      </c>
      <c r="J164" s="2674"/>
      <c r="K164" s="2674"/>
      <c r="L164" s="2674"/>
      <c r="M164" s="2674"/>
      <c r="N164" s="2674"/>
      <c r="O164" s="2675"/>
      <c r="P164" s="156"/>
      <c r="W164" s="156"/>
      <c r="X164" s="156"/>
      <c r="Y164" s="156"/>
      <c r="Z164" s="156"/>
    </row>
    <row r="165" spans="1:26" ht="22.15" customHeight="1">
      <c r="A165" s="3253" t="s">
        <v>122</v>
      </c>
      <c r="B165" s="3254"/>
      <c r="C165" s="3255" t="str">
        <f ca="1">参照元個別!E11</f>
        <v/>
      </c>
      <c r="D165" s="3256"/>
      <c r="E165" s="3256"/>
      <c r="F165" s="3256"/>
      <c r="G165" s="3047" t="s">
        <v>1265</v>
      </c>
      <c r="H165" s="2959"/>
      <c r="I165" s="3260" t="str">
        <f>報7!I165</f>
        <v/>
      </c>
      <c r="J165" s="3261"/>
      <c r="K165" s="3261"/>
      <c r="L165" s="3261"/>
      <c r="M165" s="3047" t="s">
        <v>4308</v>
      </c>
      <c r="N165" s="3047"/>
      <c r="O165" s="3264" t="str">
        <f>報7!N165</f>
        <v/>
      </c>
      <c r="P165" s="165"/>
      <c r="Q165" s="1244"/>
      <c r="W165" s="156"/>
      <c r="X165" s="156"/>
      <c r="Y165" s="156"/>
      <c r="Z165" s="156"/>
    </row>
    <row r="166" spans="1:26" ht="22.15" customHeight="1">
      <c r="A166" s="3097">
        <f>IF(計1!$D$28="","",計1!$D$28-1)</f>
        <v>2023</v>
      </c>
      <c r="B166" s="2655"/>
      <c r="C166" s="3257"/>
      <c r="D166" s="3258"/>
      <c r="E166" s="3258"/>
      <c r="F166" s="3258"/>
      <c r="G166" s="3076"/>
      <c r="H166" s="3259"/>
      <c r="I166" s="3262"/>
      <c r="J166" s="3263"/>
      <c r="K166" s="3263"/>
      <c r="L166" s="3263"/>
      <c r="M166" s="3048"/>
      <c r="N166" s="3048"/>
      <c r="O166" s="3265"/>
      <c r="P166" s="165"/>
      <c r="Q166" s="1244"/>
      <c r="W166" s="156"/>
      <c r="X166" s="156"/>
      <c r="Y166" s="156"/>
      <c r="Z166" s="156"/>
    </row>
    <row r="167" spans="1:26" ht="22.15" customHeight="1">
      <c r="A167" s="2633" t="s">
        <v>558</v>
      </c>
      <c r="B167" s="3065"/>
      <c r="C167" s="3216"/>
      <c r="D167" s="3217"/>
      <c r="E167" s="3217"/>
      <c r="F167" s="3217"/>
      <c r="G167" s="3047" t="s">
        <v>414</v>
      </c>
      <c r="H167" s="2959"/>
      <c r="I167" s="3221"/>
      <c r="J167" s="3222"/>
      <c r="K167" s="3222"/>
      <c r="L167" s="3222"/>
      <c r="M167" s="3047" t="s">
        <v>415</v>
      </c>
      <c r="N167" s="3047"/>
      <c r="O167" s="3225" t="str">
        <f>IF(O165="","",O165)</f>
        <v/>
      </c>
      <c r="P167" s="3229"/>
      <c r="Q167" s="3229"/>
      <c r="W167" s="156"/>
      <c r="X167" s="156"/>
      <c r="Y167" s="156"/>
      <c r="Z167" s="156"/>
    </row>
    <row r="168" spans="1:26" ht="22.15" customHeight="1">
      <c r="A168" s="3080">
        <f>IF(計1!$D$28="","",計1!$G$28)</f>
        <v>2026</v>
      </c>
      <c r="B168" s="3059"/>
      <c r="C168" s="3218"/>
      <c r="D168" s="3219"/>
      <c r="E168" s="3219"/>
      <c r="F168" s="3219"/>
      <c r="G168" s="3048"/>
      <c r="H168" s="3220"/>
      <c r="I168" s="3223"/>
      <c r="J168" s="3224"/>
      <c r="K168" s="3224"/>
      <c r="L168" s="3224"/>
      <c r="M168" s="3048"/>
      <c r="N168" s="3048"/>
      <c r="O168" s="3226"/>
      <c r="P168" s="3230"/>
      <c r="Q168" s="3231"/>
      <c r="W168" s="156"/>
      <c r="X168" s="357"/>
      <c r="Y168" s="156"/>
      <c r="Z168" s="156"/>
    </row>
    <row r="169" spans="1:26" ht="24.95" customHeight="1">
      <c r="A169" s="145"/>
      <c r="B169" s="146" t="s">
        <v>577</v>
      </c>
      <c r="C169" s="147"/>
      <c r="D169" s="3232" t="str">
        <f ca="1">IF(OR(C165=0,C167=""),"",INT((C165-C167)/C165*10000)/100)</f>
        <v/>
      </c>
      <c r="E169" s="3232"/>
      <c r="F169" s="3232"/>
      <c r="G169" s="3233" t="s">
        <v>134</v>
      </c>
      <c r="H169" s="3234"/>
      <c r="I169" s="148"/>
      <c r="J169" s="3235" t="str">
        <f>IF(OR(I165=0,I167=""),"",INT((I165-I167)/I165*10000)/100)</f>
        <v/>
      </c>
      <c r="K169" s="3235"/>
      <c r="L169" s="3235"/>
      <c r="M169" s="3232" t="s">
        <v>501</v>
      </c>
      <c r="N169" s="3232"/>
      <c r="O169" s="3236"/>
      <c r="P169" s="335"/>
      <c r="Q169" s="1245"/>
      <c r="W169" s="359"/>
      <c r="X169" s="359"/>
      <c r="Y169" s="359"/>
      <c r="Z169" s="156"/>
    </row>
    <row r="170" spans="1:26" ht="27.75" customHeight="1">
      <c r="A170" s="2672" t="s">
        <v>559</v>
      </c>
      <c r="B170" s="2635"/>
      <c r="C170" s="3240"/>
      <c r="D170" s="3241"/>
      <c r="E170" s="3241"/>
      <c r="F170" s="3241"/>
      <c r="G170" s="3241"/>
      <c r="H170" s="3241"/>
      <c r="I170" s="3241"/>
      <c r="J170" s="3241"/>
      <c r="K170" s="3241"/>
      <c r="L170" s="3241"/>
      <c r="M170" s="3241"/>
      <c r="N170" s="3241"/>
      <c r="O170" s="3242"/>
      <c r="P170" s="335"/>
      <c r="Q170" s="1245"/>
      <c r="R170" s="1246"/>
      <c r="W170" s="359"/>
      <c r="X170" s="359" t="s">
        <v>586</v>
      </c>
      <c r="Y170" s="359"/>
      <c r="Z170" s="156"/>
    </row>
    <row r="171" spans="1:26" ht="35.1" customHeight="1">
      <c r="A171" s="3237"/>
      <c r="B171" s="2648"/>
      <c r="C171" s="3243"/>
      <c r="D171" s="2941"/>
      <c r="E171" s="2941"/>
      <c r="F171" s="2941"/>
      <c r="G171" s="2941"/>
      <c r="H171" s="2941"/>
      <c r="I171" s="2941"/>
      <c r="J171" s="2941"/>
      <c r="K171" s="2941"/>
      <c r="L171" s="2941"/>
      <c r="M171" s="2941"/>
      <c r="N171" s="2941"/>
      <c r="O171" s="2942"/>
      <c r="P171" s="358"/>
      <c r="Q171" s="1247"/>
      <c r="R171" s="1248">
        <v>0</v>
      </c>
      <c r="W171" s="359"/>
      <c r="X171" s="360" t="s">
        <v>587</v>
      </c>
      <c r="Y171" s="359"/>
      <c r="Z171" s="156"/>
    </row>
    <row r="172" spans="1:26" ht="93" customHeight="1">
      <c r="A172" s="3238"/>
      <c r="B172" s="3239"/>
      <c r="C172" s="3244"/>
      <c r="D172" s="2943"/>
      <c r="E172" s="2943"/>
      <c r="F172" s="2943"/>
      <c r="G172" s="2943"/>
      <c r="H172" s="2943"/>
      <c r="I172" s="2943"/>
      <c r="J172" s="2943"/>
      <c r="K172" s="2943"/>
      <c r="L172" s="2943"/>
      <c r="M172" s="2943"/>
      <c r="N172" s="2943"/>
      <c r="O172" s="2944"/>
      <c r="P172" s="336"/>
      <c r="Q172" s="1249"/>
      <c r="W172" s="156"/>
      <c r="X172" s="156"/>
      <c r="Y172" s="156"/>
      <c r="Z172" s="156"/>
    </row>
    <row r="173" spans="1:26" ht="18" customHeight="1">
      <c r="A173" s="2831" t="s">
        <v>583</v>
      </c>
      <c r="B173" s="2831"/>
      <c r="C173" s="2831"/>
      <c r="D173" s="2831"/>
      <c r="E173" s="2831"/>
      <c r="F173" s="2831"/>
      <c r="G173" s="2831"/>
      <c r="H173" s="2831"/>
      <c r="I173" s="2831"/>
      <c r="J173" s="2831"/>
      <c r="K173" s="2831"/>
      <c r="L173" s="2831"/>
      <c r="M173" s="2831"/>
      <c r="N173" s="2831"/>
      <c r="O173" s="2831"/>
      <c r="P173" s="3227"/>
      <c r="Q173" s="3227"/>
      <c r="W173" s="156"/>
      <c r="X173" s="156"/>
      <c r="Y173" s="156"/>
      <c r="Z173" s="156"/>
    </row>
    <row r="174" spans="1:26" ht="9.75" customHeight="1">
      <c r="A174" s="89"/>
      <c r="B174" s="89"/>
      <c r="C174" s="106"/>
      <c r="D174" s="106"/>
      <c r="E174" s="106"/>
      <c r="F174" s="106"/>
      <c r="G174" s="106"/>
      <c r="H174" s="106"/>
      <c r="I174" s="106"/>
      <c r="J174" s="106"/>
      <c r="K174" s="106"/>
      <c r="L174" s="106"/>
      <c r="M174" s="106"/>
      <c r="N174" s="3228"/>
      <c r="O174" s="3228"/>
      <c r="P174" s="156"/>
      <c r="W174" s="156"/>
      <c r="X174" s="156"/>
      <c r="Y174" s="156"/>
      <c r="Z174" s="156"/>
    </row>
    <row r="175" spans="1:26">
      <c r="A175" s="156"/>
      <c r="B175" s="156"/>
      <c r="C175" s="156"/>
      <c r="D175" s="156"/>
      <c r="E175" s="156"/>
      <c r="F175" s="156"/>
      <c r="G175" s="156"/>
      <c r="H175" s="156"/>
      <c r="I175" s="156"/>
      <c r="J175" s="156"/>
      <c r="K175" s="156"/>
      <c r="L175" s="156"/>
      <c r="M175" s="156"/>
      <c r="N175" s="156"/>
      <c r="O175" s="156"/>
      <c r="P175" s="156"/>
      <c r="W175" s="156"/>
      <c r="X175" s="156"/>
      <c r="Y175" s="156"/>
      <c r="Z175" s="156"/>
    </row>
    <row r="176" spans="1:26">
      <c r="A176" s="1" t="s">
        <v>520</v>
      </c>
      <c r="B176" s="2"/>
      <c r="C176" s="2"/>
      <c r="D176" s="2"/>
      <c r="E176" s="2"/>
      <c r="F176" s="2"/>
      <c r="G176" s="2"/>
      <c r="H176" s="2"/>
      <c r="I176" s="2"/>
      <c r="J176" s="2"/>
      <c r="K176" s="2"/>
      <c r="L176" s="2"/>
      <c r="M176" s="2"/>
      <c r="N176" s="2"/>
      <c r="O176" s="2"/>
      <c r="P176" s="156" t="str">
        <f>"個別票"&amp;Q176</f>
        <v>個別票8</v>
      </c>
      <c r="Q176" s="1242">
        <f>Q151+1</f>
        <v>8</v>
      </c>
      <c r="W176" s="156"/>
      <c r="X176" s="156"/>
      <c r="Y176" s="156"/>
      <c r="Z176" s="156"/>
    </row>
    <row r="177" spans="1:26">
      <c r="A177" s="2" t="s">
        <v>557</v>
      </c>
      <c r="B177" s="4"/>
      <c r="C177" s="4"/>
      <c r="D177" s="4"/>
      <c r="E177" s="4"/>
      <c r="F177" s="4"/>
      <c r="G177" s="4"/>
      <c r="H177" s="4"/>
      <c r="I177" s="4"/>
      <c r="J177" s="4"/>
      <c r="K177" s="4"/>
      <c r="L177" s="4"/>
      <c r="M177" s="4"/>
      <c r="N177" s="2"/>
      <c r="O177" s="2"/>
      <c r="P177" s="156"/>
      <c r="W177" s="156"/>
      <c r="X177" s="156"/>
      <c r="Y177" s="156"/>
      <c r="Z177" s="156"/>
    </row>
    <row r="178" spans="1:26" ht="17.25">
      <c r="A178" s="2612" t="s">
        <v>556</v>
      </c>
      <c r="B178" s="2612"/>
      <c r="C178" s="2612"/>
      <c r="D178" s="2612"/>
      <c r="E178" s="2612"/>
      <c r="F178" s="2612"/>
      <c r="G178" s="2612"/>
      <c r="H178" s="2612"/>
      <c r="I178" s="2612"/>
      <c r="J178" s="2612"/>
      <c r="K178" s="2612"/>
      <c r="L178" s="2612"/>
      <c r="M178" s="2612"/>
      <c r="N178" s="2612"/>
      <c r="O178" s="2612"/>
      <c r="P178" s="156"/>
      <c r="W178" s="156"/>
      <c r="X178" s="156"/>
      <c r="Y178" s="156"/>
      <c r="Z178" s="156"/>
    </row>
    <row r="179" spans="1:26" ht="17.25">
      <c r="A179" s="38"/>
      <c r="B179" s="38"/>
      <c r="C179" s="38"/>
      <c r="D179" s="38"/>
      <c r="E179" s="38"/>
      <c r="F179" s="38"/>
      <c r="G179" s="38"/>
      <c r="H179" s="38"/>
      <c r="I179" s="38"/>
      <c r="J179" s="38"/>
      <c r="K179" s="38"/>
      <c r="L179" s="38"/>
      <c r="M179" s="38"/>
      <c r="N179" s="38"/>
      <c r="O179" s="38"/>
      <c r="P179" s="156"/>
      <c r="W179" s="156"/>
      <c r="X179" s="156"/>
      <c r="Y179" s="156"/>
      <c r="Z179" s="156"/>
    </row>
    <row r="180" spans="1:26" ht="18" customHeight="1">
      <c r="A180" s="48" t="s">
        <v>151</v>
      </c>
      <c r="B180" s="4"/>
      <c r="C180" s="4"/>
      <c r="D180" s="4"/>
      <c r="E180" s="4"/>
      <c r="F180" s="4"/>
      <c r="G180" s="4"/>
      <c r="H180" s="4"/>
      <c r="I180" s="4"/>
      <c r="J180" s="4"/>
      <c r="K180" s="4"/>
      <c r="L180" s="4"/>
      <c r="M180" s="4"/>
      <c r="N180" s="2"/>
      <c r="O180" s="2"/>
      <c r="P180" s="156"/>
      <c r="W180" s="156"/>
      <c r="X180" s="156"/>
      <c r="Y180" s="156"/>
      <c r="Z180" s="156"/>
    </row>
    <row r="181" spans="1:26" ht="39.950000000000003" customHeight="1">
      <c r="A181" s="2984" t="s">
        <v>152</v>
      </c>
      <c r="B181" s="2985"/>
      <c r="C181" s="2986"/>
      <c r="D181" s="2987" t="str">
        <f>報7!D181</f>
        <v>事業所名を入力8</v>
      </c>
      <c r="E181" s="2988"/>
      <c r="F181" s="2988"/>
      <c r="G181" s="2988"/>
      <c r="H181" s="2988"/>
      <c r="I181" s="2988"/>
      <c r="J181" s="2988"/>
      <c r="K181" s="2988"/>
      <c r="L181" s="2988"/>
      <c r="M181" s="2988"/>
      <c r="N181" s="2988"/>
      <c r="O181" s="2989"/>
      <c r="P181" s="156"/>
      <c r="W181" s="156"/>
      <c r="X181" s="156"/>
      <c r="Y181" s="156"/>
      <c r="Z181" s="156"/>
    </row>
    <row r="182" spans="1:26" ht="39.950000000000003" customHeight="1">
      <c r="A182" s="2570" t="s">
        <v>153</v>
      </c>
      <c r="B182" s="2571"/>
      <c r="C182" s="2990"/>
      <c r="D182" s="2573">
        <f>報7!D182</f>
        <v>0</v>
      </c>
      <c r="E182" s="2574"/>
      <c r="F182" s="2574"/>
      <c r="G182" s="2574"/>
      <c r="H182" s="2574"/>
      <c r="I182" s="2574"/>
      <c r="J182" s="2574"/>
      <c r="K182" s="2574"/>
      <c r="L182" s="2574"/>
      <c r="M182" s="2574"/>
      <c r="N182" s="2574"/>
      <c r="O182" s="2575"/>
      <c r="P182" s="156"/>
      <c r="W182" s="156"/>
      <c r="X182" s="156"/>
      <c r="Y182" s="156"/>
      <c r="Z182" s="156"/>
    </row>
    <row r="183" spans="1:26" ht="39.950000000000003" customHeight="1">
      <c r="A183" s="2536" t="s">
        <v>154</v>
      </c>
      <c r="B183" s="2978"/>
      <c r="C183" s="3245">
        <f>報7!C183</f>
        <v>0</v>
      </c>
      <c r="D183" s="3246"/>
      <c r="E183" s="101" t="s">
        <v>180</v>
      </c>
      <c r="F183" s="2974" t="s">
        <v>404</v>
      </c>
      <c r="G183" s="2975"/>
      <c r="H183" s="2981" t="str">
        <f ca="1">報7!H183</f>
        <v/>
      </c>
      <c r="I183" s="2982"/>
      <c r="J183" s="58" t="s">
        <v>176</v>
      </c>
      <c r="K183" s="2974" t="s">
        <v>405</v>
      </c>
      <c r="L183" s="2975"/>
      <c r="M183" s="3247">
        <f>報7!M183</f>
        <v>0</v>
      </c>
      <c r="N183" s="3248"/>
      <c r="O183" s="3249"/>
      <c r="P183" s="156" t="str">
        <f>IFERROR(VLOOKUP(M183,$U$6:$V$22,2,0),"")</f>
        <v/>
      </c>
      <c r="W183" s="156"/>
      <c r="X183" s="156"/>
      <c r="Y183" s="156"/>
      <c r="Z183" s="156"/>
    </row>
    <row r="184" spans="1:26" ht="39.950000000000003" customHeight="1">
      <c r="A184" s="2974" t="s">
        <v>406</v>
      </c>
      <c r="B184" s="2975"/>
      <c r="C184" s="3250">
        <f>報7!C184</f>
        <v>0</v>
      </c>
      <c r="D184" s="2507"/>
      <c r="E184" s="2508"/>
      <c r="F184" s="2974" t="s">
        <v>158</v>
      </c>
      <c r="G184" s="2975"/>
      <c r="H184" s="3250">
        <f>報7!H184</f>
        <v>0</v>
      </c>
      <c r="I184" s="2507"/>
      <c r="J184" s="2508"/>
      <c r="K184" s="2580"/>
      <c r="L184" s="2977"/>
      <c r="M184" s="2977"/>
      <c r="N184" s="2977"/>
      <c r="O184" s="2977"/>
      <c r="P184" s="156"/>
      <c r="W184" s="156"/>
      <c r="X184" s="156"/>
      <c r="Y184" s="156"/>
      <c r="Z184" s="156"/>
    </row>
    <row r="185" spans="1:26" ht="49.9" customHeight="1">
      <c r="A185" s="39"/>
      <c r="B185" s="39"/>
      <c r="C185" s="40"/>
      <c r="D185" s="41"/>
      <c r="E185" s="40"/>
      <c r="F185" s="42"/>
      <c r="P185" s="156"/>
      <c r="W185" s="156"/>
      <c r="X185" s="156"/>
      <c r="Y185" s="156"/>
      <c r="Z185" s="156"/>
    </row>
    <row r="186" spans="1:26" s="103" customFormat="1" ht="19.5" customHeight="1">
      <c r="A186" s="3251" t="s">
        <v>555</v>
      </c>
      <c r="B186" s="3252"/>
      <c r="C186" s="3252"/>
      <c r="D186" s="3252"/>
      <c r="E186" s="3252"/>
      <c r="F186" s="3252"/>
      <c r="G186" s="3252"/>
      <c r="H186" s="3252"/>
      <c r="I186" s="3252"/>
      <c r="J186" s="3252"/>
      <c r="K186" s="3252"/>
      <c r="L186" s="3252"/>
      <c r="M186" s="3252"/>
      <c r="N186" s="3252"/>
      <c r="O186" s="3252"/>
      <c r="P186" s="334"/>
      <c r="Q186" s="1243"/>
      <c r="R186" s="1243"/>
      <c r="S186" s="1243"/>
      <c r="T186" s="1243"/>
      <c r="U186" s="1243"/>
      <c r="V186" s="1243"/>
      <c r="W186" s="334"/>
      <c r="X186" s="334"/>
      <c r="Y186" s="334"/>
      <c r="Z186" s="334"/>
    </row>
    <row r="187" spans="1:26" ht="49.9" customHeight="1">
      <c r="A187" s="104"/>
      <c r="B187" s="39"/>
      <c r="E187" s="105"/>
      <c r="F187" s="105"/>
      <c r="G187" s="105"/>
      <c r="H187" s="105"/>
      <c r="I187" s="105"/>
      <c r="J187" s="105"/>
      <c r="K187" s="105"/>
      <c r="L187" s="105"/>
      <c r="M187" s="105"/>
      <c r="N187" s="105"/>
      <c r="O187" s="105"/>
      <c r="P187" s="156"/>
      <c r="W187" s="156"/>
      <c r="X187" s="156"/>
      <c r="Y187" s="156"/>
      <c r="Z187" s="156"/>
    </row>
    <row r="188" spans="1:26" ht="20.25" customHeight="1">
      <c r="A188" s="50" t="s">
        <v>554</v>
      </c>
      <c r="B188" s="30"/>
      <c r="C188" s="30"/>
      <c r="D188" s="30"/>
      <c r="E188" s="30"/>
      <c r="F188" s="30"/>
      <c r="G188" s="30"/>
      <c r="H188" s="30"/>
      <c r="I188" s="30"/>
      <c r="J188" s="30"/>
      <c r="K188" s="30"/>
      <c r="L188" s="6"/>
      <c r="M188" s="6"/>
      <c r="N188" s="6"/>
      <c r="O188" s="6"/>
      <c r="P188" s="156"/>
      <c r="W188" s="156"/>
      <c r="X188" s="156"/>
      <c r="Y188" s="156"/>
      <c r="Z188" s="156"/>
    </row>
    <row r="189" spans="1:26" ht="20.100000000000001" customHeight="1">
      <c r="A189" s="2654"/>
      <c r="B189" s="2655"/>
      <c r="C189" s="2673" t="s">
        <v>561</v>
      </c>
      <c r="D189" s="2674"/>
      <c r="E189" s="2674"/>
      <c r="F189" s="2674"/>
      <c r="G189" s="2674"/>
      <c r="H189" s="2675"/>
      <c r="I189" s="2673" t="s">
        <v>560</v>
      </c>
      <c r="J189" s="2674"/>
      <c r="K189" s="2674"/>
      <c r="L189" s="2674"/>
      <c r="M189" s="2674"/>
      <c r="N189" s="2674"/>
      <c r="O189" s="2675"/>
      <c r="P189" s="156"/>
      <c r="W189" s="156"/>
      <c r="X189" s="156"/>
      <c r="Y189" s="156"/>
      <c r="Z189" s="156"/>
    </row>
    <row r="190" spans="1:26" ht="22.15" customHeight="1">
      <c r="A190" s="3253" t="s">
        <v>122</v>
      </c>
      <c r="B190" s="3254"/>
      <c r="C190" s="3255" t="str">
        <f ca="1">参照元個別!E12</f>
        <v/>
      </c>
      <c r="D190" s="3256"/>
      <c r="E190" s="3256"/>
      <c r="F190" s="3256"/>
      <c r="G190" s="3047" t="s">
        <v>1265</v>
      </c>
      <c r="H190" s="2959"/>
      <c r="I190" s="3260" t="str">
        <f>報7!I190</f>
        <v/>
      </c>
      <c r="J190" s="3261"/>
      <c r="K190" s="3261"/>
      <c r="L190" s="3261"/>
      <c r="M190" s="3047" t="s">
        <v>4308</v>
      </c>
      <c r="N190" s="3047"/>
      <c r="O190" s="3264" t="str">
        <f>報7!N190</f>
        <v/>
      </c>
      <c r="P190" s="165"/>
      <c r="Q190" s="1244"/>
      <c r="W190" s="156"/>
      <c r="X190" s="156"/>
      <c r="Y190" s="156"/>
      <c r="Z190" s="156"/>
    </row>
    <row r="191" spans="1:26" ht="22.15" customHeight="1">
      <c r="A191" s="3097">
        <f>IF(計1!$D$28="","",計1!$D$28-1)</f>
        <v>2023</v>
      </c>
      <c r="B191" s="2655"/>
      <c r="C191" s="3257"/>
      <c r="D191" s="3258"/>
      <c r="E191" s="3258"/>
      <c r="F191" s="3258"/>
      <c r="G191" s="3076"/>
      <c r="H191" s="3259"/>
      <c r="I191" s="3262"/>
      <c r="J191" s="3263"/>
      <c r="K191" s="3263"/>
      <c r="L191" s="3263"/>
      <c r="M191" s="3048"/>
      <c r="N191" s="3048"/>
      <c r="O191" s="3265"/>
      <c r="P191" s="165"/>
      <c r="Q191" s="1244"/>
      <c r="W191" s="156"/>
      <c r="X191" s="156"/>
      <c r="Y191" s="156"/>
      <c r="Z191" s="156"/>
    </row>
    <row r="192" spans="1:26" ht="22.15" customHeight="1">
      <c r="A192" s="2633" t="s">
        <v>558</v>
      </c>
      <c r="B192" s="3065"/>
      <c r="C192" s="3216"/>
      <c r="D192" s="3217"/>
      <c r="E192" s="3217"/>
      <c r="F192" s="3217"/>
      <c r="G192" s="3047" t="s">
        <v>414</v>
      </c>
      <c r="H192" s="2959"/>
      <c r="I192" s="3221"/>
      <c r="J192" s="3222"/>
      <c r="K192" s="3222"/>
      <c r="L192" s="3222"/>
      <c r="M192" s="3047" t="s">
        <v>415</v>
      </c>
      <c r="N192" s="3047"/>
      <c r="O192" s="3225" t="str">
        <f>IF(O190="","",O190)</f>
        <v/>
      </c>
      <c r="P192" s="3229"/>
      <c r="Q192" s="3229"/>
      <c r="W192" s="156"/>
      <c r="X192" s="156"/>
      <c r="Y192" s="156"/>
      <c r="Z192" s="156"/>
    </row>
    <row r="193" spans="1:26" ht="22.15" customHeight="1">
      <c r="A193" s="3080">
        <f>IF(計1!$D$28="","",計1!$G$28)</f>
        <v>2026</v>
      </c>
      <c r="B193" s="3059"/>
      <c r="C193" s="3218"/>
      <c r="D193" s="3219"/>
      <c r="E193" s="3219"/>
      <c r="F193" s="3219"/>
      <c r="G193" s="3048"/>
      <c r="H193" s="3220"/>
      <c r="I193" s="3223"/>
      <c r="J193" s="3224"/>
      <c r="K193" s="3224"/>
      <c r="L193" s="3224"/>
      <c r="M193" s="3048"/>
      <c r="N193" s="3048"/>
      <c r="O193" s="3226"/>
      <c r="P193" s="3230"/>
      <c r="Q193" s="3231"/>
      <c r="W193" s="156"/>
      <c r="X193" s="357"/>
      <c r="Y193" s="156"/>
      <c r="Z193" s="156"/>
    </row>
    <row r="194" spans="1:26" ht="24.95" customHeight="1">
      <c r="A194" s="145"/>
      <c r="B194" s="146" t="s">
        <v>577</v>
      </c>
      <c r="C194" s="147"/>
      <c r="D194" s="3232" t="str">
        <f ca="1">IF(OR(C190=0,C192=""),"",INT((C190-C192)/C190*10000)/100)</f>
        <v/>
      </c>
      <c r="E194" s="3232"/>
      <c r="F194" s="3232"/>
      <c r="G194" s="3233" t="s">
        <v>134</v>
      </c>
      <c r="H194" s="3234"/>
      <c r="I194" s="148"/>
      <c r="J194" s="3235" t="str">
        <f>IF(OR(I190=0,I192=""),"",INT((I190-I192)/I190*10000)/100)</f>
        <v/>
      </c>
      <c r="K194" s="3235"/>
      <c r="L194" s="3235"/>
      <c r="M194" s="3232" t="s">
        <v>501</v>
      </c>
      <c r="N194" s="3232"/>
      <c r="O194" s="3236"/>
      <c r="P194" s="335"/>
      <c r="Q194" s="1245"/>
      <c r="W194" s="359"/>
      <c r="X194" s="359"/>
      <c r="Y194" s="359"/>
      <c r="Z194" s="156"/>
    </row>
    <row r="195" spans="1:26" ht="27.75" customHeight="1">
      <c r="A195" s="2672" t="s">
        <v>559</v>
      </c>
      <c r="B195" s="2635"/>
      <c r="C195" s="3240"/>
      <c r="D195" s="3241"/>
      <c r="E195" s="3241"/>
      <c r="F195" s="3241"/>
      <c r="G195" s="3241"/>
      <c r="H195" s="3241"/>
      <c r="I195" s="3241"/>
      <c r="J195" s="3241"/>
      <c r="K195" s="3241"/>
      <c r="L195" s="3241"/>
      <c r="M195" s="3241"/>
      <c r="N195" s="3241"/>
      <c r="O195" s="3242"/>
      <c r="P195" s="335"/>
      <c r="Q195" s="1245"/>
      <c r="R195" s="1246"/>
      <c r="W195" s="359"/>
      <c r="X195" s="359" t="s">
        <v>586</v>
      </c>
      <c r="Y195" s="359"/>
      <c r="Z195" s="156"/>
    </row>
    <row r="196" spans="1:26" ht="35.1" customHeight="1">
      <c r="A196" s="3237"/>
      <c r="B196" s="2648"/>
      <c r="C196" s="3243"/>
      <c r="D196" s="2941"/>
      <c r="E196" s="2941"/>
      <c r="F196" s="2941"/>
      <c r="G196" s="2941"/>
      <c r="H196" s="2941"/>
      <c r="I196" s="2941"/>
      <c r="J196" s="2941"/>
      <c r="K196" s="2941"/>
      <c r="L196" s="2941"/>
      <c r="M196" s="2941"/>
      <c r="N196" s="2941"/>
      <c r="O196" s="2942"/>
      <c r="P196" s="358"/>
      <c r="Q196" s="1247"/>
      <c r="R196" s="1248">
        <v>0</v>
      </c>
      <c r="W196" s="359"/>
      <c r="X196" s="360" t="s">
        <v>587</v>
      </c>
      <c r="Y196" s="359"/>
      <c r="Z196" s="156"/>
    </row>
    <row r="197" spans="1:26" ht="93" customHeight="1">
      <c r="A197" s="3238"/>
      <c r="B197" s="3239"/>
      <c r="C197" s="3244"/>
      <c r="D197" s="2943"/>
      <c r="E197" s="2943"/>
      <c r="F197" s="2943"/>
      <c r="G197" s="2943"/>
      <c r="H197" s="2943"/>
      <c r="I197" s="2943"/>
      <c r="J197" s="2943"/>
      <c r="K197" s="2943"/>
      <c r="L197" s="2943"/>
      <c r="M197" s="2943"/>
      <c r="N197" s="2943"/>
      <c r="O197" s="2944"/>
      <c r="P197" s="336"/>
      <c r="Q197" s="1249"/>
      <c r="W197" s="156"/>
      <c r="X197" s="156"/>
      <c r="Y197" s="156"/>
      <c r="Z197" s="156"/>
    </row>
    <row r="198" spans="1:26" ht="18" customHeight="1">
      <c r="A198" s="2831" t="s">
        <v>583</v>
      </c>
      <c r="B198" s="2831"/>
      <c r="C198" s="2831"/>
      <c r="D198" s="2831"/>
      <c r="E198" s="2831"/>
      <c r="F198" s="2831"/>
      <c r="G198" s="2831"/>
      <c r="H198" s="2831"/>
      <c r="I198" s="2831"/>
      <c r="J198" s="2831"/>
      <c r="K198" s="2831"/>
      <c r="L198" s="2831"/>
      <c r="M198" s="2831"/>
      <c r="N198" s="2831"/>
      <c r="O198" s="2831"/>
      <c r="P198" s="3227"/>
      <c r="Q198" s="3227"/>
      <c r="W198" s="156"/>
      <c r="X198" s="156"/>
      <c r="Y198" s="156"/>
      <c r="Z198" s="156"/>
    </row>
    <row r="199" spans="1:26" ht="9.75" customHeight="1">
      <c r="A199" s="89"/>
      <c r="B199" s="89"/>
      <c r="C199" s="106"/>
      <c r="D199" s="106"/>
      <c r="E199" s="106"/>
      <c r="F199" s="106"/>
      <c r="G199" s="106"/>
      <c r="H199" s="106"/>
      <c r="I199" s="106"/>
      <c r="J199" s="106"/>
      <c r="K199" s="106"/>
      <c r="L199" s="106"/>
      <c r="M199" s="106"/>
      <c r="N199" s="3228"/>
      <c r="O199" s="3228"/>
      <c r="P199" s="156"/>
      <c r="W199" s="156"/>
      <c r="X199" s="156"/>
      <c r="Y199" s="156"/>
      <c r="Z199" s="156"/>
    </row>
    <row r="200" spans="1:26">
      <c r="A200" s="156"/>
      <c r="B200" s="156"/>
      <c r="C200" s="156"/>
      <c r="D200" s="156"/>
      <c r="E200" s="156"/>
      <c r="F200" s="156"/>
      <c r="G200" s="156"/>
      <c r="H200" s="156"/>
      <c r="I200" s="156"/>
      <c r="J200" s="156"/>
      <c r="K200" s="156"/>
      <c r="L200" s="156"/>
      <c r="M200" s="156"/>
      <c r="N200" s="156"/>
      <c r="O200" s="156"/>
      <c r="P200" s="156"/>
      <c r="W200" s="156"/>
      <c r="X200" s="156"/>
      <c r="Y200" s="156"/>
      <c r="Z200" s="156"/>
    </row>
    <row r="201" spans="1:26">
      <c r="A201" s="1" t="s">
        <v>520</v>
      </c>
      <c r="B201" s="2"/>
      <c r="C201" s="2"/>
      <c r="D201" s="2"/>
      <c r="E201" s="2"/>
      <c r="F201" s="2"/>
      <c r="G201" s="2"/>
      <c r="H201" s="2"/>
      <c r="I201" s="2"/>
      <c r="J201" s="2"/>
      <c r="K201" s="2"/>
      <c r="L201" s="2"/>
      <c r="M201" s="2"/>
      <c r="N201" s="2"/>
      <c r="O201" s="2"/>
      <c r="P201" s="156" t="str">
        <f>"個別票"&amp;Q201</f>
        <v>個別票9</v>
      </c>
      <c r="Q201" s="1242">
        <f>Q176+1</f>
        <v>9</v>
      </c>
      <c r="W201" s="156"/>
      <c r="X201" s="156"/>
      <c r="Y201" s="156"/>
      <c r="Z201" s="156"/>
    </row>
    <row r="202" spans="1:26">
      <c r="A202" s="2" t="s">
        <v>557</v>
      </c>
      <c r="B202" s="4"/>
      <c r="C202" s="4"/>
      <c r="D202" s="4"/>
      <c r="E202" s="4"/>
      <c r="F202" s="4"/>
      <c r="G202" s="4"/>
      <c r="H202" s="4"/>
      <c r="I202" s="4"/>
      <c r="J202" s="4"/>
      <c r="K202" s="4"/>
      <c r="L202" s="4"/>
      <c r="M202" s="4"/>
      <c r="N202" s="2"/>
      <c r="O202" s="2"/>
      <c r="P202" s="156"/>
      <c r="W202" s="156"/>
      <c r="X202" s="156"/>
      <c r="Y202" s="156"/>
      <c r="Z202" s="156"/>
    </row>
    <row r="203" spans="1:26" ht="17.25">
      <c r="A203" s="2612" t="s">
        <v>556</v>
      </c>
      <c r="B203" s="2612"/>
      <c r="C203" s="2612"/>
      <c r="D203" s="2612"/>
      <c r="E203" s="2612"/>
      <c r="F203" s="2612"/>
      <c r="G203" s="2612"/>
      <c r="H203" s="2612"/>
      <c r="I203" s="2612"/>
      <c r="J203" s="2612"/>
      <c r="K203" s="2612"/>
      <c r="L203" s="2612"/>
      <c r="M203" s="2612"/>
      <c r="N203" s="2612"/>
      <c r="O203" s="2612"/>
      <c r="P203" s="156"/>
      <c r="W203" s="156"/>
      <c r="X203" s="156"/>
      <c r="Y203" s="156"/>
      <c r="Z203" s="156"/>
    </row>
    <row r="204" spans="1:26" ht="17.25">
      <c r="A204" s="38"/>
      <c r="B204" s="38"/>
      <c r="C204" s="38"/>
      <c r="D204" s="38"/>
      <c r="E204" s="38"/>
      <c r="F204" s="38"/>
      <c r="G204" s="38"/>
      <c r="H204" s="38"/>
      <c r="I204" s="38"/>
      <c r="J204" s="38"/>
      <c r="K204" s="38"/>
      <c r="L204" s="38"/>
      <c r="M204" s="38"/>
      <c r="N204" s="38"/>
      <c r="O204" s="38"/>
      <c r="P204" s="156"/>
      <c r="W204" s="156"/>
      <c r="X204" s="156"/>
      <c r="Y204" s="156"/>
      <c r="Z204" s="156"/>
    </row>
    <row r="205" spans="1:26" ht="18" customHeight="1">
      <c r="A205" s="48" t="s">
        <v>151</v>
      </c>
      <c r="B205" s="4"/>
      <c r="C205" s="4"/>
      <c r="D205" s="4"/>
      <c r="E205" s="4"/>
      <c r="F205" s="4"/>
      <c r="G205" s="4"/>
      <c r="H205" s="4"/>
      <c r="I205" s="4"/>
      <c r="J205" s="4"/>
      <c r="K205" s="4"/>
      <c r="L205" s="4"/>
      <c r="M205" s="4"/>
      <c r="N205" s="2"/>
      <c r="O205" s="2"/>
      <c r="P205" s="156"/>
      <c r="W205" s="156"/>
      <c r="X205" s="156"/>
      <c r="Y205" s="156"/>
      <c r="Z205" s="156"/>
    </row>
    <row r="206" spans="1:26" ht="39.950000000000003" customHeight="1">
      <c r="A206" s="2984" t="s">
        <v>152</v>
      </c>
      <c r="B206" s="2985"/>
      <c r="C206" s="2986"/>
      <c r="D206" s="2987" t="str">
        <f>報7!D206</f>
        <v>事業所名を入力9</v>
      </c>
      <c r="E206" s="2988"/>
      <c r="F206" s="2988"/>
      <c r="G206" s="2988"/>
      <c r="H206" s="2988"/>
      <c r="I206" s="2988"/>
      <c r="J206" s="2988"/>
      <c r="K206" s="2988"/>
      <c r="L206" s="2988"/>
      <c r="M206" s="2988"/>
      <c r="N206" s="2988"/>
      <c r="O206" s="2989"/>
      <c r="P206" s="156"/>
      <c r="W206" s="156"/>
      <c r="X206" s="156"/>
      <c r="Y206" s="156"/>
      <c r="Z206" s="156"/>
    </row>
    <row r="207" spans="1:26" ht="39.950000000000003" customHeight="1">
      <c r="A207" s="2570" t="s">
        <v>153</v>
      </c>
      <c r="B207" s="2571"/>
      <c r="C207" s="2990"/>
      <c r="D207" s="2573">
        <f>報7!D207</f>
        <v>0</v>
      </c>
      <c r="E207" s="2574"/>
      <c r="F207" s="2574"/>
      <c r="G207" s="2574"/>
      <c r="H207" s="2574"/>
      <c r="I207" s="2574"/>
      <c r="J207" s="2574"/>
      <c r="K207" s="2574"/>
      <c r="L207" s="2574"/>
      <c r="M207" s="2574"/>
      <c r="N207" s="2574"/>
      <c r="O207" s="2575"/>
      <c r="P207" s="156"/>
      <c r="W207" s="156"/>
      <c r="X207" s="156"/>
      <c r="Y207" s="156"/>
      <c r="Z207" s="156"/>
    </row>
    <row r="208" spans="1:26" ht="39.950000000000003" customHeight="1">
      <c r="A208" s="2536" t="s">
        <v>154</v>
      </c>
      <c r="B208" s="2978"/>
      <c r="C208" s="3245">
        <f>報7!C208</f>
        <v>0</v>
      </c>
      <c r="D208" s="3246"/>
      <c r="E208" s="101" t="s">
        <v>180</v>
      </c>
      <c r="F208" s="2974" t="s">
        <v>404</v>
      </c>
      <c r="G208" s="2975"/>
      <c r="H208" s="2981" t="str">
        <f ca="1">報7!H208</f>
        <v/>
      </c>
      <c r="I208" s="2982"/>
      <c r="J208" s="58" t="s">
        <v>176</v>
      </c>
      <c r="K208" s="2974" t="s">
        <v>405</v>
      </c>
      <c r="L208" s="2975"/>
      <c r="M208" s="3247">
        <f>報7!M208</f>
        <v>0</v>
      </c>
      <c r="N208" s="3248"/>
      <c r="O208" s="3249"/>
      <c r="P208" s="156" t="str">
        <f>IFERROR(VLOOKUP(M208,$U$6:$V$22,2,0),"")</f>
        <v/>
      </c>
      <c r="W208" s="156"/>
      <c r="X208" s="156"/>
      <c r="Y208" s="156"/>
      <c r="Z208" s="156"/>
    </row>
    <row r="209" spans="1:26" ht="39.950000000000003" customHeight="1">
      <c r="A209" s="2974" t="s">
        <v>406</v>
      </c>
      <c r="B209" s="2975"/>
      <c r="C209" s="3250">
        <f>報7!C209</f>
        <v>0</v>
      </c>
      <c r="D209" s="2507"/>
      <c r="E209" s="2508"/>
      <c r="F209" s="2974" t="s">
        <v>158</v>
      </c>
      <c r="G209" s="2975"/>
      <c r="H209" s="3250">
        <f>報7!H209</f>
        <v>0</v>
      </c>
      <c r="I209" s="2507"/>
      <c r="J209" s="2508"/>
      <c r="K209" s="2580"/>
      <c r="L209" s="2977"/>
      <c r="M209" s="2977"/>
      <c r="N209" s="2977"/>
      <c r="O209" s="2977"/>
      <c r="P209" s="156"/>
      <c r="W209" s="156"/>
      <c r="X209" s="156"/>
      <c r="Y209" s="156"/>
      <c r="Z209" s="156"/>
    </row>
    <row r="210" spans="1:26" ht="49.9" customHeight="1">
      <c r="A210" s="39"/>
      <c r="B210" s="39"/>
      <c r="C210" s="40"/>
      <c r="D210" s="41"/>
      <c r="E210" s="40"/>
      <c r="F210" s="42"/>
      <c r="P210" s="156"/>
      <c r="W210" s="156"/>
      <c r="X210" s="156"/>
      <c r="Y210" s="156"/>
      <c r="Z210" s="156"/>
    </row>
    <row r="211" spans="1:26" s="103" customFormat="1" ht="19.5" customHeight="1">
      <c r="A211" s="3251" t="s">
        <v>555</v>
      </c>
      <c r="B211" s="3252"/>
      <c r="C211" s="3252"/>
      <c r="D211" s="3252"/>
      <c r="E211" s="3252"/>
      <c r="F211" s="3252"/>
      <c r="G211" s="3252"/>
      <c r="H211" s="3252"/>
      <c r="I211" s="3252"/>
      <c r="J211" s="3252"/>
      <c r="K211" s="3252"/>
      <c r="L211" s="3252"/>
      <c r="M211" s="3252"/>
      <c r="N211" s="3252"/>
      <c r="O211" s="3252"/>
      <c r="P211" s="334"/>
      <c r="Q211" s="1243"/>
      <c r="R211" s="1243"/>
      <c r="S211" s="1243"/>
      <c r="T211" s="1243"/>
      <c r="U211" s="1243"/>
      <c r="V211" s="1243"/>
      <c r="W211" s="334"/>
      <c r="X211" s="334"/>
      <c r="Y211" s="334"/>
      <c r="Z211" s="334"/>
    </row>
    <row r="212" spans="1:26" ht="49.9" customHeight="1">
      <c r="A212" s="104"/>
      <c r="B212" s="39"/>
      <c r="E212" s="105"/>
      <c r="F212" s="105"/>
      <c r="G212" s="105"/>
      <c r="H212" s="105"/>
      <c r="I212" s="105"/>
      <c r="J212" s="105"/>
      <c r="K212" s="105"/>
      <c r="L212" s="105"/>
      <c r="M212" s="105"/>
      <c r="N212" s="105"/>
      <c r="O212" s="105"/>
      <c r="P212" s="156"/>
      <c r="W212" s="156"/>
      <c r="X212" s="156"/>
      <c r="Y212" s="156"/>
      <c r="Z212" s="156"/>
    </row>
    <row r="213" spans="1:26" ht="20.25" customHeight="1">
      <c r="A213" s="50" t="s">
        <v>554</v>
      </c>
      <c r="B213" s="30"/>
      <c r="C213" s="30"/>
      <c r="D213" s="30"/>
      <c r="E213" s="30"/>
      <c r="F213" s="30"/>
      <c r="G213" s="30"/>
      <c r="H213" s="30"/>
      <c r="I213" s="30"/>
      <c r="J213" s="30"/>
      <c r="K213" s="30"/>
      <c r="L213" s="6"/>
      <c r="M213" s="6"/>
      <c r="N213" s="6"/>
      <c r="O213" s="6"/>
      <c r="P213" s="156"/>
      <c r="W213" s="156"/>
      <c r="X213" s="156"/>
      <c r="Y213" s="156"/>
      <c r="Z213" s="156"/>
    </row>
    <row r="214" spans="1:26" ht="20.100000000000001" customHeight="1">
      <c r="A214" s="2654"/>
      <c r="B214" s="2655"/>
      <c r="C214" s="2673" t="s">
        <v>561</v>
      </c>
      <c r="D214" s="2674"/>
      <c r="E214" s="2674"/>
      <c r="F214" s="2674"/>
      <c r="G214" s="2674"/>
      <c r="H214" s="2675"/>
      <c r="I214" s="2673" t="s">
        <v>560</v>
      </c>
      <c r="J214" s="2674"/>
      <c r="K214" s="2674"/>
      <c r="L214" s="2674"/>
      <c r="M214" s="2674"/>
      <c r="N214" s="2674"/>
      <c r="O214" s="2675"/>
      <c r="P214" s="156"/>
      <c r="W214" s="156"/>
      <c r="X214" s="156"/>
      <c r="Y214" s="156"/>
      <c r="Z214" s="156"/>
    </row>
    <row r="215" spans="1:26" ht="22.15" customHeight="1">
      <c r="A215" s="3253" t="s">
        <v>122</v>
      </c>
      <c r="B215" s="3254"/>
      <c r="C215" s="3255" t="str">
        <f ca="1">参照元個別!E13</f>
        <v/>
      </c>
      <c r="D215" s="3256"/>
      <c r="E215" s="3256"/>
      <c r="F215" s="3256"/>
      <c r="G215" s="3047" t="s">
        <v>1265</v>
      </c>
      <c r="H215" s="2959"/>
      <c r="I215" s="3260" t="str">
        <f>報7!I215</f>
        <v/>
      </c>
      <c r="J215" s="3261"/>
      <c r="K215" s="3261"/>
      <c r="L215" s="3261"/>
      <c r="M215" s="3047" t="s">
        <v>4308</v>
      </c>
      <c r="N215" s="3047"/>
      <c r="O215" s="3264" t="str">
        <f>報7!N215</f>
        <v/>
      </c>
      <c r="P215" s="165"/>
      <c r="Q215" s="1244"/>
      <c r="W215" s="156"/>
      <c r="X215" s="156"/>
      <c r="Y215" s="156"/>
      <c r="Z215" s="156"/>
    </row>
    <row r="216" spans="1:26" ht="22.15" customHeight="1">
      <c r="A216" s="3097">
        <f>IF(計1!$D$28="","",計1!$D$28-1)</f>
        <v>2023</v>
      </c>
      <c r="B216" s="2655"/>
      <c r="C216" s="3257"/>
      <c r="D216" s="3258"/>
      <c r="E216" s="3258"/>
      <c r="F216" s="3258"/>
      <c r="G216" s="3076"/>
      <c r="H216" s="3259"/>
      <c r="I216" s="3262"/>
      <c r="J216" s="3263"/>
      <c r="K216" s="3263"/>
      <c r="L216" s="3263"/>
      <c r="M216" s="3048"/>
      <c r="N216" s="3048"/>
      <c r="O216" s="3265"/>
      <c r="P216" s="165"/>
      <c r="Q216" s="1244"/>
      <c r="W216" s="156"/>
      <c r="X216" s="156"/>
      <c r="Y216" s="156"/>
      <c r="Z216" s="156"/>
    </row>
    <row r="217" spans="1:26" ht="22.15" customHeight="1">
      <c r="A217" s="2633" t="s">
        <v>558</v>
      </c>
      <c r="B217" s="3065"/>
      <c r="C217" s="3216"/>
      <c r="D217" s="3217"/>
      <c r="E217" s="3217"/>
      <c r="F217" s="3217"/>
      <c r="G217" s="3047" t="s">
        <v>414</v>
      </c>
      <c r="H217" s="2959"/>
      <c r="I217" s="3221"/>
      <c r="J217" s="3222"/>
      <c r="K217" s="3222"/>
      <c r="L217" s="3222"/>
      <c r="M217" s="3047" t="s">
        <v>415</v>
      </c>
      <c r="N217" s="3047"/>
      <c r="O217" s="3225" t="str">
        <f>IF(O215="","",O215)</f>
        <v/>
      </c>
      <c r="P217" s="3229"/>
      <c r="Q217" s="3229"/>
      <c r="W217" s="156"/>
      <c r="X217" s="156"/>
      <c r="Y217" s="156"/>
      <c r="Z217" s="156"/>
    </row>
    <row r="218" spans="1:26" ht="22.15" customHeight="1">
      <c r="A218" s="3080">
        <f>IF(計1!$D$28="","",計1!$G$28)</f>
        <v>2026</v>
      </c>
      <c r="B218" s="3059"/>
      <c r="C218" s="3218"/>
      <c r="D218" s="3219"/>
      <c r="E218" s="3219"/>
      <c r="F218" s="3219"/>
      <c r="G218" s="3048"/>
      <c r="H218" s="3220"/>
      <c r="I218" s="3223"/>
      <c r="J218" s="3224"/>
      <c r="K218" s="3224"/>
      <c r="L218" s="3224"/>
      <c r="M218" s="3048"/>
      <c r="N218" s="3048"/>
      <c r="O218" s="3226"/>
      <c r="P218" s="3230"/>
      <c r="Q218" s="3231"/>
      <c r="W218" s="156"/>
      <c r="X218" s="357"/>
      <c r="Y218" s="156"/>
      <c r="Z218" s="156"/>
    </row>
    <row r="219" spans="1:26" ht="24.95" customHeight="1">
      <c r="A219" s="145"/>
      <c r="B219" s="146" t="s">
        <v>577</v>
      </c>
      <c r="C219" s="147"/>
      <c r="D219" s="3232" t="str">
        <f ca="1">IF(OR(C215=0,C217=""),"",INT((C215-C217)/C215*10000)/100)</f>
        <v/>
      </c>
      <c r="E219" s="3232"/>
      <c r="F219" s="3232"/>
      <c r="G219" s="3233" t="s">
        <v>134</v>
      </c>
      <c r="H219" s="3234"/>
      <c r="I219" s="148"/>
      <c r="J219" s="3235" t="str">
        <f>IF(OR(I215=0,I217=""),"",INT((I215-I217)/I215*10000)/100)</f>
        <v/>
      </c>
      <c r="K219" s="3235"/>
      <c r="L219" s="3235"/>
      <c r="M219" s="3232" t="s">
        <v>501</v>
      </c>
      <c r="N219" s="3232"/>
      <c r="O219" s="3236"/>
      <c r="P219" s="335"/>
      <c r="Q219" s="1245"/>
      <c r="W219" s="359"/>
      <c r="X219" s="359"/>
      <c r="Y219" s="359"/>
      <c r="Z219" s="156"/>
    </row>
    <row r="220" spans="1:26" ht="27.75" customHeight="1">
      <c r="A220" s="2672" t="s">
        <v>559</v>
      </c>
      <c r="B220" s="2635"/>
      <c r="C220" s="3240"/>
      <c r="D220" s="3241"/>
      <c r="E220" s="3241"/>
      <c r="F220" s="3241"/>
      <c r="G220" s="3241"/>
      <c r="H220" s="3241"/>
      <c r="I220" s="3241"/>
      <c r="J220" s="3241"/>
      <c r="K220" s="3241"/>
      <c r="L220" s="3241"/>
      <c r="M220" s="3241"/>
      <c r="N220" s="3241"/>
      <c r="O220" s="3242"/>
      <c r="P220" s="335"/>
      <c r="Q220" s="1245"/>
      <c r="R220" s="1246"/>
      <c r="W220" s="359"/>
      <c r="X220" s="359" t="s">
        <v>586</v>
      </c>
      <c r="Y220" s="359"/>
      <c r="Z220" s="156"/>
    </row>
    <row r="221" spans="1:26" ht="35.1" customHeight="1">
      <c r="A221" s="3237"/>
      <c r="B221" s="2648"/>
      <c r="C221" s="3243"/>
      <c r="D221" s="2941"/>
      <c r="E221" s="2941"/>
      <c r="F221" s="2941"/>
      <c r="G221" s="2941"/>
      <c r="H221" s="2941"/>
      <c r="I221" s="2941"/>
      <c r="J221" s="2941"/>
      <c r="K221" s="2941"/>
      <c r="L221" s="2941"/>
      <c r="M221" s="2941"/>
      <c r="N221" s="2941"/>
      <c r="O221" s="2942"/>
      <c r="P221" s="358"/>
      <c r="Q221" s="1247"/>
      <c r="R221" s="1248">
        <v>0</v>
      </c>
      <c r="W221" s="359"/>
      <c r="X221" s="360" t="s">
        <v>587</v>
      </c>
      <c r="Y221" s="359"/>
      <c r="Z221" s="156"/>
    </row>
    <row r="222" spans="1:26" ht="93" customHeight="1">
      <c r="A222" s="3238"/>
      <c r="B222" s="3239"/>
      <c r="C222" s="3244"/>
      <c r="D222" s="2943"/>
      <c r="E222" s="2943"/>
      <c r="F222" s="2943"/>
      <c r="G222" s="2943"/>
      <c r="H222" s="2943"/>
      <c r="I222" s="2943"/>
      <c r="J222" s="2943"/>
      <c r="K222" s="2943"/>
      <c r="L222" s="2943"/>
      <c r="M222" s="2943"/>
      <c r="N222" s="2943"/>
      <c r="O222" s="2944"/>
      <c r="P222" s="336"/>
      <c r="Q222" s="1249"/>
      <c r="W222" s="156"/>
      <c r="X222" s="156"/>
      <c r="Y222" s="156"/>
      <c r="Z222" s="156"/>
    </row>
    <row r="223" spans="1:26" ht="18" customHeight="1">
      <c r="A223" s="2831" t="s">
        <v>583</v>
      </c>
      <c r="B223" s="2831"/>
      <c r="C223" s="2831"/>
      <c r="D223" s="2831"/>
      <c r="E223" s="2831"/>
      <c r="F223" s="2831"/>
      <c r="G223" s="2831"/>
      <c r="H223" s="2831"/>
      <c r="I223" s="2831"/>
      <c r="J223" s="2831"/>
      <c r="K223" s="2831"/>
      <c r="L223" s="2831"/>
      <c r="M223" s="2831"/>
      <c r="N223" s="2831"/>
      <c r="O223" s="2831"/>
      <c r="P223" s="3227"/>
      <c r="Q223" s="3227"/>
      <c r="W223" s="156"/>
      <c r="X223" s="156"/>
      <c r="Y223" s="156"/>
      <c r="Z223" s="156"/>
    </row>
    <row r="224" spans="1:26" ht="9.75" customHeight="1">
      <c r="A224" s="89"/>
      <c r="B224" s="89"/>
      <c r="C224" s="106"/>
      <c r="D224" s="106"/>
      <c r="E224" s="106"/>
      <c r="F224" s="106"/>
      <c r="G224" s="106"/>
      <c r="H224" s="106"/>
      <c r="I224" s="106"/>
      <c r="J224" s="106"/>
      <c r="K224" s="106"/>
      <c r="L224" s="106"/>
      <c r="M224" s="106"/>
      <c r="N224" s="3228"/>
      <c r="O224" s="3228"/>
      <c r="P224" s="156"/>
      <c r="W224" s="156"/>
      <c r="X224" s="156"/>
      <c r="Y224" s="156"/>
      <c r="Z224" s="156"/>
    </row>
    <row r="225" spans="1:26">
      <c r="A225" s="156"/>
      <c r="B225" s="156"/>
      <c r="C225" s="156"/>
      <c r="D225" s="156"/>
      <c r="E225" s="156"/>
      <c r="F225" s="156"/>
      <c r="G225" s="156"/>
      <c r="H225" s="156"/>
      <c r="I225" s="156"/>
      <c r="J225" s="156"/>
      <c r="K225" s="156"/>
      <c r="L225" s="156"/>
      <c r="M225" s="156"/>
      <c r="N225" s="156"/>
      <c r="O225" s="156"/>
      <c r="P225" s="156"/>
      <c r="W225" s="156"/>
      <c r="X225" s="156"/>
      <c r="Y225" s="156"/>
      <c r="Z225" s="156"/>
    </row>
    <row r="226" spans="1:26">
      <c r="A226" s="1" t="s">
        <v>520</v>
      </c>
      <c r="B226" s="2"/>
      <c r="C226" s="2"/>
      <c r="D226" s="2"/>
      <c r="E226" s="2"/>
      <c r="F226" s="2"/>
      <c r="G226" s="2"/>
      <c r="H226" s="2"/>
      <c r="I226" s="2"/>
      <c r="J226" s="2"/>
      <c r="K226" s="2"/>
      <c r="L226" s="2"/>
      <c r="M226" s="2"/>
      <c r="N226" s="2"/>
      <c r="O226" s="2"/>
      <c r="P226" s="156" t="str">
        <f>"個別票"&amp;Q226</f>
        <v>個別票10</v>
      </c>
      <c r="Q226" s="1242">
        <f>Q201+1</f>
        <v>10</v>
      </c>
      <c r="W226" s="156"/>
      <c r="X226" s="156"/>
      <c r="Y226" s="156"/>
      <c r="Z226" s="156"/>
    </row>
    <row r="227" spans="1:26">
      <c r="A227" s="2" t="s">
        <v>557</v>
      </c>
      <c r="B227" s="4"/>
      <c r="C227" s="4"/>
      <c r="D227" s="4"/>
      <c r="E227" s="4"/>
      <c r="F227" s="4"/>
      <c r="G227" s="4"/>
      <c r="H227" s="4"/>
      <c r="I227" s="4"/>
      <c r="J227" s="4"/>
      <c r="K227" s="4"/>
      <c r="L227" s="4"/>
      <c r="M227" s="4"/>
      <c r="N227" s="2"/>
      <c r="O227" s="2"/>
      <c r="P227" s="156"/>
      <c r="W227" s="156"/>
      <c r="X227" s="156"/>
      <c r="Y227" s="156"/>
      <c r="Z227" s="156"/>
    </row>
    <row r="228" spans="1:26" ht="17.25">
      <c r="A228" s="2612" t="s">
        <v>556</v>
      </c>
      <c r="B228" s="2612"/>
      <c r="C228" s="2612"/>
      <c r="D228" s="2612"/>
      <c r="E228" s="2612"/>
      <c r="F228" s="2612"/>
      <c r="G228" s="2612"/>
      <c r="H228" s="2612"/>
      <c r="I228" s="2612"/>
      <c r="J228" s="2612"/>
      <c r="K228" s="2612"/>
      <c r="L228" s="2612"/>
      <c r="M228" s="2612"/>
      <c r="N228" s="2612"/>
      <c r="O228" s="2612"/>
      <c r="P228" s="156"/>
      <c r="W228" s="156"/>
      <c r="X228" s="156"/>
      <c r="Y228" s="156"/>
      <c r="Z228" s="156"/>
    </row>
    <row r="229" spans="1:26" ht="17.25">
      <c r="A229" s="38"/>
      <c r="B229" s="38"/>
      <c r="C229" s="38"/>
      <c r="D229" s="38"/>
      <c r="E229" s="38"/>
      <c r="F229" s="38"/>
      <c r="G229" s="38"/>
      <c r="H229" s="38"/>
      <c r="I229" s="38"/>
      <c r="J229" s="38"/>
      <c r="K229" s="38"/>
      <c r="L229" s="38"/>
      <c r="M229" s="38"/>
      <c r="N229" s="38"/>
      <c r="O229" s="38"/>
      <c r="P229" s="156"/>
      <c r="W229" s="156"/>
      <c r="X229" s="156"/>
      <c r="Y229" s="156"/>
      <c r="Z229" s="156"/>
    </row>
    <row r="230" spans="1:26" ht="18" customHeight="1">
      <c r="A230" s="48" t="s">
        <v>151</v>
      </c>
      <c r="B230" s="4"/>
      <c r="C230" s="4"/>
      <c r="D230" s="4"/>
      <c r="E230" s="4"/>
      <c r="F230" s="4"/>
      <c r="G230" s="4"/>
      <c r="H230" s="4"/>
      <c r="I230" s="4"/>
      <c r="J230" s="4"/>
      <c r="K230" s="4"/>
      <c r="L230" s="4"/>
      <c r="M230" s="4"/>
      <c r="N230" s="2"/>
      <c r="O230" s="2"/>
      <c r="P230" s="156"/>
      <c r="W230" s="156"/>
      <c r="X230" s="156"/>
      <c r="Y230" s="156"/>
      <c r="Z230" s="156"/>
    </row>
    <row r="231" spans="1:26" ht="39.950000000000003" customHeight="1">
      <c r="A231" s="2984" t="s">
        <v>152</v>
      </c>
      <c r="B231" s="2985"/>
      <c r="C231" s="2986"/>
      <c r="D231" s="2987" t="str">
        <f>報7!D231</f>
        <v>事業所名を入力10</v>
      </c>
      <c r="E231" s="2988"/>
      <c r="F231" s="2988"/>
      <c r="G231" s="2988"/>
      <c r="H231" s="2988"/>
      <c r="I231" s="2988"/>
      <c r="J231" s="2988"/>
      <c r="K231" s="2988"/>
      <c r="L231" s="2988"/>
      <c r="M231" s="2988"/>
      <c r="N231" s="2988"/>
      <c r="O231" s="2989"/>
      <c r="P231" s="156"/>
      <c r="W231" s="156"/>
      <c r="X231" s="156"/>
      <c r="Y231" s="156"/>
      <c r="Z231" s="156"/>
    </row>
    <row r="232" spans="1:26" ht="39.950000000000003" customHeight="1">
      <c r="A232" s="2570" t="s">
        <v>153</v>
      </c>
      <c r="B232" s="2571"/>
      <c r="C232" s="2990"/>
      <c r="D232" s="2573">
        <f>報7!D232</f>
        <v>0</v>
      </c>
      <c r="E232" s="2574"/>
      <c r="F232" s="2574"/>
      <c r="G232" s="2574"/>
      <c r="H232" s="2574"/>
      <c r="I232" s="2574"/>
      <c r="J232" s="2574"/>
      <c r="K232" s="2574"/>
      <c r="L232" s="2574"/>
      <c r="M232" s="2574"/>
      <c r="N232" s="2574"/>
      <c r="O232" s="2575"/>
      <c r="P232" s="156"/>
      <c r="W232" s="156"/>
      <c r="X232" s="156"/>
      <c r="Y232" s="156"/>
      <c r="Z232" s="156"/>
    </row>
    <row r="233" spans="1:26" ht="39.950000000000003" customHeight="1">
      <c r="A233" s="2536" t="s">
        <v>154</v>
      </c>
      <c r="B233" s="2978"/>
      <c r="C233" s="3245">
        <f>報7!C233</f>
        <v>0</v>
      </c>
      <c r="D233" s="3246"/>
      <c r="E233" s="101" t="s">
        <v>180</v>
      </c>
      <c r="F233" s="2974" t="s">
        <v>404</v>
      </c>
      <c r="G233" s="2975"/>
      <c r="H233" s="2981" t="str">
        <f ca="1">報7!H233</f>
        <v/>
      </c>
      <c r="I233" s="2982"/>
      <c r="J233" s="58" t="s">
        <v>176</v>
      </c>
      <c r="K233" s="2974" t="s">
        <v>405</v>
      </c>
      <c r="L233" s="2975"/>
      <c r="M233" s="3247">
        <f>報7!M233</f>
        <v>0</v>
      </c>
      <c r="N233" s="3248"/>
      <c r="O233" s="3249"/>
      <c r="P233" s="156" t="str">
        <f>IFERROR(VLOOKUP(M233,$U$6:$V$22,2,0),"")</f>
        <v/>
      </c>
      <c r="W233" s="156"/>
      <c r="X233" s="156"/>
      <c r="Y233" s="156"/>
      <c r="Z233" s="156"/>
    </row>
    <row r="234" spans="1:26" ht="39.950000000000003" customHeight="1">
      <c r="A234" s="2974" t="s">
        <v>406</v>
      </c>
      <c r="B234" s="2975"/>
      <c r="C234" s="3250">
        <f>報7!C234</f>
        <v>0</v>
      </c>
      <c r="D234" s="2507"/>
      <c r="E234" s="2508"/>
      <c r="F234" s="2974" t="s">
        <v>158</v>
      </c>
      <c r="G234" s="2975"/>
      <c r="H234" s="3250">
        <f>報7!H234</f>
        <v>0</v>
      </c>
      <c r="I234" s="2507"/>
      <c r="J234" s="2508"/>
      <c r="K234" s="2580"/>
      <c r="L234" s="2977"/>
      <c r="M234" s="2977"/>
      <c r="N234" s="2977"/>
      <c r="O234" s="2977"/>
      <c r="P234" s="156"/>
      <c r="W234" s="156"/>
      <c r="X234" s="156"/>
      <c r="Y234" s="156"/>
      <c r="Z234" s="156"/>
    </row>
    <row r="235" spans="1:26" ht="49.9" customHeight="1">
      <c r="A235" s="39"/>
      <c r="B235" s="39"/>
      <c r="C235" s="40"/>
      <c r="D235" s="41"/>
      <c r="E235" s="40"/>
      <c r="F235" s="42"/>
      <c r="P235" s="156"/>
      <c r="W235" s="156"/>
      <c r="X235" s="156"/>
      <c r="Y235" s="156"/>
      <c r="Z235" s="156"/>
    </row>
    <row r="236" spans="1:26" s="103" customFormat="1" ht="19.5" customHeight="1">
      <c r="A236" s="3251" t="s">
        <v>555</v>
      </c>
      <c r="B236" s="3252"/>
      <c r="C236" s="3252"/>
      <c r="D236" s="3252"/>
      <c r="E236" s="3252"/>
      <c r="F236" s="3252"/>
      <c r="G236" s="3252"/>
      <c r="H236" s="3252"/>
      <c r="I236" s="3252"/>
      <c r="J236" s="3252"/>
      <c r="K236" s="3252"/>
      <c r="L236" s="3252"/>
      <c r="M236" s="3252"/>
      <c r="N236" s="3252"/>
      <c r="O236" s="3252"/>
      <c r="P236" s="334"/>
      <c r="Q236" s="1243"/>
      <c r="R236" s="1243"/>
      <c r="S236" s="1243"/>
      <c r="T236" s="1243"/>
      <c r="U236" s="1243"/>
      <c r="V236" s="1243"/>
      <c r="W236" s="334"/>
      <c r="X236" s="334"/>
      <c r="Y236" s="334"/>
      <c r="Z236" s="334"/>
    </row>
    <row r="237" spans="1:26" ht="49.9" customHeight="1">
      <c r="A237" s="104"/>
      <c r="B237" s="39"/>
      <c r="E237" s="105"/>
      <c r="F237" s="105"/>
      <c r="G237" s="105"/>
      <c r="H237" s="105"/>
      <c r="I237" s="105"/>
      <c r="J237" s="105"/>
      <c r="K237" s="105"/>
      <c r="L237" s="105"/>
      <c r="M237" s="105"/>
      <c r="N237" s="105"/>
      <c r="O237" s="105"/>
      <c r="P237" s="156"/>
      <c r="W237" s="156"/>
      <c r="X237" s="156"/>
      <c r="Y237" s="156"/>
      <c r="Z237" s="156"/>
    </row>
    <row r="238" spans="1:26" ht="20.25" customHeight="1">
      <c r="A238" s="50" t="s">
        <v>554</v>
      </c>
      <c r="B238" s="30"/>
      <c r="C238" s="30"/>
      <c r="D238" s="30"/>
      <c r="E238" s="30"/>
      <c r="F238" s="30"/>
      <c r="G238" s="30"/>
      <c r="H238" s="30"/>
      <c r="I238" s="30"/>
      <c r="J238" s="30"/>
      <c r="K238" s="30"/>
      <c r="L238" s="6"/>
      <c r="M238" s="6"/>
      <c r="N238" s="6"/>
      <c r="O238" s="6"/>
      <c r="P238" s="156"/>
      <c r="W238" s="156"/>
      <c r="X238" s="156"/>
      <c r="Y238" s="156"/>
      <c r="Z238" s="156"/>
    </row>
    <row r="239" spans="1:26" ht="20.100000000000001" customHeight="1">
      <c r="A239" s="2654"/>
      <c r="B239" s="2655"/>
      <c r="C239" s="2673" t="s">
        <v>561</v>
      </c>
      <c r="D239" s="2674"/>
      <c r="E239" s="2674"/>
      <c r="F239" s="2674"/>
      <c r="G239" s="2674"/>
      <c r="H239" s="2675"/>
      <c r="I239" s="2673" t="s">
        <v>560</v>
      </c>
      <c r="J239" s="2674"/>
      <c r="K239" s="2674"/>
      <c r="L239" s="2674"/>
      <c r="M239" s="2674"/>
      <c r="N239" s="2674"/>
      <c r="O239" s="2675"/>
      <c r="P239" s="156"/>
      <c r="W239" s="156"/>
      <c r="X239" s="156"/>
      <c r="Y239" s="156"/>
      <c r="Z239" s="156"/>
    </row>
    <row r="240" spans="1:26" ht="22.15" customHeight="1">
      <c r="A240" s="3253" t="s">
        <v>122</v>
      </c>
      <c r="B240" s="3254"/>
      <c r="C240" s="3255" t="str">
        <f ca="1">参照元個別!E14</f>
        <v/>
      </c>
      <c r="D240" s="3256"/>
      <c r="E240" s="3256"/>
      <c r="F240" s="3256"/>
      <c r="G240" s="3047" t="s">
        <v>1265</v>
      </c>
      <c r="H240" s="2959"/>
      <c r="I240" s="3260" t="str">
        <f>報7!I240</f>
        <v/>
      </c>
      <c r="J240" s="3261"/>
      <c r="K240" s="3261"/>
      <c r="L240" s="3261"/>
      <c r="M240" s="3047" t="s">
        <v>4308</v>
      </c>
      <c r="N240" s="3047"/>
      <c r="O240" s="3264" t="str">
        <f>報7!N240</f>
        <v/>
      </c>
      <c r="P240" s="165"/>
      <c r="Q240" s="1244"/>
      <c r="W240" s="156"/>
      <c r="X240" s="156"/>
      <c r="Y240" s="156"/>
      <c r="Z240" s="156"/>
    </row>
    <row r="241" spans="1:26" ht="22.15" customHeight="1">
      <c r="A241" s="3097">
        <f>IF(計1!$D$28="","",計1!$D$28-1)</f>
        <v>2023</v>
      </c>
      <c r="B241" s="2655"/>
      <c r="C241" s="3257"/>
      <c r="D241" s="3258"/>
      <c r="E241" s="3258"/>
      <c r="F241" s="3258"/>
      <c r="G241" s="3076"/>
      <c r="H241" s="3259"/>
      <c r="I241" s="3262"/>
      <c r="J241" s="3263"/>
      <c r="K241" s="3263"/>
      <c r="L241" s="3263"/>
      <c r="M241" s="3048"/>
      <c r="N241" s="3048"/>
      <c r="O241" s="3265"/>
      <c r="P241" s="165"/>
      <c r="Q241" s="1244"/>
      <c r="W241" s="156"/>
      <c r="X241" s="156"/>
      <c r="Y241" s="156"/>
      <c r="Z241" s="156"/>
    </row>
    <row r="242" spans="1:26" ht="22.15" customHeight="1">
      <c r="A242" s="2633" t="s">
        <v>558</v>
      </c>
      <c r="B242" s="3065"/>
      <c r="C242" s="3216"/>
      <c r="D242" s="3217"/>
      <c r="E242" s="3217"/>
      <c r="F242" s="3217"/>
      <c r="G242" s="3047" t="s">
        <v>414</v>
      </c>
      <c r="H242" s="2959"/>
      <c r="I242" s="3221"/>
      <c r="J242" s="3222"/>
      <c r="K242" s="3222"/>
      <c r="L242" s="3222"/>
      <c r="M242" s="3047" t="s">
        <v>415</v>
      </c>
      <c r="N242" s="3047"/>
      <c r="O242" s="3225" t="str">
        <f>IF(O240="","",O240)</f>
        <v/>
      </c>
      <c r="P242" s="3229"/>
      <c r="Q242" s="3229"/>
      <c r="W242" s="156"/>
      <c r="X242" s="156"/>
      <c r="Y242" s="156"/>
      <c r="Z242" s="156"/>
    </row>
    <row r="243" spans="1:26" ht="22.15" customHeight="1">
      <c r="A243" s="3080">
        <f>IF(計1!$D$28="","",計1!$G$28)</f>
        <v>2026</v>
      </c>
      <c r="B243" s="3059"/>
      <c r="C243" s="3218"/>
      <c r="D243" s="3219"/>
      <c r="E243" s="3219"/>
      <c r="F243" s="3219"/>
      <c r="G243" s="3048"/>
      <c r="H243" s="3220"/>
      <c r="I243" s="3223"/>
      <c r="J243" s="3224"/>
      <c r="K243" s="3224"/>
      <c r="L243" s="3224"/>
      <c r="M243" s="3048"/>
      <c r="N243" s="3048"/>
      <c r="O243" s="3226"/>
      <c r="P243" s="3230"/>
      <c r="Q243" s="3231"/>
      <c r="W243" s="156"/>
      <c r="X243" s="357"/>
      <c r="Y243" s="156"/>
      <c r="Z243" s="156"/>
    </row>
    <row r="244" spans="1:26" ht="24.95" customHeight="1">
      <c r="A244" s="145"/>
      <c r="B244" s="146" t="s">
        <v>577</v>
      </c>
      <c r="C244" s="147"/>
      <c r="D244" s="3232" t="str">
        <f ca="1">IF(OR(C240=0,C242=""),"",INT((C240-C242)/C240*10000)/100)</f>
        <v/>
      </c>
      <c r="E244" s="3232"/>
      <c r="F244" s="3232"/>
      <c r="G244" s="3233" t="s">
        <v>134</v>
      </c>
      <c r="H244" s="3234"/>
      <c r="I244" s="148"/>
      <c r="J244" s="3235" t="str">
        <f>IF(OR(I240=0,I242=""),"",INT((I240-I242)/I240*10000)/100)</f>
        <v/>
      </c>
      <c r="K244" s="3235"/>
      <c r="L244" s="3235"/>
      <c r="M244" s="3232" t="s">
        <v>501</v>
      </c>
      <c r="N244" s="3232"/>
      <c r="O244" s="3236"/>
      <c r="P244" s="335"/>
      <c r="Q244" s="1245"/>
      <c r="W244" s="359"/>
      <c r="X244" s="359"/>
      <c r="Y244" s="359"/>
      <c r="Z244" s="156"/>
    </row>
    <row r="245" spans="1:26" ht="27.75" customHeight="1">
      <c r="A245" s="2672" t="s">
        <v>559</v>
      </c>
      <c r="B245" s="2635"/>
      <c r="C245" s="3240"/>
      <c r="D245" s="3241"/>
      <c r="E245" s="3241"/>
      <c r="F245" s="3241"/>
      <c r="G245" s="3241"/>
      <c r="H245" s="3241"/>
      <c r="I245" s="3241"/>
      <c r="J245" s="3241"/>
      <c r="K245" s="3241"/>
      <c r="L245" s="3241"/>
      <c r="M245" s="3241"/>
      <c r="N245" s="3241"/>
      <c r="O245" s="3242"/>
      <c r="P245" s="335"/>
      <c r="Q245" s="1245"/>
      <c r="R245" s="1246"/>
      <c r="W245" s="359"/>
      <c r="X245" s="359" t="s">
        <v>586</v>
      </c>
      <c r="Y245" s="359"/>
      <c r="Z245" s="156"/>
    </row>
    <row r="246" spans="1:26" ht="35.1" customHeight="1">
      <c r="A246" s="3237"/>
      <c r="B246" s="2648"/>
      <c r="C246" s="3243"/>
      <c r="D246" s="2941"/>
      <c r="E246" s="2941"/>
      <c r="F246" s="2941"/>
      <c r="G246" s="2941"/>
      <c r="H246" s="2941"/>
      <c r="I246" s="2941"/>
      <c r="J246" s="2941"/>
      <c r="K246" s="2941"/>
      <c r="L246" s="2941"/>
      <c r="M246" s="2941"/>
      <c r="N246" s="2941"/>
      <c r="O246" s="2942"/>
      <c r="P246" s="358"/>
      <c r="Q246" s="1247"/>
      <c r="R246" s="1248">
        <v>0</v>
      </c>
      <c r="W246" s="359"/>
      <c r="X246" s="360" t="s">
        <v>587</v>
      </c>
      <c r="Y246" s="359"/>
      <c r="Z246" s="156"/>
    </row>
    <row r="247" spans="1:26" ht="93" customHeight="1">
      <c r="A247" s="3238"/>
      <c r="B247" s="3239"/>
      <c r="C247" s="3244"/>
      <c r="D247" s="2943"/>
      <c r="E247" s="2943"/>
      <c r="F247" s="2943"/>
      <c r="G247" s="2943"/>
      <c r="H247" s="2943"/>
      <c r="I247" s="2943"/>
      <c r="J247" s="2943"/>
      <c r="K247" s="2943"/>
      <c r="L247" s="2943"/>
      <c r="M247" s="2943"/>
      <c r="N247" s="2943"/>
      <c r="O247" s="2944"/>
      <c r="P247" s="336"/>
      <c r="Q247" s="1249"/>
      <c r="W247" s="156"/>
      <c r="X247" s="156"/>
      <c r="Y247" s="156"/>
      <c r="Z247" s="156"/>
    </row>
    <row r="248" spans="1:26" ht="18" customHeight="1">
      <c r="A248" s="2831" t="s">
        <v>583</v>
      </c>
      <c r="B248" s="2831"/>
      <c r="C248" s="2831"/>
      <c r="D248" s="2831"/>
      <c r="E248" s="2831"/>
      <c r="F248" s="2831"/>
      <c r="G248" s="2831"/>
      <c r="H248" s="2831"/>
      <c r="I248" s="2831"/>
      <c r="J248" s="2831"/>
      <c r="K248" s="2831"/>
      <c r="L248" s="2831"/>
      <c r="M248" s="2831"/>
      <c r="N248" s="2831"/>
      <c r="O248" s="2831"/>
      <c r="P248" s="3227"/>
      <c r="Q248" s="3227"/>
      <c r="W248" s="156"/>
      <c r="X248" s="156"/>
      <c r="Y248" s="156"/>
      <c r="Z248" s="156"/>
    </row>
    <row r="249" spans="1:26" ht="9.75" customHeight="1">
      <c r="A249" s="89"/>
      <c r="B249" s="89"/>
      <c r="C249" s="106"/>
      <c r="D249" s="106"/>
      <c r="E249" s="106"/>
      <c r="F249" s="106"/>
      <c r="G249" s="106"/>
      <c r="H249" s="106"/>
      <c r="I249" s="106"/>
      <c r="J249" s="106"/>
      <c r="K249" s="106"/>
      <c r="L249" s="106"/>
      <c r="M249" s="106"/>
      <c r="N249" s="3228"/>
      <c r="O249" s="3228"/>
      <c r="P249" s="156"/>
      <c r="W249" s="156"/>
      <c r="X249" s="156"/>
      <c r="Y249" s="156"/>
      <c r="Z249" s="156"/>
    </row>
    <row r="250" spans="1:26">
      <c r="A250" s="156"/>
      <c r="B250" s="156"/>
      <c r="C250" s="156"/>
      <c r="D250" s="156"/>
      <c r="E250" s="156"/>
      <c r="F250" s="156"/>
      <c r="G250" s="156"/>
      <c r="H250" s="156"/>
      <c r="I250" s="156"/>
      <c r="J250" s="156"/>
      <c r="K250" s="156"/>
      <c r="L250" s="156"/>
      <c r="M250" s="156"/>
      <c r="N250" s="156"/>
      <c r="O250" s="156"/>
      <c r="P250" s="156"/>
      <c r="W250" s="156"/>
      <c r="X250" s="156"/>
      <c r="Y250" s="156"/>
      <c r="Z250" s="156"/>
    </row>
    <row r="251" spans="1:26">
      <c r="A251" s="1" t="s">
        <v>520</v>
      </c>
      <c r="B251" s="2"/>
      <c r="C251" s="2"/>
      <c r="D251" s="2"/>
      <c r="E251" s="2"/>
      <c r="F251" s="2"/>
      <c r="G251" s="2"/>
      <c r="H251" s="2"/>
      <c r="I251" s="2"/>
      <c r="J251" s="2"/>
      <c r="K251" s="2"/>
      <c r="L251" s="2"/>
      <c r="M251" s="2"/>
      <c r="N251" s="2"/>
      <c r="O251" s="2"/>
      <c r="P251" s="156" t="str">
        <f>"個別票"&amp;Q251</f>
        <v>個別票11</v>
      </c>
      <c r="Q251" s="1242">
        <f>Q226+1</f>
        <v>11</v>
      </c>
      <c r="W251" s="156"/>
      <c r="X251" s="156"/>
      <c r="Y251" s="156"/>
      <c r="Z251" s="156"/>
    </row>
    <row r="252" spans="1:26">
      <c r="A252" s="2" t="s">
        <v>557</v>
      </c>
      <c r="B252" s="4"/>
      <c r="C252" s="4"/>
      <c r="D252" s="4"/>
      <c r="E252" s="4"/>
      <c r="F252" s="4"/>
      <c r="G252" s="4"/>
      <c r="H252" s="4"/>
      <c r="I252" s="4"/>
      <c r="J252" s="4"/>
      <c r="K252" s="4"/>
      <c r="L252" s="4"/>
      <c r="M252" s="4"/>
      <c r="N252" s="2"/>
      <c r="O252" s="2"/>
      <c r="P252" s="156"/>
      <c r="W252" s="156"/>
      <c r="X252" s="156"/>
      <c r="Y252" s="156"/>
      <c r="Z252" s="156"/>
    </row>
    <row r="253" spans="1:26" ht="17.25">
      <c r="A253" s="2612" t="s">
        <v>556</v>
      </c>
      <c r="B253" s="2612"/>
      <c r="C253" s="2612"/>
      <c r="D253" s="2612"/>
      <c r="E253" s="2612"/>
      <c r="F253" s="2612"/>
      <c r="G253" s="2612"/>
      <c r="H253" s="2612"/>
      <c r="I253" s="2612"/>
      <c r="J253" s="2612"/>
      <c r="K253" s="2612"/>
      <c r="L253" s="2612"/>
      <c r="M253" s="2612"/>
      <c r="N253" s="2612"/>
      <c r="O253" s="2612"/>
      <c r="P253" s="156"/>
      <c r="W253" s="156"/>
      <c r="X253" s="156"/>
      <c r="Y253" s="156"/>
      <c r="Z253" s="156"/>
    </row>
    <row r="254" spans="1:26" ht="17.25">
      <c r="A254" s="38"/>
      <c r="B254" s="38"/>
      <c r="C254" s="38"/>
      <c r="D254" s="38"/>
      <c r="E254" s="38"/>
      <c r="F254" s="38"/>
      <c r="G254" s="38"/>
      <c r="H254" s="38"/>
      <c r="I254" s="38"/>
      <c r="J254" s="38"/>
      <c r="K254" s="38"/>
      <c r="L254" s="38"/>
      <c r="M254" s="38"/>
      <c r="N254" s="38"/>
      <c r="O254" s="38"/>
      <c r="P254" s="156"/>
      <c r="W254" s="156"/>
      <c r="X254" s="156"/>
      <c r="Y254" s="156"/>
      <c r="Z254" s="156"/>
    </row>
    <row r="255" spans="1:26" ht="18" customHeight="1">
      <c r="A255" s="48" t="s">
        <v>151</v>
      </c>
      <c r="B255" s="4"/>
      <c r="C255" s="4"/>
      <c r="D255" s="4"/>
      <c r="E255" s="4"/>
      <c r="F255" s="4"/>
      <c r="G255" s="4"/>
      <c r="H255" s="4"/>
      <c r="I255" s="4"/>
      <c r="J255" s="4"/>
      <c r="K255" s="4"/>
      <c r="L255" s="4"/>
      <c r="M255" s="4"/>
      <c r="N255" s="2"/>
      <c r="O255" s="2"/>
      <c r="P255" s="156"/>
      <c r="W255" s="156"/>
      <c r="X255" s="156"/>
      <c r="Y255" s="156"/>
      <c r="Z255" s="156"/>
    </row>
    <row r="256" spans="1:26" ht="39.950000000000003" customHeight="1">
      <c r="A256" s="2984" t="s">
        <v>152</v>
      </c>
      <c r="B256" s="2985"/>
      <c r="C256" s="2986"/>
      <c r="D256" s="2987" t="str">
        <f>報7!D256</f>
        <v>事業所名を入力11</v>
      </c>
      <c r="E256" s="2988"/>
      <c r="F256" s="2988"/>
      <c r="G256" s="2988"/>
      <c r="H256" s="2988"/>
      <c r="I256" s="2988"/>
      <c r="J256" s="2988"/>
      <c r="K256" s="2988"/>
      <c r="L256" s="2988"/>
      <c r="M256" s="2988"/>
      <c r="N256" s="2988"/>
      <c r="O256" s="2989"/>
      <c r="P256" s="156"/>
      <c r="W256" s="156"/>
      <c r="X256" s="156"/>
      <c r="Y256" s="156"/>
      <c r="Z256" s="156"/>
    </row>
    <row r="257" spans="1:26" ht="39.950000000000003" customHeight="1">
      <c r="A257" s="2570" t="s">
        <v>153</v>
      </c>
      <c r="B257" s="2571"/>
      <c r="C257" s="2990"/>
      <c r="D257" s="2573">
        <f>報7!D257</f>
        <v>0</v>
      </c>
      <c r="E257" s="2574"/>
      <c r="F257" s="2574"/>
      <c r="G257" s="2574"/>
      <c r="H257" s="2574"/>
      <c r="I257" s="2574"/>
      <c r="J257" s="2574"/>
      <c r="K257" s="2574"/>
      <c r="L257" s="2574"/>
      <c r="M257" s="2574"/>
      <c r="N257" s="2574"/>
      <c r="O257" s="2575"/>
      <c r="P257" s="156"/>
      <c r="W257" s="156"/>
      <c r="X257" s="156"/>
      <c r="Y257" s="156"/>
      <c r="Z257" s="156"/>
    </row>
    <row r="258" spans="1:26" ht="39.950000000000003" customHeight="1">
      <c r="A258" s="2536" t="s">
        <v>154</v>
      </c>
      <c r="B258" s="2978"/>
      <c r="C258" s="3245">
        <f>報7!C258</f>
        <v>0</v>
      </c>
      <c r="D258" s="3246"/>
      <c r="E258" s="101" t="s">
        <v>180</v>
      </c>
      <c r="F258" s="2974" t="s">
        <v>404</v>
      </c>
      <c r="G258" s="2975"/>
      <c r="H258" s="2981" t="str">
        <f ca="1">報7!H258</f>
        <v/>
      </c>
      <c r="I258" s="2982"/>
      <c r="J258" s="58" t="s">
        <v>176</v>
      </c>
      <c r="K258" s="2974" t="s">
        <v>405</v>
      </c>
      <c r="L258" s="2975"/>
      <c r="M258" s="3247">
        <f>報7!M258</f>
        <v>0</v>
      </c>
      <c r="N258" s="3248"/>
      <c r="O258" s="3249"/>
      <c r="P258" s="156" t="str">
        <f>IFERROR(VLOOKUP(M258,$U$6:$V$22,2,0),"")</f>
        <v/>
      </c>
      <c r="W258" s="156"/>
      <c r="X258" s="156"/>
      <c r="Y258" s="156"/>
      <c r="Z258" s="156"/>
    </row>
    <row r="259" spans="1:26" ht="39.950000000000003" customHeight="1">
      <c r="A259" s="2974" t="s">
        <v>406</v>
      </c>
      <c r="B259" s="2975"/>
      <c r="C259" s="3250">
        <f>報7!C259</f>
        <v>0</v>
      </c>
      <c r="D259" s="2507"/>
      <c r="E259" s="2508"/>
      <c r="F259" s="2974" t="s">
        <v>158</v>
      </c>
      <c r="G259" s="2975"/>
      <c r="H259" s="3250">
        <f>報7!H259</f>
        <v>0</v>
      </c>
      <c r="I259" s="2507"/>
      <c r="J259" s="2508"/>
      <c r="K259" s="2580"/>
      <c r="L259" s="2977"/>
      <c r="M259" s="2977"/>
      <c r="N259" s="2977"/>
      <c r="O259" s="2977"/>
      <c r="P259" s="156"/>
      <c r="W259" s="156"/>
      <c r="X259" s="156"/>
      <c r="Y259" s="156"/>
      <c r="Z259" s="156"/>
    </row>
    <row r="260" spans="1:26" ht="49.9" customHeight="1">
      <c r="A260" s="39"/>
      <c r="B260" s="39"/>
      <c r="C260" s="40"/>
      <c r="D260" s="41"/>
      <c r="E260" s="40"/>
      <c r="F260" s="42"/>
      <c r="P260" s="156"/>
      <c r="W260" s="156"/>
      <c r="X260" s="156"/>
      <c r="Y260" s="156"/>
      <c r="Z260" s="156"/>
    </row>
    <row r="261" spans="1:26" s="103" customFormat="1" ht="19.5" customHeight="1">
      <c r="A261" s="3251" t="s">
        <v>555</v>
      </c>
      <c r="B261" s="3252"/>
      <c r="C261" s="3252"/>
      <c r="D261" s="3252"/>
      <c r="E261" s="3252"/>
      <c r="F261" s="3252"/>
      <c r="G261" s="3252"/>
      <c r="H261" s="3252"/>
      <c r="I261" s="3252"/>
      <c r="J261" s="3252"/>
      <c r="K261" s="3252"/>
      <c r="L261" s="3252"/>
      <c r="M261" s="3252"/>
      <c r="N261" s="3252"/>
      <c r="O261" s="3252"/>
      <c r="P261" s="334"/>
      <c r="Q261" s="1243"/>
      <c r="R261" s="1243"/>
      <c r="S261" s="1243"/>
      <c r="T261" s="1243"/>
      <c r="U261" s="1243"/>
      <c r="V261" s="1243"/>
      <c r="W261" s="334"/>
      <c r="X261" s="334"/>
      <c r="Y261" s="334"/>
      <c r="Z261" s="334"/>
    </row>
    <row r="262" spans="1:26" ht="49.9" customHeight="1">
      <c r="A262" s="104"/>
      <c r="B262" s="39"/>
      <c r="E262" s="105"/>
      <c r="F262" s="105"/>
      <c r="G262" s="105"/>
      <c r="H262" s="105"/>
      <c r="I262" s="105"/>
      <c r="J262" s="105"/>
      <c r="K262" s="105"/>
      <c r="L262" s="105"/>
      <c r="M262" s="105"/>
      <c r="N262" s="105"/>
      <c r="O262" s="105"/>
      <c r="P262" s="156"/>
      <c r="W262" s="156"/>
      <c r="X262" s="156"/>
      <c r="Y262" s="156"/>
      <c r="Z262" s="156"/>
    </row>
    <row r="263" spans="1:26" ht="20.25" customHeight="1">
      <c r="A263" s="50" t="s">
        <v>554</v>
      </c>
      <c r="B263" s="30"/>
      <c r="C263" s="30"/>
      <c r="D263" s="30"/>
      <c r="E263" s="30"/>
      <c r="F263" s="30"/>
      <c r="G263" s="30"/>
      <c r="H263" s="30"/>
      <c r="I263" s="30"/>
      <c r="J263" s="30"/>
      <c r="K263" s="30"/>
      <c r="L263" s="6"/>
      <c r="M263" s="6"/>
      <c r="N263" s="6"/>
      <c r="O263" s="6"/>
      <c r="P263" s="156"/>
      <c r="W263" s="156"/>
      <c r="X263" s="156"/>
      <c r="Y263" s="156"/>
      <c r="Z263" s="156"/>
    </row>
    <row r="264" spans="1:26" ht="20.100000000000001" customHeight="1">
      <c r="A264" s="2654"/>
      <c r="B264" s="2655"/>
      <c r="C264" s="2673" t="s">
        <v>561</v>
      </c>
      <c r="D264" s="2674"/>
      <c r="E264" s="2674"/>
      <c r="F264" s="2674"/>
      <c r="G264" s="2674"/>
      <c r="H264" s="2675"/>
      <c r="I264" s="2673" t="s">
        <v>560</v>
      </c>
      <c r="J264" s="2674"/>
      <c r="K264" s="2674"/>
      <c r="L264" s="2674"/>
      <c r="M264" s="2674"/>
      <c r="N264" s="2674"/>
      <c r="O264" s="2675"/>
      <c r="P264" s="156"/>
      <c r="W264" s="156"/>
      <c r="X264" s="156"/>
      <c r="Y264" s="156"/>
      <c r="Z264" s="156"/>
    </row>
    <row r="265" spans="1:26" ht="22.15" customHeight="1">
      <c r="A265" s="3253" t="s">
        <v>122</v>
      </c>
      <c r="B265" s="3254"/>
      <c r="C265" s="3255" t="str">
        <f ca="1">参照元個別!E15</f>
        <v/>
      </c>
      <c r="D265" s="3256"/>
      <c r="E265" s="3256"/>
      <c r="F265" s="3256"/>
      <c r="G265" s="3047" t="s">
        <v>1265</v>
      </c>
      <c r="H265" s="2959"/>
      <c r="I265" s="3260" t="str">
        <f>報7!I265</f>
        <v/>
      </c>
      <c r="J265" s="3261"/>
      <c r="K265" s="3261"/>
      <c r="L265" s="3261"/>
      <c r="M265" s="3047" t="s">
        <v>4308</v>
      </c>
      <c r="N265" s="3047"/>
      <c r="O265" s="3264" t="str">
        <f>報7!N265</f>
        <v/>
      </c>
      <c r="P265" s="165"/>
      <c r="Q265" s="1244"/>
      <c r="W265" s="156"/>
      <c r="X265" s="156"/>
      <c r="Y265" s="156"/>
      <c r="Z265" s="156"/>
    </row>
    <row r="266" spans="1:26" ht="22.15" customHeight="1">
      <c r="A266" s="3097">
        <f>IF(計1!$D$28="","",計1!$D$28-1)</f>
        <v>2023</v>
      </c>
      <c r="B266" s="2655"/>
      <c r="C266" s="3257"/>
      <c r="D266" s="3258"/>
      <c r="E266" s="3258"/>
      <c r="F266" s="3258"/>
      <c r="G266" s="3076"/>
      <c r="H266" s="3259"/>
      <c r="I266" s="3262"/>
      <c r="J266" s="3263"/>
      <c r="K266" s="3263"/>
      <c r="L266" s="3263"/>
      <c r="M266" s="3048"/>
      <c r="N266" s="3048"/>
      <c r="O266" s="3265"/>
      <c r="P266" s="165"/>
      <c r="Q266" s="1244"/>
      <c r="W266" s="156"/>
      <c r="X266" s="156"/>
      <c r="Y266" s="156"/>
      <c r="Z266" s="156"/>
    </row>
    <row r="267" spans="1:26" ht="22.15" customHeight="1">
      <c r="A267" s="2633" t="s">
        <v>558</v>
      </c>
      <c r="B267" s="3065"/>
      <c r="C267" s="3216"/>
      <c r="D267" s="3217"/>
      <c r="E267" s="3217"/>
      <c r="F267" s="3217"/>
      <c r="G267" s="3047" t="s">
        <v>414</v>
      </c>
      <c r="H267" s="2959"/>
      <c r="I267" s="3221"/>
      <c r="J267" s="3222"/>
      <c r="K267" s="3222"/>
      <c r="L267" s="3222"/>
      <c r="M267" s="3047" t="s">
        <v>415</v>
      </c>
      <c r="N267" s="3047"/>
      <c r="O267" s="3225" t="str">
        <f>IF(O265="","",O265)</f>
        <v/>
      </c>
      <c r="P267" s="3229"/>
      <c r="Q267" s="3229"/>
      <c r="W267" s="156"/>
      <c r="X267" s="156"/>
      <c r="Y267" s="156"/>
      <c r="Z267" s="156"/>
    </row>
    <row r="268" spans="1:26" ht="22.15" customHeight="1">
      <c r="A268" s="3080">
        <f>IF(計1!$D$28="","",計1!$G$28)</f>
        <v>2026</v>
      </c>
      <c r="B268" s="3059"/>
      <c r="C268" s="3218"/>
      <c r="D268" s="3219"/>
      <c r="E268" s="3219"/>
      <c r="F268" s="3219"/>
      <c r="G268" s="3048"/>
      <c r="H268" s="3220"/>
      <c r="I268" s="3223"/>
      <c r="J268" s="3224"/>
      <c r="K268" s="3224"/>
      <c r="L268" s="3224"/>
      <c r="M268" s="3048"/>
      <c r="N268" s="3048"/>
      <c r="O268" s="3226"/>
      <c r="P268" s="3230"/>
      <c r="Q268" s="3231"/>
      <c r="W268" s="156"/>
      <c r="X268" s="357"/>
      <c r="Y268" s="156"/>
      <c r="Z268" s="156"/>
    </row>
    <row r="269" spans="1:26" ht="24.95" customHeight="1">
      <c r="A269" s="145"/>
      <c r="B269" s="146" t="s">
        <v>577</v>
      </c>
      <c r="C269" s="147"/>
      <c r="D269" s="3232" t="str">
        <f ca="1">IF(OR(C265=0,C267=""),"",INT((C265-C267)/C265*10000)/100)</f>
        <v/>
      </c>
      <c r="E269" s="3232"/>
      <c r="F269" s="3232"/>
      <c r="G269" s="3233" t="s">
        <v>134</v>
      </c>
      <c r="H269" s="3234"/>
      <c r="I269" s="148"/>
      <c r="J269" s="3235" t="str">
        <f>IF(OR(I265=0,I267=""),"",INT((I265-I267)/I265*10000)/100)</f>
        <v/>
      </c>
      <c r="K269" s="3235"/>
      <c r="L269" s="3235"/>
      <c r="M269" s="3232" t="s">
        <v>501</v>
      </c>
      <c r="N269" s="3232"/>
      <c r="O269" s="3236"/>
      <c r="P269" s="335"/>
      <c r="Q269" s="1245"/>
      <c r="W269" s="359"/>
      <c r="X269" s="359"/>
      <c r="Y269" s="359"/>
      <c r="Z269" s="156"/>
    </row>
    <row r="270" spans="1:26" ht="27.75" customHeight="1">
      <c r="A270" s="2672" t="s">
        <v>559</v>
      </c>
      <c r="B270" s="2635"/>
      <c r="C270" s="3240"/>
      <c r="D270" s="3241"/>
      <c r="E270" s="3241"/>
      <c r="F270" s="3241"/>
      <c r="G270" s="3241"/>
      <c r="H270" s="3241"/>
      <c r="I270" s="3241"/>
      <c r="J270" s="3241"/>
      <c r="K270" s="3241"/>
      <c r="L270" s="3241"/>
      <c r="M270" s="3241"/>
      <c r="N270" s="3241"/>
      <c r="O270" s="3242"/>
      <c r="P270" s="335"/>
      <c r="Q270" s="1245"/>
      <c r="R270" s="1246"/>
      <c r="W270" s="359"/>
      <c r="X270" s="359" t="s">
        <v>586</v>
      </c>
      <c r="Y270" s="359"/>
      <c r="Z270" s="156"/>
    </row>
    <row r="271" spans="1:26" ht="35.1" customHeight="1">
      <c r="A271" s="3237"/>
      <c r="B271" s="2648"/>
      <c r="C271" s="3243"/>
      <c r="D271" s="2941"/>
      <c r="E271" s="2941"/>
      <c r="F271" s="2941"/>
      <c r="G271" s="2941"/>
      <c r="H271" s="2941"/>
      <c r="I271" s="2941"/>
      <c r="J271" s="2941"/>
      <c r="K271" s="2941"/>
      <c r="L271" s="2941"/>
      <c r="M271" s="2941"/>
      <c r="N271" s="2941"/>
      <c r="O271" s="2942"/>
      <c r="P271" s="358"/>
      <c r="Q271" s="1247"/>
      <c r="R271" s="1248">
        <v>0</v>
      </c>
      <c r="W271" s="359"/>
      <c r="X271" s="360" t="s">
        <v>587</v>
      </c>
      <c r="Y271" s="359"/>
      <c r="Z271" s="156"/>
    </row>
    <row r="272" spans="1:26" ht="93" customHeight="1">
      <c r="A272" s="3238"/>
      <c r="B272" s="3239"/>
      <c r="C272" s="3244"/>
      <c r="D272" s="2943"/>
      <c r="E272" s="2943"/>
      <c r="F272" s="2943"/>
      <c r="G272" s="2943"/>
      <c r="H272" s="2943"/>
      <c r="I272" s="2943"/>
      <c r="J272" s="2943"/>
      <c r="K272" s="2943"/>
      <c r="L272" s="2943"/>
      <c r="M272" s="2943"/>
      <c r="N272" s="2943"/>
      <c r="O272" s="2944"/>
      <c r="P272" s="336"/>
      <c r="Q272" s="1249"/>
      <c r="W272" s="156"/>
      <c r="X272" s="156"/>
      <c r="Y272" s="156"/>
      <c r="Z272" s="156"/>
    </row>
    <row r="273" spans="1:26" ht="18" customHeight="1">
      <c r="A273" s="2831" t="s">
        <v>583</v>
      </c>
      <c r="B273" s="2831"/>
      <c r="C273" s="2831"/>
      <c r="D273" s="2831"/>
      <c r="E273" s="2831"/>
      <c r="F273" s="2831"/>
      <c r="G273" s="2831"/>
      <c r="H273" s="2831"/>
      <c r="I273" s="2831"/>
      <c r="J273" s="2831"/>
      <c r="K273" s="2831"/>
      <c r="L273" s="2831"/>
      <c r="M273" s="2831"/>
      <c r="N273" s="2831"/>
      <c r="O273" s="2831"/>
      <c r="P273" s="3227"/>
      <c r="Q273" s="3227"/>
      <c r="W273" s="156"/>
      <c r="X273" s="156"/>
      <c r="Y273" s="156"/>
      <c r="Z273" s="156"/>
    </row>
    <row r="274" spans="1:26" ht="9.75" customHeight="1">
      <c r="A274" s="89"/>
      <c r="B274" s="89"/>
      <c r="C274" s="106"/>
      <c r="D274" s="106"/>
      <c r="E274" s="106"/>
      <c r="F274" s="106"/>
      <c r="G274" s="106"/>
      <c r="H274" s="106"/>
      <c r="I274" s="106"/>
      <c r="J274" s="106"/>
      <c r="K274" s="106"/>
      <c r="L274" s="106"/>
      <c r="M274" s="106"/>
      <c r="N274" s="3228"/>
      <c r="O274" s="3228"/>
      <c r="P274" s="156"/>
      <c r="W274" s="156"/>
      <c r="X274" s="156"/>
      <c r="Y274" s="156"/>
      <c r="Z274" s="156"/>
    </row>
    <row r="275" spans="1:26">
      <c r="A275" s="156"/>
      <c r="B275" s="156"/>
      <c r="C275" s="156"/>
      <c r="D275" s="156"/>
      <c r="E275" s="156"/>
      <c r="F275" s="156"/>
      <c r="G275" s="156"/>
      <c r="H275" s="156"/>
      <c r="I275" s="156"/>
      <c r="J275" s="156"/>
      <c r="K275" s="156"/>
      <c r="L275" s="156"/>
      <c r="M275" s="156"/>
      <c r="N275" s="156"/>
      <c r="O275" s="156"/>
      <c r="P275" s="156"/>
      <c r="W275" s="156"/>
      <c r="X275" s="156"/>
      <c r="Y275" s="156"/>
      <c r="Z275" s="156"/>
    </row>
    <row r="276" spans="1:26">
      <c r="A276" s="1" t="s">
        <v>520</v>
      </c>
      <c r="B276" s="2"/>
      <c r="C276" s="2"/>
      <c r="D276" s="2"/>
      <c r="E276" s="2"/>
      <c r="F276" s="2"/>
      <c r="G276" s="2"/>
      <c r="H276" s="2"/>
      <c r="I276" s="2"/>
      <c r="J276" s="2"/>
      <c r="K276" s="2"/>
      <c r="L276" s="2"/>
      <c r="M276" s="2"/>
      <c r="N276" s="2"/>
      <c r="O276" s="2"/>
      <c r="P276" s="156" t="str">
        <f>"個別票"&amp;Q276</f>
        <v>個別票12</v>
      </c>
      <c r="Q276" s="1242">
        <f>Q251+1</f>
        <v>12</v>
      </c>
      <c r="W276" s="156"/>
      <c r="X276" s="156"/>
      <c r="Y276" s="156"/>
      <c r="Z276" s="156"/>
    </row>
    <row r="277" spans="1:26">
      <c r="A277" s="2" t="s">
        <v>557</v>
      </c>
      <c r="B277" s="4"/>
      <c r="C277" s="4"/>
      <c r="D277" s="4"/>
      <c r="E277" s="4"/>
      <c r="F277" s="4"/>
      <c r="G277" s="4"/>
      <c r="H277" s="4"/>
      <c r="I277" s="4"/>
      <c r="J277" s="4"/>
      <c r="K277" s="4"/>
      <c r="L277" s="4"/>
      <c r="M277" s="4"/>
      <c r="N277" s="2"/>
      <c r="O277" s="2"/>
      <c r="P277" s="156"/>
      <c r="W277" s="156"/>
      <c r="X277" s="156"/>
      <c r="Y277" s="156"/>
      <c r="Z277" s="156"/>
    </row>
    <row r="278" spans="1:26" ht="17.25">
      <c r="A278" s="2612" t="s">
        <v>556</v>
      </c>
      <c r="B278" s="2612"/>
      <c r="C278" s="2612"/>
      <c r="D278" s="2612"/>
      <c r="E278" s="2612"/>
      <c r="F278" s="2612"/>
      <c r="G278" s="2612"/>
      <c r="H278" s="2612"/>
      <c r="I278" s="2612"/>
      <c r="J278" s="2612"/>
      <c r="K278" s="2612"/>
      <c r="L278" s="2612"/>
      <c r="M278" s="2612"/>
      <c r="N278" s="2612"/>
      <c r="O278" s="2612"/>
      <c r="P278" s="156"/>
      <c r="W278" s="156"/>
      <c r="X278" s="156"/>
      <c r="Y278" s="156"/>
      <c r="Z278" s="156"/>
    </row>
    <row r="279" spans="1:26" ht="17.25">
      <c r="A279" s="38"/>
      <c r="B279" s="38"/>
      <c r="C279" s="38"/>
      <c r="D279" s="38"/>
      <c r="E279" s="38"/>
      <c r="F279" s="38"/>
      <c r="G279" s="38"/>
      <c r="H279" s="38"/>
      <c r="I279" s="38"/>
      <c r="J279" s="38"/>
      <c r="K279" s="38"/>
      <c r="L279" s="38"/>
      <c r="M279" s="38"/>
      <c r="N279" s="38"/>
      <c r="O279" s="38"/>
      <c r="P279" s="156"/>
      <c r="W279" s="156"/>
      <c r="X279" s="156"/>
      <c r="Y279" s="156"/>
      <c r="Z279" s="156"/>
    </row>
    <row r="280" spans="1:26" ht="18" customHeight="1">
      <c r="A280" s="48" t="s">
        <v>151</v>
      </c>
      <c r="B280" s="4"/>
      <c r="C280" s="4"/>
      <c r="D280" s="4"/>
      <c r="E280" s="4"/>
      <c r="F280" s="4"/>
      <c r="G280" s="4"/>
      <c r="H280" s="4"/>
      <c r="I280" s="4"/>
      <c r="J280" s="4"/>
      <c r="K280" s="4"/>
      <c r="L280" s="4"/>
      <c r="M280" s="4"/>
      <c r="N280" s="2"/>
      <c r="O280" s="2"/>
      <c r="P280" s="156"/>
      <c r="W280" s="156"/>
      <c r="X280" s="156"/>
      <c r="Y280" s="156"/>
      <c r="Z280" s="156"/>
    </row>
    <row r="281" spans="1:26" ht="39.950000000000003" customHeight="1">
      <c r="A281" s="2984" t="s">
        <v>152</v>
      </c>
      <c r="B281" s="2985"/>
      <c r="C281" s="2986"/>
      <c r="D281" s="2987" t="str">
        <f>報7!D281</f>
        <v>事業所名を入力12</v>
      </c>
      <c r="E281" s="2988"/>
      <c r="F281" s="2988"/>
      <c r="G281" s="2988"/>
      <c r="H281" s="2988"/>
      <c r="I281" s="2988"/>
      <c r="J281" s="2988"/>
      <c r="K281" s="2988"/>
      <c r="L281" s="2988"/>
      <c r="M281" s="2988"/>
      <c r="N281" s="2988"/>
      <c r="O281" s="2989"/>
      <c r="P281" s="156"/>
      <c r="W281" s="156"/>
      <c r="X281" s="156"/>
      <c r="Y281" s="156"/>
      <c r="Z281" s="156"/>
    </row>
    <row r="282" spans="1:26" ht="39.950000000000003" customHeight="1">
      <c r="A282" s="2570" t="s">
        <v>153</v>
      </c>
      <c r="B282" s="2571"/>
      <c r="C282" s="2990"/>
      <c r="D282" s="2573">
        <f>報7!D282</f>
        <v>0</v>
      </c>
      <c r="E282" s="2574"/>
      <c r="F282" s="2574"/>
      <c r="G282" s="2574"/>
      <c r="H282" s="2574"/>
      <c r="I282" s="2574"/>
      <c r="J282" s="2574"/>
      <c r="K282" s="2574"/>
      <c r="L282" s="2574"/>
      <c r="M282" s="2574"/>
      <c r="N282" s="2574"/>
      <c r="O282" s="2575"/>
      <c r="P282" s="156"/>
      <c r="W282" s="156"/>
      <c r="X282" s="156"/>
      <c r="Y282" s="156"/>
      <c r="Z282" s="156"/>
    </row>
    <row r="283" spans="1:26" ht="39.950000000000003" customHeight="1">
      <c r="A283" s="2536" t="s">
        <v>154</v>
      </c>
      <c r="B283" s="2978"/>
      <c r="C283" s="3245">
        <f>報7!C283</f>
        <v>0</v>
      </c>
      <c r="D283" s="3246"/>
      <c r="E283" s="101" t="s">
        <v>180</v>
      </c>
      <c r="F283" s="2974" t="s">
        <v>404</v>
      </c>
      <c r="G283" s="2975"/>
      <c r="H283" s="2981" t="str">
        <f ca="1">報7!H283</f>
        <v/>
      </c>
      <c r="I283" s="2982"/>
      <c r="J283" s="58" t="s">
        <v>176</v>
      </c>
      <c r="K283" s="2974" t="s">
        <v>405</v>
      </c>
      <c r="L283" s="2975"/>
      <c r="M283" s="3247">
        <f>報7!M283</f>
        <v>0</v>
      </c>
      <c r="N283" s="3248"/>
      <c r="O283" s="3249"/>
      <c r="P283" s="156" t="str">
        <f>IFERROR(VLOOKUP(M283,$U$6:$V$22,2,0),"")</f>
        <v/>
      </c>
      <c r="W283" s="156"/>
      <c r="X283" s="156"/>
      <c r="Y283" s="156"/>
      <c r="Z283" s="156"/>
    </row>
    <row r="284" spans="1:26" ht="39.950000000000003" customHeight="1">
      <c r="A284" s="2974" t="s">
        <v>406</v>
      </c>
      <c r="B284" s="2975"/>
      <c r="C284" s="3250">
        <f>報7!C284</f>
        <v>0</v>
      </c>
      <c r="D284" s="2507"/>
      <c r="E284" s="2508"/>
      <c r="F284" s="2974" t="s">
        <v>158</v>
      </c>
      <c r="G284" s="2975"/>
      <c r="H284" s="3250">
        <f>報7!H284</f>
        <v>0</v>
      </c>
      <c r="I284" s="2507"/>
      <c r="J284" s="2508"/>
      <c r="K284" s="2580"/>
      <c r="L284" s="2977"/>
      <c r="M284" s="2977"/>
      <c r="N284" s="2977"/>
      <c r="O284" s="2977"/>
      <c r="P284" s="156"/>
      <c r="W284" s="156"/>
      <c r="X284" s="156"/>
      <c r="Y284" s="156"/>
      <c r="Z284" s="156"/>
    </row>
    <row r="285" spans="1:26" ht="49.9" customHeight="1">
      <c r="A285" s="39"/>
      <c r="B285" s="39"/>
      <c r="C285" s="40"/>
      <c r="D285" s="41"/>
      <c r="E285" s="40"/>
      <c r="F285" s="42"/>
      <c r="P285" s="156"/>
      <c r="W285" s="156"/>
      <c r="X285" s="156"/>
      <c r="Y285" s="156"/>
      <c r="Z285" s="156"/>
    </row>
    <row r="286" spans="1:26" s="103" customFormat="1" ht="19.5" customHeight="1">
      <c r="A286" s="3251" t="s">
        <v>555</v>
      </c>
      <c r="B286" s="3252"/>
      <c r="C286" s="3252"/>
      <c r="D286" s="3252"/>
      <c r="E286" s="3252"/>
      <c r="F286" s="3252"/>
      <c r="G286" s="3252"/>
      <c r="H286" s="3252"/>
      <c r="I286" s="3252"/>
      <c r="J286" s="3252"/>
      <c r="K286" s="3252"/>
      <c r="L286" s="3252"/>
      <c r="M286" s="3252"/>
      <c r="N286" s="3252"/>
      <c r="O286" s="3252"/>
      <c r="P286" s="334"/>
      <c r="Q286" s="1243"/>
      <c r="R286" s="1243"/>
      <c r="S286" s="1243"/>
      <c r="T286" s="1243"/>
      <c r="U286" s="1243"/>
      <c r="V286" s="1243"/>
      <c r="W286" s="334"/>
      <c r="X286" s="334"/>
      <c r="Y286" s="334"/>
      <c r="Z286" s="334"/>
    </row>
    <row r="287" spans="1:26" ht="49.9" customHeight="1">
      <c r="A287" s="104"/>
      <c r="B287" s="39"/>
      <c r="E287" s="105"/>
      <c r="F287" s="105"/>
      <c r="G287" s="105"/>
      <c r="H287" s="105"/>
      <c r="I287" s="105"/>
      <c r="J287" s="105"/>
      <c r="K287" s="105"/>
      <c r="L287" s="105"/>
      <c r="M287" s="105"/>
      <c r="N287" s="105"/>
      <c r="O287" s="105"/>
      <c r="P287" s="156"/>
      <c r="W287" s="156"/>
      <c r="X287" s="156"/>
      <c r="Y287" s="156"/>
      <c r="Z287" s="156"/>
    </row>
    <row r="288" spans="1:26" ht="20.25" customHeight="1">
      <c r="A288" s="50" t="s">
        <v>554</v>
      </c>
      <c r="B288" s="30"/>
      <c r="C288" s="30"/>
      <c r="D288" s="30"/>
      <c r="E288" s="30"/>
      <c r="F288" s="30"/>
      <c r="G288" s="30"/>
      <c r="H288" s="30"/>
      <c r="I288" s="30"/>
      <c r="J288" s="30"/>
      <c r="K288" s="30"/>
      <c r="L288" s="6"/>
      <c r="M288" s="6"/>
      <c r="N288" s="6"/>
      <c r="O288" s="6"/>
      <c r="P288" s="156"/>
      <c r="W288" s="156"/>
      <c r="X288" s="156"/>
      <c r="Y288" s="156"/>
      <c r="Z288" s="156"/>
    </row>
    <row r="289" spans="1:26" ht="20.100000000000001" customHeight="1">
      <c r="A289" s="2654"/>
      <c r="B289" s="2655"/>
      <c r="C289" s="2673" t="s">
        <v>561</v>
      </c>
      <c r="D289" s="2674"/>
      <c r="E289" s="2674"/>
      <c r="F289" s="2674"/>
      <c r="G289" s="2674"/>
      <c r="H289" s="2675"/>
      <c r="I289" s="2673" t="s">
        <v>560</v>
      </c>
      <c r="J289" s="2674"/>
      <c r="K289" s="2674"/>
      <c r="L289" s="2674"/>
      <c r="M289" s="2674"/>
      <c r="N289" s="2674"/>
      <c r="O289" s="2675"/>
      <c r="P289" s="156"/>
      <c r="W289" s="156"/>
      <c r="X289" s="156"/>
      <c r="Y289" s="156"/>
      <c r="Z289" s="156"/>
    </row>
    <row r="290" spans="1:26" ht="22.15" customHeight="1">
      <c r="A290" s="3253" t="s">
        <v>122</v>
      </c>
      <c r="B290" s="3254"/>
      <c r="C290" s="3255" t="str">
        <f ca="1">参照元個別!E16</f>
        <v/>
      </c>
      <c r="D290" s="3256"/>
      <c r="E290" s="3256"/>
      <c r="F290" s="3256"/>
      <c r="G290" s="3047" t="s">
        <v>1265</v>
      </c>
      <c r="H290" s="2959"/>
      <c r="I290" s="3260" t="str">
        <f>報7!I290</f>
        <v/>
      </c>
      <c r="J290" s="3261"/>
      <c r="K290" s="3261"/>
      <c r="L290" s="3261"/>
      <c r="M290" s="3047" t="s">
        <v>4308</v>
      </c>
      <c r="N290" s="3047"/>
      <c r="O290" s="3264" t="str">
        <f>報7!N290</f>
        <v/>
      </c>
      <c r="P290" s="165"/>
      <c r="Q290" s="1244"/>
      <c r="W290" s="156"/>
      <c r="X290" s="156"/>
      <c r="Y290" s="156"/>
      <c r="Z290" s="156"/>
    </row>
    <row r="291" spans="1:26" ht="22.15" customHeight="1">
      <c r="A291" s="3097">
        <f>IF(計1!$D$28="","",計1!$D$28-1)</f>
        <v>2023</v>
      </c>
      <c r="B291" s="2655"/>
      <c r="C291" s="3257"/>
      <c r="D291" s="3258"/>
      <c r="E291" s="3258"/>
      <c r="F291" s="3258"/>
      <c r="G291" s="3076"/>
      <c r="H291" s="3259"/>
      <c r="I291" s="3262"/>
      <c r="J291" s="3263"/>
      <c r="K291" s="3263"/>
      <c r="L291" s="3263"/>
      <c r="M291" s="3048"/>
      <c r="N291" s="3048"/>
      <c r="O291" s="3265"/>
      <c r="P291" s="165"/>
      <c r="Q291" s="1244"/>
      <c r="W291" s="156"/>
      <c r="X291" s="156"/>
      <c r="Y291" s="156"/>
      <c r="Z291" s="156"/>
    </row>
    <row r="292" spans="1:26" ht="22.15" customHeight="1">
      <c r="A292" s="2633" t="s">
        <v>558</v>
      </c>
      <c r="B292" s="3065"/>
      <c r="C292" s="3216"/>
      <c r="D292" s="3217"/>
      <c r="E292" s="3217"/>
      <c r="F292" s="3217"/>
      <c r="G292" s="3047" t="s">
        <v>414</v>
      </c>
      <c r="H292" s="2959"/>
      <c r="I292" s="3221"/>
      <c r="J292" s="3222"/>
      <c r="K292" s="3222"/>
      <c r="L292" s="3222"/>
      <c r="M292" s="3047" t="s">
        <v>415</v>
      </c>
      <c r="N292" s="3047"/>
      <c r="O292" s="3225" t="str">
        <f>IF(O290="","",O290)</f>
        <v/>
      </c>
      <c r="P292" s="3229"/>
      <c r="Q292" s="3229"/>
      <c r="W292" s="156"/>
      <c r="X292" s="156"/>
      <c r="Y292" s="156"/>
      <c r="Z292" s="156"/>
    </row>
    <row r="293" spans="1:26" ht="22.15" customHeight="1">
      <c r="A293" s="3080">
        <f>IF(計1!$D$28="","",計1!$G$28)</f>
        <v>2026</v>
      </c>
      <c r="B293" s="3059"/>
      <c r="C293" s="3218"/>
      <c r="D293" s="3219"/>
      <c r="E293" s="3219"/>
      <c r="F293" s="3219"/>
      <c r="G293" s="3048"/>
      <c r="H293" s="3220"/>
      <c r="I293" s="3223"/>
      <c r="J293" s="3224"/>
      <c r="K293" s="3224"/>
      <c r="L293" s="3224"/>
      <c r="M293" s="3048"/>
      <c r="N293" s="3048"/>
      <c r="O293" s="3226"/>
      <c r="P293" s="3230"/>
      <c r="Q293" s="3231"/>
      <c r="W293" s="156"/>
      <c r="X293" s="357"/>
      <c r="Y293" s="156"/>
      <c r="Z293" s="156"/>
    </row>
    <row r="294" spans="1:26" ht="24.95" customHeight="1">
      <c r="A294" s="145"/>
      <c r="B294" s="146" t="s">
        <v>577</v>
      </c>
      <c r="C294" s="147"/>
      <c r="D294" s="3232" t="str">
        <f ca="1">IF(OR(C290=0,C292=""),"",INT((C290-C292)/C290*10000)/100)</f>
        <v/>
      </c>
      <c r="E294" s="3232"/>
      <c r="F294" s="3232"/>
      <c r="G294" s="3233" t="s">
        <v>134</v>
      </c>
      <c r="H294" s="3234"/>
      <c r="I294" s="148"/>
      <c r="J294" s="3235" t="str">
        <f>IF(OR(I290=0,I292=""),"",INT((I290-I292)/I290*10000)/100)</f>
        <v/>
      </c>
      <c r="K294" s="3235"/>
      <c r="L294" s="3235"/>
      <c r="M294" s="3232" t="s">
        <v>501</v>
      </c>
      <c r="N294" s="3232"/>
      <c r="O294" s="3236"/>
      <c r="P294" s="335"/>
      <c r="Q294" s="1245"/>
      <c r="W294" s="359"/>
      <c r="X294" s="359"/>
      <c r="Y294" s="359"/>
      <c r="Z294" s="156"/>
    </row>
    <row r="295" spans="1:26" ht="27.75" customHeight="1">
      <c r="A295" s="2672" t="s">
        <v>559</v>
      </c>
      <c r="B295" s="2635"/>
      <c r="C295" s="3240"/>
      <c r="D295" s="3241"/>
      <c r="E295" s="3241"/>
      <c r="F295" s="3241"/>
      <c r="G295" s="3241"/>
      <c r="H295" s="3241"/>
      <c r="I295" s="3241"/>
      <c r="J295" s="3241"/>
      <c r="K295" s="3241"/>
      <c r="L295" s="3241"/>
      <c r="M295" s="3241"/>
      <c r="N295" s="3241"/>
      <c r="O295" s="3242"/>
      <c r="P295" s="335"/>
      <c r="Q295" s="1245"/>
      <c r="R295" s="1246"/>
      <c r="W295" s="359"/>
      <c r="X295" s="359" t="s">
        <v>586</v>
      </c>
      <c r="Y295" s="359"/>
      <c r="Z295" s="156"/>
    </row>
    <row r="296" spans="1:26" ht="35.1" customHeight="1">
      <c r="A296" s="3237"/>
      <c r="B296" s="2648"/>
      <c r="C296" s="3243"/>
      <c r="D296" s="2941"/>
      <c r="E296" s="2941"/>
      <c r="F296" s="2941"/>
      <c r="G296" s="2941"/>
      <c r="H296" s="2941"/>
      <c r="I296" s="2941"/>
      <c r="J296" s="2941"/>
      <c r="K296" s="2941"/>
      <c r="L296" s="2941"/>
      <c r="M296" s="2941"/>
      <c r="N296" s="2941"/>
      <c r="O296" s="2942"/>
      <c r="P296" s="358"/>
      <c r="Q296" s="1247"/>
      <c r="R296" s="1248">
        <v>0</v>
      </c>
      <c r="W296" s="359"/>
      <c r="X296" s="360" t="s">
        <v>587</v>
      </c>
      <c r="Y296" s="359"/>
      <c r="Z296" s="156"/>
    </row>
    <row r="297" spans="1:26" ht="93" customHeight="1">
      <c r="A297" s="3238"/>
      <c r="B297" s="3239"/>
      <c r="C297" s="3244"/>
      <c r="D297" s="2943"/>
      <c r="E297" s="2943"/>
      <c r="F297" s="2943"/>
      <c r="G297" s="2943"/>
      <c r="H297" s="2943"/>
      <c r="I297" s="2943"/>
      <c r="J297" s="2943"/>
      <c r="K297" s="2943"/>
      <c r="L297" s="2943"/>
      <c r="M297" s="2943"/>
      <c r="N297" s="2943"/>
      <c r="O297" s="2944"/>
      <c r="P297" s="336"/>
      <c r="Q297" s="1249"/>
      <c r="W297" s="156"/>
      <c r="X297" s="156"/>
      <c r="Y297" s="156"/>
      <c r="Z297" s="156"/>
    </row>
    <row r="298" spans="1:26" ht="18" customHeight="1">
      <c r="A298" s="2831" t="s">
        <v>583</v>
      </c>
      <c r="B298" s="2831"/>
      <c r="C298" s="2831"/>
      <c r="D298" s="2831"/>
      <c r="E298" s="2831"/>
      <c r="F298" s="2831"/>
      <c r="G298" s="2831"/>
      <c r="H298" s="2831"/>
      <c r="I298" s="2831"/>
      <c r="J298" s="2831"/>
      <c r="K298" s="2831"/>
      <c r="L298" s="2831"/>
      <c r="M298" s="2831"/>
      <c r="N298" s="2831"/>
      <c r="O298" s="2831"/>
      <c r="P298" s="3227"/>
      <c r="Q298" s="3227"/>
      <c r="W298" s="156"/>
      <c r="X298" s="156"/>
      <c r="Y298" s="156"/>
      <c r="Z298" s="156"/>
    </row>
    <row r="299" spans="1:26" ht="9.75" customHeight="1">
      <c r="A299" s="89"/>
      <c r="B299" s="89"/>
      <c r="C299" s="106"/>
      <c r="D299" s="106"/>
      <c r="E299" s="106"/>
      <c r="F299" s="106"/>
      <c r="G299" s="106"/>
      <c r="H299" s="106"/>
      <c r="I299" s="106"/>
      <c r="J299" s="106"/>
      <c r="K299" s="106"/>
      <c r="L299" s="106"/>
      <c r="M299" s="106"/>
      <c r="N299" s="3228"/>
      <c r="O299" s="3228"/>
      <c r="P299" s="156"/>
      <c r="W299" s="156"/>
      <c r="X299" s="156"/>
      <c r="Y299" s="156"/>
      <c r="Z299" s="156"/>
    </row>
    <row r="300" spans="1:26">
      <c r="A300" s="156"/>
      <c r="B300" s="156"/>
      <c r="C300" s="156"/>
      <c r="D300" s="156"/>
      <c r="E300" s="156"/>
      <c r="F300" s="156"/>
      <c r="G300" s="156"/>
      <c r="H300" s="156"/>
      <c r="I300" s="156"/>
      <c r="J300" s="156"/>
      <c r="K300" s="156"/>
      <c r="L300" s="156"/>
      <c r="M300" s="156"/>
      <c r="N300" s="156"/>
      <c r="O300" s="156"/>
      <c r="P300" s="156"/>
      <c r="W300" s="156"/>
      <c r="X300" s="156"/>
      <c r="Y300" s="156"/>
      <c r="Z300" s="156"/>
    </row>
    <row r="301" spans="1:26">
      <c r="A301" s="1" t="s">
        <v>520</v>
      </c>
      <c r="B301" s="2"/>
      <c r="C301" s="2"/>
      <c r="D301" s="2"/>
      <c r="E301" s="2"/>
      <c r="F301" s="2"/>
      <c r="G301" s="2"/>
      <c r="H301" s="2"/>
      <c r="I301" s="2"/>
      <c r="J301" s="2"/>
      <c r="K301" s="2"/>
      <c r="L301" s="2"/>
      <c r="M301" s="2"/>
      <c r="N301" s="2"/>
      <c r="O301" s="2"/>
      <c r="P301" s="156" t="str">
        <f>"個別票"&amp;Q301</f>
        <v>個別票13</v>
      </c>
      <c r="Q301" s="1242">
        <f>Q276+1</f>
        <v>13</v>
      </c>
      <c r="W301" s="156"/>
      <c r="X301" s="156"/>
      <c r="Y301" s="156"/>
      <c r="Z301" s="156"/>
    </row>
    <row r="302" spans="1:26">
      <c r="A302" s="2" t="s">
        <v>557</v>
      </c>
      <c r="B302" s="4"/>
      <c r="C302" s="4"/>
      <c r="D302" s="4"/>
      <c r="E302" s="4"/>
      <c r="F302" s="4"/>
      <c r="G302" s="4"/>
      <c r="H302" s="4"/>
      <c r="I302" s="4"/>
      <c r="J302" s="4"/>
      <c r="K302" s="4"/>
      <c r="L302" s="4"/>
      <c r="M302" s="4"/>
      <c r="N302" s="2"/>
      <c r="O302" s="2"/>
      <c r="P302" s="156"/>
      <c r="W302" s="156"/>
      <c r="X302" s="156"/>
      <c r="Y302" s="156"/>
      <c r="Z302" s="156"/>
    </row>
    <row r="303" spans="1:26" ht="17.25">
      <c r="A303" s="2612" t="s">
        <v>556</v>
      </c>
      <c r="B303" s="2612"/>
      <c r="C303" s="2612"/>
      <c r="D303" s="2612"/>
      <c r="E303" s="2612"/>
      <c r="F303" s="2612"/>
      <c r="G303" s="2612"/>
      <c r="H303" s="2612"/>
      <c r="I303" s="2612"/>
      <c r="J303" s="2612"/>
      <c r="K303" s="2612"/>
      <c r="L303" s="2612"/>
      <c r="M303" s="2612"/>
      <c r="N303" s="2612"/>
      <c r="O303" s="2612"/>
      <c r="P303" s="156"/>
      <c r="W303" s="156"/>
      <c r="X303" s="156"/>
      <c r="Y303" s="156"/>
      <c r="Z303" s="156"/>
    </row>
    <row r="304" spans="1:26" ht="17.25">
      <c r="A304" s="38"/>
      <c r="B304" s="38"/>
      <c r="C304" s="38"/>
      <c r="D304" s="38"/>
      <c r="E304" s="38"/>
      <c r="F304" s="38"/>
      <c r="G304" s="38"/>
      <c r="H304" s="38"/>
      <c r="I304" s="38"/>
      <c r="J304" s="38"/>
      <c r="K304" s="38"/>
      <c r="L304" s="38"/>
      <c r="M304" s="38"/>
      <c r="N304" s="38"/>
      <c r="O304" s="38"/>
      <c r="P304" s="156"/>
      <c r="W304" s="156"/>
      <c r="X304" s="156"/>
      <c r="Y304" s="156"/>
      <c r="Z304" s="156"/>
    </row>
    <row r="305" spans="1:26" ht="18" customHeight="1">
      <c r="A305" s="48" t="s">
        <v>151</v>
      </c>
      <c r="B305" s="4"/>
      <c r="C305" s="4"/>
      <c r="D305" s="4"/>
      <c r="E305" s="4"/>
      <c r="F305" s="4"/>
      <c r="G305" s="4"/>
      <c r="H305" s="4"/>
      <c r="I305" s="4"/>
      <c r="J305" s="4"/>
      <c r="K305" s="4"/>
      <c r="L305" s="4"/>
      <c r="M305" s="4"/>
      <c r="N305" s="2"/>
      <c r="O305" s="2"/>
      <c r="P305" s="156"/>
      <c r="W305" s="156"/>
      <c r="X305" s="156"/>
      <c r="Y305" s="156"/>
      <c r="Z305" s="156"/>
    </row>
    <row r="306" spans="1:26" ht="39.950000000000003" customHeight="1">
      <c r="A306" s="2984" t="s">
        <v>152</v>
      </c>
      <c r="B306" s="2985"/>
      <c r="C306" s="2986"/>
      <c r="D306" s="2987" t="str">
        <f>報7!D306</f>
        <v>事業所名を入力13</v>
      </c>
      <c r="E306" s="2988"/>
      <c r="F306" s="2988"/>
      <c r="G306" s="2988"/>
      <c r="H306" s="2988"/>
      <c r="I306" s="2988"/>
      <c r="J306" s="2988"/>
      <c r="K306" s="2988"/>
      <c r="L306" s="2988"/>
      <c r="M306" s="2988"/>
      <c r="N306" s="2988"/>
      <c r="O306" s="2989"/>
      <c r="P306" s="156"/>
      <c r="W306" s="156"/>
      <c r="X306" s="156"/>
      <c r="Y306" s="156"/>
      <c r="Z306" s="156"/>
    </row>
    <row r="307" spans="1:26" ht="39.950000000000003" customHeight="1">
      <c r="A307" s="2570" t="s">
        <v>153</v>
      </c>
      <c r="B307" s="2571"/>
      <c r="C307" s="2990"/>
      <c r="D307" s="2573">
        <f>報7!D307</f>
        <v>0</v>
      </c>
      <c r="E307" s="2574"/>
      <c r="F307" s="2574"/>
      <c r="G307" s="2574"/>
      <c r="H307" s="2574"/>
      <c r="I307" s="2574"/>
      <c r="J307" s="2574"/>
      <c r="K307" s="2574"/>
      <c r="L307" s="2574"/>
      <c r="M307" s="2574"/>
      <c r="N307" s="2574"/>
      <c r="O307" s="2575"/>
      <c r="P307" s="156"/>
      <c r="W307" s="156"/>
      <c r="X307" s="156"/>
      <c r="Y307" s="156"/>
      <c r="Z307" s="156"/>
    </row>
    <row r="308" spans="1:26" ht="39.950000000000003" customHeight="1">
      <c r="A308" s="2536" t="s">
        <v>154</v>
      </c>
      <c r="B308" s="2978"/>
      <c r="C308" s="3245">
        <f>報7!C308</f>
        <v>0</v>
      </c>
      <c r="D308" s="3246"/>
      <c r="E308" s="101" t="s">
        <v>180</v>
      </c>
      <c r="F308" s="2974" t="s">
        <v>404</v>
      </c>
      <c r="G308" s="2975"/>
      <c r="H308" s="2981" t="str">
        <f ca="1">報7!H308</f>
        <v/>
      </c>
      <c r="I308" s="2982"/>
      <c r="J308" s="58" t="s">
        <v>176</v>
      </c>
      <c r="K308" s="2974" t="s">
        <v>405</v>
      </c>
      <c r="L308" s="2975"/>
      <c r="M308" s="3247">
        <f>報7!M308</f>
        <v>0</v>
      </c>
      <c r="N308" s="3248"/>
      <c r="O308" s="3249"/>
      <c r="P308" s="156" t="str">
        <f>IFERROR(VLOOKUP(M308,$U$6:$V$22,2,0),"")</f>
        <v/>
      </c>
      <c r="W308" s="156"/>
      <c r="X308" s="156"/>
      <c r="Y308" s="156"/>
      <c r="Z308" s="156"/>
    </row>
    <row r="309" spans="1:26" ht="39.950000000000003" customHeight="1">
      <c r="A309" s="2974" t="s">
        <v>406</v>
      </c>
      <c r="B309" s="2975"/>
      <c r="C309" s="3250">
        <f>報7!C309</f>
        <v>0</v>
      </c>
      <c r="D309" s="2507"/>
      <c r="E309" s="2508"/>
      <c r="F309" s="2974" t="s">
        <v>158</v>
      </c>
      <c r="G309" s="2975"/>
      <c r="H309" s="3250">
        <f>報7!H309</f>
        <v>0</v>
      </c>
      <c r="I309" s="2507"/>
      <c r="J309" s="2508"/>
      <c r="K309" s="2580"/>
      <c r="L309" s="2977"/>
      <c r="M309" s="2977"/>
      <c r="N309" s="2977"/>
      <c r="O309" s="2977"/>
      <c r="P309" s="156"/>
      <c r="W309" s="156"/>
      <c r="X309" s="156"/>
      <c r="Y309" s="156"/>
      <c r="Z309" s="156"/>
    </row>
    <row r="310" spans="1:26" ht="49.9" customHeight="1">
      <c r="A310" s="39"/>
      <c r="B310" s="39"/>
      <c r="C310" s="40"/>
      <c r="D310" s="41"/>
      <c r="E310" s="40"/>
      <c r="F310" s="42"/>
      <c r="P310" s="156"/>
      <c r="W310" s="156"/>
      <c r="X310" s="156"/>
      <c r="Y310" s="156"/>
      <c r="Z310" s="156"/>
    </row>
    <row r="311" spans="1:26" s="103" customFormat="1" ht="19.5" customHeight="1">
      <c r="A311" s="3251" t="s">
        <v>555</v>
      </c>
      <c r="B311" s="3252"/>
      <c r="C311" s="3252"/>
      <c r="D311" s="3252"/>
      <c r="E311" s="3252"/>
      <c r="F311" s="3252"/>
      <c r="G311" s="3252"/>
      <c r="H311" s="3252"/>
      <c r="I311" s="3252"/>
      <c r="J311" s="3252"/>
      <c r="K311" s="3252"/>
      <c r="L311" s="3252"/>
      <c r="M311" s="3252"/>
      <c r="N311" s="3252"/>
      <c r="O311" s="3252"/>
      <c r="P311" s="334"/>
      <c r="Q311" s="1243"/>
      <c r="R311" s="1243"/>
      <c r="S311" s="1243"/>
      <c r="T311" s="1243"/>
      <c r="U311" s="1243"/>
      <c r="V311" s="1243"/>
      <c r="W311" s="334"/>
      <c r="X311" s="334"/>
      <c r="Y311" s="334"/>
      <c r="Z311" s="334"/>
    </row>
    <row r="312" spans="1:26" ht="49.9" customHeight="1">
      <c r="A312" s="104"/>
      <c r="B312" s="39"/>
      <c r="E312" s="105"/>
      <c r="F312" s="105"/>
      <c r="G312" s="105"/>
      <c r="H312" s="105"/>
      <c r="I312" s="105"/>
      <c r="J312" s="105"/>
      <c r="K312" s="105"/>
      <c r="L312" s="105"/>
      <c r="M312" s="105"/>
      <c r="N312" s="105"/>
      <c r="O312" s="105"/>
      <c r="P312" s="156"/>
      <c r="W312" s="156"/>
      <c r="X312" s="156"/>
      <c r="Y312" s="156"/>
      <c r="Z312" s="156"/>
    </row>
    <row r="313" spans="1:26" ht="20.25" customHeight="1">
      <c r="A313" s="50" t="s">
        <v>554</v>
      </c>
      <c r="B313" s="30"/>
      <c r="C313" s="30"/>
      <c r="D313" s="30"/>
      <c r="E313" s="30"/>
      <c r="F313" s="30"/>
      <c r="G313" s="30"/>
      <c r="H313" s="30"/>
      <c r="I313" s="30"/>
      <c r="J313" s="30"/>
      <c r="K313" s="30"/>
      <c r="L313" s="6"/>
      <c r="M313" s="6"/>
      <c r="N313" s="6"/>
      <c r="O313" s="6"/>
      <c r="P313" s="156"/>
      <c r="W313" s="156"/>
      <c r="X313" s="156"/>
      <c r="Y313" s="156"/>
      <c r="Z313" s="156"/>
    </row>
    <row r="314" spans="1:26" ht="20.100000000000001" customHeight="1">
      <c r="A314" s="2654"/>
      <c r="B314" s="2655"/>
      <c r="C314" s="2673" t="s">
        <v>561</v>
      </c>
      <c r="D314" s="2674"/>
      <c r="E314" s="2674"/>
      <c r="F314" s="2674"/>
      <c r="G314" s="2674"/>
      <c r="H314" s="2675"/>
      <c r="I314" s="2673" t="s">
        <v>560</v>
      </c>
      <c r="J314" s="2674"/>
      <c r="K314" s="2674"/>
      <c r="L314" s="2674"/>
      <c r="M314" s="2674"/>
      <c r="N314" s="2674"/>
      <c r="O314" s="2675"/>
      <c r="P314" s="156"/>
      <c r="W314" s="156"/>
      <c r="X314" s="156"/>
      <c r="Y314" s="156"/>
      <c r="Z314" s="156"/>
    </row>
    <row r="315" spans="1:26" ht="22.15" customHeight="1">
      <c r="A315" s="3253" t="s">
        <v>122</v>
      </c>
      <c r="B315" s="3254"/>
      <c r="C315" s="3255" t="str">
        <f ca="1">参照元個別!E17</f>
        <v/>
      </c>
      <c r="D315" s="3256"/>
      <c r="E315" s="3256"/>
      <c r="F315" s="3256"/>
      <c r="G315" s="3047" t="s">
        <v>1265</v>
      </c>
      <c r="H315" s="2959"/>
      <c r="I315" s="3260" t="str">
        <f>報7!I315</f>
        <v/>
      </c>
      <c r="J315" s="3261"/>
      <c r="K315" s="3261"/>
      <c r="L315" s="3261"/>
      <c r="M315" s="3047" t="s">
        <v>4308</v>
      </c>
      <c r="N315" s="3047"/>
      <c r="O315" s="3264" t="str">
        <f>報7!N315</f>
        <v/>
      </c>
      <c r="P315" s="165"/>
      <c r="Q315" s="1244"/>
      <c r="W315" s="156"/>
      <c r="X315" s="156"/>
      <c r="Y315" s="156"/>
      <c r="Z315" s="156"/>
    </row>
    <row r="316" spans="1:26" ht="22.15" customHeight="1">
      <c r="A316" s="3097">
        <f>IF(計1!$D$28="","",計1!$D$28-1)</f>
        <v>2023</v>
      </c>
      <c r="B316" s="2655"/>
      <c r="C316" s="3257"/>
      <c r="D316" s="3258"/>
      <c r="E316" s="3258"/>
      <c r="F316" s="3258"/>
      <c r="G316" s="3076"/>
      <c r="H316" s="3259"/>
      <c r="I316" s="3262"/>
      <c r="J316" s="3263"/>
      <c r="K316" s="3263"/>
      <c r="L316" s="3263"/>
      <c r="M316" s="3048"/>
      <c r="N316" s="3048"/>
      <c r="O316" s="3265"/>
      <c r="P316" s="165"/>
      <c r="Q316" s="1244"/>
      <c r="W316" s="156"/>
      <c r="X316" s="156"/>
      <c r="Y316" s="156"/>
      <c r="Z316" s="156"/>
    </row>
    <row r="317" spans="1:26" ht="22.15" customHeight="1">
      <c r="A317" s="2633" t="s">
        <v>558</v>
      </c>
      <c r="B317" s="3065"/>
      <c r="C317" s="3216"/>
      <c r="D317" s="3217"/>
      <c r="E317" s="3217"/>
      <c r="F317" s="3217"/>
      <c r="G317" s="3047" t="s">
        <v>414</v>
      </c>
      <c r="H317" s="2959"/>
      <c r="I317" s="3221"/>
      <c r="J317" s="3222"/>
      <c r="K317" s="3222"/>
      <c r="L317" s="3222"/>
      <c r="M317" s="3047" t="s">
        <v>415</v>
      </c>
      <c r="N317" s="3047"/>
      <c r="O317" s="3225" t="str">
        <f>IF(O315="","",O315)</f>
        <v/>
      </c>
      <c r="P317" s="3229"/>
      <c r="Q317" s="3229"/>
      <c r="W317" s="156"/>
      <c r="X317" s="156"/>
      <c r="Y317" s="156"/>
      <c r="Z317" s="156"/>
    </row>
    <row r="318" spans="1:26" ht="22.15" customHeight="1">
      <c r="A318" s="3080">
        <f>IF(計1!$D$28="","",計1!$G$28)</f>
        <v>2026</v>
      </c>
      <c r="B318" s="3059"/>
      <c r="C318" s="3218"/>
      <c r="D318" s="3219"/>
      <c r="E318" s="3219"/>
      <c r="F318" s="3219"/>
      <c r="G318" s="3048"/>
      <c r="H318" s="3220"/>
      <c r="I318" s="3223"/>
      <c r="J318" s="3224"/>
      <c r="K318" s="3224"/>
      <c r="L318" s="3224"/>
      <c r="M318" s="3048"/>
      <c r="N318" s="3048"/>
      <c r="O318" s="3226"/>
      <c r="P318" s="3230"/>
      <c r="Q318" s="3231"/>
      <c r="W318" s="156"/>
      <c r="X318" s="357"/>
      <c r="Y318" s="156"/>
      <c r="Z318" s="156"/>
    </row>
    <row r="319" spans="1:26" ht="24.95" customHeight="1">
      <c r="A319" s="145"/>
      <c r="B319" s="146" t="s">
        <v>577</v>
      </c>
      <c r="C319" s="147"/>
      <c r="D319" s="3232" t="str">
        <f ca="1">IF(OR(C315=0,C317=""),"",INT((C315-C317)/C315*10000)/100)</f>
        <v/>
      </c>
      <c r="E319" s="3232"/>
      <c r="F319" s="3232"/>
      <c r="G319" s="3233" t="s">
        <v>134</v>
      </c>
      <c r="H319" s="3234"/>
      <c r="I319" s="148"/>
      <c r="J319" s="3235" t="str">
        <f>IF(OR(I315=0,I317=""),"",INT((I315-I317)/I315*10000)/100)</f>
        <v/>
      </c>
      <c r="K319" s="3235"/>
      <c r="L319" s="3235"/>
      <c r="M319" s="3232" t="s">
        <v>501</v>
      </c>
      <c r="N319" s="3232"/>
      <c r="O319" s="3236"/>
      <c r="P319" s="335"/>
      <c r="Q319" s="1245"/>
      <c r="W319" s="359"/>
      <c r="X319" s="359"/>
      <c r="Y319" s="359"/>
      <c r="Z319" s="156"/>
    </row>
    <row r="320" spans="1:26" ht="27.75" customHeight="1">
      <c r="A320" s="2672" t="s">
        <v>559</v>
      </c>
      <c r="B320" s="2635"/>
      <c r="C320" s="3240"/>
      <c r="D320" s="3241"/>
      <c r="E320" s="3241"/>
      <c r="F320" s="3241"/>
      <c r="G320" s="3241"/>
      <c r="H320" s="3241"/>
      <c r="I320" s="3241"/>
      <c r="J320" s="3241"/>
      <c r="K320" s="3241"/>
      <c r="L320" s="3241"/>
      <c r="M320" s="3241"/>
      <c r="N320" s="3241"/>
      <c r="O320" s="3242"/>
      <c r="P320" s="335"/>
      <c r="Q320" s="1245"/>
      <c r="R320" s="1246"/>
      <c r="W320" s="359"/>
      <c r="X320" s="359" t="s">
        <v>586</v>
      </c>
      <c r="Y320" s="359"/>
      <c r="Z320" s="156"/>
    </row>
    <row r="321" spans="1:26" ht="35.1" customHeight="1">
      <c r="A321" s="3237"/>
      <c r="B321" s="2648"/>
      <c r="C321" s="3243"/>
      <c r="D321" s="2941"/>
      <c r="E321" s="2941"/>
      <c r="F321" s="2941"/>
      <c r="G321" s="2941"/>
      <c r="H321" s="2941"/>
      <c r="I321" s="2941"/>
      <c r="J321" s="2941"/>
      <c r="K321" s="2941"/>
      <c r="L321" s="2941"/>
      <c r="M321" s="2941"/>
      <c r="N321" s="2941"/>
      <c r="O321" s="2942"/>
      <c r="P321" s="358"/>
      <c r="Q321" s="1247"/>
      <c r="R321" s="1248">
        <v>0</v>
      </c>
      <c r="W321" s="359"/>
      <c r="X321" s="360" t="s">
        <v>587</v>
      </c>
      <c r="Y321" s="359"/>
      <c r="Z321" s="156"/>
    </row>
    <row r="322" spans="1:26" ht="93" customHeight="1">
      <c r="A322" s="3238"/>
      <c r="B322" s="3239"/>
      <c r="C322" s="3244"/>
      <c r="D322" s="2943"/>
      <c r="E322" s="2943"/>
      <c r="F322" s="2943"/>
      <c r="G322" s="2943"/>
      <c r="H322" s="2943"/>
      <c r="I322" s="2943"/>
      <c r="J322" s="2943"/>
      <c r="K322" s="2943"/>
      <c r="L322" s="2943"/>
      <c r="M322" s="2943"/>
      <c r="N322" s="2943"/>
      <c r="O322" s="2944"/>
      <c r="P322" s="336"/>
      <c r="Q322" s="1249"/>
      <c r="W322" s="156"/>
      <c r="X322" s="156"/>
      <c r="Y322" s="156"/>
      <c r="Z322" s="156"/>
    </row>
    <row r="323" spans="1:26" ht="18" customHeight="1">
      <c r="A323" s="2831" t="s">
        <v>583</v>
      </c>
      <c r="B323" s="2831"/>
      <c r="C323" s="2831"/>
      <c r="D323" s="2831"/>
      <c r="E323" s="2831"/>
      <c r="F323" s="2831"/>
      <c r="G323" s="2831"/>
      <c r="H323" s="2831"/>
      <c r="I323" s="2831"/>
      <c r="J323" s="2831"/>
      <c r="K323" s="2831"/>
      <c r="L323" s="2831"/>
      <c r="M323" s="2831"/>
      <c r="N323" s="2831"/>
      <c r="O323" s="2831"/>
      <c r="P323" s="3227"/>
      <c r="Q323" s="3227"/>
      <c r="W323" s="156"/>
      <c r="X323" s="156"/>
      <c r="Y323" s="156"/>
      <c r="Z323" s="156"/>
    </row>
    <row r="324" spans="1:26" ht="9.75" customHeight="1">
      <c r="A324" s="89"/>
      <c r="B324" s="89"/>
      <c r="C324" s="106"/>
      <c r="D324" s="106"/>
      <c r="E324" s="106"/>
      <c r="F324" s="106"/>
      <c r="G324" s="106"/>
      <c r="H324" s="106"/>
      <c r="I324" s="106"/>
      <c r="J324" s="106"/>
      <c r="K324" s="106"/>
      <c r="L324" s="106"/>
      <c r="M324" s="106"/>
      <c r="N324" s="3228"/>
      <c r="O324" s="3228"/>
      <c r="P324" s="156"/>
      <c r="W324" s="156"/>
      <c r="X324" s="156"/>
      <c r="Y324" s="156"/>
      <c r="Z324" s="156"/>
    </row>
    <row r="325" spans="1:26">
      <c r="A325" s="156"/>
      <c r="B325" s="156"/>
      <c r="C325" s="156"/>
      <c r="D325" s="156"/>
      <c r="E325" s="156"/>
      <c r="F325" s="156"/>
      <c r="G325" s="156"/>
      <c r="H325" s="156"/>
      <c r="I325" s="156"/>
      <c r="J325" s="156"/>
      <c r="K325" s="156"/>
      <c r="L325" s="156"/>
      <c r="M325" s="156"/>
      <c r="N325" s="156"/>
      <c r="O325" s="156"/>
      <c r="P325" s="156"/>
      <c r="W325" s="156"/>
      <c r="X325" s="156"/>
      <c r="Y325" s="156"/>
      <c r="Z325" s="156"/>
    </row>
    <row r="326" spans="1:26">
      <c r="A326" s="1" t="s">
        <v>520</v>
      </c>
      <c r="B326" s="2"/>
      <c r="C326" s="2"/>
      <c r="D326" s="2"/>
      <c r="E326" s="2"/>
      <c r="F326" s="2"/>
      <c r="G326" s="2"/>
      <c r="H326" s="2"/>
      <c r="I326" s="2"/>
      <c r="J326" s="2"/>
      <c r="K326" s="2"/>
      <c r="L326" s="2"/>
      <c r="M326" s="2"/>
      <c r="N326" s="2"/>
      <c r="O326" s="2"/>
      <c r="P326" s="156" t="str">
        <f>"個別票"&amp;Q326</f>
        <v>個別票14</v>
      </c>
      <c r="Q326" s="1242">
        <f>Q301+1</f>
        <v>14</v>
      </c>
      <c r="W326" s="156"/>
      <c r="X326" s="156"/>
      <c r="Y326" s="156"/>
      <c r="Z326" s="156"/>
    </row>
    <row r="327" spans="1:26">
      <c r="A327" s="2" t="s">
        <v>557</v>
      </c>
      <c r="B327" s="4"/>
      <c r="C327" s="4"/>
      <c r="D327" s="4"/>
      <c r="E327" s="4"/>
      <c r="F327" s="4"/>
      <c r="G327" s="4"/>
      <c r="H327" s="4"/>
      <c r="I327" s="4"/>
      <c r="J327" s="4"/>
      <c r="K327" s="4"/>
      <c r="L327" s="4"/>
      <c r="M327" s="4"/>
      <c r="N327" s="2"/>
      <c r="O327" s="2"/>
      <c r="P327" s="156"/>
      <c r="W327" s="156"/>
      <c r="X327" s="156"/>
      <c r="Y327" s="156"/>
      <c r="Z327" s="156"/>
    </row>
    <row r="328" spans="1:26" ht="17.25">
      <c r="A328" s="2612" t="s">
        <v>556</v>
      </c>
      <c r="B328" s="2612"/>
      <c r="C328" s="2612"/>
      <c r="D328" s="2612"/>
      <c r="E328" s="2612"/>
      <c r="F328" s="2612"/>
      <c r="G328" s="2612"/>
      <c r="H328" s="2612"/>
      <c r="I328" s="2612"/>
      <c r="J328" s="2612"/>
      <c r="K328" s="2612"/>
      <c r="L328" s="2612"/>
      <c r="M328" s="2612"/>
      <c r="N328" s="2612"/>
      <c r="O328" s="2612"/>
      <c r="P328" s="156"/>
      <c r="W328" s="156"/>
      <c r="X328" s="156"/>
      <c r="Y328" s="156"/>
      <c r="Z328" s="156"/>
    </row>
    <row r="329" spans="1:26" ht="17.25">
      <c r="A329" s="38"/>
      <c r="B329" s="38"/>
      <c r="C329" s="38"/>
      <c r="D329" s="38"/>
      <c r="E329" s="38"/>
      <c r="F329" s="38"/>
      <c r="G329" s="38"/>
      <c r="H329" s="38"/>
      <c r="I329" s="38"/>
      <c r="J329" s="38"/>
      <c r="K329" s="38"/>
      <c r="L329" s="38"/>
      <c r="M329" s="38"/>
      <c r="N329" s="38"/>
      <c r="O329" s="38"/>
      <c r="P329" s="156"/>
      <c r="W329" s="156"/>
      <c r="X329" s="156"/>
      <c r="Y329" s="156"/>
      <c r="Z329" s="156"/>
    </row>
    <row r="330" spans="1:26" ht="18" customHeight="1">
      <c r="A330" s="48" t="s">
        <v>151</v>
      </c>
      <c r="B330" s="4"/>
      <c r="C330" s="4"/>
      <c r="D330" s="4"/>
      <c r="E330" s="4"/>
      <c r="F330" s="4"/>
      <c r="G330" s="4"/>
      <c r="H330" s="4"/>
      <c r="I330" s="4"/>
      <c r="J330" s="4"/>
      <c r="K330" s="4"/>
      <c r="L330" s="4"/>
      <c r="M330" s="4"/>
      <c r="N330" s="2"/>
      <c r="O330" s="2"/>
      <c r="P330" s="156"/>
      <c r="W330" s="156"/>
      <c r="X330" s="156"/>
      <c r="Y330" s="156"/>
      <c r="Z330" s="156"/>
    </row>
    <row r="331" spans="1:26" ht="39.950000000000003" customHeight="1">
      <c r="A331" s="2984" t="s">
        <v>152</v>
      </c>
      <c r="B331" s="2985"/>
      <c r="C331" s="2986"/>
      <c r="D331" s="2987" t="str">
        <f>報7!D331</f>
        <v>事業所名を入力14</v>
      </c>
      <c r="E331" s="2988"/>
      <c r="F331" s="2988"/>
      <c r="G331" s="2988"/>
      <c r="H331" s="2988"/>
      <c r="I331" s="2988"/>
      <c r="J331" s="2988"/>
      <c r="K331" s="2988"/>
      <c r="L331" s="2988"/>
      <c r="M331" s="2988"/>
      <c r="N331" s="2988"/>
      <c r="O331" s="2989"/>
      <c r="P331" s="156"/>
      <c r="W331" s="156"/>
      <c r="X331" s="156"/>
      <c r="Y331" s="156"/>
      <c r="Z331" s="156"/>
    </row>
    <row r="332" spans="1:26" ht="39.950000000000003" customHeight="1">
      <c r="A332" s="2570" t="s">
        <v>153</v>
      </c>
      <c r="B332" s="2571"/>
      <c r="C332" s="2990"/>
      <c r="D332" s="2573">
        <f>報7!D332</f>
        <v>0</v>
      </c>
      <c r="E332" s="2574"/>
      <c r="F332" s="2574"/>
      <c r="G332" s="2574"/>
      <c r="H332" s="2574"/>
      <c r="I332" s="2574"/>
      <c r="J332" s="2574"/>
      <c r="K332" s="2574"/>
      <c r="L332" s="2574"/>
      <c r="M332" s="2574"/>
      <c r="N332" s="2574"/>
      <c r="O332" s="2575"/>
      <c r="P332" s="156"/>
      <c r="W332" s="156"/>
      <c r="X332" s="156"/>
      <c r="Y332" s="156"/>
      <c r="Z332" s="156"/>
    </row>
    <row r="333" spans="1:26" ht="39.950000000000003" customHeight="1">
      <c r="A333" s="2536" t="s">
        <v>154</v>
      </c>
      <c r="B333" s="2978"/>
      <c r="C333" s="3245">
        <f>報7!C333</f>
        <v>0</v>
      </c>
      <c r="D333" s="3246"/>
      <c r="E333" s="101" t="s">
        <v>180</v>
      </c>
      <c r="F333" s="2974" t="s">
        <v>404</v>
      </c>
      <c r="G333" s="2975"/>
      <c r="H333" s="2981" t="str">
        <f ca="1">報7!H333</f>
        <v/>
      </c>
      <c r="I333" s="2982"/>
      <c r="J333" s="58" t="s">
        <v>176</v>
      </c>
      <c r="K333" s="2974" t="s">
        <v>405</v>
      </c>
      <c r="L333" s="2975"/>
      <c r="M333" s="3247">
        <f>報7!M333</f>
        <v>0</v>
      </c>
      <c r="N333" s="3248"/>
      <c r="O333" s="3249"/>
      <c r="P333" s="156" t="str">
        <f>IFERROR(VLOOKUP(M333,$U$6:$V$22,2,0),"")</f>
        <v/>
      </c>
      <c r="W333" s="156"/>
      <c r="X333" s="156"/>
      <c r="Y333" s="156"/>
      <c r="Z333" s="156"/>
    </row>
    <row r="334" spans="1:26" ht="39.950000000000003" customHeight="1">
      <c r="A334" s="2974" t="s">
        <v>406</v>
      </c>
      <c r="B334" s="2975"/>
      <c r="C334" s="3250">
        <f>報7!C334</f>
        <v>0</v>
      </c>
      <c r="D334" s="2507"/>
      <c r="E334" s="2508"/>
      <c r="F334" s="2974" t="s">
        <v>158</v>
      </c>
      <c r="G334" s="2975"/>
      <c r="H334" s="3250">
        <f>報7!H334</f>
        <v>0</v>
      </c>
      <c r="I334" s="2507"/>
      <c r="J334" s="2508"/>
      <c r="K334" s="2580"/>
      <c r="L334" s="2977"/>
      <c r="M334" s="2977"/>
      <c r="N334" s="2977"/>
      <c r="O334" s="2977"/>
      <c r="P334" s="156"/>
      <c r="W334" s="156"/>
      <c r="X334" s="156"/>
      <c r="Y334" s="156"/>
      <c r="Z334" s="156"/>
    </row>
    <row r="335" spans="1:26" ht="49.9" customHeight="1">
      <c r="A335" s="39"/>
      <c r="B335" s="39"/>
      <c r="C335" s="40"/>
      <c r="D335" s="41"/>
      <c r="E335" s="40"/>
      <c r="F335" s="42"/>
      <c r="P335" s="156"/>
      <c r="W335" s="156"/>
      <c r="X335" s="156"/>
      <c r="Y335" s="156"/>
      <c r="Z335" s="156"/>
    </row>
    <row r="336" spans="1:26" s="103" customFormat="1" ht="19.5" customHeight="1">
      <c r="A336" s="3251" t="s">
        <v>555</v>
      </c>
      <c r="B336" s="3252"/>
      <c r="C336" s="3252"/>
      <c r="D336" s="3252"/>
      <c r="E336" s="3252"/>
      <c r="F336" s="3252"/>
      <c r="G336" s="3252"/>
      <c r="H336" s="3252"/>
      <c r="I336" s="3252"/>
      <c r="J336" s="3252"/>
      <c r="K336" s="3252"/>
      <c r="L336" s="3252"/>
      <c r="M336" s="3252"/>
      <c r="N336" s="3252"/>
      <c r="O336" s="3252"/>
      <c r="P336" s="334"/>
      <c r="Q336" s="1243"/>
      <c r="R336" s="1243"/>
      <c r="S336" s="1243"/>
      <c r="T336" s="1243"/>
      <c r="U336" s="1243"/>
      <c r="V336" s="1243"/>
      <c r="W336" s="334"/>
      <c r="X336" s="334"/>
      <c r="Y336" s="334"/>
      <c r="Z336" s="334"/>
    </row>
    <row r="337" spans="1:26" ht="49.9" customHeight="1">
      <c r="A337" s="104"/>
      <c r="B337" s="39"/>
      <c r="E337" s="105"/>
      <c r="F337" s="105"/>
      <c r="G337" s="105"/>
      <c r="H337" s="105"/>
      <c r="I337" s="105"/>
      <c r="J337" s="105"/>
      <c r="K337" s="105"/>
      <c r="L337" s="105"/>
      <c r="M337" s="105"/>
      <c r="N337" s="105"/>
      <c r="O337" s="105"/>
      <c r="P337" s="156"/>
      <c r="W337" s="156"/>
      <c r="X337" s="156"/>
      <c r="Y337" s="156"/>
      <c r="Z337" s="156"/>
    </row>
    <row r="338" spans="1:26" ht="20.25" customHeight="1">
      <c r="A338" s="50" t="s">
        <v>554</v>
      </c>
      <c r="B338" s="30"/>
      <c r="C338" s="30"/>
      <c r="D338" s="30"/>
      <c r="E338" s="30"/>
      <c r="F338" s="30"/>
      <c r="G338" s="30"/>
      <c r="H338" s="30"/>
      <c r="I338" s="30"/>
      <c r="J338" s="30"/>
      <c r="K338" s="30"/>
      <c r="L338" s="6"/>
      <c r="M338" s="6"/>
      <c r="N338" s="6"/>
      <c r="O338" s="6"/>
      <c r="P338" s="156"/>
      <c r="W338" s="156"/>
      <c r="X338" s="156"/>
      <c r="Y338" s="156"/>
      <c r="Z338" s="156"/>
    </row>
    <row r="339" spans="1:26" ht="20.100000000000001" customHeight="1">
      <c r="A339" s="2654"/>
      <c r="B339" s="2655"/>
      <c r="C339" s="2673" t="s">
        <v>561</v>
      </c>
      <c r="D339" s="2674"/>
      <c r="E339" s="2674"/>
      <c r="F339" s="2674"/>
      <c r="G339" s="2674"/>
      <c r="H339" s="2675"/>
      <c r="I339" s="2673" t="s">
        <v>560</v>
      </c>
      <c r="J339" s="2674"/>
      <c r="K339" s="2674"/>
      <c r="L339" s="2674"/>
      <c r="M339" s="2674"/>
      <c r="N339" s="2674"/>
      <c r="O339" s="2675"/>
      <c r="P339" s="156"/>
      <c r="W339" s="156"/>
      <c r="X339" s="156"/>
      <c r="Y339" s="156"/>
      <c r="Z339" s="156"/>
    </row>
    <row r="340" spans="1:26" ht="22.15" customHeight="1">
      <c r="A340" s="3253" t="s">
        <v>122</v>
      </c>
      <c r="B340" s="3254"/>
      <c r="C340" s="3255" t="str">
        <f ca="1">参照元個別!E18</f>
        <v/>
      </c>
      <c r="D340" s="3256"/>
      <c r="E340" s="3256"/>
      <c r="F340" s="3256"/>
      <c r="G340" s="3047" t="s">
        <v>1265</v>
      </c>
      <c r="H340" s="2959"/>
      <c r="I340" s="3260" t="str">
        <f>報7!I340</f>
        <v/>
      </c>
      <c r="J340" s="3261"/>
      <c r="K340" s="3261"/>
      <c r="L340" s="3261"/>
      <c r="M340" s="3047" t="s">
        <v>4308</v>
      </c>
      <c r="N340" s="3047"/>
      <c r="O340" s="3264" t="str">
        <f>報7!N340</f>
        <v/>
      </c>
      <c r="P340" s="165"/>
      <c r="Q340" s="1244"/>
      <c r="W340" s="156"/>
      <c r="X340" s="156"/>
      <c r="Y340" s="156"/>
      <c r="Z340" s="156"/>
    </row>
    <row r="341" spans="1:26" ht="22.15" customHeight="1">
      <c r="A341" s="3097">
        <f>IF(計1!$D$28="","",計1!$D$28-1)</f>
        <v>2023</v>
      </c>
      <c r="B341" s="2655"/>
      <c r="C341" s="3257"/>
      <c r="D341" s="3258"/>
      <c r="E341" s="3258"/>
      <c r="F341" s="3258"/>
      <c r="G341" s="3076"/>
      <c r="H341" s="3259"/>
      <c r="I341" s="3262"/>
      <c r="J341" s="3263"/>
      <c r="K341" s="3263"/>
      <c r="L341" s="3263"/>
      <c r="M341" s="3048"/>
      <c r="N341" s="3048"/>
      <c r="O341" s="3265"/>
      <c r="P341" s="165"/>
      <c r="Q341" s="1244"/>
      <c r="W341" s="156"/>
      <c r="X341" s="156"/>
      <c r="Y341" s="156"/>
      <c r="Z341" s="156"/>
    </row>
    <row r="342" spans="1:26" ht="22.15" customHeight="1">
      <c r="A342" s="2633" t="s">
        <v>558</v>
      </c>
      <c r="B342" s="3065"/>
      <c r="C342" s="3216"/>
      <c r="D342" s="3217"/>
      <c r="E342" s="3217"/>
      <c r="F342" s="3217"/>
      <c r="G342" s="3047" t="s">
        <v>414</v>
      </c>
      <c r="H342" s="2959"/>
      <c r="I342" s="3221"/>
      <c r="J342" s="3222"/>
      <c r="K342" s="3222"/>
      <c r="L342" s="3222"/>
      <c r="M342" s="3047" t="s">
        <v>415</v>
      </c>
      <c r="N342" s="3047"/>
      <c r="O342" s="3225" t="str">
        <f>IF(O340="","",O340)</f>
        <v/>
      </c>
      <c r="P342" s="3229"/>
      <c r="Q342" s="3229"/>
      <c r="W342" s="156"/>
      <c r="X342" s="156"/>
      <c r="Y342" s="156"/>
      <c r="Z342" s="156"/>
    </row>
    <row r="343" spans="1:26" ht="22.15" customHeight="1">
      <c r="A343" s="3080">
        <f>IF(計1!$D$28="","",計1!$G$28)</f>
        <v>2026</v>
      </c>
      <c r="B343" s="3059"/>
      <c r="C343" s="3218"/>
      <c r="D343" s="3219"/>
      <c r="E343" s="3219"/>
      <c r="F343" s="3219"/>
      <c r="G343" s="3048"/>
      <c r="H343" s="3220"/>
      <c r="I343" s="3223"/>
      <c r="J343" s="3224"/>
      <c r="K343" s="3224"/>
      <c r="L343" s="3224"/>
      <c r="M343" s="3048"/>
      <c r="N343" s="3048"/>
      <c r="O343" s="3226"/>
      <c r="P343" s="3230"/>
      <c r="Q343" s="3231"/>
      <c r="W343" s="156"/>
      <c r="X343" s="357"/>
      <c r="Y343" s="156"/>
      <c r="Z343" s="156"/>
    </row>
    <row r="344" spans="1:26" ht="24.95" customHeight="1">
      <c r="A344" s="145"/>
      <c r="B344" s="146" t="s">
        <v>577</v>
      </c>
      <c r="C344" s="147"/>
      <c r="D344" s="3232" t="str">
        <f ca="1">IF(OR(C340=0,C342=""),"",INT((C340-C342)/C340*10000)/100)</f>
        <v/>
      </c>
      <c r="E344" s="3232"/>
      <c r="F344" s="3232"/>
      <c r="G344" s="3233" t="s">
        <v>134</v>
      </c>
      <c r="H344" s="3234"/>
      <c r="I344" s="148"/>
      <c r="J344" s="3235" t="str">
        <f>IF(OR(I340=0,I342=""),"",INT((I340-I342)/I340*10000)/100)</f>
        <v/>
      </c>
      <c r="K344" s="3235"/>
      <c r="L344" s="3235"/>
      <c r="M344" s="3232" t="s">
        <v>501</v>
      </c>
      <c r="N344" s="3232"/>
      <c r="O344" s="3236"/>
      <c r="P344" s="335"/>
      <c r="Q344" s="1245"/>
      <c r="W344" s="359"/>
      <c r="X344" s="359"/>
      <c r="Y344" s="359"/>
      <c r="Z344" s="156"/>
    </row>
    <row r="345" spans="1:26" ht="27.75" customHeight="1">
      <c r="A345" s="2672" t="s">
        <v>559</v>
      </c>
      <c r="B345" s="2635"/>
      <c r="C345" s="3240"/>
      <c r="D345" s="3241"/>
      <c r="E345" s="3241"/>
      <c r="F345" s="3241"/>
      <c r="G345" s="3241"/>
      <c r="H345" s="3241"/>
      <c r="I345" s="3241"/>
      <c r="J345" s="3241"/>
      <c r="K345" s="3241"/>
      <c r="L345" s="3241"/>
      <c r="M345" s="3241"/>
      <c r="N345" s="3241"/>
      <c r="O345" s="3242"/>
      <c r="P345" s="335"/>
      <c r="Q345" s="1245"/>
      <c r="R345" s="1246"/>
      <c r="W345" s="359"/>
      <c r="X345" s="359" t="s">
        <v>586</v>
      </c>
      <c r="Y345" s="359"/>
      <c r="Z345" s="156"/>
    </row>
    <row r="346" spans="1:26" ht="35.1" customHeight="1">
      <c r="A346" s="3237"/>
      <c r="B346" s="2648"/>
      <c r="C346" s="3243"/>
      <c r="D346" s="2941"/>
      <c r="E346" s="2941"/>
      <c r="F346" s="2941"/>
      <c r="G346" s="2941"/>
      <c r="H346" s="2941"/>
      <c r="I346" s="2941"/>
      <c r="J346" s="2941"/>
      <c r="K346" s="2941"/>
      <c r="L346" s="2941"/>
      <c r="M346" s="2941"/>
      <c r="N346" s="2941"/>
      <c r="O346" s="2942"/>
      <c r="P346" s="358"/>
      <c r="Q346" s="1247"/>
      <c r="R346" s="1248">
        <v>0</v>
      </c>
      <c r="W346" s="359"/>
      <c r="X346" s="360" t="s">
        <v>587</v>
      </c>
      <c r="Y346" s="359"/>
      <c r="Z346" s="156"/>
    </row>
    <row r="347" spans="1:26" ht="93" customHeight="1">
      <c r="A347" s="3238"/>
      <c r="B347" s="3239"/>
      <c r="C347" s="3244"/>
      <c r="D347" s="2943"/>
      <c r="E347" s="2943"/>
      <c r="F347" s="2943"/>
      <c r="G347" s="2943"/>
      <c r="H347" s="2943"/>
      <c r="I347" s="2943"/>
      <c r="J347" s="2943"/>
      <c r="K347" s="2943"/>
      <c r="L347" s="2943"/>
      <c r="M347" s="2943"/>
      <c r="N347" s="2943"/>
      <c r="O347" s="2944"/>
      <c r="P347" s="336"/>
      <c r="Q347" s="1249"/>
      <c r="W347" s="156"/>
      <c r="X347" s="156"/>
      <c r="Y347" s="156"/>
      <c r="Z347" s="156"/>
    </row>
    <row r="348" spans="1:26" ht="18" customHeight="1">
      <c r="A348" s="2831" t="s">
        <v>583</v>
      </c>
      <c r="B348" s="2831"/>
      <c r="C348" s="2831"/>
      <c r="D348" s="2831"/>
      <c r="E348" s="2831"/>
      <c r="F348" s="2831"/>
      <c r="G348" s="2831"/>
      <c r="H348" s="2831"/>
      <c r="I348" s="2831"/>
      <c r="J348" s="2831"/>
      <c r="K348" s="2831"/>
      <c r="L348" s="2831"/>
      <c r="M348" s="2831"/>
      <c r="N348" s="2831"/>
      <c r="O348" s="2831"/>
      <c r="P348" s="3227"/>
      <c r="Q348" s="3227"/>
      <c r="W348" s="156"/>
      <c r="X348" s="156"/>
      <c r="Y348" s="156"/>
      <c r="Z348" s="156"/>
    </row>
    <row r="349" spans="1:26" ht="9.75" customHeight="1">
      <c r="A349" s="89"/>
      <c r="B349" s="89"/>
      <c r="C349" s="106"/>
      <c r="D349" s="106"/>
      <c r="E349" s="106"/>
      <c r="F349" s="106"/>
      <c r="G349" s="106"/>
      <c r="H349" s="106"/>
      <c r="I349" s="106"/>
      <c r="J349" s="106"/>
      <c r="K349" s="106"/>
      <c r="L349" s="106"/>
      <c r="M349" s="106"/>
      <c r="N349" s="3228"/>
      <c r="O349" s="3228"/>
      <c r="P349" s="156"/>
      <c r="W349" s="156"/>
      <c r="X349" s="156"/>
      <c r="Y349" s="156"/>
      <c r="Z349" s="156"/>
    </row>
    <row r="350" spans="1:26">
      <c r="A350" s="156"/>
      <c r="B350" s="156"/>
      <c r="C350" s="156"/>
      <c r="D350" s="156"/>
      <c r="E350" s="156"/>
      <c r="F350" s="156"/>
      <c r="G350" s="156"/>
      <c r="H350" s="156"/>
      <c r="I350" s="156"/>
      <c r="J350" s="156"/>
      <c r="K350" s="156"/>
      <c r="L350" s="156"/>
      <c r="M350" s="156"/>
      <c r="N350" s="156"/>
      <c r="O350" s="156"/>
      <c r="P350" s="156"/>
      <c r="W350" s="156"/>
      <c r="X350" s="156"/>
      <c r="Y350" s="156"/>
      <c r="Z350" s="156"/>
    </row>
    <row r="351" spans="1:26">
      <c r="A351" s="1" t="s">
        <v>520</v>
      </c>
      <c r="B351" s="2"/>
      <c r="C351" s="2"/>
      <c r="D351" s="2"/>
      <c r="E351" s="2"/>
      <c r="F351" s="2"/>
      <c r="G351" s="2"/>
      <c r="H351" s="2"/>
      <c r="I351" s="2"/>
      <c r="J351" s="2"/>
      <c r="K351" s="2"/>
      <c r="L351" s="2"/>
      <c r="M351" s="2"/>
      <c r="N351" s="2"/>
      <c r="O351" s="2"/>
      <c r="P351" s="156" t="str">
        <f>"個別票"&amp;Q351</f>
        <v>個別票15</v>
      </c>
      <c r="Q351" s="1242">
        <f>Q326+1</f>
        <v>15</v>
      </c>
      <c r="W351" s="156"/>
      <c r="X351" s="156"/>
      <c r="Y351" s="156"/>
      <c r="Z351" s="156"/>
    </row>
    <row r="352" spans="1:26">
      <c r="A352" s="2" t="s">
        <v>557</v>
      </c>
      <c r="B352" s="4"/>
      <c r="C352" s="4"/>
      <c r="D352" s="4"/>
      <c r="E352" s="4"/>
      <c r="F352" s="4"/>
      <c r="G352" s="4"/>
      <c r="H352" s="4"/>
      <c r="I352" s="4"/>
      <c r="J352" s="4"/>
      <c r="K352" s="4"/>
      <c r="L352" s="4"/>
      <c r="M352" s="4"/>
      <c r="N352" s="2"/>
      <c r="O352" s="2"/>
      <c r="P352" s="156"/>
      <c r="W352" s="156"/>
      <c r="X352" s="156"/>
      <c r="Y352" s="156"/>
      <c r="Z352" s="156"/>
    </row>
    <row r="353" spans="1:26" ht="17.25">
      <c r="A353" s="2612" t="s">
        <v>556</v>
      </c>
      <c r="B353" s="2612"/>
      <c r="C353" s="2612"/>
      <c r="D353" s="2612"/>
      <c r="E353" s="2612"/>
      <c r="F353" s="2612"/>
      <c r="G353" s="2612"/>
      <c r="H353" s="2612"/>
      <c r="I353" s="2612"/>
      <c r="J353" s="2612"/>
      <c r="K353" s="2612"/>
      <c r="L353" s="2612"/>
      <c r="M353" s="2612"/>
      <c r="N353" s="2612"/>
      <c r="O353" s="2612"/>
      <c r="P353" s="156"/>
      <c r="W353" s="156"/>
      <c r="X353" s="156"/>
      <c r="Y353" s="156"/>
      <c r="Z353" s="156"/>
    </row>
    <row r="354" spans="1:26" ht="17.25">
      <c r="A354" s="38"/>
      <c r="B354" s="38"/>
      <c r="C354" s="38"/>
      <c r="D354" s="38"/>
      <c r="E354" s="38"/>
      <c r="F354" s="38"/>
      <c r="G354" s="38"/>
      <c r="H354" s="38"/>
      <c r="I354" s="38"/>
      <c r="J354" s="38"/>
      <c r="K354" s="38"/>
      <c r="L354" s="38"/>
      <c r="M354" s="38"/>
      <c r="N354" s="38"/>
      <c r="O354" s="38"/>
      <c r="P354" s="156"/>
      <c r="W354" s="156"/>
      <c r="X354" s="156"/>
      <c r="Y354" s="156"/>
      <c r="Z354" s="156"/>
    </row>
    <row r="355" spans="1:26" ht="18" customHeight="1">
      <c r="A355" s="48" t="s">
        <v>151</v>
      </c>
      <c r="B355" s="4"/>
      <c r="C355" s="4"/>
      <c r="D355" s="4"/>
      <c r="E355" s="4"/>
      <c r="F355" s="4"/>
      <c r="G355" s="4"/>
      <c r="H355" s="4"/>
      <c r="I355" s="4"/>
      <c r="J355" s="4"/>
      <c r="K355" s="4"/>
      <c r="L355" s="4"/>
      <c r="M355" s="4"/>
      <c r="N355" s="2"/>
      <c r="O355" s="2"/>
      <c r="P355" s="156"/>
      <c r="W355" s="156"/>
      <c r="X355" s="156"/>
      <c r="Y355" s="156"/>
      <c r="Z355" s="156"/>
    </row>
    <row r="356" spans="1:26" ht="39.950000000000003" customHeight="1">
      <c r="A356" s="2984" t="s">
        <v>152</v>
      </c>
      <c r="B356" s="2985"/>
      <c r="C356" s="2986"/>
      <c r="D356" s="2987" t="str">
        <f>報7!D356</f>
        <v>事業所名を入力15</v>
      </c>
      <c r="E356" s="2988"/>
      <c r="F356" s="2988"/>
      <c r="G356" s="2988"/>
      <c r="H356" s="2988"/>
      <c r="I356" s="2988"/>
      <c r="J356" s="2988"/>
      <c r="K356" s="2988"/>
      <c r="L356" s="2988"/>
      <c r="M356" s="2988"/>
      <c r="N356" s="2988"/>
      <c r="O356" s="2989"/>
      <c r="P356" s="156"/>
      <c r="W356" s="156"/>
      <c r="X356" s="156"/>
      <c r="Y356" s="156"/>
      <c r="Z356" s="156"/>
    </row>
    <row r="357" spans="1:26" ht="39.950000000000003" customHeight="1">
      <c r="A357" s="2570" t="s">
        <v>153</v>
      </c>
      <c r="B357" s="2571"/>
      <c r="C357" s="2990"/>
      <c r="D357" s="2573">
        <f>報7!D357</f>
        <v>0</v>
      </c>
      <c r="E357" s="2574"/>
      <c r="F357" s="2574"/>
      <c r="G357" s="2574"/>
      <c r="H357" s="2574"/>
      <c r="I357" s="2574"/>
      <c r="J357" s="2574"/>
      <c r="K357" s="2574"/>
      <c r="L357" s="2574"/>
      <c r="M357" s="2574"/>
      <c r="N357" s="2574"/>
      <c r="O357" s="2575"/>
      <c r="P357" s="156"/>
      <c r="W357" s="156"/>
      <c r="X357" s="156"/>
      <c r="Y357" s="156"/>
      <c r="Z357" s="156"/>
    </row>
    <row r="358" spans="1:26" ht="39.950000000000003" customHeight="1">
      <c r="A358" s="2536" t="s">
        <v>154</v>
      </c>
      <c r="B358" s="2978"/>
      <c r="C358" s="3245">
        <f>報7!C358</f>
        <v>0</v>
      </c>
      <c r="D358" s="3246"/>
      <c r="E358" s="101" t="s">
        <v>180</v>
      </c>
      <c r="F358" s="2974" t="s">
        <v>404</v>
      </c>
      <c r="G358" s="2975"/>
      <c r="H358" s="2981" t="str">
        <f ca="1">報7!H358</f>
        <v/>
      </c>
      <c r="I358" s="2982"/>
      <c r="J358" s="58" t="s">
        <v>176</v>
      </c>
      <c r="K358" s="2974" t="s">
        <v>405</v>
      </c>
      <c r="L358" s="2975"/>
      <c r="M358" s="3247">
        <f>報7!M358</f>
        <v>0</v>
      </c>
      <c r="N358" s="3248"/>
      <c r="O358" s="3249"/>
      <c r="P358" s="156" t="str">
        <f>IFERROR(VLOOKUP(M358,$U$6:$V$22,2,0),"")</f>
        <v/>
      </c>
      <c r="W358" s="156"/>
      <c r="X358" s="156"/>
      <c r="Y358" s="156"/>
      <c r="Z358" s="156"/>
    </row>
    <row r="359" spans="1:26" ht="39.950000000000003" customHeight="1">
      <c r="A359" s="2974" t="s">
        <v>406</v>
      </c>
      <c r="B359" s="2975"/>
      <c r="C359" s="3250">
        <f>報7!C359</f>
        <v>0</v>
      </c>
      <c r="D359" s="2507"/>
      <c r="E359" s="2508"/>
      <c r="F359" s="2974" t="s">
        <v>158</v>
      </c>
      <c r="G359" s="2975"/>
      <c r="H359" s="3250">
        <f>報7!H359</f>
        <v>0</v>
      </c>
      <c r="I359" s="2507"/>
      <c r="J359" s="2508"/>
      <c r="K359" s="2580"/>
      <c r="L359" s="2977"/>
      <c r="M359" s="2977"/>
      <c r="N359" s="2977"/>
      <c r="O359" s="2977"/>
      <c r="P359" s="156"/>
      <c r="W359" s="156"/>
      <c r="X359" s="156"/>
      <c r="Y359" s="156"/>
      <c r="Z359" s="156"/>
    </row>
    <row r="360" spans="1:26" ht="49.9" customHeight="1">
      <c r="A360" s="39"/>
      <c r="B360" s="39"/>
      <c r="C360" s="40"/>
      <c r="D360" s="41"/>
      <c r="E360" s="40"/>
      <c r="F360" s="42"/>
      <c r="P360" s="156"/>
      <c r="W360" s="156"/>
      <c r="X360" s="156"/>
      <c r="Y360" s="156"/>
      <c r="Z360" s="156"/>
    </row>
    <row r="361" spans="1:26" s="103" customFormat="1" ht="19.5" customHeight="1">
      <c r="A361" s="3251" t="s">
        <v>555</v>
      </c>
      <c r="B361" s="3252"/>
      <c r="C361" s="3252"/>
      <c r="D361" s="3252"/>
      <c r="E361" s="3252"/>
      <c r="F361" s="3252"/>
      <c r="G361" s="3252"/>
      <c r="H361" s="3252"/>
      <c r="I361" s="3252"/>
      <c r="J361" s="3252"/>
      <c r="K361" s="3252"/>
      <c r="L361" s="3252"/>
      <c r="M361" s="3252"/>
      <c r="N361" s="3252"/>
      <c r="O361" s="3252"/>
      <c r="P361" s="334"/>
      <c r="Q361" s="1243"/>
      <c r="R361" s="1243"/>
      <c r="S361" s="1243"/>
      <c r="T361" s="1243"/>
      <c r="U361" s="1243"/>
      <c r="V361" s="1243"/>
      <c r="W361" s="334"/>
      <c r="X361" s="334"/>
      <c r="Y361" s="334"/>
      <c r="Z361" s="334"/>
    </row>
    <row r="362" spans="1:26" ht="49.9" customHeight="1">
      <c r="A362" s="104"/>
      <c r="B362" s="39"/>
      <c r="E362" s="105"/>
      <c r="F362" s="105"/>
      <c r="G362" s="105"/>
      <c r="H362" s="105"/>
      <c r="I362" s="105"/>
      <c r="J362" s="105"/>
      <c r="K362" s="105"/>
      <c r="L362" s="105"/>
      <c r="M362" s="105"/>
      <c r="N362" s="105"/>
      <c r="O362" s="105"/>
      <c r="P362" s="156"/>
      <c r="W362" s="156"/>
      <c r="X362" s="156"/>
      <c r="Y362" s="156"/>
      <c r="Z362" s="156"/>
    </row>
    <row r="363" spans="1:26" ht="20.25" customHeight="1">
      <c r="A363" s="50" t="s">
        <v>554</v>
      </c>
      <c r="B363" s="30"/>
      <c r="C363" s="30"/>
      <c r="D363" s="30"/>
      <c r="E363" s="30"/>
      <c r="F363" s="30"/>
      <c r="G363" s="30"/>
      <c r="H363" s="30"/>
      <c r="I363" s="30"/>
      <c r="J363" s="30"/>
      <c r="K363" s="30"/>
      <c r="L363" s="6"/>
      <c r="M363" s="6"/>
      <c r="N363" s="6"/>
      <c r="O363" s="6"/>
      <c r="P363" s="156"/>
      <c r="W363" s="156"/>
      <c r="X363" s="156"/>
      <c r="Y363" s="156"/>
      <c r="Z363" s="156"/>
    </row>
    <row r="364" spans="1:26" ht="20.100000000000001" customHeight="1">
      <c r="A364" s="2654"/>
      <c r="B364" s="2655"/>
      <c r="C364" s="2673" t="s">
        <v>561</v>
      </c>
      <c r="D364" s="2674"/>
      <c r="E364" s="2674"/>
      <c r="F364" s="2674"/>
      <c r="G364" s="2674"/>
      <c r="H364" s="2675"/>
      <c r="I364" s="2673" t="s">
        <v>560</v>
      </c>
      <c r="J364" s="2674"/>
      <c r="K364" s="2674"/>
      <c r="L364" s="2674"/>
      <c r="M364" s="2674"/>
      <c r="N364" s="2674"/>
      <c r="O364" s="2675"/>
      <c r="P364" s="156"/>
      <c r="W364" s="156"/>
      <c r="X364" s="156"/>
      <c r="Y364" s="156"/>
      <c r="Z364" s="156"/>
    </row>
    <row r="365" spans="1:26" ht="22.15" customHeight="1">
      <c r="A365" s="3253" t="s">
        <v>122</v>
      </c>
      <c r="B365" s="3254"/>
      <c r="C365" s="3255" t="str">
        <f ca="1">参照元個別!E19</f>
        <v/>
      </c>
      <c r="D365" s="3256"/>
      <c r="E365" s="3256"/>
      <c r="F365" s="3256"/>
      <c r="G365" s="3047" t="s">
        <v>1265</v>
      </c>
      <c r="H365" s="2959"/>
      <c r="I365" s="3260" t="str">
        <f>報7!I365</f>
        <v/>
      </c>
      <c r="J365" s="3261"/>
      <c r="K365" s="3261"/>
      <c r="L365" s="3261"/>
      <c r="M365" s="3047" t="s">
        <v>4308</v>
      </c>
      <c r="N365" s="3047"/>
      <c r="O365" s="3264" t="str">
        <f>報7!N365</f>
        <v/>
      </c>
      <c r="P365" s="165"/>
      <c r="Q365" s="1244"/>
      <c r="W365" s="156"/>
      <c r="X365" s="156"/>
      <c r="Y365" s="156"/>
      <c r="Z365" s="156"/>
    </row>
    <row r="366" spans="1:26" ht="22.15" customHeight="1">
      <c r="A366" s="3097">
        <f>IF(計1!$D$28="","",計1!$D$28-1)</f>
        <v>2023</v>
      </c>
      <c r="B366" s="2655"/>
      <c r="C366" s="3257"/>
      <c r="D366" s="3258"/>
      <c r="E366" s="3258"/>
      <c r="F366" s="3258"/>
      <c r="G366" s="3076"/>
      <c r="H366" s="3259"/>
      <c r="I366" s="3262"/>
      <c r="J366" s="3263"/>
      <c r="K366" s="3263"/>
      <c r="L366" s="3263"/>
      <c r="M366" s="3048"/>
      <c r="N366" s="3048"/>
      <c r="O366" s="3265"/>
      <c r="P366" s="165"/>
      <c r="Q366" s="1244"/>
      <c r="W366" s="156"/>
      <c r="X366" s="156"/>
      <c r="Y366" s="156"/>
      <c r="Z366" s="156"/>
    </row>
    <row r="367" spans="1:26" ht="22.15" customHeight="1">
      <c r="A367" s="2633" t="s">
        <v>558</v>
      </c>
      <c r="B367" s="3065"/>
      <c r="C367" s="3216"/>
      <c r="D367" s="3217"/>
      <c r="E367" s="3217"/>
      <c r="F367" s="3217"/>
      <c r="G367" s="3047" t="s">
        <v>414</v>
      </c>
      <c r="H367" s="2959"/>
      <c r="I367" s="3221"/>
      <c r="J367" s="3222"/>
      <c r="K367" s="3222"/>
      <c r="L367" s="3222"/>
      <c r="M367" s="3047" t="s">
        <v>415</v>
      </c>
      <c r="N367" s="3047"/>
      <c r="O367" s="3225" t="str">
        <f>IF(O365="","",O365)</f>
        <v/>
      </c>
      <c r="P367" s="3229"/>
      <c r="Q367" s="3229"/>
      <c r="W367" s="156"/>
      <c r="X367" s="156"/>
      <c r="Y367" s="156"/>
      <c r="Z367" s="156"/>
    </row>
    <row r="368" spans="1:26" ht="22.15" customHeight="1">
      <c r="A368" s="3080">
        <f>IF(計1!$D$28="","",計1!$G$28)</f>
        <v>2026</v>
      </c>
      <c r="B368" s="3059"/>
      <c r="C368" s="3218"/>
      <c r="D368" s="3219"/>
      <c r="E368" s="3219"/>
      <c r="F368" s="3219"/>
      <c r="G368" s="3048"/>
      <c r="H368" s="3220"/>
      <c r="I368" s="3223"/>
      <c r="J368" s="3224"/>
      <c r="K368" s="3224"/>
      <c r="L368" s="3224"/>
      <c r="M368" s="3048"/>
      <c r="N368" s="3048"/>
      <c r="O368" s="3226"/>
      <c r="P368" s="3230"/>
      <c r="Q368" s="3231"/>
      <c r="W368" s="156"/>
      <c r="X368" s="357"/>
      <c r="Y368" s="156"/>
      <c r="Z368" s="156"/>
    </row>
    <row r="369" spans="1:26" ht="24.95" customHeight="1">
      <c r="A369" s="145"/>
      <c r="B369" s="146" t="s">
        <v>577</v>
      </c>
      <c r="C369" s="147"/>
      <c r="D369" s="3232" t="str">
        <f ca="1">IF(OR(C365=0,C367=""),"",INT((C365-C367)/C365*10000)/100)</f>
        <v/>
      </c>
      <c r="E369" s="3232"/>
      <c r="F369" s="3232"/>
      <c r="G369" s="3233" t="s">
        <v>134</v>
      </c>
      <c r="H369" s="3234"/>
      <c r="I369" s="148"/>
      <c r="J369" s="3235" t="str">
        <f>IF(OR(I365=0,I367=""),"",INT((I365-I367)/I365*10000)/100)</f>
        <v/>
      </c>
      <c r="K369" s="3235"/>
      <c r="L369" s="3235"/>
      <c r="M369" s="3232" t="s">
        <v>501</v>
      </c>
      <c r="N369" s="3232"/>
      <c r="O369" s="3236"/>
      <c r="P369" s="335"/>
      <c r="Q369" s="1245"/>
      <c r="W369" s="359"/>
      <c r="X369" s="359"/>
      <c r="Y369" s="359"/>
      <c r="Z369" s="156"/>
    </row>
    <row r="370" spans="1:26" ht="27.75" customHeight="1">
      <c r="A370" s="2672" t="s">
        <v>559</v>
      </c>
      <c r="B370" s="2635"/>
      <c r="C370" s="3240"/>
      <c r="D370" s="3241"/>
      <c r="E370" s="3241"/>
      <c r="F370" s="3241"/>
      <c r="G370" s="3241"/>
      <c r="H370" s="3241"/>
      <c r="I370" s="3241"/>
      <c r="J370" s="3241"/>
      <c r="K370" s="3241"/>
      <c r="L370" s="3241"/>
      <c r="M370" s="3241"/>
      <c r="N370" s="3241"/>
      <c r="O370" s="3242"/>
      <c r="P370" s="335"/>
      <c r="Q370" s="1245"/>
      <c r="R370" s="1246"/>
      <c r="W370" s="359"/>
      <c r="X370" s="359" t="s">
        <v>586</v>
      </c>
      <c r="Y370" s="359"/>
      <c r="Z370" s="156"/>
    </row>
    <row r="371" spans="1:26" ht="35.1" customHeight="1">
      <c r="A371" s="3237"/>
      <c r="B371" s="2648"/>
      <c r="C371" s="3243"/>
      <c r="D371" s="2941"/>
      <c r="E371" s="2941"/>
      <c r="F371" s="2941"/>
      <c r="G371" s="2941"/>
      <c r="H371" s="2941"/>
      <c r="I371" s="2941"/>
      <c r="J371" s="2941"/>
      <c r="K371" s="2941"/>
      <c r="L371" s="2941"/>
      <c r="M371" s="2941"/>
      <c r="N371" s="2941"/>
      <c r="O371" s="2942"/>
      <c r="P371" s="358"/>
      <c r="Q371" s="1247"/>
      <c r="R371" s="1248">
        <v>0</v>
      </c>
      <c r="W371" s="359"/>
      <c r="X371" s="360" t="s">
        <v>587</v>
      </c>
      <c r="Y371" s="359"/>
      <c r="Z371" s="156"/>
    </row>
    <row r="372" spans="1:26" ht="93" customHeight="1">
      <c r="A372" s="3238"/>
      <c r="B372" s="3239"/>
      <c r="C372" s="3244"/>
      <c r="D372" s="2943"/>
      <c r="E372" s="2943"/>
      <c r="F372" s="2943"/>
      <c r="G372" s="2943"/>
      <c r="H372" s="2943"/>
      <c r="I372" s="2943"/>
      <c r="J372" s="2943"/>
      <c r="K372" s="2943"/>
      <c r="L372" s="2943"/>
      <c r="M372" s="2943"/>
      <c r="N372" s="2943"/>
      <c r="O372" s="2944"/>
      <c r="P372" s="336"/>
      <c r="Q372" s="1249"/>
      <c r="W372" s="156"/>
      <c r="X372" s="156"/>
      <c r="Y372" s="156"/>
      <c r="Z372" s="156"/>
    </row>
    <row r="373" spans="1:26" ht="18" customHeight="1">
      <c r="A373" s="2831" t="s">
        <v>583</v>
      </c>
      <c r="B373" s="2831"/>
      <c r="C373" s="2831"/>
      <c r="D373" s="2831"/>
      <c r="E373" s="2831"/>
      <c r="F373" s="2831"/>
      <c r="G373" s="2831"/>
      <c r="H373" s="2831"/>
      <c r="I373" s="2831"/>
      <c r="J373" s="2831"/>
      <c r="K373" s="2831"/>
      <c r="L373" s="2831"/>
      <c r="M373" s="2831"/>
      <c r="N373" s="2831"/>
      <c r="O373" s="2831"/>
      <c r="P373" s="3227"/>
      <c r="Q373" s="3227"/>
      <c r="W373" s="156"/>
      <c r="X373" s="156"/>
      <c r="Y373" s="156"/>
      <c r="Z373" s="156"/>
    </row>
    <row r="374" spans="1:26" ht="9.75" customHeight="1">
      <c r="A374" s="89"/>
      <c r="B374" s="89"/>
      <c r="C374" s="106"/>
      <c r="D374" s="106"/>
      <c r="E374" s="106"/>
      <c r="F374" s="106"/>
      <c r="G374" s="106"/>
      <c r="H374" s="106"/>
      <c r="I374" s="106"/>
      <c r="J374" s="106"/>
      <c r="K374" s="106"/>
      <c r="L374" s="106"/>
      <c r="M374" s="106"/>
      <c r="N374" s="3228"/>
      <c r="O374" s="3228"/>
      <c r="P374" s="156"/>
      <c r="W374" s="156"/>
      <c r="X374" s="156"/>
      <c r="Y374" s="156"/>
      <c r="Z374" s="156"/>
    </row>
    <row r="375" spans="1:26">
      <c r="A375" s="156"/>
      <c r="B375" s="156"/>
      <c r="C375" s="156"/>
      <c r="D375" s="156"/>
      <c r="E375" s="156"/>
      <c r="F375" s="156"/>
      <c r="G375" s="156"/>
      <c r="H375" s="156"/>
      <c r="I375" s="156"/>
      <c r="J375" s="156"/>
      <c r="K375" s="156"/>
      <c r="L375" s="156"/>
      <c r="M375" s="156"/>
      <c r="N375" s="156"/>
      <c r="O375" s="156"/>
      <c r="P375" s="156"/>
      <c r="W375" s="156"/>
      <c r="X375" s="156"/>
      <c r="Y375" s="156"/>
      <c r="Z375" s="156"/>
    </row>
    <row r="376" spans="1:26">
      <c r="A376" s="1" t="s">
        <v>520</v>
      </c>
      <c r="B376" s="2"/>
      <c r="C376" s="2"/>
      <c r="D376" s="2"/>
      <c r="E376" s="2"/>
      <c r="F376" s="2"/>
      <c r="G376" s="2"/>
      <c r="H376" s="2"/>
      <c r="I376" s="2"/>
      <c r="J376" s="2"/>
      <c r="K376" s="2"/>
      <c r="L376" s="2"/>
      <c r="M376" s="2"/>
      <c r="N376" s="2"/>
      <c r="O376" s="2"/>
      <c r="P376" s="156" t="str">
        <f>"個別票"&amp;Q376</f>
        <v>個別票16</v>
      </c>
      <c r="Q376" s="1242">
        <f>Q351+1</f>
        <v>16</v>
      </c>
      <c r="W376" s="156"/>
      <c r="X376" s="156"/>
      <c r="Y376" s="156"/>
      <c r="Z376" s="156"/>
    </row>
    <row r="377" spans="1:26">
      <c r="A377" s="2" t="s">
        <v>557</v>
      </c>
      <c r="B377" s="4"/>
      <c r="C377" s="4"/>
      <c r="D377" s="4"/>
      <c r="E377" s="4"/>
      <c r="F377" s="4"/>
      <c r="G377" s="4"/>
      <c r="H377" s="4"/>
      <c r="I377" s="4"/>
      <c r="J377" s="4"/>
      <c r="K377" s="4"/>
      <c r="L377" s="4"/>
      <c r="M377" s="4"/>
      <c r="N377" s="2"/>
      <c r="O377" s="2"/>
      <c r="P377" s="156"/>
      <c r="W377" s="156"/>
      <c r="X377" s="156"/>
      <c r="Y377" s="156"/>
      <c r="Z377" s="156"/>
    </row>
    <row r="378" spans="1:26" ht="17.25">
      <c r="A378" s="2612" t="s">
        <v>556</v>
      </c>
      <c r="B378" s="2612"/>
      <c r="C378" s="2612"/>
      <c r="D378" s="2612"/>
      <c r="E378" s="2612"/>
      <c r="F378" s="2612"/>
      <c r="G378" s="2612"/>
      <c r="H378" s="2612"/>
      <c r="I378" s="2612"/>
      <c r="J378" s="2612"/>
      <c r="K378" s="2612"/>
      <c r="L378" s="2612"/>
      <c r="M378" s="2612"/>
      <c r="N378" s="2612"/>
      <c r="O378" s="2612"/>
      <c r="P378" s="156"/>
      <c r="W378" s="156"/>
      <c r="X378" s="156"/>
      <c r="Y378" s="156"/>
      <c r="Z378" s="156"/>
    </row>
    <row r="379" spans="1:26" ht="17.25">
      <c r="A379" s="38"/>
      <c r="B379" s="38"/>
      <c r="C379" s="38"/>
      <c r="D379" s="38"/>
      <c r="E379" s="38"/>
      <c r="F379" s="38"/>
      <c r="G379" s="38"/>
      <c r="H379" s="38"/>
      <c r="I379" s="38"/>
      <c r="J379" s="38"/>
      <c r="K379" s="38"/>
      <c r="L379" s="38"/>
      <c r="M379" s="38"/>
      <c r="N379" s="38"/>
      <c r="O379" s="38"/>
      <c r="P379" s="156"/>
      <c r="W379" s="156"/>
      <c r="X379" s="156"/>
      <c r="Y379" s="156"/>
      <c r="Z379" s="156"/>
    </row>
    <row r="380" spans="1:26" ht="18" customHeight="1">
      <c r="A380" s="48" t="s">
        <v>151</v>
      </c>
      <c r="B380" s="4"/>
      <c r="C380" s="4"/>
      <c r="D380" s="4"/>
      <c r="E380" s="4"/>
      <c r="F380" s="4"/>
      <c r="G380" s="4"/>
      <c r="H380" s="4"/>
      <c r="I380" s="4"/>
      <c r="J380" s="4"/>
      <c r="K380" s="4"/>
      <c r="L380" s="4"/>
      <c r="M380" s="4"/>
      <c r="N380" s="2"/>
      <c r="O380" s="2"/>
      <c r="P380" s="156"/>
      <c r="W380" s="156"/>
      <c r="X380" s="156"/>
      <c r="Y380" s="156"/>
      <c r="Z380" s="156"/>
    </row>
    <row r="381" spans="1:26" ht="39.950000000000003" customHeight="1">
      <c r="A381" s="2984" t="s">
        <v>152</v>
      </c>
      <c r="B381" s="2985"/>
      <c r="C381" s="2986"/>
      <c r="D381" s="2987" t="str">
        <f>報7!D381</f>
        <v>事業所名を入力16</v>
      </c>
      <c r="E381" s="2988"/>
      <c r="F381" s="2988"/>
      <c r="G381" s="2988"/>
      <c r="H381" s="2988"/>
      <c r="I381" s="2988"/>
      <c r="J381" s="2988"/>
      <c r="K381" s="2988"/>
      <c r="L381" s="2988"/>
      <c r="M381" s="2988"/>
      <c r="N381" s="2988"/>
      <c r="O381" s="2989"/>
      <c r="P381" s="156"/>
      <c r="W381" s="156"/>
      <c r="X381" s="156"/>
      <c r="Y381" s="156"/>
      <c r="Z381" s="156"/>
    </row>
    <row r="382" spans="1:26" ht="39.950000000000003" customHeight="1">
      <c r="A382" s="2570" t="s">
        <v>153</v>
      </c>
      <c r="B382" s="2571"/>
      <c r="C382" s="2990"/>
      <c r="D382" s="2573">
        <f>報7!D382</f>
        <v>0</v>
      </c>
      <c r="E382" s="2574"/>
      <c r="F382" s="2574"/>
      <c r="G382" s="2574"/>
      <c r="H382" s="2574"/>
      <c r="I382" s="2574"/>
      <c r="J382" s="2574"/>
      <c r="K382" s="2574"/>
      <c r="L382" s="2574"/>
      <c r="M382" s="2574"/>
      <c r="N382" s="2574"/>
      <c r="O382" s="2575"/>
      <c r="P382" s="156"/>
      <c r="W382" s="156"/>
      <c r="X382" s="156"/>
      <c r="Y382" s="156"/>
      <c r="Z382" s="156"/>
    </row>
    <row r="383" spans="1:26" ht="39.950000000000003" customHeight="1">
      <c r="A383" s="2536" t="s">
        <v>154</v>
      </c>
      <c r="B383" s="2978"/>
      <c r="C383" s="3245">
        <f>報7!C383</f>
        <v>0</v>
      </c>
      <c r="D383" s="3246"/>
      <c r="E383" s="101" t="s">
        <v>180</v>
      </c>
      <c r="F383" s="2974" t="s">
        <v>404</v>
      </c>
      <c r="G383" s="2975"/>
      <c r="H383" s="2981" t="str">
        <f ca="1">報7!H383</f>
        <v/>
      </c>
      <c r="I383" s="2982"/>
      <c r="J383" s="58" t="s">
        <v>176</v>
      </c>
      <c r="K383" s="2974" t="s">
        <v>405</v>
      </c>
      <c r="L383" s="2975"/>
      <c r="M383" s="3247">
        <f>報7!M383</f>
        <v>0</v>
      </c>
      <c r="N383" s="3248"/>
      <c r="O383" s="3249"/>
      <c r="P383" s="156" t="str">
        <f>IFERROR(VLOOKUP(M383,$U$6:$V$22,2,0),"")</f>
        <v/>
      </c>
      <c r="W383" s="156"/>
      <c r="X383" s="156"/>
      <c r="Y383" s="156"/>
      <c r="Z383" s="156"/>
    </row>
    <row r="384" spans="1:26" ht="39.950000000000003" customHeight="1">
      <c r="A384" s="2974" t="s">
        <v>406</v>
      </c>
      <c r="B384" s="2975"/>
      <c r="C384" s="3250">
        <f>報7!C384</f>
        <v>0</v>
      </c>
      <c r="D384" s="2507"/>
      <c r="E384" s="2508"/>
      <c r="F384" s="2974" t="s">
        <v>158</v>
      </c>
      <c r="G384" s="2975"/>
      <c r="H384" s="3250">
        <f>報7!H384</f>
        <v>0</v>
      </c>
      <c r="I384" s="2507"/>
      <c r="J384" s="2508"/>
      <c r="K384" s="2580"/>
      <c r="L384" s="2977"/>
      <c r="M384" s="2977"/>
      <c r="N384" s="2977"/>
      <c r="O384" s="2977"/>
      <c r="P384" s="156"/>
      <c r="W384" s="156"/>
      <c r="X384" s="156"/>
      <c r="Y384" s="156"/>
      <c r="Z384" s="156"/>
    </row>
    <row r="385" spans="1:26" ht="49.9" customHeight="1">
      <c r="A385" s="39"/>
      <c r="B385" s="39"/>
      <c r="C385" s="40"/>
      <c r="D385" s="41"/>
      <c r="E385" s="40"/>
      <c r="F385" s="42"/>
      <c r="P385" s="156"/>
      <c r="W385" s="156"/>
      <c r="X385" s="156"/>
      <c r="Y385" s="156"/>
      <c r="Z385" s="156"/>
    </row>
    <row r="386" spans="1:26" s="103" customFormat="1" ht="19.5" customHeight="1">
      <c r="A386" s="3251" t="s">
        <v>555</v>
      </c>
      <c r="B386" s="3252"/>
      <c r="C386" s="3252"/>
      <c r="D386" s="3252"/>
      <c r="E386" s="3252"/>
      <c r="F386" s="3252"/>
      <c r="G386" s="3252"/>
      <c r="H386" s="3252"/>
      <c r="I386" s="3252"/>
      <c r="J386" s="3252"/>
      <c r="K386" s="3252"/>
      <c r="L386" s="3252"/>
      <c r="M386" s="3252"/>
      <c r="N386" s="3252"/>
      <c r="O386" s="3252"/>
      <c r="P386" s="334"/>
      <c r="Q386" s="1243"/>
      <c r="R386" s="1243"/>
      <c r="S386" s="1243"/>
      <c r="T386" s="1243"/>
      <c r="U386" s="1243"/>
      <c r="V386" s="1243"/>
      <c r="W386" s="334"/>
      <c r="X386" s="334"/>
      <c r="Y386" s="334"/>
      <c r="Z386" s="334"/>
    </row>
    <row r="387" spans="1:26" ht="49.9" customHeight="1">
      <c r="A387" s="104"/>
      <c r="B387" s="39"/>
      <c r="E387" s="105"/>
      <c r="F387" s="105"/>
      <c r="G387" s="105"/>
      <c r="H387" s="105"/>
      <c r="I387" s="105"/>
      <c r="J387" s="105"/>
      <c r="K387" s="105"/>
      <c r="L387" s="105"/>
      <c r="M387" s="105"/>
      <c r="N387" s="105"/>
      <c r="O387" s="105"/>
      <c r="P387" s="156"/>
      <c r="W387" s="156"/>
      <c r="X387" s="156"/>
      <c r="Y387" s="156"/>
      <c r="Z387" s="156"/>
    </row>
    <row r="388" spans="1:26" ht="20.25" customHeight="1">
      <c r="A388" s="50" t="s">
        <v>554</v>
      </c>
      <c r="B388" s="30"/>
      <c r="C388" s="30"/>
      <c r="D388" s="30"/>
      <c r="E388" s="30"/>
      <c r="F388" s="30"/>
      <c r="G388" s="30"/>
      <c r="H388" s="30"/>
      <c r="I388" s="30"/>
      <c r="J388" s="30"/>
      <c r="K388" s="30"/>
      <c r="L388" s="6"/>
      <c r="M388" s="6"/>
      <c r="N388" s="6"/>
      <c r="O388" s="6"/>
      <c r="P388" s="156"/>
      <c r="W388" s="156"/>
      <c r="X388" s="156"/>
      <c r="Y388" s="156"/>
      <c r="Z388" s="156"/>
    </row>
    <row r="389" spans="1:26" ht="20.100000000000001" customHeight="1">
      <c r="A389" s="2654"/>
      <c r="B389" s="2655"/>
      <c r="C389" s="2673" t="s">
        <v>561</v>
      </c>
      <c r="D389" s="2674"/>
      <c r="E389" s="2674"/>
      <c r="F389" s="2674"/>
      <c r="G389" s="2674"/>
      <c r="H389" s="2675"/>
      <c r="I389" s="2673" t="s">
        <v>560</v>
      </c>
      <c r="J389" s="2674"/>
      <c r="K389" s="2674"/>
      <c r="L389" s="2674"/>
      <c r="M389" s="2674"/>
      <c r="N389" s="2674"/>
      <c r="O389" s="2675"/>
      <c r="P389" s="156"/>
      <c r="W389" s="156"/>
      <c r="X389" s="156"/>
      <c r="Y389" s="156"/>
      <c r="Z389" s="156"/>
    </row>
    <row r="390" spans="1:26" ht="22.15" customHeight="1">
      <c r="A390" s="3253" t="s">
        <v>122</v>
      </c>
      <c r="B390" s="3254"/>
      <c r="C390" s="3255" t="str">
        <f ca="1">参照元個別!E20</f>
        <v/>
      </c>
      <c r="D390" s="3256"/>
      <c r="E390" s="3256"/>
      <c r="F390" s="3256"/>
      <c r="G390" s="3047" t="s">
        <v>1265</v>
      </c>
      <c r="H390" s="2959"/>
      <c r="I390" s="3260" t="str">
        <f>報7!I390</f>
        <v/>
      </c>
      <c r="J390" s="3261"/>
      <c r="K390" s="3261"/>
      <c r="L390" s="3261"/>
      <c r="M390" s="3047" t="s">
        <v>4308</v>
      </c>
      <c r="N390" s="3047"/>
      <c r="O390" s="3264" t="str">
        <f>報7!N390</f>
        <v/>
      </c>
      <c r="P390" s="165"/>
      <c r="Q390" s="1244"/>
      <c r="W390" s="156"/>
      <c r="X390" s="156"/>
      <c r="Y390" s="156"/>
      <c r="Z390" s="156"/>
    </row>
    <row r="391" spans="1:26" ht="22.15" customHeight="1">
      <c r="A391" s="3097">
        <f>IF(計1!$D$28="","",計1!$D$28-1)</f>
        <v>2023</v>
      </c>
      <c r="B391" s="2655"/>
      <c r="C391" s="3257"/>
      <c r="D391" s="3258"/>
      <c r="E391" s="3258"/>
      <c r="F391" s="3258"/>
      <c r="G391" s="3076"/>
      <c r="H391" s="3259"/>
      <c r="I391" s="3262"/>
      <c r="J391" s="3263"/>
      <c r="K391" s="3263"/>
      <c r="L391" s="3263"/>
      <c r="M391" s="3048"/>
      <c r="N391" s="3048"/>
      <c r="O391" s="3265"/>
      <c r="P391" s="165"/>
      <c r="Q391" s="1244"/>
      <c r="W391" s="156"/>
      <c r="X391" s="156"/>
      <c r="Y391" s="156"/>
      <c r="Z391" s="156"/>
    </row>
    <row r="392" spans="1:26" ht="22.15" customHeight="1">
      <c r="A392" s="2633" t="s">
        <v>558</v>
      </c>
      <c r="B392" s="3065"/>
      <c r="C392" s="3216"/>
      <c r="D392" s="3217"/>
      <c r="E392" s="3217"/>
      <c r="F392" s="3217"/>
      <c r="G392" s="3047" t="s">
        <v>414</v>
      </c>
      <c r="H392" s="2959"/>
      <c r="I392" s="3221"/>
      <c r="J392" s="3222"/>
      <c r="K392" s="3222"/>
      <c r="L392" s="3222"/>
      <c r="M392" s="3047" t="s">
        <v>415</v>
      </c>
      <c r="N392" s="3047"/>
      <c r="O392" s="3225" t="str">
        <f>IF(O390="","",O390)</f>
        <v/>
      </c>
      <c r="P392" s="3229"/>
      <c r="Q392" s="3229"/>
      <c r="W392" s="156"/>
      <c r="X392" s="156"/>
      <c r="Y392" s="156"/>
      <c r="Z392" s="156"/>
    </row>
    <row r="393" spans="1:26" ht="22.15" customHeight="1">
      <c r="A393" s="3080">
        <f>IF(計1!$D$28="","",計1!$G$28)</f>
        <v>2026</v>
      </c>
      <c r="B393" s="3059"/>
      <c r="C393" s="3218"/>
      <c r="D393" s="3219"/>
      <c r="E393" s="3219"/>
      <c r="F393" s="3219"/>
      <c r="G393" s="3048"/>
      <c r="H393" s="3220"/>
      <c r="I393" s="3223"/>
      <c r="J393" s="3224"/>
      <c r="K393" s="3224"/>
      <c r="L393" s="3224"/>
      <c r="M393" s="3048"/>
      <c r="N393" s="3048"/>
      <c r="O393" s="3226"/>
      <c r="P393" s="3230"/>
      <c r="Q393" s="3231"/>
      <c r="W393" s="156"/>
      <c r="X393" s="357"/>
      <c r="Y393" s="156"/>
      <c r="Z393" s="156"/>
    </row>
    <row r="394" spans="1:26" ht="24.95" customHeight="1">
      <c r="A394" s="145"/>
      <c r="B394" s="146" t="s">
        <v>577</v>
      </c>
      <c r="C394" s="147"/>
      <c r="D394" s="3232" t="str">
        <f ca="1">IF(OR(C390=0,C392=""),"",INT((C390-C392)/C390*10000)/100)</f>
        <v/>
      </c>
      <c r="E394" s="3232"/>
      <c r="F394" s="3232"/>
      <c r="G394" s="3233" t="s">
        <v>134</v>
      </c>
      <c r="H394" s="3234"/>
      <c r="I394" s="148"/>
      <c r="J394" s="3235" t="str">
        <f>IF(OR(I390=0,I392=""),"",INT((I390-I392)/I390*10000)/100)</f>
        <v/>
      </c>
      <c r="K394" s="3235"/>
      <c r="L394" s="3235"/>
      <c r="M394" s="3232" t="s">
        <v>501</v>
      </c>
      <c r="N394" s="3232"/>
      <c r="O394" s="3236"/>
      <c r="P394" s="335"/>
      <c r="Q394" s="1245"/>
      <c r="W394" s="359"/>
      <c r="X394" s="359"/>
      <c r="Y394" s="359"/>
      <c r="Z394" s="156"/>
    </row>
    <row r="395" spans="1:26" ht="27.75" customHeight="1">
      <c r="A395" s="2672" t="s">
        <v>559</v>
      </c>
      <c r="B395" s="2635"/>
      <c r="C395" s="3240"/>
      <c r="D395" s="3241"/>
      <c r="E395" s="3241"/>
      <c r="F395" s="3241"/>
      <c r="G395" s="3241"/>
      <c r="H395" s="3241"/>
      <c r="I395" s="3241"/>
      <c r="J395" s="3241"/>
      <c r="K395" s="3241"/>
      <c r="L395" s="3241"/>
      <c r="M395" s="3241"/>
      <c r="N395" s="3241"/>
      <c r="O395" s="3242"/>
      <c r="P395" s="335"/>
      <c r="Q395" s="1245"/>
      <c r="R395" s="1246"/>
      <c r="W395" s="359"/>
      <c r="X395" s="359" t="s">
        <v>586</v>
      </c>
      <c r="Y395" s="359"/>
      <c r="Z395" s="156"/>
    </row>
    <row r="396" spans="1:26" ht="35.1" customHeight="1">
      <c r="A396" s="3237"/>
      <c r="B396" s="2648"/>
      <c r="C396" s="3243"/>
      <c r="D396" s="2941"/>
      <c r="E396" s="2941"/>
      <c r="F396" s="2941"/>
      <c r="G396" s="2941"/>
      <c r="H396" s="2941"/>
      <c r="I396" s="2941"/>
      <c r="J396" s="2941"/>
      <c r="K396" s="2941"/>
      <c r="L396" s="2941"/>
      <c r="M396" s="2941"/>
      <c r="N396" s="2941"/>
      <c r="O396" s="2942"/>
      <c r="P396" s="358"/>
      <c r="Q396" s="1247"/>
      <c r="R396" s="1248">
        <v>0</v>
      </c>
      <c r="W396" s="359"/>
      <c r="X396" s="360" t="s">
        <v>587</v>
      </c>
      <c r="Y396" s="359"/>
      <c r="Z396" s="156"/>
    </row>
    <row r="397" spans="1:26" ht="93" customHeight="1">
      <c r="A397" s="3238"/>
      <c r="B397" s="3239"/>
      <c r="C397" s="3244"/>
      <c r="D397" s="2943"/>
      <c r="E397" s="2943"/>
      <c r="F397" s="2943"/>
      <c r="G397" s="2943"/>
      <c r="H397" s="2943"/>
      <c r="I397" s="2943"/>
      <c r="J397" s="2943"/>
      <c r="K397" s="2943"/>
      <c r="L397" s="2943"/>
      <c r="M397" s="2943"/>
      <c r="N397" s="2943"/>
      <c r="O397" s="2944"/>
      <c r="P397" s="336"/>
      <c r="Q397" s="1249"/>
      <c r="W397" s="156"/>
      <c r="X397" s="156"/>
      <c r="Y397" s="156"/>
      <c r="Z397" s="156"/>
    </row>
    <row r="398" spans="1:26" ht="18" customHeight="1">
      <c r="A398" s="2831" t="s">
        <v>583</v>
      </c>
      <c r="B398" s="2831"/>
      <c r="C398" s="2831"/>
      <c r="D398" s="2831"/>
      <c r="E398" s="2831"/>
      <c r="F398" s="2831"/>
      <c r="G398" s="2831"/>
      <c r="H398" s="2831"/>
      <c r="I398" s="2831"/>
      <c r="J398" s="2831"/>
      <c r="K398" s="2831"/>
      <c r="L398" s="2831"/>
      <c r="M398" s="2831"/>
      <c r="N398" s="2831"/>
      <c r="O398" s="2831"/>
      <c r="P398" s="3227"/>
      <c r="Q398" s="3227"/>
      <c r="W398" s="156"/>
      <c r="X398" s="156"/>
      <c r="Y398" s="156"/>
      <c r="Z398" s="156"/>
    </row>
    <row r="399" spans="1:26" ht="9.75" customHeight="1">
      <c r="A399" s="89"/>
      <c r="B399" s="89"/>
      <c r="C399" s="106"/>
      <c r="D399" s="106"/>
      <c r="E399" s="106"/>
      <c r="F399" s="106"/>
      <c r="G399" s="106"/>
      <c r="H399" s="106"/>
      <c r="I399" s="106"/>
      <c r="J399" s="106"/>
      <c r="K399" s="106"/>
      <c r="L399" s="106"/>
      <c r="M399" s="106"/>
      <c r="N399" s="3228"/>
      <c r="O399" s="3228"/>
      <c r="P399" s="156"/>
      <c r="W399" s="156"/>
      <c r="X399" s="156"/>
      <c r="Y399" s="156"/>
      <c r="Z399" s="156"/>
    </row>
    <row r="400" spans="1:26">
      <c r="A400" s="156"/>
      <c r="B400" s="156"/>
      <c r="C400" s="156"/>
      <c r="D400" s="156"/>
      <c r="E400" s="156"/>
      <c r="F400" s="156"/>
      <c r="G400" s="156"/>
      <c r="H400" s="156"/>
      <c r="I400" s="156"/>
      <c r="J400" s="156"/>
      <c r="K400" s="156"/>
      <c r="L400" s="156"/>
      <c r="M400" s="156"/>
      <c r="N400" s="156"/>
      <c r="O400" s="156"/>
      <c r="P400" s="156"/>
      <c r="W400" s="156"/>
      <c r="X400" s="156"/>
      <c r="Y400" s="156"/>
      <c r="Z400" s="156"/>
    </row>
    <row r="401" spans="1:26">
      <c r="A401" s="1" t="s">
        <v>520</v>
      </c>
      <c r="B401" s="2"/>
      <c r="C401" s="2"/>
      <c r="D401" s="2"/>
      <c r="E401" s="2"/>
      <c r="F401" s="2"/>
      <c r="G401" s="2"/>
      <c r="H401" s="2"/>
      <c r="I401" s="2"/>
      <c r="J401" s="2"/>
      <c r="K401" s="2"/>
      <c r="L401" s="2"/>
      <c r="M401" s="2"/>
      <c r="N401" s="2"/>
      <c r="O401" s="2"/>
      <c r="P401" s="156" t="str">
        <f>"個別票"&amp;Q401</f>
        <v>個別票17</v>
      </c>
      <c r="Q401" s="1242">
        <f>Q376+1</f>
        <v>17</v>
      </c>
      <c r="W401" s="156"/>
      <c r="X401" s="156"/>
      <c r="Y401" s="156"/>
      <c r="Z401" s="156"/>
    </row>
    <row r="402" spans="1:26">
      <c r="A402" s="2" t="s">
        <v>557</v>
      </c>
      <c r="B402" s="4"/>
      <c r="C402" s="4"/>
      <c r="D402" s="4"/>
      <c r="E402" s="4"/>
      <c r="F402" s="4"/>
      <c r="G402" s="4"/>
      <c r="H402" s="4"/>
      <c r="I402" s="4"/>
      <c r="J402" s="4"/>
      <c r="K402" s="4"/>
      <c r="L402" s="4"/>
      <c r="M402" s="4"/>
      <c r="N402" s="2"/>
      <c r="O402" s="2"/>
      <c r="P402" s="156"/>
      <c r="W402" s="156"/>
      <c r="X402" s="156"/>
      <c r="Y402" s="156"/>
      <c r="Z402" s="156"/>
    </row>
    <row r="403" spans="1:26" ht="17.25">
      <c r="A403" s="2612" t="s">
        <v>556</v>
      </c>
      <c r="B403" s="2612"/>
      <c r="C403" s="2612"/>
      <c r="D403" s="2612"/>
      <c r="E403" s="2612"/>
      <c r="F403" s="2612"/>
      <c r="G403" s="2612"/>
      <c r="H403" s="2612"/>
      <c r="I403" s="2612"/>
      <c r="J403" s="2612"/>
      <c r="K403" s="2612"/>
      <c r="L403" s="2612"/>
      <c r="M403" s="2612"/>
      <c r="N403" s="2612"/>
      <c r="O403" s="2612"/>
      <c r="P403" s="156"/>
      <c r="W403" s="156"/>
      <c r="X403" s="156"/>
      <c r="Y403" s="156"/>
      <c r="Z403" s="156"/>
    </row>
    <row r="404" spans="1:26" ht="17.25">
      <c r="A404" s="38"/>
      <c r="B404" s="38"/>
      <c r="C404" s="38"/>
      <c r="D404" s="38"/>
      <c r="E404" s="38"/>
      <c r="F404" s="38"/>
      <c r="G404" s="38"/>
      <c r="H404" s="38"/>
      <c r="I404" s="38"/>
      <c r="J404" s="38"/>
      <c r="K404" s="38"/>
      <c r="L404" s="38"/>
      <c r="M404" s="38"/>
      <c r="N404" s="38"/>
      <c r="O404" s="38"/>
      <c r="P404" s="156"/>
      <c r="W404" s="156"/>
      <c r="X404" s="156"/>
      <c r="Y404" s="156"/>
      <c r="Z404" s="156"/>
    </row>
    <row r="405" spans="1:26" ht="18" customHeight="1">
      <c r="A405" s="48" t="s">
        <v>151</v>
      </c>
      <c r="B405" s="4"/>
      <c r="C405" s="4"/>
      <c r="D405" s="4"/>
      <c r="E405" s="4"/>
      <c r="F405" s="4"/>
      <c r="G405" s="4"/>
      <c r="H405" s="4"/>
      <c r="I405" s="4"/>
      <c r="J405" s="4"/>
      <c r="K405" s="4"/>
      <c r="L405" s="4"/>
      <c r="M405" s="4"/>
      <c r="N405" s="2"/>
      <c r="O405" s="2"/>
      <c r="P405" s="156"/>
      <c r="W405" s="156"/>
      <c r="X405" s="156"/>
      <c r="Y405" s="156"/>
      <c r="Z405" s="156"/>
    </row>
    <row r="406" spans="1:26" ht="39.950000000000003" customHeight="1">
      <c r="A406" s="2984" t="s">
        <v>152</v>
      </c>
      <c r="B406" s="2985"/>
      <c r="C406" s="2986"/>
      <c r="D406" s="2987" t="str">
        <f>報7!D406</f>
        <v>事業所名を入力17</v>
      </c>
      <c r="E406" s="2988"/>
      <c r="F406" s="2988"/>
      <c r="G406" s="2988"/>
      <c r="H406" s="2988"/>
      <c r="I406" s="2988"/>
      <c r="J406" s="2988"/>
      <c r="K406" s="2988"/>
      <c r="L406" s="2988"/>
      <c r="M406" s="2988"/>
      <c r="N406" s="2988"/>
      <c r="O406" s="2989"/>
      <c r="P406" s="156"/>
      <c r="W406" s="156"/>
      <c r="X406" s="156"/>
      <c r="Y406" s="156"/>
      <c r="Z406" s="156"/>
    </row>
    <row r="407" spans="1:26" ht="39.950000000000003" customHeight="1">
      <c r="A407" s="2570" t="s">
        <v>153</v>
      </c>
      <c r="B407" s="2571"/>
      <c r="C407" s="2990"/>
      <c r="D407" s="2573">
        <f>報7!D407</f>
        <v>0</v>
      </c>
      <c r="E407" s="2574"/>
      <c r="F407" s="2574"/>
      <c r="G407" s="2574"/>
      <c r="H407" s="2574"/>
      <c r="I407" s="2574"/>
      <c r="J407" s="2574"/>
      <c r="K407" s="2574"/>
      <c r="L407" s="2574"/>
      <c r="M407" s="2574"/>
      <c r="N407" s="2574"/>
      <c r="O407" s="2575"/>
      <c r="P407" s="156"/>
      <c r="W407" s="156"/>
      <c r="X407" s="156"/>
      <c r="Y407" s="156"/>
      <c r="Z407" s="156"/>
    </row>
    <row r="408" spans="1:26" ht="39.950000000000003" customHeight="1">
      <c r="A408" s="2536" t="s">
        <v>154</v>
      </c>
      <c r="B408" s="2978"/>
      <c r="C408" s="3245">
        <f>報7!C408</f>
        <v>0</v>
      </c>
      <c r="D408" s="3246"/>
      <c r="E408" s="101" t="s">
        <v>180</v>
      </c>
      <c r="F408" s="2974" t="s">
        <v>404</v>
      </c>
      <c r="G408" s="2975"/>
      <c r="H408" s="2981" t="str">
        <f ca="1">報7!H408</f>
        <v/>
      </c>
      <c r="I408" s="2982"/>
      <c r="J408" s="58" t="s">
        <v>176</v>
      </c>
      <c r="K408" s="2974" t="s">
        <v>405</v>
      </c>
      <c r="L408" s="2975"/>
      <c r="M408" s="3247">
        <f>報7!M408</f>
        <v>0</v>
      </c>
      <c r="N408" s="3248"/>
      <c r="O408" s="3249"/>
      <c r="P408" s="156" t="str">
        <f>IFERROR(VLOOKUP(M408,$U$6:$V$22,2,0),"")</f>
        <v/>
      </c>
      <c r="W408" s="156"/>
      <c r="X408" s="156"/>
      <c r="Y408" s="156"/>
      <c r="Z408" s="156"/>
    </row>
    <row r="409" spans="1:26" ht="39.950000000000003" customHeight="1">
      <c r="A409" s="2974" t="s">
        <v>406</v>
      </c>
      <c r="B409" s="2975"/>
      <c r="C409" s="3250">
        <f>報7!C409</f>
        <v>0</v>
      </c>
      <c r="D409" s="2507"/>
      <c r="E409" s="2508"/>
      <c r="F409" s="2974" t="s">
        <v>158</v>
      </c>
      <c r="G409" s="2975"/>
      <c r="H409" s="3250">
        <f>報7!H409</f>
        <v>0</v>
      </c>
      <c r="I409" s="2507"/>
      <c r="J409" s="2508"/>
      <c r="K409" s="2580"/>
      <c r="L409" s="2977"/>
      <c r="M409" s="2977"/>
      <c r="N409" s="2977"/>
      <c r="O409" s="2977"/>
      <c r="P409" s="156"/>
      <c r="W409" s="156"/>
      <c r="X409" s="156"/>
      <c r="Y409" s="156"/>
      <c r="Z409" s="156"/>
    </row>
    <row r="410" spans="1:26" ht="49.9" customHeight="1">
      <c r="A410" s="39"/>
      <c r="B410" s="39"/>
      <c r="C410" s="40"/>
      <c r="D410" s="41"/>
      <c r="E410" s="40"/>
      <c r="F410" s="42"/>
      <c r="P410" s="156"/>
      <c r="W410" s="156"/>
      <c r="X410" s="156"/>
      <c r="Y410" s="156"/>
      <c r="Z410" s="156"/>
    </row>
    <row r="411" spans="1:26" s="103" customFormat="1" ht="19.5" customHeight="1">
      <c r="A411" s="3251" t="s">
        <v>555</v>
      </c>
      <c r="B411" s="3252"/>
      <c r="C411" s="3252"/>
      <c r="D411" s="3252"/>
      <c r="E411" s="3252"/>
      <c r="F411" s="3252"/>
      <c r="G411" s="3252"/>
      <c r="H411" s="3252"/>
      <c r="I411" s="3252"/>
      <c r="J411" s="3252"/>
      <c r="K411" s="3252"/>
      <c r="L411" s="3252"/>
      <c r="M411" s="3252"/>
      <c r="N411" s="3252"/>
      <c r="O411" s="3252"/>
      <c r="P411" s="334"/>
      <c r="Q411" s="1243"/>
      <c r="R411" s="1243"/>
      <c r="S411" s="1243"/>
      <c r="T411" s="1243"/>
      <c r="U411" s="1243"/>
      <c r="V411" s="1243"/>
      <c r="W411" s="334"/>
      <c r="X411" s="334"/>
      <c r="Y411" s="334"/>
      <c r="Z411" s="334"/>
    </row>
    <row r="412" spans="1:26" ht="49.9" customHeight="1">
      <c r="A412" s="104"/>
      <c r="B412" s="39"/>
      <c r="E412" s="105"/>
      <c r="F412" s="105"/>
      <c r="G412" s="105"/>
      <c r="H412" s="105"/>
      <c r="I412" s="105"/>
      <c r="J412" s="105"/>
      <c r="K412" s="105"/>
      <c r="L412" s="105"/>
      <c r="M412" s="105"/>
      <c r="N412" s="105"/>
      <c r="O412" s="105"/>
      <c r="P412" s="156"/>
      <c r="W412" s="156"/>
      <c r="X412" s="156"/>
      <c r="Y412" s="156"/>
      <c r="Z412" s="156"/>
    </row>
    <row r="413" spans="1:26" ht="20.25" customHeight="1">
      <c r="A413" s="50" t="s">
        <v>554</v>
      </c>
      <c r="B413" s="30"/>
      <c r="C413" s="30"/>
      <c r="D413" s="30"/>
      <c r="E413" s="30"/>
      <c r="F413" s="30"/>
      <c r="G413" s="30"/>
      <c r="H413" s="30"/>
      <c r="I413" s="30"/>
      <c r="J413" s="30"/>
      <c r="K413" s="30"/>
      <c r="L413" s="6"/>
      <c r="M413" s="6"/>
      <c r="N413" s="6"/>
      <c r="O413" s="6"/>
      <c r="P413" s="156"/>
      <c r="W413" s="156"/>
      <c r="X413" s="156"/>
      <c r="Y413" s="156"/>
      <c r="Z413" s="156"/>
    </row>
    <row r="414" spans="1:26" ht="20.100000000000001" customHeight="1">
      <c r="A414" s="2654"/>
      <c r="B414" s="2655"/>
      <c r="C414" s="2673" t="s">
        <v>561</v>
      </c>
      <c r="D414" s="2674"/>
      <c r="E414" s="2674"/>
      <c r="F414" s="2674"/>
      <c r="G414" s="2674"/>
      <c r="H414" s="2675"/>
      <c r="I414" s="2673" t="s">
        <v>560</v>
      </c>
      <c r="J414" s="2674"/>
      <c r="K414" s="2674"/>
      <c r="L414" s="2674"/>
      <c r="M414" s="2674"/>
      <c r="N414" s="2674"/>
      <c r="O414" s="2675"/>
      <c r="P414" s="156"/>
      <c r="W414" s="156"/>
      <c r="X414" s="156"/>
      <c r="Y414" s="156"/>
      <c r="Z414" s="156"/>
    </row>
    <row r="415" spans="1:26" ht="22.15" customHeight="1">
      <c r="A415" s="3253" t="s">
        <v>122</v>
      </c>
      <c r="B415" s="3254"/>
      <c r="C415" s="3255" t="str">
        <f ca="1">参照元個別!E21</f>
        <v/>
      </c>
      <c r="D415" s="3256"/>
      <c r="E415" s="3256"/>
      <c r="F415" s="3256"/>
      <c r="G415" s="3047" t="s">
        <v>1265</v>
      </c>
      <c r="H415" s="2959"/>
      <c r="I415" s="3260" t="str">
        <f>報7!I415</f>
        <v/>
      </c>
      <c r="J415" s="3261"/>
      <c r="K415" s="3261"/>
      <c r="L415" s="3261"/>
      <c r="M415" s="3047" t="s">
        <v>4308</v>
      </c>
      <c r="N415" s="3047"/>
      <c r="O415" s="3264" t="str">
        <f>報7!N415</f>
        <v/>
      </c>
      <c r="P415" s="165"/>
      <c r="Q415" s="1244"/>
      <c r="W415" s="156"/>
      <c r="X415" s="156"/>
      <c r="Y415" s="156"/>
      <c r="Z415" s="156"/>
    </row>
    <row r="416" spans="1:26" ht="22.15" customHeight="1">
      <c r="A416" s="3097">
        <f>IF(計1!$D$28="","",計1!$D$28-1)</f>
        <v>2023</v>
      </c>
      <c r="B416" s="2655"/>
      <c r="C416" s="3257"/>
      <c r="D416" s="3258"/>
      <c r="E416" s="3258"/>
      <c r="F416" s="3258"/>
      <c r="G416" s="3076"/>
      <c r="H416" s="3259"/>
      <c r="I416" s="3262"/>
      <c r="J416" s="3263"/>
      <c r="K416" s="3263"/>
      <c r="L416" s="3263"/>
      <c r="M416" s="3048"/>
      <c r="N416" s="3048"/>
      <c r="O416" s="3265"/>
      <c r="P416" s="165"/>
      <c r="Q416" s="1244"/>
      <c r="W416" s="156"/>
      <c r="X416" s="156"/>
      <c r="Y416" s="156"/>
      <c r="Z416" s="156"/>
    </row>
    <row r="417" spans="1:26" ht="22.15" customHeight="1">
      <c r="A417" s="2633" t="s">
        <v>558</v>
      </c>
      <c r="B417" s="3065"/>
      <c r="C417" s="3216"/>
      <c r="D417" s="3217"/>
      <c r="E417" s="3217"/>
      <c r="F417" s="3217"/>
      <c r="G417" s="3047" t="s">
        <v>414</v>
      </c>
      <c r="H417" s="2959"/>
      <c r="I417" s="3221"/>
      <c r="J417" s="3222"/>
      <c r="K417" s="3222"/>
      <c r="L417" s="3222"/>
      <c r="M417" s="3047" t="s">
        <v>415</v>
      </c>
      <c r="N417" s="3047"/>
      <c r="O417" s="3225" t="str">
        <f>IF(O415="","",O415)</f>
        <v/>
      </c>
      <c r="P417" s="3229"/>
      <c r="Q417" s="3229"/>
      <c r="W417" s="156"/>
      <c r="X417" s="156"/>
      <c r="Y417" s="156"/>
      <c r="Z417" s="156"/>
    </row>
    <row r="418" spans="1:26" ht="22.15" customHeight="1">
      <c r="A418" s="3080">
        <f>IF(計1!$D$28="","",計1!$G$28)</f>
        <v>2026</v>
      </c>
      <c r="B418" s="3059"/>
      <c r="C418" s="3218"/>
      <c r="D418" s="3219"/>
      <c r="E418" s="3219"/>
      <c r="F418" s="3219"/>
      <c r="G418" s="3048"/>
      <c r="H418" s="3220"/>
      <c r="I418" s="3223"/>
      <c r="J418" s="3224"/>
      <c r="K418" s="3224"/>
      <c r="L418" s="3224"/>
      <c r="M418" s="3048"/>
      <c r="N418" s="3048"/>
      <c r="O418" s="3226"/>
      <c r="P418" s="3230"/>
      <c r="Q418" s="3231"/>
      <c r="W418" s="156"/>
      <c r="X418" s="357"/>
      <c r="Y418" s="156"/>
      <c r="Z418" s="156"/>
    </row>
    <row r="419" spans="1:26" ht="24.95" customHeight="1">
      <c r="A419" s="145"/>
      <c r="B419" s="146" t="s">
        <v>577</v>
      </c>
      <c r="C419" s="147"/>
      <c r="D419" s="3232" t="str">
        <f ca="1">IF(OR(C415=0,C417=""),"",INT((C415-C417)/C415*10000)/100)</f>
        <v/>
      </c>
      <c r="E419" s="3232"/>
      <c r="F419" s="3232"/>
      <c r="G419" s="3233" t="s">
        <v>134</v>
      </c>
      <c r="H419" s="3234"/>
      <c r="I419" s="148"/>
      <c r="J419" s="3235" t="str">
        <f>IF(OR(I415=0,I417=""),"",INT((I415-I417)/I415*10000)/100)</f>
        <v/>
      </c>
      <c r="K419" s="3235"/>
      <c r="L419" s="3235"/>
      <c r="M419" s="3232" t="s">
        <v>501</v>
      </c>
      <c r="N419" s="3232"/>
      <c r="O419" s="3236"/>
      <c r="P419" s="335"/>
      <c r="Q419" s="1245"/>
      <c r="W419" s="359"/>
      <c r="X419" s="359"/>
      <c r="Y419" s="359"/>
      <c r="Z419" s="156"/>
    </row>
    <row r="420" spans="1:26" ht="27.75" customHeight="1">
      <c r="A420" s="2672" t="s">
        <v>559</v>
      </c>
      <c r="B420" s="2635"/>
      <c r="C420" s="3240"/>
      <c r="D420" s="3241"/>
      <c r="E420" s="3241"/>
      <c r="F420" s="3241"/>
      <c r="G420" s="3241"/>
      <c r="H420" s="3241"/>
      <c r="I420" s="3241"/>
      <c r="J420" s="3241"/>
      <c r="K420" s="3241"/>
      <c r="L420" s="3241"/>
      <c r="M420" s="3241"/>
      <c r="N420" s="3241"/>
      <c r="O420" s="3242"/>
      <c r="P420" s="335"/>
      <c r="Q420" s="1245"/>
      <c r="R420" s="1246"/>
      <c r="W420" s="359"/>
      <c r="X420" s="359" t="s">
        <v>586</v>
      </c>
      <c r="Y420" s="359"/>
      <c r="Z420" s="156"/>
    </row>
    <row r="421" spans="1:26" ht="35.1" customHeight="1">
      <c r="A421" s="3237"/>
      <c r="B421" s="2648"/>
      <c r="C421" s="3243"/>
      <c r="D421" s="2941"/>
      <c r="E421" s="2941"/>
      <c r="F421" s="2941"/>
      <c r="G421" s="2941"/>
      <c r="H421" s="2941"/>
      <c r="I421" s="2941"/>
      <c r="J421" s="2941"/>
      <c r="K421" s="2941"/>
      <c r="L421" s="2941"/>
      <c r="M421" s="2941"/>
      <c r="N421" s="2941"/>
      <c r="O421" s="2942"/>
      <c r="P421" s="358"/>
      <c r="Q421" s="1247"/>
      <c r="R421" s="1248">
        <v>0</v>
      </c>
      <c r="W421" s="359"/>
      <c r="X421" s="360" t="s">
        <v>587</v>
      </c>
      <c r="Y421" s="359"/>
      <c r="Z421" s="156"/>
    </row>
    <row r="422" spans="1:26" ht="93" customHeight="1">
      <c r="A422" s="3238"/>
      <c r="B422" s="3239"/>
      <c r="C422" s="3244"/>
      <c r="D422" s="2943"/>
      <c r="E422" s="2943"/>
      <c r="F422" s="2943"/>
      <c r="G422" s="2943"/>
      <c r="H422" s="2943"/>
      <c r="I422" s="2943"/>
      <c r="J422" s="2943"/>
      <c r="K422" s="2943"/>
      <c r="L422" s="2943"/>
      <c r="M422" s="2943"/>
      <c r="N422" s="2943"/>
      <c r="O422" s="2944"/>
      <c r="P422" s="336"/>
      <c r="Q422" s="1249"/>
      <c r="W422" s="156"/>
      <c r="X422" s="156"/>
      <c r="Y422" s="156"/>
      <c r="Z422" s="156"/>
    </row>
    <row r="423" spans="1:26" ht="18" customHeight="1">
      <c r="A423" s="2831" t="s">
        <v>583</v>
      </c>
      <c r="B423" s="2831"/>
      <c r="C423" s="2831"/>
      <c r="D423" s="2831"/>
      <c r="E423" s="2831"/>
      <c r="F423" s="2831"/>
      <c r="G423" s="2831"/>
      <c r="H423" s="2831"/>
      <c r="I423" s="2831"/>
      <c r="J423" s="2831"/>
      <c r="K423" s="2831"/>
      <c r="L423" s="2831"/>
      <c r="M423" s="2831"/>
      <c r="N423" s="2831"/>
      <c r="O423" s="2831"/>
      <c r="P423" s="3227"/>
      <c r="Q423" s="3227"/>
      <c r="W423" s="156"/>
      <c r="X423" s="156"/>
      <c r="Y423" s="156"/>
      <c r="Z423" s="156"/>
    </row>
    <row r="424" spans="1:26" ht="9.75" customHeight="1">
      <c r="A424" s="89"/>
      <c r="B424" s="89"/>
      <c r="C424" s="106"/>
      <c r="D424" s="106"/>
      <c r="E424" s="106"/>
      <c r="F424" s="106"/>
      <c r="G424" s="106"/>
      <c r="H424" s="106"/>
      <c r="I424" s="106"/>
      <c r="J424" s="106"/>
      <c r="K424" s="106"/>
      <c r="L424" s="106"/>
      <c r="M424" s="106"/>
      <c r="N424" s="3228"/>
      <c r="O424" s="3228"/>
      <c r="P424" s="156"/>
      <c r="W424" s="156"/>
      <c r="X424" s="156"/>
      <c r="Y424" s="156"/>
      <c r="Z424" s="156"/>
    </row>
    <row r="425" spans="1:26">
      <c r="A425" s="156"/>
      <c r="B425" s="156"/>
      <c r="C425" s="156"/>
      <c r="D425" s="156"/>
      <c r="E425" s="156"/>
      <c r="F425" s="156"/>
      <c r="G425" s="156"/>
      <c r="H425" s="156"/>
      <c r="I425" s="156"/>
      <c r="J425" s="156"/>
      <c r="K425" s="156"/>
      <c r="L425" s="156"/>
      <c r="M425" s="156"/>
      <c r="N425" s="156"/>
      <c r="O425" s="156"/>
      <c r="P425" s="156"/>
      <c r="W425" s="156"/>
      <c r="X425" s="156"/>
      <c r="Y425" s="156"/>
      <c r="Z425" s="156"/>
    </row>
    <row r="426" spans="1:26">
      <c r="A426" s="1" t="s">
        <v>520</v>
      </c>
      <c r="B426" s="2"/>
      <c r="C426" s="2"/>
      <c r="D426" s="2"/>
      <c r="E426" s="2"/>
      <c r="F426" s="2"/>
      <c r="G426" s="2"/>
      <c r="H426" s="2"/>
      <c r="I426" s="2"/>
      <c r="J426" s="2"/>
      <c r="K426" s="2"/>
      <c r="L426" s="2"/>
      <c r="M426" s="2"/>
      <c r="N426" s="2"/>
      <c r="O426" s="2"/>
      <c r="P426" s="156" t="str">
        <f>"個別票"&amp;Q426</f>
        <v>個別票18</v>
      </c>
      <c r="Q426" s="1242">
        <f>Q401+1</f>
        <v>18</v>
      </c>
      <c r="W426" s="156"/>
      <c r="X426" s="156"/>
      <c r="Y426" s="156"/>
      <c r="Z426" s="156"/>
    </row>
    <row r="427" spans="1:26">
      <c r="A427" s="2" t="s">
        <v>557</v>
      </c>
      <c r="B427" s="4"/>
      <c r="C427" s="4"/>
      <c r="D427" s="4"/>
      <c r="E427" s="4"/>
      <c r="F427" s="4"/>
      <c r="G427" s="4"/>
      <c r="H427" s="4"/>
      <c r="I427" s="4"/>
      <c r="J427" s="4"/>
      <c r="K427" s="4"/>
      <c r="L427" s="4"/>
      <c r="M427" s="4"/>
      <c r="N427" s="2"/>
      <c r="O427" s="2"/>
      <c r="P427" s="156"/>
      <c r="W427" s="156"/>
      <c r="X427" s="156"/>
      <c r="Y427" s="156"/>
      <c r="Z427" s="156"/>
    </row>
    <row r="428" spans="1:26" ht="17.25">
      <c r="A428" s="2612" t="s">
        <v>556</v>
      </c>
      <c r="B428" s="2612"/>
      <c r="C428" s="2612"/>
      <c r="D428" s="2612"/>
      <c r="E428" s="2612"/>
      <c r="F428" s="2612"/>
      <c r="G428" s="2612"/>
      <c r="H428" s="2612"/>
      <c r="I428" s="2612"/>
      <c r="J428" s="2612"/>
      <c r="K428" s="2612"/>
      <c r="L428" s="2612"/>
      <c r="M428" s="2612"/>
      <c r="N428" s="2612"/>
      <c r="O428" s="2612"/>
      <c r="P428" s="156"/>
      <c r="W428" s="156"/>
      <c r="X428" s="156"/>
      <c r="Y428" s="156"/>
      <c r="Z428" s="156"/>
    </row>
    <row r="429" spans="1:26" ht="17.25">
      <c r="A429" s="38"/>
      <c r="B429" s="38"/>
      <c r="C429" s="38"/>
      <c r="D429" s="38"/>
      <c r="E429" s="38"/>
      <c r="F429" s="38"/>
      <c r="G429" s="38"/>
      <c r="H429" s="38"/>
      <c r="I429" s="38"/>
      <c r="J429" s="38"/>
      <c r="K429" s="38"/>
      <c r="L429" s="38"/>
      <c r="M429" s="38"/>
      <c r="N429" s="38"/>
      <c r="O429" s="38"/>
      <c r="P429" s="156"/>
      <c r="W429" s="156"/>
      <c r="X429" s="156"/>
      <c r="Y429" s="156"/>
      <c r="Z429" s="156"/>
    </row>
    <row r="430" spans="1:26" ht="18" customHeight="1">
      <c r="A430" s="48" t="s">
        <v>151</v>
      </c>
      <c r="B430" s="4"/>
      <c r="C430" s="4"/>
      <c r="D430" s="4"/>
      <c r="E430" s="4"/>
      <c r="F430" s="4"/>
      <c r="G430" s="4"/>
      <c r="H430" s="4"/>
      <c r="I430" s="4"/>
      <c r="J430" s="4"/>
      <c r="K430" s="4"/>
      <c r="L430" s="4"/>
      <c r="M430" s="4"/>
      <c r="N430" s="2"/>
      <c r="O430" s="2"/>
      <c r="P430" s="156"/>
      <c r="W430" s="156"/>
      <c r="X430" s="156"/>
      <c r="Y430" s="156"/>
      <c r="Z430" s="156"/>
    </row>
    <row r="431" spans="1:26" ht="39.950000000000003" customHeight="1">
      <c r="A431" s="2984" t="s">
        <v>152</v>
      </c>
      <c r="B431" s="2985"/>
      <c r="C431" s="2986"/>
      <c r="D431" s="2987" t="str">
        <f>報7!D431</f>
        <v>事業所名を入力18</v>
      </c>
      <c r="E431" s="2988"/>
      <c r="F431" s="2988"/>
      <c r="G431" s="2988"/>
      <c r="H431" s="2988"/>
      <c r="I431" s="2988"/>
      <c r="J431" s="2988"/>
      <c r="K431" s="2988"/>
      <c r="L431" s="2988"/>
      <c r="M431" s="2988"/>
      <c r="N431" s="2988"/>
      <c r="O431" s="2989"/>
      <c r="P431" s="156"/>
      <c r="W431" s="156"/>
      <c r="X431" s="156"/>
      <c r="Y431" s="156"/>
      <c r="Z431" s="156"/>
    </row>
    <row r="432" spans="1:26" ht="39.950000000000003" customHeight="1">
      <c r="A432" s="2570" t="s">
        <v>153</v>
      </c>
      <c r="B432" s="2571"/>
      <c r="C432" s="2990"/>
      <c r="D432" s="2573">
        <f>報7!D432</f>
        <v>0</v>
      </c>
      <c r="E432" s="2574"/>
      <c r="F432" s="2574"/>
      <c r="G432" s="2574"/>
      <c r="H432" s="2574"/>
      <c r="I432" s="2574"/>
      <c r="J432" s="2574"/>
      <c r="K432" s="2574"/>
      <c r="L432" s="2574"/>
      <c r="M432" s="2574"/>
      <c r="N432" s="2574"/>
      <c r="O432" s="2575"/>
      <c r="P432" s="156"/>
      <c r="W432" s="156"/>
      <c r="X432" s="156"/>
      <c r="Y432" s="156"/>
      <c r="Z432" s="156"/>
    </row>
    <row r="433" spans="1:26" ht="39.950000000000003" customHeight="1">
      <c r="A433" s="2536" t="s">
        <v>154</v>
      </c>
      <c r="B433" s="2978"/>
      <c r="C433" s="3245">
        <f>報7!C433</f>
        <v>0</v>
      </c>
      <c r="D433" s="3246"/>
      <c r="E433" s="101" t="s">
        <v>180</v>
      </c>
      <c r="F433" s="2974" t="s">
        <v>404</v>
      </c>
      <c r="G433" s="2975"/>
      <c r="H433" s="2981" t="str">
        <f ca="1">報7!H433</f>
        <v/>
      </c>
      <c r="I433" s="2982"/>
      <c r="J433" s="58" t="s">
        <v>176</v>
      </c>
      <c r="K433" s="2974" t="s">
        <v>405</v>
      </c>
      <c r="L433" s="2975"/>
      <c r="M433" s="3247">
        <f>報7!M433</f>
        <v>0</v>
      </c>
      <c r="N433" s="3248"/>
      <c r="O433" s="3249"/>
      <c r="P433" s="156" t="str">
        <f>IFERROR(VLOOKUP(M433,$U$6:$V$22,2,0),"")</f>
        <v/>
      </c>
      <c r="W433" s="156"/>
      <c r="X433" s="156"/>
      <c r="Y433" s="156"/>
      <c r="Z433" s="156"/>
    </row>
    <row r="434" spans="1:26" ht="39.950000000000003" customHeight="1">
      <c r="A434" s="2974" t="s">
        <v>406</v>
      </c>
      <c r="B434" s="2975"/>
      <c r="C434" s="3250">
        <f>報7!C434</f>
        <v>0</v>
      </c>
      <c r="D434" s="2507"/>
      <c r="E434" s="2508"/>
      <c r="F434" s="2974" t="s">
        <v>158</v>
      </c>
      <c r="G434" s="2975"/>
      <c r="H434" s="3250">
        <f>報7!H434</f>
        <v>0</v>
      </c>
      <c r="I434" s="2507"/>
      <c r="J434" s="2508"/>
      <c r="K434" s="2580"/>
      <c r="L434" s="2977"/>
      <c r="M434" s="2977"/>
      <c r="N434" s="2977"/>
      <c r="O434" s="2977"/>
      <c r="P434" s="156"/>
      <c r="W434" s="156"/>
      <c r="X434" s="156"/>
      <c r="Y434" s="156"/>
      <c r="Z434" s="156"/>
    </row>
    <row r="435" spans="1:26" ht="49.9" customHeight="1">
      <c r="A435" s="39"/>
      <c r="B435" s="39"/>
      <c r="C435" s="40"/>
      <c r="D435" s="41"/>
      <c r="E435" s="40"/>
      <c r="F435" s="42"/>
      <c r="P435" s="156"/>
      <c r="W435" s="156"/>
      <c r="X435" s="156"/>
      <c r="Y435" s="156"/>
      <c r="Z435" s="156"/>
    </row>
    <row r="436" spans="1:26" s="103" customFormat="1" ht="19.5" customHeight="1">
      <c r="A436" s="3251" t="s">
        <v>555</v>
      </c>
      <c r="B436" s="3252"/>
      <c r="C436" s="3252"/>
      <c r="D436" s="3252"/>
      <c r="E436" s="3252"/>
      <c r="F436" s="3252"/>
      <c r="G436" s="3252"/>
      <c r="H436" s="3252"/>
      <c r="I436" s="3252"/>
      <c r="J436" s="3252"/>
      <c r="K436" s="3252"/>
      <c r="L436" s="3252"/>
      <c r="M436" s="3252"/>
      <c r="N436" s="3252"/>
      <c r="O436" s="3252"/>
      <c r="P436" s="334"/>
      <c r="Q436" s="1243"/>
      <c r="R436" s="1243"/>
      <c r="S436" s="1243"/>
      <c r="T436" s="1243"/>
      <c r="U436" s="1243"/>
      <c r="V436" s="1243"/>
      <c r="W436" s="334"/>
      <c r="X436" s="334"/>
      <c r="Y436" s="334"/>
      <c r="Z436" s="334"/>
    </row>
    <row r="437" spans="1:26" ht="49.9" customHeight="1">
      <c r="A437" s="104"/>
      <c r="B437" s="39"/>
      <c r="E437" s="105"/>
      <c r="F437" s="105"/>
      <c r="G437" s="105"/>
      <c r="H437" s="105"/>
      <c r="I437" s="105"/>
      <c r="J437" s="105"/>
      <c r="K437" s="105"/>
      <c r="L437" s="105"/>
      <c r="M437" s="105"/>
      <c r="N437" s="105"/>
      <c r="O437" s="105"/>
      <c r="P437" s="156"/>
      <c r="W437" s="156"/>
      <c r="X437" s="156"/>
      <c r="Y437" s="156"/>
      <c r="Z437" s="156"/>
    </row>
    <row r="438" spans="1:26" ht="20.25" customHeight="1">
      <c r="A438" s="50" t="s">
        <v>554</v>
      </c>
      <c r="B438" s="30"/>
      <c r="C438" s="30"/>
      <c r="D438" s="30"/>
      <c r="E438" s="30"/>
      <c r="F438" s="30"/>
      <c r="G438" s="30"/>
      <c r="H438" s="30"/>
      <c r="I438" s="30"/>
      <c r="J438" s="30"/>
      <c r="K438" s="30"/>
      <c r="L438" s="6"/>
      <c r="M438" s="6"/>
      <c r="N438" s="6"/>
      <c r="O438" s="6"/>
      <c r="P438" s="156"/>
      <c r="W438" s="156"/>
      <c r="X438" s="156"/>
      <c r="Y438" s="156"/>
      <c r="Z438" s="156"/>
    </row>
    <row r="439" spans="1:26" ht="20.100000000000001" customHeight="1">
      <c r="A439" s="2654"/>
      <c r="B439" s="2655"/>
      <c r="C439" s="2673" t="s">
        <v>561</v>
      </c>
      <c r="D439" s="2674"/>
      <c r="E439" s="2674"/>
      <c r="F439" s="2674"/>
      <c r="G439" s="2674"/>
      <c r="H439" s="2675"/>
      <c r="I439" s="2673" t="s">
        <v>560</v>
      </c>
      <c r="J439" s="2674"/>
      <c r="K439" s="2674"/>
      <c r="L439" s="2674"/>
      <c r="M439" s="2674"/>
      <c r="N439" s="2674"/>
      <c r="O439" s="2675"/>
      <c r="P439" s="156"/>
      <c r="W439" s="156"/>
      <c r="X439" s="156"/>
      <c r="Y439" s="156"/>
      <c r="Z439" s="156"/>
    </row>
    <row r="440" spans="1:26" ht="22.15" customHeight="1">
      <c r="A440" s="3253" t="s">
        <v>122</v>
      </c>
      <c r="B440" s="3254"/>
      <c r="C440" s="3255" t="str">
        <f ca="1">参照元個別!E22</f>
        <v/>
      </c>
      <c r="D440" s="3256"/>
      <c r="E440" s="3256"/>
      <c r="F440" s="3256"/>
      <c r="G440" s="3047" t="s">
        <v>1265</v>
      </c>
      <c r="H440" s="2959"/>
      <c r="I440" s="3260" t="str">
        <f>報7!I440</f>
        <v/>
      </c>
      <c r="J440" s="3261"/>
      <c r="K440" s="3261"/>
      <c r="L440" s="3261"/>
      <c r="M440" s="3047" t="s">
        <v>4308</v>
      </c>
      <c r="N440" s="3047"/>
      <c r="O440" s="3264" t="str">
        <f>報7!N440</f>
        <v/>
      </c>
      <c r="P440" s="165"/>
      <c r="Q440" s="1244"/>
      <c r="W440" s="156"/>
      <c r="X440" s="156"/>
      <c r="Y440" s="156"/>
      <c r="Z440" s="156"/>
    </row>
    <row r="441" spans="1:26" ht="22.15" customHeight="1">
      <c r="A441" s="3097">
        <f>IF(計1!$D$28="","",計1!$D$28-1)</f>
        <v>2023</v>
      </c>
      <c r="B441" s="2655"/>
      <c r="C441" s="3257"/>
      <c r="D441" s="3258"/>
      <c r="E441" s="3258"/>
      <c r="F441" s="3258"/>
      <c r="G441" s="3076"/>
      <c r="H441" s="3259"/>
      <c r="I441" s="3262"/>
      <c r="J441" s="3263"/>
      <c r="K441" s="3263"/>
      <c r="L441" s="3263"/>
      <c r="M441" s="3048"/>
      <c r="N441" s="3048"/>
      <c r="O441" s="3265"/>
      <c r="P441" s="165"/>
      <c r="Q441" s="1244"/>
      <c r="W441" s="156"/>
      <c r="X441" s="156"/>
      <c r="Y441" s="156"/>
      <c r="Z441" s="156"/>
    </row>
    <row r="442" spans="1:26" ht="22.15" customHeight="1">
      <c r="A442" s="2633" t="s">
        <v>558</v>
      </c>
      <c r="B442" s="3065"/>
      <c r="C442" s="3216"/>
      <c r="D442" s="3217"/>
      <c r="E442" s="3217"/>
      <c r="F442" s="3217"/>
      <c r="G442" s="3047" t="s">
        <v>414</v>
      </c>
      <c r="H442" s="2959"/>
      <c r="I442" s="3221"/>
      <c r="J442" s="3222"/>
      <c r="K442" s="3222"/>
      <c r="L442" s="3222"/>
      <c r="M442" s="3047" t="s">
        <v>415</v>
      </c>
      <c r="N442" s="3047"/>
      <c r="O442" s="3225" t="str">
        <f>IF(O440="","",O440)</f>
        <v/>
      </c>
      <c r="P442" s="3229"/>
      <c r="Q442" s="3229"/>
      <c r="W442" s="156"/>
      <c r="X442" s="156"/>
      <c r="Y442" s="156"/>
      <c r="Z442" s="156"/>
    </row>
    <row r="443" spans="1:26" ht="22.15" customHeight="1">
      <c r="A443" s="3080">
        <f>IF(計1!$D$28="","",計1!$G$28)</f>
        <v>2026</v>
      </c>
      <c r="B443" s="3059"/>
      <c r="C443" s="3218"/>
      <c r="D443" s="3219"/>
      <c r="E443" s="3219"/>
      <c r="F443" s="3219"/>
      <c r="G443" s="3048"/>
      <c r="H443" s="3220"/>
      <c r="I443" s="3223"/>
      <c r="J443" s="3224"/>
      <c r="K443" s="3224"/>
      <c r="L443" s="3224"/>
      <c r="M443" s="3048"/>
      <c r="N443" s="3048"/>
      <c r="O443" s="3226"/>
      <c r="P443" s="3230"/>
      <c r="Q443" s="3231"/>
      <c r="W443" s="156"/>
      <c r="X443" s="357"/>
      <c r="Y443" s="156"/>
      <c r="Z443" s="156"/>
    </row>
    <row r="444" spans="1:26" ht="24.95" customHeight="1">
      <c r="A444" s="145"/>
      <c r="B444" s="146" t="s">
        <v>577</v>
      </c>
      <c r="C444" s="147"/>
      <c r="D444" s="3232" t="str">
        <f ca="1">IF(OR(C440=0,C442=""),"",INT((C440-C442)/C440*10000)/100)</f>
        <v/>
      </c>
      <c r="E444" s="3232"/>
      <c r="F444" s="3232"/>
      <c r="G444" s="3233" t="s">
        <v>134</v>
      </c>
      <c r="H444" s="3234"/>
      <c r="I444" s="148"/>
      <c r="J444" s="3235" t="str">
        <f>IF(OR(I440=0,I442=""),"",INT((I440-I442)/I440*10000)/100)</f>
        <v/>
      </c>
      <c r="K444" s="3235"/>
      <c r="L444" s="3235"/>
      <c r="M444" s="3232" t="s">
        <v>501</v>
      </c>
      <c r="N444" s="3232"/>
      <c r="O444" s="3236"/>
      <c r="P444" s="335"/>
      <c r="Q444" s="1245"/>
      <c r="W444" s="359"/>
      <c r="X444" s="359"/>
      <c r="Y444" s="359"/>
      <c r="Z444" s="156"/>
    </row>
    <row r="445" spans="1:26" ht="27.75" customHeight="1">
      <c r="A445" s="2672" t="s">
        <v>559</v>
      </c>
      <c r="B445" s="2635"/>
      <c r="C445" s="3240"/>
      <c r="D445" s="3241"/>
      <c r="E445" s="3241"/>
      <c r="F445" s="3241"/>
      <c r="G445" s="3241"/>
      <c r="H445" s="3241"/>
      <c r="I445" s="3241"/>
      <c r="J445" s="3241"/>
      <c r="K445" s="3241"/>
      <c r="L445" s="3241"/>
      <c r="M445" s="3241"/>
      <c r="N445" s="3241"/>
      <c r="O445" s="3242"/>
      <c r="P445" s="335"/>
      <c r="Q445" s="1245"/>
      <c r="R445" s="1246"/>
      <c r="W445" s="359"/>
      <c r="X445" s="359" t="s">
        <v>586</v>
      </c>
      <c r="Y445" s="359"/>
      <c r="Z445" s="156"/>
    </row>
    <row r="446" spans="1:26" ht="35.1" customHeight="1">
      <c r="A446" s="3237"/>
      <c r="B446" s="2648"/>
      <c r="C446" s="3243"/>
      <c r="D446" s="2941"/>
      <c r="E446" s="2941"/>
      <c r="F446" s="2941"/>
      <c r="G446" s="2941"/>
      <c r="H446" s="2941"/>
      <c r="I446" s="2941"/>
      <c r="J446" s="2941"/>
      <c r="K446" s="2941"/>
      <c r="L446" s="2941"/>
      <c r="M446" s="2941"/>
      <c r="N446" s="2941"/>
      <c r="O446" s="2942"/>
      <c r="P446" s="358"/>
      <c r="Q446" s="1247"/>
      <c r="R446" s="1248">
        <v>0</v>
      </c>
      <c r="W446" s="359"/>
      <c r="X446" s="360" t="s">
        <v>587</v>
      </c>
      <c r="Y446" s="359"/>
      <c r="Z446" s="156"/>
    </row>
    <row r="447" spans="1:26" ht="93" customHeight="1">
      <c r="A447" s="3238"/>
      <c r="B447" s="3239"/>
      <c r="C447" s="3244"/>
      <c r="D447" s="2943"/>
      <c r="E447" s="2943"/>
      <c r="F447" s="2943"/>
      <c r="G447" s="2943"/>
      <c r="H447" s="2943"/>
      <c r="I447" s="2943"/>
      <c r="J447" s="2943"/>
      <c r="K447" s="2943"/>
      <c r="L447" s="2943"/>
      <c r="M447" s="2943"/>
      <c r="N447" s="2943"/>
      <c r="O447" s="2944"/>
      <c r="P447" s="336"/>
      <c r="Q447" s="1249"/>
      <c r="W447" s="156"/>
      <c r="X447" s="156"/>
      <c r="Y447" s="156"/>
      <c r="Z447" s="156"/>
    </row>
    <row r="448" spans="1:26" ht="18" customHeight="1">
      <c r="A448" s="2831" t="s">
        <v>583</v>
      </c>
      <c r="B448" s="2831"/>
      <c r="C448" s="2831"/>
      <c r="D448" s="2831"/>
      <c r="E448" s="2831"/>
      <c r="F448" s="2831"/>
      <c r="G448" s="2831"/>
      <c r="H448" s="2831"/>
      <c r="I448" s="2831"/>
      <c r="J448" s="2831"/>
      <c r="K448" s="2831"/>
      <c r="L448" s="2831"/>
      <c r="M448" s="2831"/>
      <c r="N448" s="2831"/>
      <c r="O448" s="2831"/>
      <c r="P448" s="3227"/>
      <c r="Q448" s="3227"/>
      <c r="W448" s="156"/>
      <c r="X448" s="156"/>
      <c r="Y448" s="156"/>
      <c r="Z448" s="156"/>
    </row>
    <row r="449" spans="1:26" ht="9.75" customHeight="1">
      <c r="A449" s="89"/>
      <c r="B449" s="89"/>
      <c r="C449" s="106"/>
      <c r="D449" s="106"/>
      <c r="E449" s="106"/>
      <c r="F449" s="106"/>
      <c r="G449" s="106"/>
      <c r="H449" s="106"/>
      <c r="I449" s="106"/>
      <c r="J449" s="106"/>
      <c r="K449" s="106"/>
      <c r="L449" s="106"/>
      <c r="M449" s="106"/>
      <c r="N449" s="3228"/>
      <c r="O449" s="3228"/>
      <c r="P449" s="156"/>
      <c r="W449" s="156"/>
      <c r="X449" s="156"/>
      <c r="Y449" s="156"/>
      <c r="Z449" s="156"/>
    </row>
    <row r="450" spans="1:26">
      <c r="A450" s="156"/>
      <c r="B450" s="156"/>
      <c r="C450" s="156"/>
      <c r="D450" s="156"/>
      <c r="E450" s="156"/>
      <c r="F450" s="156"/>
      <c r="G450" s="156"/>
      <c r="H450" s="156"/>
      <c r="I450" s="156"/>
      <c r="J450" s="156"/>
      <c r="K450" s="156"/>
      <c r="L450" s="156"/>
      <c r="M450" s="156"/>
      <c r="N450" s="156"/>
      <c r="O450" s="156"/>
      <c r="P450" s="156"/>
      <c r="W450" s="156"/>
      <c r="X450" s="156"/>
      <c r="Y450" s="156"/>
      <c r="Z450" s="156"/>
    </row>
    <row r="451" spans="1:26">
      <c r="A451" s="1" t="s">
        <v>520</v>
      </c>
      <c r="B451" s="2"/>
      <c r="C451" s="2"/>
      <c r="D451" s="2"/>
      <c r="E451" s="2"/>
      <c r="F451" s="2"/>
      <c r="G451" s="2"/>
      <c r="H451" s="2"/>
      <c r="I451" s="2"/>
      <c r="J451" s="2"/>
      <c r="K451" s="2"/>
      <c r="L451" s="2"/>
      <c r="M451" s="2"/>
      <c r="N451" s="2"/>
      <c r="O451" s="2"/>
      <c r="P451" s="156" t="str">
        <f>"個別票"&amp;Q451</f>
        <v>個別票19</v>
      </c>
      <c r="Q451" s="1242">
        <f>Q426+1</f>
        <v>19</v>
      </c>
      <c r="W451" s="156"/>
      <c r="X451" s="156"/>
      <c r="Y451" s="156"/>
      <c r="Z451" s="156"/>
    </row>
    <row r="452" spans="1:26">
      <c r="A452" s="2" t="s">
        <v>557</v>
      </c>
      <c r="B452" s="4"/>
      <c r="C452" s="4"/>
      <c r="D452" s="4"/>
      <c r="E452" s="4"/>
      <c r="F452" s="4"/>
      <c r="G452" s="4"/>
      <c r="H452" s="4"/>
      <c r="I452" s="4"/>
      <c r="J452" s="4"/>
      <c r="K452" s="4"/>
      <c r="L452" s="4"/>
      <c r="M452" s="4"/>
      <c r="N452" s="2"/>
      <c r="O452" s="2"/>
      <c r="P452" s="156"/>
      <c r="W452" s="156"/>
      <c r="X452" s="156"/>
      <c r="Y452" s="156"/>
      <c r="Z452" s="156"/>
    </row>
    <row r="453" spans="1:26" ht="17.25">
      <c r="A453" s="2612" t="s">
        <v>556</v>
      </c>
      <c r="B453" s="2612"/>
      <c r="C453" s="2612"/>
      <c r="D453" s="2612"/>
      <c r="E453" s="2612"/>
      <c r="F453" s="2612"/>
      <c r="G453" s="2612"/>
      <c r="H453" s="2612"/>
      <c r="I453" s="2612"/>
      <c r="J453" s="2612"/>
      <c r="K453" s="2612"/>
      <c r="L453" s="2612"/>
      <c r="M453" s="2612"/>
      <c r="N453" s="2612"/>
      <c r="O453" s="2612"/>
      <c r="P453" s="156"/>
      <c r="W453" s="156"/>
      <c r="X453" s="156"/>
      <c r="Y453" s="156"/>
      <c r="Z453" s="156"/>
    </row>
    <row r="454" spans="1:26" ht="17.25">
      <c r="A454" s="38"/>
      <c r="B454" s="38"/>
      <c r="C454" s="38"/>
      <c r="D454" s="38"/>
      <c r="E454" s="38"/>
      <c r="F454" s="38"/>
      <c r="G454" s="38"/>
      <c r="H454" s="38"/>
      <c r="I454" s="38"/>
      <c r="J454" s="38"/>
      <c r="K454" s="38"/>
      <c r="L454" s="38"/>
      <c r="M454" s="38"/>
      <c r="N454" s="38"/>
      <c r="O454" s="38"/>
      <c r="P454" s="156"/>
      <c r="W454" s="156"/>
      <c r="X454" s="156"/>
      <c r="Y454" s="156"/>
      <c r="Z454" s="156"/>
    </row>
    <row r="455" spans="1:26" ht="18" customHeight="1">
      <c r="A455" s="48" t="s">
        <v>151</v>
      </c>
      <c r="B455" s="4"/>
      <c r="C455" s="4"/>
      <c r="D455" s="4"/>
      <c r="E455" s="4"/>
      <c r="F455" s="4"/>
      <c r="G455" s="4"/>
      <c r="H455" s="4"/>
      <c r="I455" s="4"/>
      <c r="J455" s="4"/>
      <c r="K455" s="4"/>
      <c r="L455" s="4"/>
      <c r="M455" s="4"/>
      <c r="N455" s="2"/>
      <c r="O455" s="2"/>
      <c r="P455" s="156"/>
      <c r="W455" s="156"/>
      <c r="X455" s="156"/>
      <c r="Y455" s="156"/>
      <c r="Z455" s="156"/>
    </row>
    <row r="456" spans="1:26" ht="39.950000000000003" customHeight="1">
      <c r="A456" s="2984" t="s">
        <v>152</v>
      </c>
      <c r="B456" s="2985"/>
      <c r="C456" s="2986"/>
      <c r="D456" s="2987" t="str">
        <f>報7!D456</f>
        <v>事業所名を入力19</v>
      </c>
      <c r="E456" s="2988"/>
      <c r="F456" s="2988"/>
      <c r="G456" s="2988"/>
      <c r="H456" s="2988"/>
      <c r="I456" s="2988"/>
      <c r="J456" s="2988"/>
      <c r="K456" s="2988"/>
      <c r="L456" s="2988"/>
      <c r="M456" s="2988"/>
      <c r="N456" s="2988"/>
      <c r="O456" s="2989"/>
      <c r="P456" s="156"/>
      <c r="W456" s="156"/>
      <c r="X456" s="156"/>
      <c r="Y456" s="156"/>
      <c r="Z456" s="156"/>
    </row>
    <row r="457" spans="1:26" ht="39.950000000000003" customHeight="1">
      <c r="A457" s="2570" t="s">
        <v>153</v>
      </c>
      <c r="B457" s="2571"/>
      <c r="C457" s="2990"/>
      <c r="D457" s="2573">
        <f>報7!D457</f>
        <v>0</v>
      </c>
      <c r="E457" s="2574"/>
      <c r="F457" s="2574"/>
      <c r="G457" s="2574"/>
      <c r="H457" s="2574"/>
      <c r="I457" s="2574"/>
      <c r="J457" s="2574"/>
      <c r="K457" s="2574"/>
      <c r="L457" s="2574"/>
      <c r="M457" s="2574"/>
      <c r="N457" s="2574"/>
      <c r="O457" s="2575"/>
      <c r="P457" s="156"/>
      <c r="W457" s="156"/>
      <c r="X457" s="156"/>
      <c r="Y457" s="156"/>
      <c r="Z457" s="156"/>
    </row>
    <row r="458" spans="1:26" ht="39.950000000000003" customHeight="1">
      <c r="A458" s="2536" t="s">
        <v>154</v>
      </c>
      <c r="B458" s="2978"/>
      <c r="C458" s="3245">
        <f>報7!C458</f>
        <v>0</v>
      </c>
      <c r="D458" s="3246"/>
      <c r="E458" s="101" t="s">
        <v>180</v>
      </c>
      <c r="F458" s="2974" t="s">
        <v>404</v>
      </c>
      <c r="G458" s="2975"/>
      <c r="H458" s="2981" t="str">
        <f ca="1">報7!H458</f>
        <v/>
      </c>
      <c r="I458" s="2982"/>
      <c r="J458" s="58" t="s">
        <v>176</v>
      </c>
      <c r="K458" s="2974" t="s">
        <v>405</v>
      </c>
      <c r="L458" s="2975"/>
      <c r="M458" s="3247">
        <f>報7!M458</f>
        <v>0</v>
      </c>
      <c r="N458" s="3248"/>
      <c r="O458" s="3249"/>
      <c r="P458" s="156" t="str">
        <f>IFERROR(VLOOKUP(M458,$U$6:$V$22,2,0),"")</f>
        <v/>
      </c>
      <c r="W458" s="156"/>
      <c r="X458" s="156"/>
      <c r="Y458" s="156"/>
      <c r="Z458" s="156"/>
    </row>
    <row r="459" spans="1:26" ht="39.950000000000003" customHeight="1">
      <c r="A459" s="2974" t="s">
        <v>406</v>
      </c>
      <c r="B459" s="2975"/>
      <c r="C459" s="3250">
        <f>報7!C459</f>
        <v>0</v>
      </c>
      <c r="D459" s="2507"/>
      <c r="E459" s="2508"/>
      <c r="F459" s="2974" t="s">
        <v>158</v>
      </c>
      <c r="G459" s="2975"/>
      <c r="H459" s="3250">
        <f>報7!H459</f>
        <v>0</v>
      </c>
      <c r="I459" s="2507"/>
      <c r="J459" s="2508"/>
      <c r="K459" s="2580"/>
      <c r="L459" s="2977"/>
      <c r="M459" s="2977"/>
      <c r="N459" s="2977"/>
      <c r="O459" s="2977"/>
      <c r="P459" s="156"/>
      <c r="W459" s="156"/>
      <c r="X459" s="156"/>
      <c r="Y459" s="156"/>
      <c r="Z459" s="156"/>
    </row>
    <row r="460" spans="1:26" ht="49.9" customHeight="1">
      <c r="A460" s="39"/>
      <c r="B460" s="39"/>
      <c r="C460" s="40"/>
      <c r="D460" s="41"/>
      <c r="E460" s="40"/>
      <c r="F460" s="42"/>
      <c r="P460" s="156"/>
      <c r="W460" s="156"/>
      <c r="X460" s="156"/>
      <c r="Y460" s="156"/>
      <c r="Z460" s="156"/>
    </row>
    <row r="461" spans="1:26" s="103" customFormat="1" ht="19.5" customHeight="1">
      <c r="A461" s="3251" t="s">
        <v>555</v>
      </c>
      <c r="B461" s="3252"/>
      <c r="C461" s="3252"/>
      <c r="D461" s="3252"/>
      <c r="E461" s="3252"/>
      <c r="F461" s="3252"/>
      <c r="G461" s="3252"/>
      <c r="H461" s="3252"/>
      <c r="I461" s="3252"/>
      <c r="J461" s="3252"/>
      <c r="K461" s="3252"/>
      <c r="L461" s="3252"/>
      <c r="M461" s="3252"/>
      <c r="N461" s="3252"/>
      <c r="O461" s="3252"/>
      <c r="P461" s="334"/>
      <c r="Q461" s="1243"/>
      <c r="R461" s="1243"/>
      <c r="S461" s="1243"/>
      <c r="T461" s="1243"/>
      <c r="U461" s="1243"/>
      <c r="V461" s="1243"/>
      <c r="W461" s="334"/>
      <c r="X461" s="334"/>
      <c r="Y461" s="334"/>
      <c r="Z461" s="334"/>
    </row>
    <row r="462" spans="1:26" ht="49.9" customHeight="1">
      <c r="A462" s="104"/>
      <c r="B462" s="39"/>
      <c r="E462" s="105"/>
      <c r="F462" s="105"/>
      <c r="G462" s="105"/>
      <c r="H462" s="105"/>
      <c r="I462" s="105"/>
      <c r="J462" s="105"/>
      <c r="K462" s="105"/>
      <c r="L462" s="105"/>
      <c r="M462" s="105"/>
      <c r="N462" s="105"/>
      <c r="O462" s="105"/>
      <c r="P462" s="156"/>
      <c r="W462" s="156"/>
      <c r="X462" s="156"/>
      <c r="Y462" s="156"/>
      <c r="Z462" s="156"/>
    </row>
    <row r="463" spans="1:26" ht="20.25" customHeight="1">
      <c r="A463" s="50" t="s">
        <v>554</v>
      </c>
      <c r="B463" s="30"/>
      <c r="C463" s="30"/>
      <c r="D463" s="30"/>
      <c r="E463" s="30"/>
      <c r="F463" s="30"/>
      <c r="G463" s="30"/>
      <c r="H463" s="30"/>
      <c r="I463" s="30"/>
      <c r="J463" s="30"/>
      <c r="K463" s="30"/>
      <c r="L463" s="6"/>
      <c r="M463" s="6"/>
      <c r="N463" s="6"/>
      <c r="O463" s="6"/>
      <c r="P463" s="156"/>
      <c r="W463" s="156"/>
      <c r="X463" s="156"/>
      <c r="Y463" s="156"/>
      <c r="Z463" s="156"/>
    </row>
    <row r="464" spans="1:26" ht="20.100000000000001" customHeight="1">
      <c r="A464" s="2654"/>
      <c r="B464" s="2655"/>
      <c r="C464" s="2673" t="s">
        <v>561</v>
      </c>
      <c r="D464" s="2674"/>
      <c r="E464" s="2674"/>
      <c r="F464" s="2674"/>
      <c r="G464" s="2674"/>
      <c r="H464" s="2675"/>
      <c r="I464" s="2673" t="s">
        <v>560</v>
      </c>
      <c r="J464" s="2674"/>
      <c r="K464" s="2674"/>
      <c r="L464" s="2674"/>
      <c r="M464" s="2674"/>
      <c r="N464" s="2674"/>
      <c r="O464" s="2675"/>
      <c r="P464" s="156"/>
      <c r="W464" s="156"/>
      <c r="X464" s="156"/>
      <c r="Y464" s="156"/>
      <c r="Z464" s="156"/>
    </row>
    <row r="465" spans="1:26" ht="22.15" customHeight="1">
      <c r="A465" s="3253" t="s">
        <v>122</v>
      </c>
      <c r="B465" s="3254"/>
      <c r="C465" s="3255" t="str">
        <f ca="1">参照元個別!E23</f>
        <v/>
      </c>
      <c r="D465" s="3256"/>
      <c r="E465" s="3256"/>
      <c r="F465" s="3256"/>
      <c r="G465" s="3047" t="s">
        <v>1265</v>
      </c>
      <c r="H465" s="2959"/>
      <c r="I465" s="3260" t="str">
        <f>報7!I465</f>
        <v/>
      </c>
      <c r="J465" s="3261"/>
      <c r="K465" s="3261"/>
      <c r="L465" s="3261"/>
      <c r="M465" s="3047" t="s">
        <v>4308</v>
      </c>
      <c r="N465" s="3047"/>
      <c r="O465" s="3264" t="str">
        <f>報7!N465</f>
        <v/>
      </c>
      <c r="P465" s="165"/>
      <c r="Q465" s="1244"/>
      <c r="W465" s="156"/>
      <c r="X465" s="156"/>
      <c r="Y465" s="156"/>
      <c r="Z465" s="156"/>
    </row>
    <row r="466" spans="1:26" ht="22.15" customHeight="1">
      <c r="A466" s="3097">
        <f>IF(計1!$D$28="","",計1!$D$28-1)</f>
        <v>2023</v>
      </c>
      <c r="B466" s="2655"/>
      <c r="C466" s="3257"/>
      <c r="D466" s="3258"/>
      <c r="E466" s="3258"/>
      <c r="F466" s="3258"/>
      <c r="G466" s="3076"/>
      <c r="H466" s="3259"/>
      <c r="I466" s="3262"/>
      <c r="J466" s="3263"/>
      <c r="K466" s="3263"/>
      <c r="L466" s="3263"/>
      <c r="M466" s="3048"/>
      <c r="N466" s="3048"/>
      <c r="O466" s="3265"/>
      <c r="P466" s="165"/>
      <c r="Q466" s="1244"/>
      <c r="W466" s="156"/>
      <c r="X466" s="156"/>
      <c r="Y466" s="156"/>
      <c r="Z466" s="156"/>
    </row>
    <row r="467" spans="1:26" ht="22.15" customHeight="1">
      <c r="A467" s="2633" t="s">
        <v>558</v>
      </c>
      <c r="B467" s="3065"/>
      <c r="C467" s="3216"/>
      <c r="D467" s="3217"/>
      <c r="E467" s="3217"/>
      <c r="F467" s="3217"/>
      <c r="G467" s="3047" t="s">
        <v>414</v>
      </c>
      <c r="H467" s="2959"/>
      <c r="I467" s="3221"/>
      <c r="J467" s="3222"/>
      <c r="K467" s="3222"/>
      <c r="L467" s="3222"/>
      <c r="M467" s="3047" t="s">
        <v>415</v>
      </c>
      <c r="N467" s="3047"/>
      <c r="O467" s="3225" t="str">
        <f>IF(O465="","",O465)</f>
        <v/>
      </c>
      <c r="P467" s="3229"/>
      <c r="Q467" s="3229"/>
      <c r="W467" s="156"/>
      <c r="X467" s="156"/>
      <c r="Y467" s="156"/>
      <c r="Z467" s="156"/>
    </row>
    <row r="468" spans="1:26" ht="22.15" customHeight="1">
      <c r="A468" s="3080">
        <f>IF(計1!$D$28="","",計1!$G$28)</f>
        <v>2026</v>
      </c>
      <c r="B468" s="3059"/>
      <c r="C468" s="3218"/>
      <c r="D468" s="3219"/>
      <c r="E468" s="3219"/>
      <c r="F468" s="3219"/>
      <c r="G468" s="3048"/>
      <c r="H468" s="3220"/>
      <c r="I468" s="3223"/>
      <c r="J468" s="3224"/>
      <c r="K468" s="3224"/>
      <c r="L468" s="3224"/>
      <c r="M468" s="3048"/>
      <c r="N468" s="3048"/>
      <c r="O468" s="3226"/>
      <c r="P468" s="3230"/>
      <c r="Q468" s="3231"/>
      <c r="W468" s="156"/>
      <c r="X468" s="357"/>
      <c r="Y468" s="156"/>
      <c r="Z468" s="156"/>
    </row>
    <row r="469" spans="1:26" ht="24.95" customHeight="1">
      <c r="A469" s="145"/>
      <c r="B469" s="146" t="s">
        <v>577</v>
      </c>
      <c r="C469" s="147"/>
      <c r="D469" s="3232" t="str">
        <f ca="1">IF(OR(C465=0,C467=""),"",INT((C465-C467)/C465*10000)/100)</f>
        <v/>
      </c>
      <c r="E469" s="3232"/>
      <c r="F469" s="3232"/>
      <c r="G469" s="3233" t="s">
        <v>134</v>
      </c>
      <c r="H469" s="3234"/>
      <c r="I469" s="148"/>
      <c r="J469" s="3235" t="str">
        <f>IF(OR(I465=0,I467=""),"",INT((I465-I467)/I465*10000)/100)</f>
        <v/>
      </c>
      <c r="K469" s="3235"/>
      <c r="L469" s="3235"/>
      <c r="M469" s="3232" t="s">
        <v>501</v>
      </c>
      <c r="N469" s="3232"/>
      <c r="O469" s="3236"/>
      <c r="P469" s="335"/>
      <c r="Q469" s="1245"/>
      <c r="W469" s="359"/>
      <c r="X469" s="359"/>
      <c r="Y469" s="359"/>
      <c r="Z469" s="156"/>
    </row>
    <row r="470" spans="1:26" ht="27.75" customHeight="1">
      <c r="A470" s="2672" t="s">
        <v>559</v>
      </c>
      <c r="B470" s="2635"/>
      <c r="C470" s="3240"/>
      <c r="D470" s="3241"/>
      <c r="E470" s="3241"/>
      <c r="F470" s="3241"/>
      <c r="G470" s="3241"/>
      <c r="H470" s="3241"/>
      <c r="I470" s="3241"/>
      <c r="J470" s="3241"/>
      <c r="K470" s="3241"/>
      <c r="L470" s="3241"/>
      <c r="M470" s="3241"/>
      <c r="N470" s="3241"/>
      <c r="O470" s="3242"/>
      <c r="P470" s="335"/>
      <c r="Q470" s="1245"/>
      <c r="R470" s="1246"/>
      <c r="W470" s="359"/>
      <c r="X470" s="359" t="s">
        <v>586</v>
      </c>
      <c r="Y470" s="359"/>
      <c r="Z470" s="156"/>
    </row>
    <row r="471" spans="1:26" ht="35.1" customHeight="1">
      <c r="A471" s="3237"/>
      <c r="B471" s="2648"/>
      <c r="C471" s="3243"/>
      <c r="D471" s="2941"/>
      <c r="E471" s="2941"/>
      <c r="F471" s="2941"/>
      <c r="G471" s="2941"/>
      <c r="H471" s="2941"/>
      <c r="I471" s="2941"/>
      <c r="J471" s="2941"/>
      <c r="K471" s="2941"/>
      <c r="L471" s="2941"/>
      <c r="M471" s="2941"/>
      <c r="N471" s="2941"/>
      <c r="O471" s="2942"/>
      <c r="P471" s="358"/>
      <c r="Q471" s="1247"/>
      <c r="R471" s="1248">
        <v>0</v>
      </c>
      <c r="W471" s="359"/>
      <c r="X471" s="360" t="s">
        <v>587</v>
      </c>
      <c r="Y471" s="359"/>
      <c r="Z471" s="156"/>
    </row>
    <row r="472" spans="1:26" ht="93" customHeight="1">
      <c r="A472" s="3238"/>
      <c r="B472" s="3239"/>
      <c r="C472" s="3244"/>
      <c r="D472" s="2943"/>
      <c r="E472" s="2943"/>
      <c r="F472" s="2943"/>
      <c r="G472" s="2943"/>
      <c r="H472" s="2943"/>
      <c r="I472" s="2943"/>
      <c r="J472" s="2943"/>
      <c r="K472" s="2943"/>
      <c r="L472" s="2943"/>
      <c r="M472" s="2943"/>
      <c r="N472" s="2943"/>
      <c r="O472" s="2944"/>
      <c r="P472" s="336"/>
      <c r="Q472" s="1249"/>
      <c r="W472" s="156"/>
      <c r="X472" s="156"/>
      <c r="Y472" s="156"/>
      <c r="Z472" s="156"/>
    </row>
    <row r="473" spans="1:26" ht="18" customHeight="1">
      <c r="A473" s="2831" t="s">
        <v>583</v>
      </c>
      <c r="B473" s="2831"/>
      <c r="C473" s="2831"/>
      <c r="D473" s="2831"/>
      <c r="E473" s="2831"/>
      <c r="F473" s="2831"/>
      <c r="G473" s="2831"/>
      <c r="H473" s="2831"/>
      <c r="I473" s="2831"/>
      <c r="J473" s="2831"/>
      <c r="K473" s="2831"/>
      <c r="L473" s="2831"/>
      <c r="M473" s="2831"/>
      <c r="N473" s="2831"/>
      <c r="O473" s="2831"/>
      <c r="P473" s="3227"/>
      <c r="Q473" s="3227"/>
      <c r="W473" s="156"/>
      <c r="X473" s="156"/>
      <c r="Y473" s="156"/>
      <c r="Z473" s="156"/>
    </row>
    <row r="474" spans="1:26" ht="9.75" customHeight="1">
      <c r="A474" s="89"/>
      <c r="B474" s="89"/>
      <c r="C474" s="106"/>
      <c r="D474" s="106"/>
      <c r="E474" s="106"/>
      <c r="F474" s="106"/>
      <c r="G474" s="106"/>
      <c r="H474" s="106"/>
      <c r="I474" s="106"/>
      <c r="J474" s="106"/>
      <c r="K474" s="106"/>
      <c r="L474" s="106"/>
      <c r="M474" s="106"/>
      <c r="N474" s="3228"/>
      <c r="O474" s="3228"/>
      <c r="P474" s="156"/>
      <c r="W474" s="156"/>
      <c r="X474" s="156"/>
      <c r="Y474" s="156"/>
      <c r="Z474" s="156"/>
    </row>
    <row r="475" spans="1:26">
      <c r="A475" s="156"/>
      <c r="B475" s="156"/>
      <c r="C475" s="156"/>
      <c r="D475" s="156"/>
      <c r="E475" s="156"/>
      <c r="F475" s="156"/>
      <c r="G475" s="156"/>
      <c r="H475" s="156"/>
      <c r="I475" s="156"/>
      <c r="J475" s="156"/>
      <c r="K475" s="156"/>
      <c r="L475" s="156"/>
      <c r="M475" s="156"/>
      <c r="N475" s="156"/>
      <c r="O475" s="156"/>
      <c r="P475" s="156"/>
      <c r="W475" s="156"/>
      <c r="X475" s="156"/>
      <c r="Y475" s="156"/>
      <c r="Z475" s="156"/>
    </row>
    <row r="476" spans="1:26">
      <c r="A476" s="1" t="s">
        <v>520</v>
      </c>
      <c r="B476" s="2"/>
      <c r="C476" s="2"/>
      <c r="D476" s="2"/>
      <c r="E476" s="2"/>
      <c r="F476" s="2"/>
      <c r="G476" s="2"/>
      <c r="H476" s="2"/>
      <c r="I476" s="2"/>
      <c r="J476" s="2"/>
      <c r="K476" s="2"/>
      <c r="L476" s="2"/>
      <c r="M476" s="2"/>
      <c r="N476" s="2"/>
      <c r="O476" s="2"/>
      <c r="P476" s="156" t="str">
        <f>"個別票"&amp;Q476</f>
        <v>個別票20</v>
      </c>
      <c r="Q476" s="1242">
        <f>Q451+1</f>
        <v>20</v>
      </c>
      <c r="W476" s="156"/>
      <c r="X476" s="156"/>
      <c r="Y476" s="156"/>
      <c r="Z476" s="156"/>
    </row>
    <row r="477" spans="1:26">
      <c r="A477" s="2" t="s">
        <v>557</v>
      </c>
      <c r="B477" s="4"/>
      <c r="C477" s="4"/>
      <c r="D477" s="4"/>
      <c r="E477" s="4"/>
      <c r="F477" s="4"/>
      <c r="G477" s="4"/>
      <c r="H477" s="4"/>
      <c r="I477" s="4"/>
      <c r="J477" s="4"/>
      <c r="K477" s="4"/>
      <c r="L477" s="4"/>
      <c r="M477" s="4"/>
      <c r="N477" s="2"/>
      <c r="O477" s="2"/>
      <c r="P477" s="156"/>
      <c r="W477" s="156"/>
      <c r="X477" s="156"/>
      <c r="Y477" s="156"/>
      <c r="Z477" s="156"/>
    </row>
    <row r="478" spans="1:26" ht="17.25">
      <c r="A478" s="2612" t="s">
        <v>556</v>
      </c>
      <c r="B478" s="2612"/>
      <c r="C478" s="2612"/>
      <c r="D478" s="2612"/>
      <c r="E478" s="2612"/>
      <c r="F478" s="2612"/>
      <c r="G478" s="2612"/>
      <c r="H478" s="2612"/>
      <c r="I478" s="2612"/>
      <c r="J478" s="2612"/>
      <c r="K478" s="2612"/>
      <c r="L478" s="2612"/>
      <c r="M478" s="2612"/>
      <c r="N478" s="2612"/>
      <c r="O478" s="2612"/>
      <c r="P478" s="156"/>
      <c r="W478" s="156"/>
      <c r="X478" s="156"/>
      <c r="Y478" s="156"/>
      <c r="Z478" s="156"/>
    </row>
    <row r="479" spans="1:26" ht="17.25">
      <c r="A479" s="38"/>
      <c r="B479" s="38"/>
      <c r="C479" s="38"/>
      <c r="D479" s="38"/>
      <c r="E479" s="38"/>
      <c r="F479" s="38"/>
      <c r="G479" s="38"/>
      <c r="H479" s="38"/>
      <c r="I479" s="38"/>
      <c r="J479" s="38"/>
      <c r="K479" s="38"/>
      <c r="L479" s="38"/>
      <c r="M479" s="38"/>
      <c r="N479" s="38"/>
      <c r="O479" s="38"/>
      <c r="P479" s="156"/>
      <c r="W479" s="156"/>
      <c r="X479" s="156"/>
      <c r="Y479" s="156"/>
      <c r="Z479" s="156"/>
    </row>
    <row r="480" spans="1:26" ht="18" customHeight="1">
      <c r="A480" s="48" t="s">
        <v>151</v>
      </c>
      <c r="B480" s="4"/>
      <c r="C480" s="4"/>
      <c r="D480" s="4"/>
      <c r="E480" s="4"/>
      <c r="F480" s="4"/>
      <c r="G480" s="4"/>
      <c r="H480" s="4"/>
      <c r="I480" s="4"/>
      <c r="J480" s="4"/>
      <c r="K480" s="4"/>
      <c r="L480" s="4"/>
      <c r="M480" s="4"/>
      <c r="N480" s="2"/>
      <c r="O480" s="2"/>
      <c r="P480" s="156"/>
      <c r="W480" s="156"/>
      <c r="X480" s="156"/>
      <c r="Y480" s="156"/>
      <c r="Z480" s="156"/>
    </row>
    <row r="481" spans="1:26" ht="39.950000000000003" customHeight="1">
      <c r="A481" s="2984" t="s">
        <v>152</v>
      </c>
      <c r="B481" s="2985"/>
      <c r="C481" s="2986"/>
      <c r="D481" s="2987" t="str">
        <f>報7!D481</f>
        <v>事業所名を入力20</v>
      </c>
      <c r="E481" s="2988"/>
      <c r="F481" s="2988"/>
      <c r="G481" s="2988"/>
      <c r="H481" s="2988"/>
      <c r="I481" s="2988"/>
      <c r="J481" s="2988"/>
      <c r="K481" s="2988"/>
      <c r="L481" s="2988"/>
      <c r="M481" s="2988"/>
      <c r="N481" s="2988"/>
      <c r="O481" s="2989"/>
      <c r="P481" s="156"/>
      <c r="W481" s="156"/>
      <c r="X481" s="156"/>
      <c r="Y481" s="156"/>
      <c r="Z481" s="156"/>
    </row>
    <row r="482" spans="1:26" ht="39.950000000000003" customHeight="1">
      <c r="A482" s="2570" t="s">
        <v>153</v>
      </c>
      <c r="B482" s="2571"/>
      <c r="C482" s="2990"/>
      <c r="D482" s="2573">
        <f>報7!D482</f>
        <v>0</v>
      </c>
      <c r="E482" s="2574"/>
      <c r="F482" s="2574"/>
      <c r="G482" s="2574"/>
      <c r="H482" s="2574"/>
      <c r="I482" s="2574"/>
      <c r="J482" s="2574"/>
      <c r="K482" s="2574"/>
      <c r="L482" s="2574"/>
      <c r="M482" s="2574"/>
      <c r="N482" s="2574"/>
      <c r="O482" s="2575"/>
      <c r="P482" s="156"/>
      <c r="W482" s="156"/>
      <c r="X482" s="156"/>
      <c r="Y482" s="156"/>
      <c r="Z482" s="156"/>
    </row>
    <row r="483" spans="1:26" ht="39.950000000000003" customHeight="1">
      <c r="A483" s="2536" t="s">
        <v>154</v>
      </c>
      <c r="B483" s="2978"/>
      <c r="C483" s="3245">
        <f>報7!C483</f>
        <v>0</v>
      </c>
      <c r="D483" s="3246"/>
      <c r="E483" s="101" t="s">
        <v>180</v>
      </c>
      <c r="F483" s="2974" t="s">
        <v>404</v>
      </c>
      <c r="G483" s="2975"/>
      <c r="H483" s="2981" t="str">
        <f ca="1">報7!H483</f>
        <v/>
      </c>
      <c r="I483" s="2982"/>
      <c r="J483" s="58" t="s">
        <v>176</v>
      </c>
      <c r="K483" s="2974" t="s">
        <v>405</v>
      </c>
      <c r="L483" s="2975"/>
      <c r="M483" s="3247">
        <f>報7!M483</f>
        <v>0</v>
      </c>
      <c r="N483" s="3248"/>
      <c r="O483" s="3249"/>
      <c r="P483" s="156" t="str">
        <f>IFERROR(VLOOKUP(M483,$U$6:$V$22,2,0),"")</f>
        <v/>
      </c>
      <c r="W483" s="156"/>
      <c r="X483" s="156"/>
      <c r="Y483" s="156"/>
      <c r="Z483" s="156"/>
    </row>
    <row r="484" spans="1:26" ht="39.950000000000003" customHeight="1">
      <c r="A484" s="2974" t="s">
        <v>406</v>
      </c>
      <c r="B484" s="2975"/>
      <c r="C484" s="3250">
        <f>報7!C484</f>
        <v>0</v>
      </c>
      <c r="D484" s="2507"/>
      <c r="E484" s="2508"/>
      <c r="F484" s="2974" t="s">
        <v>158</v>
      </c>
      <c r="G484" s="2975"/>
      <c r="H484" s="3250">
        <f>報7!H484</f>
        <v>0</v>
      </c>
      <c r="I484" s="2507"/>
      <c r="J484" s="2508"/>
      <c r="K484" s="2580"/>
      <c r="L484" s="2977"/>
      <c r="M484" s="2977"/>
      <c r="N484" s="2977"/>
      <c r="O484" s="2977"/>
      <c r="P484" s="156"/>
      <c r="W484" s="156"/>
      <c r="X484" s="156"/>
      <c r="Y484" s="156"/>
      <c r="Z484" s="156"/>
    </row>
    <row r="485" spans="1:26" ht="49.9" customHeight="1">
      <c r="A485" s="39"/>
      <c r="B485" s="39"/>
      <c r="C485" s="40"/>
      <c r="D485" s="41"/>
      <c r="E485" s="40"/>
      <c r="F485" s="42"/>
      <c r="P485" s="156"/>
      <c r="W485" s="156"/>
      <c r="X485" s="156"/>
      <c r="Y485" s="156"/>
      <c r="Z485" s="156"/>
    </row>
    <row r="486" spans="1:26" s="103" customFormat="1" ht="19.5" customHeight="1">
      <c r="A486" s="3251" t="s">
        <v>555</v>
      </c>
      <c r="B486" s="3252"/>
      <c r="C486" s="3252"/>
      <c r="D486" s="3252"/>
      <c r="E486" s="3252"/>
      <c r="F486" s="3252"/>
      <c r="G486" s="3252"/>
      <c r="H486" s="3252"/>
      <c r="I486" s="3252"/>
      <c r="J486" s="3252"/>
      <c r="K486" s="3252"/>
      <c r="L486" s="3252"/>
      <c r="M486" s="3252"/>
      <c r="N486" s="3252"/>
      <c r="O486" s="3252"/>
      <c r="P486" s="334"/>
      <c r="Q486" s="1243"/>
      <c r="R486" s="1243"/>
      <c r="S486" s="1243"/>
      <c r="T486" s="1243"/>
      <c r="U486" s="1243"/>
      <c r="V486" s="1243"/>
      <c r="W486" s="334"/>
      <c r="X486" s="334"/>
      <c r="Y486" s="334"/>
      <c r="Z486" s="334"/>
    </row>
    <row r="487" spans="1:26" ht="49.9" customHeight="1">
      <c r="A487" s="104"/>
      <c r="B487" s="39"/>
      <c r="E487" s="105"/>
      <c r="F487" s="105"/>
      <c r="G487" s="105"/>
      <c r="H487" s="105"/>
      <c r="I487" s="105"/>
      <c r="J487" s="105"/>
      <c r="K487" s="105"/>
      <c r="L487" s="105"/>
      <c r="M487" s="105"/>
      <c r="N487" s="105"/>
      <c r="O487" s="105"/>
      <c r="P487" s="156"/>
      <c r="W487" s="156"/>
      <c r="X487" s="156"/>
      <c r="Y487" s="156"/>
      <c r="Z487" s="156"/>
    </row>
    <row r="488" spans="1:26" ht="20.25" customHeight="1">
      <c r="A488" s="50" t="s">
        <v>554</v>
      </c>
      <c r="B488" s="30"/>
      <c r="C488" s="30"/>
      <c r="D488" s="30"/>
      <c r="E488" s="30"/>
      <c r="F488" s="30"/>
      <c r="G488" s="30"/>
      <c r="H488" s="30"/>
      <c r="I488" s="30"/>
      <c r="J488" s="30"/>
      <c r="K488" s="30"/>
      <c r="L488" s="6"/>
      <c r="M488" s="6"/>
      <c r="N488" s="6"/>
      <c r="O488" s="6"/>
      <c r="P488" s="156"/>
      <c r="W488" s="156"/>
      <c r="X488" s="156"/>
      <c r="Y488" s="156"/>
      <c r="Z488" s="156"/>
    </row>
    <row r="489" spans="1:26" ht="20.100000000000001" customHeight="1">
      <c r="A489" s="2654"/>
      <c r="B489" s="2655"/>
      <c r="C489" s="2673" t="s">
        <v>561</v>
      </c>
      <c r="D489" s="2674"/>
      <c r="E489" s="2674"/>
      <c r="F489" s="2674"/>
      <c r="G489" s="2674"/>
      <c r="H489" s="2675"/>
      <c r="I489" s="2673" t="s">
        <v>560</v>
      </c>
      <c r="J489" s="2674"/>
      <c r="K489" s="2674"/>
      <c r="L489" s="2674"/>
      <c r="M489" s="2674"/>
      <c r="N489" s="2674"/>
      <c r="O489" s="2675"/>
      <c r="P489" s="156"/>
      <c r="W489" s="156"/>
      <c r="X489" s="156"/>
      <c r="Y489" s="156"/>
      <c r="Z489" s="156"/>
    </row>
    <row r="490" spans="1:26" ht="22.15" customHeight="1">
      <c r="A490" s="3253" t="s">
        <v>122</v>
      </c>
      <c r="B490" s="3254"/>
      <c r="C490" s="3255" t="str">
        <f ca="1">参照元個別!E24</f>
        <v/>
      </c>
      <c r="D490" s="3256"/>
      <c r="E490" s="3256"/>
      <c r="F490" s="3256"/>
      <c r="G490" s="3047" t="s">
        <v>1265</v>
      </c>
      <c r="H490" s="2959"/>
      <c r="I490" s="3260" t="str">
        <f>報7!I490</f>
        <v/>
      </c>
      <c r="J490" s="3261"/>
      <c r="K490" s="3261"/>
      <c r="L490" s="3261"/>
      <c r="M490" s="3047" t="s">
        <v>4308</v>
      </c>
      <c r="N490" s="3047"/>
      <c r="O490" s="3264" t="str">
        <f>報7!N490</f>
        <v/>
      </c>
      <c r="P490" s="165"/>
      <c r="Q490" s="1244"/>
      <c r="W490" s="156"/>
      <c r="X490" s="156"/>
      <c r="Y490" s="156"/>
      <c r="Z490" s="156"/>
    </row>
    <row r="491" spans="1:26" ht="22.15" customHeight="1">
      <c r="A491" s="3097">
        <f>IF(計1!$D$28="","",計1!$D$28-1)</f>
        <v>2023</v>
      </c>
      <c r="B491" s="2655"/>
      <c r="C491" s="3257"/>
      <c r="D491" s="3258"/>
      <c r="E491" s="3258"/>
      <c r="F491" s="3258"/>
      <c r="G491" s="3076"/>
      <c r="H491" s="3259"/>
      <c r="I491" s="3262"/>
      <c r="J491" s="3263"/>
      <c r="K491" s="3263"/>
      <c r="L491" s="3263"/>
      <c r="M491" s="3048"/>
      <c r="N491" s="3048"/>
      <c r="O491" s="3265"/>
      <c r="P491" s="165"/>
      <c r="Q491" s="1244"/>
      <c r="W491" s="156"/>
      <c r="X491" s="156"/>
      <c r="Y491" s="156"/>
      <c r="Z491" s="156"/>
    </row>
    <row r="492" spans="1:26" ht="22.15" customHeight="1">
      <c r="A492" s="2633" t="s">
        <v>558</v>
      </c>
      <c r="B492" s="3065"/>
      <c r="C492" s="3216"/>
      <c r="D492" s="3217"/>
      <c r="E492" s="3217"/>
      <c r="F492" s="3217"/>
      <c r="G492" s="3047" t="s">
        <v>414</v>
      </c>
      <c r="H492" s="2959"/>
      <c r="I492" s="3221"/>
      <c r="J492" s="3222"/>
      <c r="K492" s="3222"/>
      <c r="L492" s="3222"/>
      <c r="M492" s="3047" t="s">
        <v>415</v>
      </c>
      <c r="N492" s="3047"/>
      <c r="O492" s="3225" t="str">
        <f>IF(O490="","",O490)</f>
        <v/>
      </c>
      <c r="P492" s="3229"/>
      <c r="Q492" s="3229"/>
      <c r="W492" s="156"/>
      <c r="X492" s="156"/>
      <c r="Y492" s="156"/>
      <c r="Z492" s="156"/>
    </row>
    <row r="493" spans="1:26" ht="22.15" customHeight="1">
      <c r="A493" s="3080">
        <f>IF(計1!$D$28="","",計1!$G$28)</f>
        <v>2026</v>
      </c>
      <c r="B493" s="3059"/>
      <c r="C493" s="3218"/>
      <c r="D493" s="3219"/>
      <c r="E493" s="3219"/>
      <c r="F493" s="3219"/>
      <c r="G493" s="3048"/>
      <c r="H493" s="3220"/>
      <c r="I493" s="3223"/>
      <c r="J493" s="3224"/>
      <c r="K493" s="3224"/>
      <c r="L493" s="3224"/>
      <c r="M493" s="3048"/>
      <c r="N493" s="3048"/>
      <c r="O493" s="3226"/>
      <c r="P493" s="3230"/>
      <c r="Q493" s="3231"/>
      <c r="W493" s="156"/>
      <c r="X493" s="357"/>
      <c r="Y493" s="156"/>
      <c r="Z493" s="156"/>
    </row>
    <row r="494" spans="1:26" ht="24.95" customHeight="1">
      <c r="A494" s="145"/>
      <c r="B494" s="146" t="s">
        <v>577</v>
      </c>
      <c r="C494" s="147"/>
      <c r="D494" s="3232" t="str">
        <f ca="1">IF(OR(C490=0,C492=""),"",INT((C490-C492)/C490*10000)/100)</f>
        <v/>
      </c>
      <c r="E494" s="3232"/>
      <c r="F494" s="3232"/>
      <c r="G494" s="3233" t="s">
        <v>134</v>
      </c>
      <c r="H494" s="3234"/>
      <c r="I494" s="148"/>
      <c r="J494" s="3235" t="str">
        <f>IF(OR(I490=0,I492=""),"",INT((I490-I492)/I490*10000)/100)</f>
        <v/>
      </c>
      <c r="K494" s="3235"/>
      <c r="L494" s="3235"/>
      <c r="M494" s="3232" t="s">
        <v>501</v>
      </c>
      <c r="N494" s="3232"/>
      <c r="O494" s="3236"/>
      <c r="P494" s="335"/>
      <c r="Q494" s="1245"/>
      <c r="W494" s="359"/>
      <c r="X494" s="359"/>
      <c r="Y494" s="359"/>
      <c r="Z494" s="156"/>
    </row>
    <row r="495" spans="1:26" ht="27.75" customHeight="1">
      <c r="A495" s="2672" t="s">
        <v>559</v>
      </c>
      <c r="B495" s="2635"/>
      <c r="C495" s="3240"/>
      <c r="D495" s="3241"/>
      <c r="E495" s="3241"/>
      <c r="F495" s="3241"/>
      <c r="G495" s="3241"/>
      <c r="H495" s="3241"/>
      <c r="I495" s="3241"/>
      <c r="J495" s="3241"/>
      <c r="K495" s="3241"/>
      <c r="L495" s="3241"/>
      <c r="M495" s="3241"/>
      <c r="N495" s="3241"/>
      <c r="O495" s="3242"/>
      <c r="P495" s="335"/>
      <c r="Q495" s="1245"/>
      <c r="R495" s="1246"/>
      <c r="W495" s="359"/>
      <c r="X495" s="359" t="s">
        <v>586</v>
      </c>
      <c r="Y495" s="359"/>
      <c r="Z495" s="156"/>
    </row>
    <row r="496" spans="1:26" ht="35.1" customHeight="1">
      <c r="A496" s="3237"/>
      <c r="B496" s="2648"/>
      <c r="C496" s="3243"/>
      <c r="D496" s="2941"/>
      <c r="E496" s="2941"/>
      <c r="F496" s="2941"/>
      <c r="G496" s="2941"/>
      <c r="H496" s="2941"/>
      <c r="I496" s="2941"/>
      <c r="J496" s="2941"/>
      <c r="K496" s="2941"/>
      <c r="L496" s="2941"/>
      <c r="M496" s="2941"/>
      <c r="N496" s="2941"/>
      <c r="O496" s="2942"/>
      <c r="P496" s="358"/>
      <c r="Q496" s="1247"/>
      <c r="R496" s="1248">
        <v>0</v>
      </c>
      <c r="W496" s="359"/>
      <c r="X496" s="360" t="s">
        <v>587</v>
      </c>
      <c r="Y496" s="359"/>
      <c r="Z496" s="156"/>
    </row>
    <row r="497" spans="1:26" ht="93" customHeight="1">
      <c r="A497" s="3238"/>
      <c r="B497" s="3239"/>
      <c r="C497" s="3244"/>
      <c r="D497" s="2943"/>
      <c r="E497" s="2943"/>
      <c r="F497" s="2943"/>
      <c r="G497" s="2943"/>
      <c r="H497" s="2943"/>
      <c r="I497" s="2943"/>
      <c r="J497" s="2943"/>
      <c r="K497" s="2943"/>
      <c r="L497" s="2943"/>
      <c r="M497" s="2943"/>
      <c r="N497" s="2943"/>
      <c r="O497" s="2944"/>
      <c r="P497" s="336"/>
      <c r="Q497" s="1249"/>
      <c r="W497" s="156"/>
      <c r="X497" s="156"/>
      <c r="Y497" s="156"/>
      <c r="Z497" s="156"/>
    </row>
    <row r="498" spans="1:26" ht="18" customHeight="1">
      <c r="A498" s="2831" t="s">
        <v>583</v>
      </c>
      <c r="B498" s="2831"/>
      <c r="C498" s="2831"/>
      <c r="D498" s="2831"/>
      <c r="E498" s="2831"/>
      <c r="F498" s="2831"/>
      <c r="G498" s="2831"/>
      <c r="H498" s="2831"/>
      <c r="I498" s="2831"/>
      <c r="J498" s="2831"/>
      <c r="K498" s="2831"/>
      <c r="L498" s="2831"/>
      <c r="M498" s="2831"/>
      <c r="N498" s="2831"/>
      <c r="O498" s="2831"/>
      <c r="P498" s="3227"/>
      <c r="Q498" s="3227"/>
      <c r="W498" s="156"/>
      <c r="X498" s="156"/>
      <c r="Y498" s="156"/>
      <c r="Z498" s="156"/>
    </row>
    <row r="499" spans="1:26" ht="9.75" customHeight="1">
      <c r="A499" s="89"/>
      <c r="B499" s="89"/>
      <c r="C499" s="106"/>
      <c r="D499" s="106"/>
      <c r="E499" s="106"/>
      <c r="F499" s="106"/>
      <c r="G499" s="106"/>
      <c r="H499" s="106"/>
      <c r="I499" s="106"/>
      <c r="J499" s="106"/>
      <c r="K499" s="106"/>
      <c r="L499" s="106"/>
      <c r="M499" s="106"/>
      <c r="N499" s="3228"/>
      <c r="O499" s="3228"/>
      <c r="P499" s="156"/>
      <c r="W499" s="156"/>
      <c r="X499" s="156"/>
      <c r="Y499" s="156"/>
      <c r="Z499" s="156"/>
    </row>
    <row r="500" spans="1:26">
      <c r="A500" s="156"/>
      <c r="B500" s="156"/>
      <c r="C500" s="156"/>
      <c r="D500" s="156"/>
      <c r="E500" s="156"/>
      <c r="F500" s="156"/>
      <c r="G500" s="156"/>
      <c r="H500" s="156"/>
      <c r="I500" s="156"/>
      <c r="J500" s="156"/>
      <c r="K500" s="156"/>
      <c r="L500" s="156"/>
      <c r="M500" s="156"/>
      <c r="N500" s="156"/>
      <c r="O500" s="156"/>
      <c r="P500" s="156"/>
      <c r="W500" s="156"/>
      <c r="X500" s="156"/>
      <c r="Y500" s="156"/>
      <c r="Z500" s="156"/>
    </row>
    <row r="501" spans="1:26">
      <c r="A501" s="1" t="s">
        <v>520</v>
      </c>
      <c r="B501" s="2"/>
      <c r="C501" s="2"/>
      <c r="D501" s="2"/>
      <c r="E501" s="2"/>
      <c r="F501" s="2"/>
      <c r="G501" s="2"/>
      <c r="H501" s="2"/>
      <c r="I501" s="2"/>
      <c r="J501" s="2"/>
      <c r="K501" s="2"/>
      <c r="L501" s="2"/>
      <c r="M501" s="2"/>
      <c r="N501" s="2"/>
      <c r="O501" s="2"/>
      <c r="P501" s="156" t="str">
        <f>"個別票"&amp;Q501</f>
        <v>個別票21</v>
      </c>
      <c r="Q501" s="1242">
        <f>Q476+1</f>
        <v>21</v>
      </c>
      <c r="W501" s="156"/>
      <c r="X501" s="156"/>
      <c r="Y501" s="156"/>
      <c r="Z501" s="156"/>
    </row>
    <row r="502" spans="1:26">
      <c r="A502" s="2" t="s">
        <v>557</v>
      </c>
      <c r="B502" s="4"/>
      <c r="C502" s="4"/>
      <c r="D502" s="4"/>
      <c r="E502" s="4"/>
      <c r="F502" s="4"/>
      <c r="G502" s="4"/>
      <c r="H502" s="4"/>
      <c r="I502" s="4"/>
      <c r="J502" s="4"/>
      <c r="K502" s="4"/>
      <c r="L502" s="4"/>
      <c r="M502" s="4"/>
      <c r="N502" s="2"/>
      <c r="O502" s="2"/>
      <c r="P502" s="156"/>
      <c r="W502" s="156"/>
      <c r="X502" s="156"/>
      <c r="Y502" s="156"/>
      <c r="Z502" s="156"/>
    </row>
    <row r="503" spans="1:26" ht="17.25">
      <c r="A503" s="2612" t="s">
        <v>556</v>
      </c>
      <c r="B503" s="2612"/>
      <c r="C503" s="2612"/>
      <c r="D503" s="2612"/>
      <c r="E503" s="2612"/>
      <c r="F503" s="2612"/>
      <c r="G503" s="2612"/>
      <c r="H503" s="2612"/>
      <c r="I503" s="2612"/>
      <c r="J503" s="2612"/>
      <c r="K503" s="2612"/>
      <c r="L503" s="2612"/>
      <c r="M503" s="2612"/>
      <c r="N503" s="2612"/>
      <c r="O503" s="2612"/>
      <c r="P503" s="156"/>
      <c r="W503" s="156"/>
      <c r="X503" s="156"/>
      <c r="Y503" s="156"/>
      <c r="Z503" s="156"/>
    </row>
    <row r="504" spans="1:26" ht="17.25">
      <c r="A504" s="38"/>
      <c r="B504" s="38"/>
      <c r="C504" s="38"/>
      <c r="D504" s="38"/>
      <c r="E504" s="38"/>
      <c r="F504" s="38"/>
      <c r="G504" s="38"/>
      <c r="H504" s="38"/>
      <c r="I504" s="38"/>
      <c r="J504" s="38"/>
      <c r="K504" s="38"/>
      <c r="L504" s="38"/>
      <c r="M504" s="38"/>
      <c r="N504" s="38"/>
      <c r="O504" s="38"/>
      <c r="P504" s="156"/>
      <c r="W504" s="156"/>
      <c r="X504" s="156"/>
      <c r="Y504" s="156"/>
      <c r="Z504" s="156"/>
    </row>
    <row r="505" spans="1:26" ht="18" customHeight="1">
      <c r="A505" s="48" t="s">
        <v>151</v>
      </c>
      <c r="B505" s="4"/>
      <c r="C505" s="4"/>
      <c r="D505" s="4"/>
      <c r="E505" s="4"/>
      <c r="F505" s="4"/>
      <c r="G505" s="4"/>
      <c r="H505" s="4"/>
      <c r="I505" s="4"/>
      <c r="J505" s="4"/>
      <c r="K505" s="4"/>
      <c r="L505" s="4"/>
      <c r="M505" s="4"/>
      <c r="N505" s="2"/>
      <c r="O505" s="2"/>
      <c r="P505" s="156"/>
      <c r="W505" s="156"/>
      <c r="X505" s="156"/>
      <c r="Y505" s="156"/>
      <c r="Z505" s="156"/>
    </row>
    <row r="506" spans="1:26" ht="39.950000000000003" customHeight="1">
      <c r="A506" s="2984" t="s">
        <v>152</v>
      </c>
      <c r="B506" s="2985"/>
      <c r="C506" s="2986"/>
      <c r="D506" s="2987" t="str">
        <f>報7!D506</f>
        <v>事業所名を入力21</v>
      </c>
      <c r="E506" s="2988"/>
      <c r="F506" s="2988"/>
      <c r="G506" s="2988"/>
      <c r="H506" s="2988"/>
      <c r="I506" s="2988"/>
      <c r="J506" s="2988"/>
      <c r="K506" s="2988"/>
      <c r="L506" s="2988"/>
      <c r="M506" s="2988"/>
      <c r="N506" s="2988"/>
      <c r="O506" s="2989"/>
      <c r="P506" s="156"/>
      <c r="W506" s="156"/>
      <c r="X506" s="156"/>
      <c r="Y506" s="156"/>
      <c r="Z506" s="156"/>
    </row>
    <row r="507" spans="1:26" ht="39.950000000000003" customHeight="1">
      <c r="A507" s="2570" t="s">
        <v>153</v>
      </c>
      <c r="B507" s="2571"/>
      <c r="C507" s="2990"/>
      <c r="D507" s="2573">
        <f>報7!D507</f>
        <v>0</v>
      </c>
      <c r="E507" s="2574"/>
      <c r="F507" s="2574"/>
      <c r="G507" s="2574"/>
      <c r="H507" s="2574"/>
      <c r="I507" s="2574"/>
      <c r="J507" s="2574"/>
      <c r="K507" s="2574"/>
      <c r="L507" s="2574"/>
      <c r="M507" s="2574"/>
      <c r="N507" s="2574"/>
      <c r="O507" s="2575"/>
      <c r="P507" s="156"/>
      <c r="W507" s="156"/>
      <c r="X507" s="156"/>
      <c r="Y507" s="156"/>
      <c r="Z507" s="156"/>
    </row>
    <row r="508" spans="1:26" ht="39.950000000000003" customHeight="1">
      <c r="A508" s="2536" t="s">
        <v>154</v>
      </c>
      <c r="B508" s="2978"/>
      <c r="C508" s="3245">
        <f>報7!C508</f>
        <v>0</v>
      </c>
      <c r="D508" s="3246"/>
      <c r="E508" s="101" t="s">
        <v>180</v>
      </c>
      <c r="F508" s="2974" t="s">
        <v>404</v>
      </c>
      <c r="G508" s="2975"/>
      <c r="H508" s="2981" t="str">
        <f ca="1">報7!H508</f>
        <v/>
      </c>
      <c r="I508" s="2982"/>
      <c r="J508" s="58" t="s">
        <v>176</v>
      </c>
      <c r="K508" s="2974" t="s">
        <v>405</v>
      </c>
      <c r="L508" s="2975"/>
      <c r="M508" s="3247">
        <f>報7!M508</f>
        <v>0</v>
      </c>
      <c r="N508" s="3248"/>
      <c r="O508" s="3249"/>
      <c r="P508" s="156" t="str">
        <f>IFERROR(VLOOKUP(M508,$U$6:$V$22,2,0),"")</f>
        <v/>
      </c>
      <c r="W508" s="156"/>
      <c r="X508" s="156"/>
      <c r="Y508" s="156"/>
      <c r="Z508" s="156"/>
    </row>
    <row r="509" spans="1:26" ht="39.950000000000003" customHeight="1">
      <c r="A509" s="2974" t="s">
        <v>406</v>
      </c>
      <c r="B509" s="2975"/>
      <c r="C509" s="3250">
        <f>報7!C509</f>
        <v>0</v>
      </c>
      <c r="D509" s="2507"/>
      <c r="E509" s="2508"/>
      <c r="F509" s="2974" t="s">
        <v>158</v>
      </c>
      <c r="G509" s="2975"/>
      <c r="H509" s="3250">
        <f>報7!H509</f>
        <v>0</v>
      </c>
      <c r="I509" s="2507"/>
      <c r="J509" s="2508"/>
      <c r="K509" s="2580"/>
      <c r="L509" s="2977"/>
      <c r="M509" s="2977"/>
      <c r="N509" s="2977"/>
      <c r="O509" s="2977"/>
      <c r="P509" s="156"/>
      <c r="W509" s="156"/>
      <c r="X509" s="156"/>
      <c r="Y509" s="156"/>
      <c r="Z509" s="156"/>
    </row>
    <row r="510" spans="1:26" ht="49.9" customHeight="1">
      <c r="A510" s="39"/>
      <c r="B510" s="39"/>
      <c r="C510" s="40"/>
      <c r="D510" s="41"/>
      <c r="E510" s="40"/>
      <c r="F510" s="42"/>
      <c r="P510" s="156"/>
      <c r="W510" s="156"/>
      <c r="X510" s="156"/>
      <c r="Y510" s="156"/>
      <c r="Z510" s="156"/>
    </row>
    <row r="511" spans="1:26" s="103" customFormat="1" ht="19.5" customHeight="1">
      <c r="A511" s="3251" t="s">
        <v>555</v>
      </c>
      <c r="B511" s="3252"/>
      <c r="C511" s="3252"/>
      <c r="D511" s="3252"/>
      <c r="E511" s="3252"/>
      <c r="F511" s="3252"/>
      <c r="G511" s="3252"/>
      <c r="H511" s="3252"/>
      <c r="I511" s="3252"/>
      <c r="J511" s="3252"/>
      <c r="K511" s="3252"/>
      <c r="L511" s="3252"/>
      <c r="M511" s="3252"/>
      <c r="N511" s="3252"/>
      <c r="O511" s="3252"/>
      <c r="P511" s="334"/>
      <c r="Q511" s="1243"/>
      <c r="R511" s="1243"/>
      <c r="S511" s="1243"/>
      <c r="T511" s="1243"/>
      <c r="U511" s="1243"/>
      <c r="V511" s="1243"/>
      <c r="W511" s="334"/>
      <c r="X511" s="334"/>
      <c r="Y511" s="334"/>
      <c r="Z511" s="334"/>
    </row>
    <row r="512" spans="1:26" ht="49.9" customHeight="1">
      <c r="A512" s="104"/>
      <c r="B512" s="39"/>
      <c r="E512" s="105"/>
      <c r="F512" s="105"/>
      <c r="G512" s="105"/>
      <c r="H512" s="105"/>
      <c r="I512" s="105"/>
      <c r="J512" s="105"/>
      <c r="K512" s="105"/>
      <c r="L512" s="105"/>
      <c r="M512" s="105"/>
      <c r="N512" s="105"/>
      <c r="O512" s="105"/>
      <c r="P512" s="156"/>
      <c r="W512" s="156"/>
      <c r="X512" s="156"/>
      <c r="Y512" s="156"/>
      <c r="Z512" s="156"/>
    </row>
    <row r="513" spans="1:26" ht="20.25" customHeight="1">
      <c r="A513" s="50" t="s">
        <v>554</v>
      </c>
      <c r="B513" s="30"/>
      <c r="C513" s="30"/>
      <c r="D513" s="30"/>
      <c r="E513" s="30"/>
      <c r="F513" s="30"/>
      <c r="G513" s="30"/>
      <c r="H513" s="30"/>
      <c r="I513" s="30"/>
      <c r="J513" s="30"/>
      <c r="K513" s="30"/>
      <c r="L513" s="6"/>
      <c r="M513" s="6"/>
      <c r="N513" s="6"/>
      <c r="O513" s="6"/>
      <c r="P513" s="156"/>
      <c r="W513" s="156"/>
      <c r="X513" s="156"/>
      <c r="Y513" s="156"/>
      <c r="Z513" s="156"/>
    </row>
    <row r="514" spans="1:26" ht="20.100000000000001" customHeight="1">
      <c r="A514" s="2654"/>
      <c r="B514" s="2655"/>
      <c r="C514" s="2673" t="s">
        <v>561</v>
      </c>
      <c r="D514" s="2674"/>
      <c r="E514" s="2674"/>
      <c r="F514" s="2674"/>
      <c r="G514" s="2674"/>
      <c r="H514" s="2675"/>
      <c r="I514" s="2673" t="s">
        <v>560</v>
      </c>
      <c r="J514" s="2674"/>
      <c r="K514" s="2674"/>
      <c r="L514" s="2674"/>
      <c r="M514" s="2674"/>
      <c r="N514" s="2674"/>
      <c r="O514" s="2675"/>
      <c r="P514" s="156"/>
      <c r="W514" s="156"/>
      <c r="X514" s="156"/>
      <c r="Y514" s="156"/>
      <c r="Z514" s="156"/>
    </row>
    <row r="515" spans="1:26" ht="22.15" customHeight="1">
      <c r="A515" s="3253" t="s">
        <v>122</v>
      </c>
      <c r="B515" s="3254"/>
      <c r="C515" s="3255" t="str">
        <f ca="1">参照元個別!E25</f>
        <v/>
      </c>
      <c r="D515" s="3256"/>
      <c r="E515" s="3256"/>
      <c r="F515" s="3256"/>
      <c r="G515" s="3047" t="s">
        <v>1265</v>
      </c>
      <c r="H515" s="2959"/>
      <c r="I515" s="3260" t="str">
        <f>報7!I515</f>
        <v/>
      </c>
      <c r="J515" s="3261"/>
      <c r="K515" s="3261"/>
      <c r="L515" s="3261"/>
      <c r="M515" s="3047" t="s">
        <v>4308</v>
      </c>
      <c r="N515" s="3047"/>
      <c r="O515" s="3264" t="str">
        <f>報7!N515</f>
        <v/>
      </c>
      <c r="P515" s="165"/>
      <c r="Q515" s="1244"/>
      <c r="W515" s="156"/>
      <c r="X515" s="156"/>
      <c r="Y515" s="156"/>
      <c r="Z515" s="156"/>
    </row>
    <row r="516" spans="1:26" ht="22.15" customHeight="1">
      <c r="A516" s="3097">
        <f>IF(計1!$D$28="","",計1!$D$28-1)</f>
        <v>2023</v>
      </c>
      <c r="B516" s="2655"/>
      <c r="C516" s="3257"/>
      <c r="D516" s="3258"/>
      <c r="E516" s="3258"/>
      <c r="F516" s="3258"/>
      <c r="G516" s="3076"/>
      <c r="H516" s="3259"/>
      <c r="I516" s="3262"/>
      <c r="J516" s="3263"/>
      <c r="K516" s="3263"/>
      <c r="L516" s="3263"/>
      <c r="M516" s="3048"/>
      <c r="N516" s="3048"/>
      <c r="O516" s="3265"/>
      <c r="P516" s="165"/>
      <c r="Q516" s="1244"/>
      <c r="W516" s="156"/>
      <c r="X516" s="156"/>
      <c r="Y516" s="156"/>
      <c r="Z516" s="156"/>
    </row>
    <row r="517" spans="1:26" ht="22.15" customHeight="1">
      <c r="A517" s="2633" t="s">
        <v>558</v>
      </c>
      <c r="B517" s="3065"/>
      <c r="C517" s="3216"/>
      <c r="D517" s="3217"/>
      <c r="E517" s="3217"/>
      <c r="F517" s="3217"/>
      <c r="G517" s="3047" t="s">
        <v>414</v>
      </c>
      <c r="H517" s="2959"/>
      <c r="I517" s="3221"/>
      <c r="J517" s="3222"/>
      <c r="K517" s="3222"/>
      <c r="L517" s="3222"/>
      <c r="M517" s="3047" t="s">
        <v>415</v>
      </c>
      <c r="N517" s="3047"/>
      <c r="O517" s="3225" t="str">
        <f>IF(O515="","",O515)</f>
        <v/>
      </c>
      <c r="P517" s="3229"/>
      <c r="Q517" s="3229"/>
      <c r="W517" s="156"/>
      <c r="X517" s="156"/>
      <c r="Y517" s="156"/>
      <c r="Z517" s="156"/>
    </row>
    <row r="518" spans="1:26" ht="22.15" customHeight="1">
      <c r="A518" s="3080">
        <f>IF(計1!$D$28="","",計1!$G$28)</f>
        <v>2026</v>
      </c>
      <c r="B518" s="3059"/>
      <c r="C518" s="3218"/>
      <c r="D518" s="3219"/>
      <c r="E518" s="3219"/>
      <c r="F518" s="3219"/>
      <c r="G518" s="3048"/>
      <c r="H518" s="3220"/>
      <c r="I518" s="3223"/>
      <c r="J518" s="3224"/>
      <c r="K518" s="3224"/>
      <c r="L518" s="3224"/>
      <c r="M518" s="3048"/>
      <c r="N518" s="3048"/>
      <c r="O518" s="3226"/>
      <c r="P518" s="3230"/>
      <c r="Q518" s="3231"/>
      <c r="W518" s="156"/>
      <c r="X518" s="357"/>
      <c r="Y518" s="156"/>
      <c r="Z518" s="156"/>
    </row>
    <row r="519" spans="1:26" ht="24.95" customHeight="1">
      <c r="A519" s="145"/>
      <c r="B519" s="146" t="s">
        <v>577</v>
      </c>
      <c r="C519" s="147"/>
      <c r="D519" s="3232" t="str">
        <f ca="1">IF(OR(C515=0,C517=""),"",INT((C515-C517)/C515*10000)/100)</f>
        <v/>
      </c>
      <c r="E519" s="3232"/>
      <c r="F519" s="3232"/>
      <c r="G519" s="3233" t="s">
        <v>134</v>
      </c>
      <c r="H519" s="3234"/>
      <c r="I519" s="148"/>
      <c r="J519" s="3235" t="str">
        <f>IF(OR(I515=0,I517=""),"",INT((I515-I517)/I515*10000)/100)</f>
        <v/>
      </c>
      <c r="K519" s="3235"/>
      <c r="L519" s="3235"/>
      <c r="M519" s="3232" t="s">
        <v>501</v>
      </c>
      <c r="N519" s="3232"/>
      <c r="O519" s="3236"/>
      <c r="P519" s="335"/>
      <c r="Q519" s="1245"/>
      <c r="W519" s="359"/>
      <c r="X519" s="359"/>
      <c r="Y519" s="359"/>
      <c r="Z519" s="156"/>
    </row>
    <row r="520" spans="1:26" ht="27.75" customHeight="1">
      <c r="A520" s="2672" t="s">
        <v>559</v>
      </c>
      <c r="B520" s="2635"/>
      <c r="C520" s="3240"/>
      <c r="D520" s="3241"/>
      <c r="E520" s="3241"/>
      <c r="F520" s="3241"/>
      <c r="G520" s="3241"/>
      <c r="H520" s="3241"/>
      <c r="I520" s="3241"/>
      <c r="J520" s="3241"/>
      <c r="K520" s="3241"/>
      <c r="L520" s="3241"/>
      <c r="M520" s="3241"/>
      <c r="N520" s="3241"/>
      <c r="O520" s="3242"/>
      <c r="P520" s="335"/>
      <c r="Q520" s="1245"/>
      <c r="R520" s="1246"/>
      <c r="W520" s="359"/>
      <c r="X520" s="359" t="s">
        <v>586</v>
      </c>
      <c r="Y520" s="359"/>
      <c r="Z520" s="156"/>
    </row>
    <row r="521" spans="1:26" ht="35.1" customHeight="1">
      <c r="A521" s="3237"/>
      <c r="B521" s="2648"/>
      <c r="C521" s="3243"/>
      <c r="D521" s="2941"/>
      <c r="E521" s="2941"/>
      <c r="F521" s="2941"/>
      <c r="G521" s="2941"/>
      <c r="H521" s="2941"/>
      <c r="I521" s="2941"/>
      <c r="J521" s="2941"/>
      <c r="K521" s="2941"/>
      <c r="L521" s="2941"/>
      <c r="M521" s="2941"/>
      <c r="N521" s="2941"/>
      <c r="O521" s="2942"/>
      <c r="P521" s="358"/>
      <c r="Q521" s="1247"/>
      <c r="R521" s="1248">
        <v>0</v>
      </c>
      <c r="W521" s="359"/>
      <c r="X521" s="360" t="s">
        <v>587</v>
      </c>
      <c r="Y521" s="359"/>
      <c r="Z521" s="156"/>
    </row>
    <row r="522" spans="1:26" ht="93" customHeight="1">
      <c r="A522" s="3238"/>
      <c r="B522" s="3239"/>
      <c r="C522" s="3244"/>
      <c r="D522" s="2943"/>
      <c r="E522" s="2943"/>
      <c r="F522" s="2943"/>
      <c r="G522" s="2943"/>
      <c r="H522" s="2943"/>
      <c r="I522" s="2943"/>
      <c r="J522" s="2943"/>
      <c r="K522" s="2943"/>
      <c r="L522" s="2943"/>
      <c r="M522" s="2943"/>
      <c r="N522" s="2943"/>
      <c r="O522" s="2944"/>
      <c r="P522" s="336"/>
      <c r="Q522" s="1249"/>
      <c r="W522" s="156"/>
      <c r="X522" s="156"/>
      <c r="Y522" s="156"/>
      <c r="Z522" s="156"/>
    </row>
    <row r="523" spans="1:26" ht="18" customHeight="1">
      <c r="A523" s="2831" t="s">
        <v>583</v>
      </c>
      <c r="B523" s="2831"/>
      <c r="C523" s="2831"/>
      <c r="D523" s="2831"/>
      <c r="E523" s="2831"/>
      <c r="F523" s="2831"/>
      <c r="G523" s="2831"/>
      <c r="H523" s="2831"/>
      <c r="I523" s="2831"/>
      <c r="J523" s="2831"/>
      <c r="K523" s="2831"/>
      <c r="L523" s="2831"/>
      <c r="M523" s="2831"/>
      <c r="N523" s="2831"/>
      <c r="O523" s="2831"/>
      <c r="P523" s="3227"/>
      <c r="Q523" s="3227"/>
      <c r="W523" s="156"/>
      <c r="X523" s="156"/>
      <c r="Y523" s="156"/>
      <c r="Z523" s="156"/>
    </row>
    <row r="524" spans="1:26" ht="9.75" customHeight="1">
      <c r="A524" s="89"/>
      <c r="B524" s="89"/>
      <c r="C524" s="106"/>
      <c r="D524" s="106"/>
      <c r="E524" s="106"/>
      <c r="F524" s="106"/>
      <c r="G524" s="106"/>
      <c r="H524" s="106"/>
      <c r="I524" s="106"/>
      <c r="J524" s="106"/>
      <c r="K524" s="106"/>
      <c r="L524" s="106"/>
      <c r="M524" s="106"/>
      <c r="N524" s="3228"/>
      <c r="O524" s="3228"/>
      <c r="P524" s="156"/>
      <c r="W524" s="156"/>
      <c r="X524" s="156"/>
      <c r="Y524" s="156"/>
      <c r="Z524" s="156"/>
    </row>
    <row r="525" spans="1:26">
      <c r="A525" s="156"/>
      <c r="B525" s="156"/>
      <c r="C525" s="156"/>
      <c r="D525" s="156"/>
      <c r="E525" s="156"/>
      <c r="F525" s="156"/>
      <c r="G525" s="156"/>
      <c r="H525" s="156"/>
      <c r="I525" s="156"/>
      <c r="J525" s="156"/>
      <c r="K525" s="156"/>
      <c r="L525" s="156"/>
      <c r="M525" s="156"/>
      <c r="N525" s="156"/>
      <c r="O525" s="156"/>
      <c r="P525" s="156"/>
      <c r="W525" s="156"/>
      <c r="X525" s="156"/>
      <c r="Y525" s="156"/>
      <c r="Z525" s="156"/>
    </row>
    <row r="526" spans="1:26">
      <c r="A526" s="1" t="s">
        <v>520</v>
      </c>
      <c r="B526" s="2"/>
      <c r="C526" s="2"/>
      <c r="D526" s="2"/>
      <c r="E526" s="2"/>
      <c r="F526" s="2"/>
      <c r="G526" s="2"/>
      <c r="H526" s="2"/>
      <c r="I526" s="2"/>
      <c r="J526" s="2"/>
      <c r="K526" s="2"/>
      <c r="L526" s="2"/>
      <c r="M526" s="2"/>
      <c r="N526" s="2"/>
      <c r="O526" s="2"/>
      <c r="P526" s="156" t="str">
        <f>"個別票"&amp;Q526</f>
        <v>個別票22</v>
      </c>
      <c r="Q526" s="1242">
        <f>Q501+1</f>
        <v>22</v>
      </c>
      <c r="W526" s="156"/>
      <c r="X526" s="156"/>
      <c r="Y526" s="156"/>
      <c r="Z526" s="156"/>
    </row>
    <row r="527" spans="1:26">
      <c r="A527" s="2" t="s">
        <v>557</v>
      </c>
      <c r="B527" s="4"/>
      <c r="C527" s="4"/>
      <c r="D527" s="4"/>
      <c r="E527" s="4"/>
      <c r="F527" s="4"/>
      <c r="G527" s="4"/>
      <c r="H527" s="4"/>
      <c r="I527" s="4"/>
      <c r="J527" s="4"/>
      <c r="K527" s="4"/>
      <c r="L527" s="4"/>
      <c r="M527" s="4"/>
      <c r="N527" s="2"/>
      <c r="O527" s="2"/>
      <c r="P527" s="156"/>
      <c r="W527" s="156"/>
      <c r="X527" s="156"/>
      <c r="Y527" s="156"/>
      <c r="Z527" s="156"/>
    </row>
    <row r="528" spans="1:26" ht="17.25">
      <c r="A528" s="2612" t="s">
        <v>556</v>
      </c>
      <c r="B528" s="2612"/>
      <c r="C528" s="2612"/>
      <c r="D528" s="2612"/>
      <c r="E528" s="2612"/>
      <c r="F528" s="2612"/>
      <c r="G528" s="2612"/>
      <c r="H528" s="2612"/>
      <c r="I528" s="2612"/>
      <c r="J528" s="2612"/>
      <c r="K528" s="2612"/>
      <c r="L528" s="2612"/>
      <c r="M528" s="2612"/>
      <c r="N528" s="2612"/>
      <c r="O528" s="2612"/>
      <c r="P528" s="156"/>
      <c r="W528" s="156"/>
      <c r="X528" s="156"/>
      <c r="Y528" s="156"/>
      <c r="Z528" s="156"/>
    </row>
    <row r="529" spans="1:26" ht="17.25">
      <c r="A529" s="38"/>
      <c r="B529" s="38"/>
      <c r="C529" s="38"/>
      <c r="D529" s="38"/>
      <c r="E529" s="38"/>
      <c r="F529" s="38"/>
      <c r="G529" s="38"/>
      <c r="H529" s="38"/>
      <c r="I529" s="38"/>
      <c r="J529" s="38"/>
      <c r="K529" s="38"/>
      <c r="L529" s="38"/>
      <c r="M529" s="38"/>
      <c r="N529" s="38"/>
      <c r="O529" s="38"/>
      <c r="P529" s="156"/>
      <c r="W529" s="156"/>
      <c r="X529" s="156"/>
      <c r="Y529" s="156"/>
      <c r="Z529" s="156"/>
    </row>
    <row r="530" spans="1:26" ht="18" customHeight="1">
      <c r="A530" s="48" t="s">
        <v>151</v>
      </c>
      <c r="B530" s="4"/>
      <c r="C530" s="4"/>
      <c r="D530" s="4"/>
      <c r="E530" s="4"/>
      <c r="F530" s="4"/>
      <c r="G530" s="4"/>
      <c r="H530" s="4"/>
      <c r="I530" s="4"/>
      <c r="J530" s="4"/>
      <c r="K530" s="4"/>
      <c r="L530" s="4"/>
      <c r="M530" s="4"/>
      <c r="N530" s="2"/>
      <c r="O530" s="2"/>
      <c r="P530" s="156"/>
      <c r="W530" s="156"/>
      <c r="X530" s="156"/>
      <c r="Y530" s="156"/>
      <c r="Z530" s="156"/>
    </row>
    <row r="531" spans="1:26" ht="39.950000000000003" customHeight="1">
      <c r="A531" s="2984" t="s">
        <v>152</v>
      </c>
      <c r="B531" s="2985"/>
      <c r="C531" s="2986"/>
      <c r="D531" s="2987" t="str">
        <f>報7!D531</f>
        <v>事業所名を入力22</v>
      </c>
      <c r="E531" s="2988"/>
      <c r="F531" s="2988"/>
      <c r="G531" s="2988"/>
      <c r="H531" s="2988"/>
      <c r="I531" s="2988"/>
      <c r="J531" s="2988"/>
      <c r="K531" s="2988"/>
      <c r="L531" s="2988"/>
      <c r="M531" s="2988"/>
      <c r="N531" s="2988"/>
      <c r="O531" s="2989"/>
      <c r="P531" s="156"/>
      <c r="W531" s="156"/>
      <c r="X531" s="156"/>
      <c r="Y531" s="156"/>
      <c r="Z531" s="156"/>
    </row>
    <row r="532" spans="1:26" ht="39.950000000000003" customHeight="1">
      <c r="A532" s="2570" t="s">
        <v>153</v>
      </c>
      <c r="B532" s="2571"/>
      <c r="C532" s="2990"/>
      <c r="D532" s="2573">
        <f>報7!D532</f>
        <v>0</v>
      </c>
      <c r="E532" s="2574"/>
      <c r="F532" s="2574"/>
      <c r="G532" s="2574"/>
      <c r="H532" s="2574"/>
      <c r="I532" s="2574"/>
      <c r="J532" s="2574"/>
      <c r="K532" s="2574"/>
      <c r="L532" s="2574"/>
      <c r="M532" s="2574"/>
      <c r="N532" s="2574"/>
      <c r="O532" s="2575"/>
      <c r="P532" s="156"/>
      <c r="W532" s="156"/>
      <c r="X532" s="156"/>
      <c r="Y532" s="156"/>
      <c r="Z532" s="156"/>
    </row>
    <row r="533" spans="1:26" ht="39.950000000000003" customHeight="1">
      <c r="A533" s="2536" t="s">
        <v>154</v>
      </c>
      <c r="B533" s="2978"/>
      <c r="C533" s="3245">
        <f>報7!C533</f>
        <v>0</v>
      </c>
      <c r="D533" s="3246"/>
      <c r="E533" s="101" t="s">
        <v>180</v>
      </c>
      <c r="F533" s="2974" t="s">
        <v>404</v>
      </c>
      <c r="G533" s="2975"/>
      <c r="H533" s="2981" t="str">
        <f ca="1">報7!H533</f>
        <v/>
      </c>
      <c r="I533" s="2982"/>
      <c r="J533" s="58" t="s">
        <v>176</v>
      </c>
      <c r="K533" s="2974" t="s">
        <v>405</v>
      </c>
      <c r="L533" s="2975"/>
      <c r="M533" s="3247">
        <f>報7!M533</f>
        <v>0</v>
      </c>
      <c r="N533" s="3248"/>
      <c r="O533" s="3249"/>
      <c r="P533" s="156" t="str">
        <f>IFERROR(VLOOKUP(M533,$U$6:$V$22,2,0),"")</f>
        <v/>
      </c>
      <c r="W533" s="156"/>
      <c r="X533" s="156"/>
      <c r="Y533" s="156"/>
      <c r="Z533" s="156"/>
    </row>
    <row r="534" spans="1:26" ht="39.950000000000003" customHeight="1">
      <c r="A534" s="2974" t="s">
        <v>406</v>
      </c>
      <c r="B534" s="2975"/>
      <c r="C534" s="3250">
        <f>報7!C534</f>
        <v>0</v>
      </c>
      <c r="D534" s="2507"/>
      <c r="E534" s="2508"/>
      <c r="F534" s="2974" t="s">
        <v>158</v>
      </c>
      <c r="G534" s="2975"/>
      <c r="H534" s="3250">
        <f>報7!H534</f>
        <v>0</v>
      </c>
      <c r="I534" s="2507"/>
      <c r="J534" s="2508"/>
      <c r="K534" s="2580"/>
      <c r="L534" s="2977"/>
      <c r="M534" s="2977"/>
      <c r="N534" s="2977"/>
      <c r="O534" s="2977"/>
      <c r="P534" s="156"/>
      <c r="W534" s="156"/>
      <c r="X534" s="156"/>
      <c r="Y534" s="156"/>
      <c r="Z534" s="156"/>
    </row>
    <row r="535" spans="1:26" ht="49.9" customHeight="1">
      <c r="A535" s="39"/>
      <c r="B535" s="39"/>
      <c r="C535" s="40"/>
      <c r="D535" s="41"/>
      <c r="E535" s="40"/>
      <c r="F535" s="42"/>
      <c r="P535" s="156"/>
      <c r="W535" s="156"/>
      <c r="X535" s="156"/>
      <c r="Y535" s="156"/>
      <c r="Z535" s="156"/>
    </row>
    <row r="536" spans="1:26" s="103" customFormat="1" ht="19.5" customHeight="1">
      <c r="A536" s="3251" t="s">
        <v>555</v>
      </c>
      <c r="B536" s="3252"/>
      <c r="C536" s="3252"/>
      <c r="D536" s="3252"/>
      <c r="E536" s="3252"/>
      <c r="F536" s="3252"/>
      <c r="G536" s="3252"/>
      <c r="H536" s="3252"/>
      <c r="I536" s="3252"/>
      <c r="J536" s="3252"/>
      <c r="K536" s="3252"/>
      <c r="L536" s="3252"/>
      <c r="M536" s="3252"/>
      <c r="N536" s="3252"/>
      <c r="O536" s="3252"/>
      <c r="P536" s="334"/>
      <c r="Q536" s="1243"/>
      <c r="R536" s="1243"/>
      <c r="S536" s="1243"/>
      <c r="T536" s="1243"/>
      <c r="U536" s="1243"/>
      <c r="V536" s="1243"/>
      <c r="W536" s="334"/>
      <c r="X536" s="334"/>
      <c r="Y536" s="334"/>
      <c r="Z536" s="334"/>
    </row>
    <row r="537" spans="1:26" ht="49.9" customHeight="1">
      <c r="A537" s="104"/>
      <c r="B537" s="39"/>
      <c r="E537" s="105"/>
      <c r="F537" s="105"/>
      <c r="G537" s="105"/>
      <c r="H537" s="105"/>
      <c r="I537" s="105"/>
      <c r="J537" s="105"/>
      <c r="K537" s="105"/>
      <c r="L537" s="105"/>
      <c r="M537" s="105"/>
      <c r="N537" s="105"/>
      <c r="O537" s="105"/>
      <c r="P537" s="156"/>
      <c r="W537" s="156"/>
      <c r="X537" s="156"/>
      <c r="Y537" s="156"/>
      <c r="Z537" s="156"/>
    </row>
    <row r="538" spans="1:26" ht="20.25" customHeight="1">
      <c r="A538" s="50" t="s">
        <v>554</v>
      </c>
      <c r="B538" s="30"/>
      <c r="C538" s="30"/>
      <c r="D538" s="30"/>
      <c r="E538" s="30"/>
      <c r="F538" s="30"/>
      <c r="G538" s="30"/>
      <c r="H538" s="30"/>
      <c r="I538" s="30"/>
      <c r="J538" s="30"/>
      <c r="K538" s="30"/>
      <c r="L538" s="6"/>
      <c r="M538" s="6"/>
      <c r="N538" s="6"/>
      <c r="O538" s="6"/>
      <c r="P538" s="156"/>
      <c r="W538" s="156"/>
      <c r="X538" s="156"/>
      <c r="Y538" s="156"/>
      <c r="Z538" s="156"/>
    </row>
    <row r="539" spans="1:26" ht="20.100000000000001" customHeight="1">
      <c r="A539" s="2654"/>
      <c r="B539" s="2655"/>
      <c r="C539" s="2673" t="s">
        <v>561</v>
      </c>
      <c r="D539" s="2674"/>
      <c r="E539" s="2674"/>
      <c r="F539" s="2674"/>
      <c r="G539" s="2674"/>
      <c r="H539" s="2675"/>
      <c r="I539" s="2673" t="s">
        <v>560</v>
      </c>
      <c r="J539" s="2674"/>
      <c r="K539" s="2674"/>
      <c r="L539" s="2674"/>
      <c r="M539" s="2674"/>
      <c r="N539" s="2674"/>
      <c r="O539" s="2675"/>
      <c r="P539" s="156"/>
      <c r="W539" s="156"/>
      <c r="X539" s="156"/>
      <c r="Y539" s="156"/>
      <c r="Z539" s="156"/>
    </row>
    <row r="540" spans="1:26" ht="22.15" customHeight="1">
      <c r="A540" s="3253" t="s">
        <v>122</v>
      </c>
      <c r="B540" s="3254"/>
      <c r="C540" s="3255" t="str">
        <f ca="1">参照元個別!E26</f>
        <v/>
      </c>
      <c r="D540" s="3256"/>
      <c r="E540" s="3256"/>
      <c r="F540" s="3256"/>
      <c r="G540" s="3047" t="s">
        <v>1265</v>
      </c>
      <c r="H540" s="2959"/>
      <c r="I540" s="3260" t="str">
        <f>報7!I540</f>
        <v/>
      </c>
      <c r="J540" s="3261"/>
      <c r="K540" s="3261"/>
      <c r="L540" s="3261"/>
      <c r="M540" s="3047" t="s">
        <v>4308</v>
      </c>
      <c r="N540" s="3047"/>
      <c r="O540" s="3264" t="str">
        <f>報7!N540</f>
        <v/>
      </c>
      <c r="P540" s="165"/>
      <c r="Q540" s="1244"/>
      <c r="W540" s="156"/>
      <c r="X540" s="156"/>
      <c r="Y540" s="156"/>
      <c r="Z540" s="156"/>
    </row>
    <row r="541" spans="1:26" ht="22.15" customHeight="1">
      <c r="A541" s="3097">
        <f>IF(計1!$D$28="","",計1!$D$28-1)</f>
        <v>2023</v>
      </c>
      <c r="B541" s="2655"/>
      <c r="C541" s="3257"/>
      <c r="D541" s="3258"/>
      <c r="E541" s="3258"/>
      <c r="F541" s="3258"/>
      <c r="G541" s="3076"/>
      <c r="H541" s="3259"/>
      <c r="I541" s="3262"/>
      <c r="J541" s="3263"/>
      <c r="K541" s="3263"/>
      <c r="L541" s="3263"/>
      <c r="M541" s="3048"/>
      <c r="N541" s="3048"/>
      <c r="O541" s="3265"/>
      <c r="P541" s="165"/>
      <c r="Q541" s="1244"/>
      <c r="W541" s="156"/>
      <c r="X541" s="156"/>
      <c r="Y541" s="156"/>
      <c r="Z541" s="156"/>
    </row>
    <row r="542" spans="1:26" ht="22.15" customHeight="1">
      <c r="A542" s="2633" t="s">
        <v>558</v>
      </c>
      <c r="B542" s="3065"/>
      <c r="C542" s="3216"/>
      <c r="D542" s="3217"/>
      <c r="E542" s="3217"/>
      <c r="F542" s="3217"/>
      <c r="G542" s="3047" t="s">
        <v>414</v>
      </c>
      <c r="H542" s="2959"/>
      <c r="I542" s="3221"/>
      <c r="J542" s="3222"/>
      <c r="K542" s="3222"/>
      <c r="L542" s="3222"/>
      <c r="M542" s="3047" t="s">
        <v>415</v>
      </c>
      <c r="N542" s="3047"/>
      <c r="O542" s="3225" t="str">
        <f>IF(O540="","",O540)</f>
        <v/>
      </c>
      <c r="P542" s="3229"/>
      <c r="Q542" s="3229"/>
      <c r="W542" s="156"/>
      <c r="X542" s="156"/>
      <c r="Y542" s="156"/>
      <c r="Z542" s="156"/>
    </row>
    <row r="543" spans="1:26" ht="22.15" customHeight="1">
      <c r="A543" s="3080">
        <f>IF(計1!$D$28="","",計1!$G$28)</f>
        <v>2026</v>
      </c>
      <c r="B543" s="3059"/>
      <c r="C543" s="3218"/>
      <c r="D543" s="3219"/>
      <c r="E543" s="3219"/>
      <c r="F543" s="3219"/>
      <c r="G543" s="3048"/>
      <c r="H543" s="3220"/>
      <c r="I543" s="3223"/>
      <c r="J543" s="3224"/>
      <c r="K543" s="3224"/>
      <c r="L543" s="3224"/>
      <c r="M543" s="3048"/>
      <c r="N543" s="3048"/>
      <c r="O543" s="3226"/>
      <c r="P543" s="3230"/>
      <c r="Q543" s="3231"/>
      <c r="W543" s="156"/>
      <c r="X543" s="357"/>
      <c r="Y543" s="156"/>
      <c r="Z543" s="156"/>
    </row>
    <row r="544" spans="1:26" ht="24.95" customHeight="1">
      <c r="A544" s="145"/>
      <c r="B544" s="146" t="s">
        <v>577</v>
      </c>
      <c r="C544" s="147"/>
      <c r="D544" s="3232" t="str">
        <f ca="1">IF(OR(C540=0,C542=""),"",INT((C540-C542)/C540*10000)/100)</f>
        <v/>
      </c>
      <c r="E544" s="3232"/>
      <c r="F544" s="3232"/>
      <c r="G544" s="3233" t="s">
        <v>134</v>
      </c>
      <c r="H544" s="3234"/>
      <c r="I544" s="148"/>
      <c r="J544" s="3235" t="str">
        <f>IF(OR(I540=0,I542=""),"",INT((I540-I542)/I540*10000)/100)</f>
        <v/>
      </c>
      <c r="K544" s="3235"/>
      <c r="L544" s="3235"/>
      <c r="M544" s="3232" t="s">
        <v>501</v>
      </c>
      <c r="N544" s="3232"/>
      <c r="O544" s="3236"/>
      <c r="P544" s="335"/>
      <c r="Q544" s="1245"/>
      <c r="W544" s="359"/>
      <c r="X544" s="359"/>
      <c r="Y544" s="359"/>
      <c r="Z544" s="156"/>
    </row>
    <row r="545" spans="1:26" ht="27.75" customHeight="1">
      <c r="A545" s="2672" t="s">
        <v>559</v>
      </c>
      <c r="B545" s="2635"/>
      <c r="C545" s="3240"/>
      <c r="D545" s="3241"/>
      <c r="E545" s="3241"/>
      <c r="F545" s="3241"/>
      <c r="G545" s="3241"/>
      <c r="H545" s="3241"/>
      <c r="I545" s="3241"/>
      <c r="J545" s="3241"/>
      <c r="K545" s="3241"/>
      <c r="L545" s="3241"/>
      <c r="M545" s="3241"/>
      <c r="N545" s="3241"/>
      <c r="O545" s="3242"/>
      <c r="P545" s="335"/>
      <c r="Q545" s="1245"/>
      <c r="R545" s="1246"/>
      <c r="W545" s="359"/>
      <c r="X545" s="359" t="s">
        <v>586</v>
      </c>
      <c r="Y545" s="359"/>
      <c r="Z545" s="156"/>
    </row>
    <row r="546" spans="1:26" ht="35.1" customHeight="1">
      <c r="A546" s="3237"/>
      <c r="B546" s="2648"/>
      <c r="C546" s="3243"/>
      <c r="D546" s="2941"/>
      <c r="E546" s="2941"/>
      <c r="F546" s="2941"/>
      <c r="G546" s="2941"/>
      <c r="H546" s="2941"/>
      <c r="I546" s="2941"/>
      <c r="J546" s="2941"/>
      <c r="K546" s="2941"/>
      <c r="L546" s="2941"/>
      <c r="M546" s="2941"/>
      <c r="N546" s="2941"/>
      <c r="O546" s="2942"/>
      <c r="P546" s="358"/>
      <c r="Q546" s="1247"/>
      <c r="R546" s="1248">
        <v>0</v>
      </c>
      <c r="W546" s="359"/>
      <c r="X546" s="360" t="s">
        <v>587</v>
      </c>
      <c r="Y546" s="359"/>
      <c r="Z546" s="156"/>
    </row>
    <row r="547" spans="1:26" ht="93" customHeight="1">
      <c r="A547" s="3238"/>
      <c r="B547" s="3239"/>
      <c r="C547" s="3244"/>
      <c r="D547" s="2943"/>
      <c r="E547" s="2943"/>
      <c r="F547" s="2943"/>
      <c r="G547" s="2943"/>
      <c r="H547" s="2943"/>
      <c r="I547" s="2943"/>
      <c r="J547" s="2943"/>
      <c r="K547" s="2943"/>
      <c r="L547" s="2943"/>
      <c r="M547" s="2943"/>
      <c r="N547" s="2943"/>
      <c r="O547" s="2944"/>
      <c r="P547" s="336"/>
      <c r="Q547" s="1249"/>
      <c r="W547" s="156"/>
      <c r="X547" s="156"/>
      <c r="Y547" s="156"/>
      <c r="Z547" s="156"/>
    </row>
    <row r="548" spans="1:26" ht="18" customHeight="1">
      <c r="A548" s="2831" t="s">
        <v>583</v>
      </c>
      <c r="B548" s="2831"/>
      <c r="C548" s="2831"/>
      <c r="D548" s="2831"/>
      <c r="E548" s="2831"/>
      <c r="F548" s="2831"/>
      <c r="G548" s="2831"/>
      <c r="H548" s="2831"/>
      <c r="I548" s="2831"/>
      <c r="J548" s="2831"/>
      <c r="K548" s="2831"/>
      <c r="L548" s="2831"/>
      <c r="M548" s="2831"/>
      <c r="N548" s="2831"/>
      <c r="O548" s="2831"/>
      <c r="P548" s="3227"/>
      <c r="Q548" s="3227"/>
      <c r="W548" s="156"/>
      <c r="X548" s="156"/>
      <c r="Y548" s="156"/>
      <c r="Z548" s="156"/>
    </row>
    <row r="549" spans="1:26" ht="9.75" customHeight="1">
      <c r="A549" s="89"/>
      <c r="B549" s="89"/>
      <c r="C549" s="106"/>
      <c r="D549" s="106"/>
      <c r="E549" s="106"/>
      <c r="F549" s="106"/>
      <c r="G549" s="106"/>
      <c r="H549" s="106"/>
      <c r="I549" s="106"/>
      <c r="J549" s="106"/>
      <c r="K549" s="106"/>
      <c r="L549" s="106"/>
      <c r="M549" s="106"/>
      <c r="N549" s="3228"/>
      <c r="O549" s="3228"/>
      <c r="P549" s="156"/>
      <c r="W549" s="156"/>
      <c r="X549" s="156"/>
      <c r="Y549" s="156"/>
      <c r="Z549" s="156"/>
    </row>
    <row r="550" spans="1:26">
      <c r="A550" s="156"/>
      <c r="B550" s="156"/>
      <c r="C550" s="156"/>
      <c r="D550" s="156"/>
      <c r="E550" s="156"/>
      <c r="F550" s="156"/>
      <c r="G550" s="156"/>
      <c r="H550" s="156"/>
      <c r="I550" s="156"/>
      <c r="J550" s="156"/>
      <c r="K550" s="156"/>
      <c r="L550" s="156"/>
      <c r="M550" s="156"/>
      <c r="N550" s="156"/>
      <c r="O550" s="156"/>
      <c r="P550" s="156"/>
      <c r="W550" s="156"/>
      <c r="X550" s="156"/>
      <c r="Y550" s="156"/>
      <c r="Z550" s="156"/>
    </row>
    <row r="551" spans="1:26">
      <c r="A551" s="1" t="s">
        <v>520</v>
      </c>
      <c r="B551" s="2"/>
      <c r="C551" s="2"/>
      <c r="D551" s="2"/>
      <c r="E551" s="2"/>
      <c r="F551" s="2"/>
      <c r="G551" s="2"/>
      <c r="H551" s="2"/>
      <c r="I551" s="2"/>
      <c r="J551" s="2"/>
      <c r="K551" s="2"/>
      <c r="L551" s="2"/>
      <c r="M551" s="2"/>
      <c r="N551" s="2"/>
      <c r="O551" s="2"/>
      <c r="P551" s="156" t="str">
        <f>"個別票"&amp;Q551</f>
        <v>個別票23</v>
      </c>
      <c r="Q551" s="1242">
        <f>Q526+1</f>
        <v>23</v>
      </c>
      <c r="W551" s="156"/>
      <c r="X551" s="156"/>
      <c r="Y551" s="156"/>
      <c r="Z551" s="156"/>
    </row>
    <row r="552" spans="1:26">
      <c r="A552" s="2" t="s">
        <v>557</v>
      </c>
      <c r="B552" s="4"/>
      <c r="C552" s="4"/>
      <c r="D552" s="4"/>
      <c r="E552" s="4"/>
      <c r="F552" s="4"/>
      <c r="G552" s="4"/>
      <c r="H552" s="4"/>
      <c r="I552" s="4"/>
      <c r="J552" s="4"/>
      <c r="K552" s="4"/>
      <c r="L552" s="4"/>
      <c r="M552" s="4"/>
      <c r="N552" s="2"/>
      <c r="O552" s="2"/>
      <c r="P552" s="156"/>
      <c r="W552" s="156"/>
      <c r="X552" s="156"/>
      <c r="Y552" s="156"/>
      <c r="Z552" s="156"/>
    </row>
    <row r="553" spans="1:26" ht="17.25">
      <c r="A553" s="2612" t="s">
        <v>556</v>
      </c>
      <c r="B553" s="2612"/>
      <c r="C553" s="2612"/>
      <c r="D553" s="2612"/>
      <c r="E553" s="2612"/>
      <c r="F553" s="2612"/>
      <c r="G553" s="2612"/>
      <c r="H553" s="2612"/>
      <c r="I553" s="2612"/>
      <c r="J553" s="2612"/>
      <c r="K553" s="2612"/>
      <c r="L553" s="2612"/>
      <c r="M553" s="2612"/>
      <c r="N553" s="2612"/>
      <c r="O553" s="2612"/>
      <c r="P553" s="156"/>
      <c r="W553" s="156"/>
      <c r="X553" s="156"/>
      <c r="Y553" s="156"/>
      <c r="Z553" s="156"/>
    </row>
    <row r="554" spans="1:26" ht="17.25">
      <c r="A554" s="38"/>
      <c r="B554" s="38"/>
      <c r="C554" s="38"/>
      <c r="D554" s="38"/>
      <c r="E554" s="38"/>
      <c r="F554" s="38"/>
      <c r="G554" s="38"/>
      <c r="H554" s="38"/>
      <c r="I554" s="38"/>
      <c r="J554" s="38"/>
      <c r="K554" s="38"/>
      <c r="L554" s="38"/>
      <c r="M554" s="38"/>
      <c r="N554" s="38"/>
      <c r="O554" s="38"/>
      <c r="P554" s="156"/>
      <c r="W554" s="156"/>
      <c r="X554" s="156"/>
      <c r="Y554" s="156"/>
      <c r="Z554" s="156"/>
    </row>
    <row r="555" spans="1:26" ht="18" customHeight="1">
      <c r="A555" s="48" t="s">
        <v>151</v>
      </c>
      <c r="B555" s="4"/>
      <c r="C555" s="4"/>
      <c r="D555" s="4"/>
      <c r="E555" s="4"/>
      <c r="F555" s="4"/>
      <c r="G555" s="4"/>
      <c r="H555" s="4"/>
      <c r="I555" s="4"/>
      <c r="J555" s="4"/>
      <c r="K555" s="4"/>
      <c r="L555" s="4"/>
      <c r="M555" s="4"/>
      <c r="N555" s="2"/>
      <c r="O555" s="2"/>
      <c r="P555" s="156"/>
      <c r="W555" s="156"/>
      <c r="X555" s="156"/>
      <c r="Y555" s="156"/>
      <c r="Z555" s="156"/>
    </row>
    <row r="556" spans="1:26" ht="39.950000000000003" customHeight="1">
      <c r="A556" s="2984" t="s">
        <v>152</v>
      </c>
      <c r="B556" s="2985"/>
      <c r="C556" s="2986"/>
      <c r="D556" s="2987" t="str">
        <f>報7!D556</f>
        <v>事業所名を入力23</v>
      </c>
      <c r="E556" s="2988"/>
      <c r="F556" s="2988"/>
      <c r="G556" s="2988"/>
      <c r="H556" s="2988"/>
      <c r="I556" s="2988"/>
      <c r="J556" s="2988"/>
      <c r="K556" s="2988"/>
      <c r="L556" s="2988"/>
      <c r="M556" s="2988"/>
      <c r="N556" s="2988"/>
      <c r="O556" s="2989"/>
      <c r="P556" s="156"/>
      <c r="W556" s="156"/>
      <c r="X556" s="156"/>
      <c r="Y556" s="156"/>
      <c r="Z556" s="156"/>
    </row>
    <row r="557" spans="1:26" ht="39.950000000000003" customHeight="1">
      <c r="A557" s="2570" t="s">
        <v>153</v>
      </c>
      <c r="B557" s="2571"/>
      <c r="C557" s="2990"/>
      <c r="D557" s="2573">
        <f>報7!D557</f>
        <v>0</v>
      </c>
      <c r="E557" s="2574"/>
      <c r="F557" s="2574"/>
      <c r="G557" s="2574"/>
      <c r="H557" s="2574"/>
      <c r="I557" s="2574"/>
      <c r="J557" s="2574"/>
      <c r="K557" s="2574"/>
      <c r="L557" s="2574"/>
      <c r="M557" s="2574"/>
      <c r="N557" s="2574"/>
      <c r="O557" s="2575"/>
      <c r="P557" s="156"/>
      <c r="W557" s="156"/>
      <c r="X557" s="156"/>
      <c r="Y557" s="156"/>
      <c r="Z557" s="156"/>
    </row>
    <row r="558" spans="1:26" ht="39.950000000000003" customHeight="1">
      <c r="A558" s="2536" t="s">
        <v>154</v>
      </c>
      <c r="B558" s="2978"/>
      <c r="C558" s="3245">
        <f>報7!C558</f>
        <v>0</v>
      </c>
      <c r="D558" s="3246"/>
      <c r="E558" s="101" t="s">
        <v>180</v>
      </c>
      <c r="F558" s="2974" t="s">
        <v>404</v>
      </c>
      <c r="G558" s="2975"/>
      <c r="H558" s="2981" t="str">
        <f ca="1">報7!H558</f>
        <v/>
      </c>
      <c r="I558" s="2982"/>
      <c r="J558" s="58" t="s">
        <v>176</v>
      </c>
      <c r="K558" s="2974" t="s">
        <v>405</v>
      </c>
      <c r="L558" s="2975"/>
      <c r="M558" s="3247">
        <f>報7!M558</f>
        <v>0</v>
      </c>
      <c r="N558" s="3248"/>
      <c r="O558" s="3249"/>
      <c r="P558" s="156" t="str">
        <f>IFERROR(VLOOKUP(M558,$U$6:$V$22,2,0),"")</f>
        <v/>
      </c>
      <c r="W558" s="156"/>
      <c r="X558" s="156"/>
      <c r="Y558" s="156"/>
      <c r="Z558" s="156"/>
    </row>
    <row r="559" spans="1:26" ht="39.950000000000003" customHeight="1">
      <c r="A559" s="2974" t="s">
        <v>406</v>
      </c>
      <c r="B559" s="2975"/>
      <c r="C559" s="3250">
        <f>報7!C559</f>
        <v>0</v>
      </c>
      <c r="D559" s="2507"/>
      <c r="E559" s="2508"/>
      <c r="F559" s="2974" t="s">
        <v>158</v>
      </c>
      <c r="G559" s="2975"/>
      <c r="H559" s="3250">
        <f>報7!H559</f>
        <v>0</v>
      </c>
      <c r="I559" s="2507"/>
      <c r="J559" s="2508"/>
      <c r="K559" s="2580"/>
      <c r="L559" s="2977"/>
      <c r="M559" s="2977"/>
      <c r="N559" s="2977"/>
      <c r="O559" s="2977"/>
      <c r="P559" s="156"/>
      <c r="W559" s="156"/>
      <c r="X559" s="156"/>
      <c r="Y559" s="156"/>
      <c r="Z559" s="156"/>
    </row>
    <row r="560" spans="1:26" ht="49.9" customHeight="1">
      <c r="A560" s="39"/>
      <c r="B560" s="39"/>
      <c r="C560" s="40"/>
      <c r="D560" s="41"/>
      <c r="E560" s="40"/>
      <c r="F560" s="42"/>
      <c r="P560" s="156"/>
      <c r="W560" s="156"/>
      <c r="X560" s="156"/>
      <c r="Y560" s="156"/>
      <c r="Z560" s="156"/>
    </row>
    <row r="561" spans="1:26" s="103" customFormat="1" ht="19.5" customHeight="1">
      <c r="A561" s="3251" t="s">
        <v>555</v>
      </c>
      <c r="B561" s="3252"/>
      <c r="C561" s="3252"/>
      <c r="D561" s="3252"/>
      <c r="E561" s="3252"/>
      <c r="F561" s="3252"/>
      <c r="G561" s="3252"/>
      <c r="H561" s="3252"/>
      <c r="I561" s="3252"/>
      <c r="J561" s="3252"/>
      <c r="K561" s="3252"/>
      <c r="L561" s="3252"/>
      <c r="M561" s="3252"/>
      <c r="N561" s="3252"/>
      <c r="O561" s="3252"/>
      <c r="P561" s="334"/>
      <c r="Q561" s="1243"/>
      <c r="R561" s="1243"/>
      <c r="S561" s="1243"/>
      <c r="T561" s="1243"/>
      <c r="U561" s="1243"/>
      <c r="V561" s="1243"/>
      <c r="W561" s="334"/>
      <c r="X561" s="334"/>
      <c r="Y561" s="334"/>
      <c r="Z561" s="334"/>
    </row>
    <row r="562" spans="1:26" ht="49.9" customHeight="1">
      <c r="A562" s="104"/>
      <c r="B562" s="39"/>
      <c r="E562" s="105"/>
      <c r="F562" s="105"/>
      <c r="G562" s="105"/>
      <c r="H562" s="105"/>
      <c r="I562" s="105"/>
      <c r="J562" s="105"/>
      <c r="K562" s="105"/>
      <c r="L562" s="105"/>
      <c r="M562" s="105"/>
      <c r="N562" s="105"/>
      <c r="O562" s="105"/>
      <c r="P562" s="156"/>
      <c r="W562" s="156"/>
      <c r="X562" s="156"/>
      <c r="Y562" s="156"/>
      <c r="Z562" s="156"/>
    </row>
    <row r="563" spans="1:26" ht="20.25" customHeight="1">
      <c r="A563" s="50" t="s">
        <v>554</v>
      </c>
      <c r="B563" s="30"/>
      <c r="C563" s="30"/>
      <c r="D563" s="30"/>
      <c r="E563" s="30"/>
      <c r="F563" s="30"/>
      <c r="G563" s="30"/>
      <c r="H563" s="30"/>
      <c r="I563" s="30"/>
      <c r="J563" s="30"/>
      <c r="K563" s="30"/>
      <c r="L563" s="6"/>
      <c r="M563" s="6"/>
      <c r="N563" s="6"/>
      <c r="O563" s="6"/>
      <c r="P563" s="156"/>
      <c r="W563" s="156"/>
      <c r="X563" s="156"/>
      <c r="Y563" s="156"/>
      <c r="Z563" s="156"/>
    </row>
    <row r="564" spans="1:26" ht="20.100000000000001" customHeight="1">
      <c r="A564" s="2654"/>
      <c r="B564" s="2655"/>
      <c r="C564" s="2673" t="s">
        <v>561</v>
      </c>
      <c r="D564" s="2674"/>
      <c r="E564" s="2674"/>
      <c r="F564" s="2674"/>
      <c r="G564" s="2674"/>
      <c r="H564" s="2675"/>
      <c r="I564" s="2673" t="s">
        <v>560</v>
      </c>
      <c r="J564" s="2674"/>
      <c r="K564" s="2674"/>
      <c r="L564" s="2674"/>
      <c r="M564" s="2674"/>
      <c r="N564" s="2674"/>
      <c r="O564" s="2675"/>
      <c r="P564" s="156"/>
      <c r="W564" s="156"/>
      <c r="X564" s="156"/>
      <c r="Y564" s="156"/>
      <c r="Z564" s="156"/>
    </row>
    <row r="565" spans="1:26" ht="22.15" customHeight="1">
      <c r="A565" s="3253" t="s">
        <v>122</v>
      </c>
      <c r="B565" s="3254"/>
      <c r="C565" s="3255" t="str">
        <f ca="1">参照元個別!E27</f>
        <v/>
      </c>
      <c r="D565" s="3256"/>
      <c r="E565" s="3256"/>
      <c r="F565" s="3256"/>
      <c r="G565" s="3047" t="s">
        <v>1265</v>
      </c>
      <c r="H565" s="2959"/>
      <c r="I565" s="3260" t="str">
        <f>報7!I565</f>
        <v/>
      </c>
      <c r="J565" s="3261"/>
      <c r="K565" s="3261"/>
      <c r="L565" s="3261"/>
      <c r="M565" s="3047" t="s">
        <v>4308</v>
      </c>
      <c r="N565" s="3047"/>
      <c r="O565" s="3264" t="str">
        <f>報7!N565</f>
        <v/>
      </c>
      <c r="P565" s="165"/>
      <c r="Q565" s="1244"/>
      <c r="W565" s="156"/>
      <c r="X565" s="156"/>
      <c r="Y565" s="156"/>
      <c r="Z565" s="156"/>
    </row>
    <row r="566" spans="1:26" ht="22.15" customHeight="1">
      <c r="A566" s="3097">
        <f>IF(計1!$D$28="","",計1!$D$28-1)</f>
        <v>2023</v>
      </c>
      <c r="B566" s="2655"/>
      <c r="C566" s="3257"/>
      <c r="D566" s="3258"/>
      <c r="E566" s="3258"/>
      <c r="F566" s="3258"/>
      <c r="G566" s="3076"/>
      <c r="H566" s="3259"/>
      <c r="I566" s="3262"/>
      <c r="J566" s="3263"/>
      <c r="K566" s="3263"/>
      <c r="L566" s="3263"/>
      <c r="M566" s="3048"/>
      <c r="N566" s="3048"/>
      <c r="O566" s="3265"/>
      <c r="P566" s="165"/>
      <c r="Q566" s="1244"/>
      <c r="W566" s="156"/>
      <c r="X566" s="156"/>
      <c r="Y566" s="156"/>
      <c r="Z566" s="156"/>
    </row>
    <row r="567" spans="1:26" ht="22.15" customHeight="1">
      <c r="A567" s="2633" t="s">
        <v>558</v>
      </c>
      <c r="B567" s="3065"/>
      <c r="C567" s="3216"/>
      <c r="D567" s="3217"/>
      <c r="E567" s="3217"/>
      <c r="F567" s="3217"/>
      <c r="G567" s="3047" t="s">
        <v>414</v>
      </c>
      <c r="H567" s="2959"/>
      <c r="I567" s="3221"/>
      <c r="J567" s="3222"/>
      <c r="K567" s="3222"/>
      <c r="L567" s="3222"/>
      <c r="M567" s="3047" t="s">
        <v>415</v>
      </c>
      <c r="N567" s="3047"/>
      <c r="O567" s="3225" t="str">
        <f>IF(O565="","",O565)</f>
        <v/>
      </c>
      <c r="P567" s="3229"/>
      <c r="Q567" s="3229"/>
      <c r="W567" s="156"/>
      <c r="X567" s="156"/>
      <c r="Y567" s="156"/>
      <c r="Z567" s="156"/>
    </row>
    <row r="568" spans="1:26" ht="22.15" customHeight="1">
      <c r="A568" s="3080">
        <f>IF(計1!$D$28="","",計1!$G$28)</f>
        <v>2026</v>
      </c>
      <c r="B568" s="3059"/>
      <c r="C568" s="3218"/>
      <c r="D568" s="3219"/>
      <c r="E568" s="3219"/>
      <c r="F568" s="3219"/>
      <c r="G568" s="3048"/>
      <c r="H568" s="3220"/>
      <c r="I568" s="3223"/>
      <c r="J568" s="3224"/>
      <c r="K568" s="3224"/>
      <c r="L568" s="3224"/>
      <c r="M568" s="3048"/>
      <c r="N568" s="3048"/>
      <c r="O568" s="3226"/>
      <c r="P568" s="3230"/>
      <c r="Q568" s="3231"/>
      <c r="W568" s="156"/>
      <c r="X568" s="357"/>
      <c r="Y568" s="156"/>
      <c r="Z568" s="156"/>
    </row>
    <row r="569" spans="1:26" ht="24.95" customHeight="1">
      <c r="A569" s="145"/>
      <c r="B569" s="146" t="s">
        <v>577</v>
      </c>
      <c r="C569" s="147"/>
      <c r="D569" s="3232" t="str">
        <f ca="1">IF(OR(C565=0,C567=""),"",INT((C565-C567)/C565*10000)/100)</f>
        <v/>
      </c>
      <c r="E569" s="3232"/>
      <c r="F569" s="3232"/>
      <c r="G569" s="3233" t="s">
        <v>134</v>
      </c>
      <c r="H569" s="3234"/>
      <c r="I569" s="148"/>
      <c r="J569" s="3235" t="str">
        <f>IF(OR(I565=0,I567=""),"",INT((I565-I567)/I565*10000)/100)</f>
        <v/>
      </c>
      <c r="K569" s="3235"/>
      <c r="L569" s="3235"/>
      <c r="M569" s="3232" t="s">
        <v>501</v>
      </c>
      <c r="N569" s="3232"/>
      <c r="O569" s="3236"/>
      <c r="P569" s="335"/>
      <c r="Q569" s="1245"/>
      <c r="W569" s="359"/>
      <c r="X569" s="359"/>
      <c r="Y569" s="359"/>
      <c r="Z569" s="156"/>
    </row>
    <row r="570" spans="1:26" ht="27.75" customHeight="1">
      <c r="A570" s="2672" t="s">
        <v>559</v>
      </c>
      <c r="B570" s="2635"/>
      <c r="C570" s="3240"/>
      <c r="D570" s="3241"/>
      <c r="E570" s="3241"/>
      <c r="F570" s="3241"/>
      <c r="G570" s="3241"/>
      <c r="H570" s="3241"/>
      <c r="I570" s="3241"/>
      <c r="J570" s="3241"/>
      <c r="K570" s="3241"/>
      <c r="L570" s="3241"/>
      <c r="M570" s="3241"/>
      <c r="N570" s="3241"/>
      <c r="O570" s="3242"/>
      <c r="P570" s="335"/>
      <c r="Q570" s="1245"/>
      <c r="R570" s="1246"/>
      <c r="W570" s="359"/>
      <c r="X570" s="359" t="s">
        <v>586</v>
      </c>
      <c r="Y570" s="359"/>
      <c r="Z570" s="156"/>
    </row>
    <row r="571" spans="1:26" ht="35.1" customHeight="1">
      <c r="A571" s="3237"/>
      <c r="B571" s="2648"/>
      <c r="C571" s="3243"/>
      <c r="D571" s="2941"/>
      <c r="E571" s="2941"/>
      <c r="F571" s="2941"/>
      <c r="G571" s="2941"/>
      <c r="H571" s="2941"/>
      <c r="I571" s="2941"/>
      <c r="J571" s="2941"/>
      <c r="K571" s="2941"/>
      <c r="L571" s="2941"/>
      <c r="M571" s="2941"/>
      <c r="N571" s="2941"/>
      <c r="O571" s="2942"/>
      <c r="P571" s="358"/>
      <c r="Q571" s="1247"/>
      <c r="R571" s="1248">
        <v>0</v>
      </c>
      <c r="W571" s="359"/>
      <c r="X571" s="360" t="s">
        <v>587</v>
      </c>
      <c r="Y571" s="359"/>
      <c r="Z571" s="156"/>
    </row>
    <row r="572" spans="1:26" ht="93" customHeight="1">
      <c r="A572" s="3238"/>
      <c r="B572" s="3239"/>
      <c r="C572" s="3244"/>
      <c r="D572" s="2943"/>
      <c r="E572" s="2943"/>
      <c r="F572" s="2943"/>
      <c r="G572" s="2943"/>
      <c r="H572" s="2943"/>
      <c r="I572" s="2943"/>
      <c r="J572" s="2943"/>
      <c r="K572" s="2943"/>
      <c r="L572" s="2943"/>
      <c r="M572" s="2943"/>
      <c r="N572" s="2943"/>
      <c r="O572" s="2944"/>
      <c r="P572" s="336"/>
      <c r="Q572" s="1249"/>
      <c r="W572" s="156"/>
      <c r="X572" s="156"/>
      <c r="Y572" s="156"/>
      <c r="Z572" s="156"/>
    </row>
    <row r="573" spans="1:26" ht="18" customHeight="1">
      <c r="A573" s="2831" t="s">
        <v>583</v>
      </c>
      <c r="B573" s="2831"/>
      <c r="C573" s="2831"/>
      <c r="D573" s="2831"/>
      <c r="E573" s="2831"/>
      <c r="F573" s="2831"/>
      <c r="G573" s="2831"/>
      <c r="H573" s="2831"/>
      <c r="I573" s="2831"/>
      <c r="J573" s="2831"/>
      <c r="K573" s="2831"/>
      <c r="L573" s="2831"/>
      <c r="M573" s="2831"/>
      <c r="N573" s="2831"/>
      <c r="O573" s="2831"/>
      <c r="P573" s="3227"/>
      <c r="Q573" s="3227"/>
      <c r="W573" s="156"/>
      <c r="X573" s="156"/>
      <c r="Y573" s="156"/>
      <c r="Z573" s="156"/>
    </row>
    <row r="574" spans="1:26" ht="9.75" customHeight="1">
      <c r="A574" s="89"/>
      <c r="B574" s="89"/>
      <c r="C574" s="106"/>
      <c r="D574" s="106"/>
      <c r="E574" s="106"/>
      <c r="F574" s="106"/>
      <c r="G574" s="106"/>
      <c r="H574" s="106"/>
      <c r="I574" s="106"/>
      <c r="J574" s="106"/>
      <c r="K574" s="106"/>
      <c r="L574" s="106"/>
      <c r="M574" s="106"/>
      <c r="N574" s="3228"/>
      <c r="O574" s="3228"/>
      <c r="P574" s="156"/>
      <c r="W574" s="156"/>
      <c r="X574" s="156"/>
      <c r="Y574" s="156"/>
      <c r="Z574" s="156"/>
    </row>
    <row r="575" spans="1:26">
      <c r="A575" s="156"/>
      <c r="B575" s="156"/>
      <c r="C575" s="156"/>
      <c r="D575" s="156"/>
      <c r="E575" s="156"/>
      <c r="F575" s="156"/>
      <c r="G575" s="156"/>
      <c r="H575" s="156"/>
      <c r="I575" s="156"/>
      <c r="J575" s="156"/>
      <c r="K575" s="156"/>
      <c r="L575" s="156"/>
      <c r="M575" s="156"/>
      <c r="N575" s="156"/>
      <c r="O575" s="156"/>
      <c r="P575" s="156"/>
      <c r="W575" s="156"/>
      <c r="X575" s="156"/>
      <c r="Y575" s="156"/>
      <c r="Z575" s="156"/>
    </row>
    <row r="576" spans="1:26">
      <c r="A576" s="1" t="s">
        <v>520</v>
      </c>
      <c r="B576" s="2"/>
      <c r="C576" s="2"/>
      <c r="D576" s="2"/>
      <c r="E576" s="2"/>
      <c r="F576" s="2"/>
      <c r="G576" s="2"/>
      <c r="H576" s="2"/>
      <c r="I576" s="2"/>
      <c r="J576" s="2"/>
      <c r="K576" s="2"/>
      <c r="L576" s="2"/>
      <c r="M576" s="2"/>
      <c r="N576" s="2"/>
      <c r="O576" s="2"/>
      <c r="P576" s="156" t="str">
        <f>"個別票"&amp;Q576</f>
        <v>個別票24</v>
      </c>
      <c r="Q576" s="1242">
        <f>Q551+1</f>
        <v>24</v>
      </c>
      <c r="W576" s="156"/>
      <c r="X576" s="156"/>
      <c r="Y576" s="156"/>
      <c r="Z576" s="156"/>
    </row>
    <row r="577" spans="1:26">
      <c r="A577" s="2" t="s">
        <v>557</v>
      </c>
      <c r="B577" s="4"/>
      <c r="C577" s="4"/>
      <c r="D577" s="4"/>
      <c r="E577" s="4"/>
      <c r="F577" s="4"/>
      <c r="G577" s="4"/>
      <c r="H577" s="4"/>
      <c r="I577" s="4"/>
      <c r="J577" s="4"/>
      <c r="K577" s="4"/>
      <c r="L577" s="4"/>
      <c r="M577" s="4"/>
      <c r="N577" s="2"/>
      <c r="O577" s="2"/>
      <c r="P577" s="156"/>
      <c r="W577" s="156"/>
      <c r="X577" s="156"/>
      <c r="Y577" s="156"/>
      <c r="Z577" s="156"/>
    </row>
    <row r="578" spans="1:26" ht="17.25">
      <c r="A578" s="2612" t="s">
        <v>556</v>
      </c>
      <c r="B578" s="2612"/>
      <c r="C578" s="2612"/>
      <c r="D578" s="2612"/>
      <c r="E578" s="2612"/>
      <c r="F578" s="2612"/>
      <c r="G578" s="2612"/>
      <c r="H578" s="2612"/>
      <c r="I578" s="2612"/>
      <c r="J578" s="2612"/>
      <c r="K578" s="2612"/>
      <c r="L578" s="2612"/>
      <c r="M578" s="2612"/>
      <c r="N578" s="2612"/>
      <c r="O578" s="2612"/>
      <c r="P578" s="156"/>
      <c r="W578" s="156"/>
      <c r="X578" s="156"/>
      <c r="Y578" s="156"/>
      <c r="Z578" s="156"/>
    </row>
    <row r="579" spans="1:26" ht="17.25">
      <c r="A579" s="38"/>
      <c r="B579" s="38"/>
      <c r="C579" s="38"/>
      <c r="D579" s="38"/>
      <c r="E579" s="38"/>
      <c r="F579" s="38"/>
      <c r="G579" s="38"/>
      <c r="H579" s="38"/>
      <c r="I579" s="38"/>
      <c r="J579" s="38"/>
      <c r="K579" s="38"/>
      <c r="L579" s="38"/>
      <c r="M579" s="38"/>
      <c r="N579" s="38"/>
      <c r="O579" s="38"/>
      <c r="P579" s="156"/>
      <c r="W579" s="156"/>
      <c r="X579" s="156"/>
      <c r="Y579" s="156"/>
      <c r="Z579" s="156"/>
    </row>
    <row r="580" spans="1:26" ht="18" customHeight="1">
      <c r="A580" s="48" t="s">
        <v>151</v>
      </c>
      <c r="B580" s="4"/>
      <c r="C580" s="4"/>
      <c r="D580" s="4"/>
      <c r="E580" s="4"/>
      <c r="F580" s="4"/>
      <c r="G580" s="4"/>
      <c r="H580" s="4"/>
      <c r="I580" s="4"/>
      <c r="J580" s="4"/>
      <c r="K580" s="4"/>
      <c r="L580" s="4"/>
      <c r="M580" s="4"/>
      <c r="N580" s="2"/>
      <c r="O580" s="2"/>
      <c r="P580" s="156"/>
      <c r="W580" s="156"/>
      <c r="X580" s="156"/>
      <c r="Y580" s="156"/>
      <c r="Z580" s="156"/>
    </row>
    <row r="581" spans="1:26" ht="39.950000000000003" customHeight="1">
      <c r="A581" s="2984" t="s">
        <v>152</v>
      </c>
      <c r="B581" s="2985"/>
      <c r="C581" s="2986"/>
      <c r="D581" s="2987" t="str">
        <f>報7!D581</f>
        <v>事業所名を入力24</v>
      </c>
      <c r="E581" s="2988"/>
      <c r="F581" s="2988"/>
      <c r="G581" s="2988"/>
      <c r="H581" s="2988"/>
      <c r="I581" s="2988"/>
      <c r="J581" s="2988"/>
      <c r="K581" s="2988"/>
      <c r="L581" s="2988"/>
      <c r="M581" s="2988"/>
      <c r="N581" s="2988"/>
      <c r="O581" s="2989"/>
      <c r="P581" s="156"/>
      <c r="W581" s="156"/>
      <c r="X581" s="156"/>
      <c r="Y581" s="156"/>
      <c r="Z581" s="156"/>
    </row>
    <row r="582" spans="1:26" ht="39.950000000000003" customHeight="1">
      <c r="A582" s="2570" t="s">
        <v>153</v>
      </c>
      <c r="B582" s="2571"/>
      <c r="C582" s="2990"/>
      <c r="D582" s="2573">
        <f>報7!D582</f>
        <v>0</v>
      </c>
      <c r="E582" s="2574"/>
      <c r="F582" s="2574"/>
      <c r="G582" s="2574"/>
      <c r="H582" s="2574"/>
      <c r="I582" s="2574"/>
      <c r="J582" s="2574"/>
      <c r="K582" s="2574"/>
      <c r="L582" s="2574"/>
      <c r="M582" s="2574"/>
      <c r="N582" s="2574"/>
      <c r="O582" s="2575"/>
      <c r="P582" s="156"/>
      <c r="W582" s="156"/>
      <c r="X582" s="156"/>
      <c r="Y582" s="156"/>
      <c r="Z582" s="156"/>
    </row>
    <row r="583" spans="1:26" ht="39.950000000000003" customHeight="1">
      <c r="A583" s="2536" t="s">
        <v>154</v>
      </c>
      <c r="B583" s="2978"/>
      <c r="C583" s="3245">
        <f>報7!C583</f>
        <v>0</v>
      </c>
      <c r="D583" s="3246"/>
      <c r="E583" s="101" t="s">
        <v>180</v>
      </c>
      <c r="F583" s="2974" t="s">
        <v>404</v>
      </c>
      <c r="G583" s="2975"/>
      <c r="H583" s="2981" t="str">
        <f ca="1">報7!H583</f>
        <v/>
      </c>
      <c r="I583" s="2982"/>
      <c r="J583" s="58" t="s">
        <v>176</v>
      </c>
      <c r="K583" s="2974" t="s">
        <v>405</v>
      </c>
      <c r="L583" s="2975"/>
      <c r="M583" s="3247">
        <f>報7!M583</f>
        <v>0</v>
      </c>
      <c r="N583" s="3248"/>
      <c r="O583" s="3249"/>
      <c r="P583" s="156" t="str">
        <f>IFERROR(VLOOKUP(M583,$U$6:$V$22,2,0),"")</f>
        <v/>
      </c>
      <c r="W583" s="156"/>
      <c r="X583" s="156"/>
      <c r="Y583" s="156"/>
      <c r="Z583" s="156"/>
    </row>
    <row r="584" spans="1:26" ht="39.950000000000003" customHeight="1">
      <c r="A584" s="2974" t="s">
        <v>406</v>
      </c>
      <c r="B584" s="2975"/>
      <c r="C584" s="3250">
        <f>報7!C584</f>
        <v>0</v>
      </c>
      <c r="D584" s="2507"/>
      <c r="E584" s="2508"/>
      <c r="F584" s="2974" t="s">
        <v>158</v>
      </c>
      <c r="G584" s="2975"/>
      <c r="H584" s="3250">
        <f>報7!H584</f>
        <v>0</v>
      </c>
      <c r="I584" s="2507"/>
      <c r="J584" s="2508"/>
      <c r="K584" s="2580"/>
      <c r="L584" s="2977"/>
      <c r="M584" s="2977"/>
      <c r="N584" s="2977"/>
      <c r="O584" s="2977"/>
      <c r="P584" s="156"/>
      <c r="W584" s="156"/>
      <c r="X584" s="156"/>
      <c r="Y584" s="156"/>
      <c r="Z584" s="156"/>
    </row>
    <row r="585" spans="1:26" ht="49.9" customHeight="1">
      <c r="A585" s="39"/>
      <c r="B585" s="39"/>
      <c r="C585" s="40"/>
      <c r="D585" s="41"/>
      <c r="E585" s="40"/>
      <c r="F585" s="42"/>
      <c r="P585" s="156"/>
      <c r="W585" s="156"/>
      <c r="X585" s="156"/>
      <c r="Y585" s="156"/>
      <c r="Z585" s="156"/>
    </row>
    <row r="586" spans="1:26" s="103" customFormat="1" ht="19.5" customHeight="1">
      <c r="A586" s="3251" t="s">
        <v>555</v>
      </c>
      <c r="B586" s="3252"/>
      <c r="C586" s="3252"/>
      <c r="D586" s="3252"/>
      <c r="E586" s="3252"/>
      <c r="F586" s="3252"/>
      <c r="G586" s="3252"/>
      <c r="H586" s="3252"/>
      <c r="I586" s="3252"/>
      <c r="J586" s="3252"/>
      <c r="K586" s="3252"/>
      <c r="L586" s="3252"/>
      <c r="M586" s="3252"/>
      <c r="N586" s="3252"/>
      <c r="O586" s="3252"/>
      <c r="P586" s="334"/>
      <c r="Q586" s="1243"/>
      <c r="R586" s="1243"/>
      <c r="S586" s="1243"/>
      <c r="T586" s="1243"/>
      <c r="U586" s="1243"/>
      <c r="V586" s="1243"/>
      <c r="W586" s="334"/>
      <c r="X586" s="334"/>
      <c r="Y586" s="334"/>
      <c r="Z586" s="334"/>
    </row>
    <row r="587" spans="1:26" ht="49.9" customHeight="1">
      <c r="A587" s="104"/>
      <c r="B587" s="39"/>
      <c r="E587" s="105"/>
      <c r="F587" s="105"/>
      <c r="G587" s="105"/>
      <c r="H587" s="105"/>
      <c r="I587" s="105"/>
      <c r="J587" s="105"/>
      <c r="K587" s="105"/>
      <c r="L587" s="105"/>
      <c r="M587" s="105"/>
      <c r="N587" s="105"/>
      <c r="O587" s="105"/>
      <c r="P587" s="156"/>
      <c r="W587" s="156"/>
      <c r="X587" s="156"/>
      <c r="Y587" s="156"/>
      <c r="Z587" s="156"/>
    </row>
    <row r="588" spans="1:26" ht="20.25" customHeight="1">
      <c r="A588" s="50" t="s">
        <v>554</v>
      </c>
      <c r="B588" s="30"/>
      <c r="C588" s="30"/>
      <c r="D588" s="30"/>
      <c r="E588" s="30"/>
      <c r="F588" s="30"/>
      <c r="G588" s="30"/>
      <c r="H588" s="30"/>
      <c r="I588" s="30"/>
      <c r="J588" s="30"/>
      <c r="K588" s="30"/>
      <c r="L588" s="6"/>
      <c r="M588" s="6"/>
      <c r="N588" s="6"/>
      <c r="O588" s="6"/>
      <c r="P588" s="156"/>
      <c r="W588" s="156"/>
      <c r="X588" s="156"/>
      <c r="Y588" s="156"/>
      <c r="Z588" s="156"/>
    </row>
    <row r="589" spans="1:26" ht="20.100000000000001" customHeight="1">
      <c r="A589" s="2654"/>
      <c r="B589" s="2655"/>
      <c r="C589" s="2673" t="s">
        <v>561</v>
      </c>
      <c r="D589" s="2674"/>
      <c r="E589" s="2674"/>
      <c r="F589" s="2674"/>
      <c r="G589" s="2674"/>
      <c r="H589" s="2675"/>
      <c r="I589" s="2673" t="s">
        <v>560</v>
      </c>
      <c r="J589" s="2674"/>
      <c r="K589" s="2674"/>
      <c r="L589" s="2674"/>
      <c r="M589" s="2674"/>
      <c r="N589" s="2674"/>
      <c r="O589" s="2675"/>
      <c r="P589" s="156"/>
      <c r="W589" s="156"/>
      <c r="X589" s="156"/>
      <c r="Y589" s="156"/>
      <c r="Z589" s="156"/>
    </row>
    <row r="590" spans="1:26" ht="22.15" customHeight="1">
      <c r="A590" s="3253" t="s">
        <v>122</v>
      </c>
      <c r="B590" s="3254"/>
      <c r="C590" s="3255" t="str">
        <f ca="1">参照元個別!E28</f>
        <v/>
      </c>
      <c r="D590" s="3256"/>
      <c r="E590" s="3256"/>
      <c r="F590" s="3256"/>
      <c r="G590" s="3047" t="s">
        <v>1265</v>
      </c>
      <c r="H590" s="2959"/>
      <c r="I590" s="3260" t="str">
        <f>報7!I590</f>
        <v/>
      </c>
      <c r="J590" s="3261"/>
      <c r="K590" s="3261"/>
      <c r="L590" s="3261"/>
      <c r="M590" s="3047" t="s">
        <v>4308</v>
      </c>
      <c r="N590" s="3047"/>
      <c r="O590" s="3264" t="str">
        <f>報7!N590</f>
        <v/>
      </c>
      <c r="P590" s="165"/>
      <c r="Q590" s="1244"/>
      <c r="W590" s="156"/>
      <c r="X590" s="156"/>
      <c r="Y590" s="156"/>
      <c r="Z590" s="156"/>
    </row>
    <row r="591" spans="1:26" ht="22.15" customHeight="1">
      <c r="A591" s="3097">
        <f>IF(計1!$D$28="","",計1!$D$28-1)</f>
        <v>2023</v>
      </c>
      <c r="B591" s="2655"/>
      <c r="C591" s="3257"/>
      <c r="D591" s="3258"/>
      <c r="E591" s="3258"/>
      <c r="F591" s="3258"/>
      <c r="G591" s="3076"/>
      <c r="H591" s="3259"/>
      <c r="I591" s="3262"/>
      <c r="J591" s="3263"/>
      <c r="K591" s="3263"/>
      <c r="L591" s="3263"/>
      <c r="M591" s="3048"/>
      <c r="N591" s="3048"/>
      <c r="O591" s="3265"/>
      <c r="P591" s="165"/>
      <c r="Q591" s="1244"/>
      <c r="W591" s="156"/>
      <c r="X591" s="156"/>
      <c r="Y591" s="156"/>
      <c r="Z591" s="156"/>
    </row>
    <row r="592" spans="1:26" ht="22.15" customHeight="1">
      <c r="A592" s="2633" t="s">
        <v>558</v>
      </c>
      <c r="B592" s="3065"/>
      <c r="C592" s="3216"/>
      <c r="D592" s="3217"/>
      <c r="E592" s="3217"/>
      <c r="F592" s="3217"/>
      <c r="G592" s="3047" t="s">
        <v>414</v>
      </c>
      <c r="H592" s="2959"/>
      <c r="I592" s="3221"/>
      <c r="J592" s="3222"/>
      <c r="K592" s="3222"/>
      <c r="L592" s="3222"/>
      <c r="M592" s="3047" t="s">
        <v>415</v>
      </c>
      <c r="N592" s="3047"/>
      <c r="O592" s="3225" t="str">
        <f>IF(O590="","",O590)</f>
        <v/>
      </c>
      <c r="P592" s="3229"/>
      <c r="Q592" s="3229"/>
      <c r="W592" s="156"/>
      <c r="X592" s="156"/>
      <c r="Y592" s="156"/>
      <c r="Z592" s="156"/>
    </row>
    <row r="593" spans="1:26" ht="22.15" customHeight="1">
      <c r="A593" s="3080">
        <f>IF(計1!$D$28="","",計1!$G$28)</f>
        <v>2026</v>
      </c>
      <c r="B593" s="3059"/>
      <c r="C593" s="3218"/>
      <c r="D593" s="3219"/>
      <c r="E593" s="3219"/>
      <c r="F593" s="3219"/>
      <c r="G593" s="3048"/>
      <c r="H593" s="3220"/>
      <c r="I593" s="3223"/>
      <c r="J593" s="3224"/>
      <c r="K593" s="3224"/>
      <c r="L593" s="3224"/>
      <c r="M593" s="3048"/>
      <c r="N593" s="3048"/>
      <c r="O593" s="3226"/>
      <c r="P593" s="3230"/>
      <c r="Q593" s="3231"/>
      <c r="W593" s="156"/>
      <c r="X593" s="357"/>
      <c r="Y593" s="156"/>
      <c r="Z593" s="156"/>
    </row>
    <row r="594" spans="1:26" ht="24.95" customHeight="1">
      <c r="A594" s="145"/>
      <c r="B594" s="146" t="s">
        <v>577</v>
      </c>
      <c r="C594" s="147"/>
      <c r="D594" s="3232" t="str">
        <f ca="1">IF(OR(C590=0,C592=""),"",INT((C590-C592)/C590*10000)/100)</f>
        <v/>
      </c>
      <c r="E594" s="3232"/>
      <c r="F594" s="3232"/>
      <c r="G594" s="3233" t="s">
        <v>134</v>
      </c>
      <c r="H594" s="3234"/>
      <c r="I594" s="148"/>
      <c r="J594" s="3235" t="str">
        <f>IF(OR(I590=0,I592=""),"",INT((I590-I592)/I590*10000)/100)</f>
        <v/>
      </c>
      <c r="K594" s="3235"/>
      <c r="L594" s="3235"/>
      <c r="M594" s="3232" t="s">
        <v>501</v>
      </c>
      <c r="N594" s="3232"/>
      <c r="O594" s="3236"/>
      <c r="P594" s="335"/>
      <c r="Q594" s="1245"/>
      <c r="W594" s="359"/>
      <c r="X594" s="359"/>
      <c r="Y594" s="359"/>
      <c r="Z594" s="156"/>
    </row>
    <row r="595" spans="1:26" ht="27.75" customHeight="1">
      <c r="A595" s="2672" t="s">
        <v>559</v>
      </c>
      <c r="B595" s="2635"/>
      <c r="C595" s="3240"/>
      <c r="D595" s="3241"/>
      <c r="E595" s="3241"/>
      <c r="F595" s="3241"/>
      <c r="G595" s="3241"/>
      <c r="H595" s="3241"/>
      <c r="I595" s="3241"/>
      <c r="J595" s="3241"/>
      <c r="K595" s="3241"/>
      <c r="L595" s="3241"/>
      <c r="M595" s="3241"/>
      <c r="N595" s="3241"/>
      <c r="O595" s="3242"/>
      <c r="P595" s="335"/>
      <c r="Q595" s="1245"/>
      <c r="R595" s="1246"/>
      <c r="W595" s="359"/>
      <c r="X595" s="359" t="s">
        <v>586</v>
      </c>
      <c r="Y595" s="359"/>
      <c r="Z595" s="156"/>
    </row>
    <row r="596" spans="1:26" ht="35.1" customHeight="1">
      <c r="A596" s="3237"/>
      <c r="B596" s="2648"/>
      <c r="C596" s="3243"/>
      <c r="D596" s="2941"/>
      <c r="E596" s="2941"/>
      <c r="F596" s="2941"/>
      <c r="G596" s="2941"/>
      <c r="H596" s="2941"/>
      <c r="I596" s="2941"/>
      <c r="J596" s="2941"/>
      <c r="K596" s="2941"/>
      <c r="L596" s="2941"/>
      <c r="M596" s="2941"/>
      <c r="N596" s="2941"/>
      <c r="O596" s="2942"/>
      <c r="P596" s="358"/>
      <c r="Q596" s="1247"/>
      <c r="R596" s="1248">
        <v>0</v>
      </c>
      <c r="W596" s="359"/>
      <c r="X596" s="360" t="s">
        <v>587</v>
      </c>
      <c r="Y596" s="359"/>
      <c r="Z596" s="156"/>
    </row>
    <row r="597" spans="1:26" ht="93" customHeight="1">
      <c r="A597" s="3238"/>
      <c r="B597" s="3239"/>
      <c r="C597" s="3244"/>
      <c r="D597" s="2943"/>
      <c r="E597" s="2943"/>
      <c r="F597" s="2943"/>
      <c r="G597" s="2943"/>
      <c r="H597" s="2943"/>
      <c r="I597" s="2943"/>
      <c r="J597" s="2943"/>
      <c r="K597" s="2943"/>
      <c r="L597" s="2943"/>
      <c r="M597" s="2943"/>
      <c r="N597" s="2943"/>
      <c r="O597" s="2944"/>
      <c r="P597" s="336"/>
      <c r="Q597" s="1249"/>
      <c r="W597" s="156"/>
      <c r="X597" s="156"/>
      <c r="Y597" s="156"/>
      <c r="Z597" s="156"/>
    </row>
    <row r="598" spans="1:26" ht="18" customHeight="1">
      <c r="A598" s="2831" t="s">
        <v>583</v>
      </c>
      <c r="B598" s="2831"/>
      <c r="C598" s="2831"/>
      <c r="D598" s="2831"/>
      <c r="E598" s="2831"/>
      <c r="F598" s="2831"/>
      <c r="G598" s="2831"/>
      <c r="H598" s="2831"/>
      <c r="I598" s="2831"/>
      <c r="J598" s="2831"/>
      <c r="K598" s="2831"/>
      <c r="L598" s="2831"/>
      <c r="M598" s="2831"/>
      <c r="N598" s="2831"/>
      <c r="O598" s="2831"/>
      <c r="P598" s="3227"/>
      <c r="Q598" s="3227"/>
      <c r="W598" s="156"/>
      <c r="X598" s="156"/>
      <c r="Y598" s="156"/>
      <c r="Z598" s="156"/>
    </row>
    <row r="599" spans="1:26" ht="9.75" customHeight="1">
      <c r="A599" s="89"/>
      <c r="B599" s="89"/>
      <c r="C599" s="106"/>
      <c r="D599" s="106"/>
      <c r="E599" s="106"/>
      <c r="F599" s="106"/>
      <c r="G599" s="106"/>
      <c r="H599" s="106"/>
      <c r="I599" s="106"/>
      <c r="J599" s="106"/>
      <c r="K599" s="106"/>
      <c r="L599" s="106"/>
      <c r="M599" s="106"/>
      <c r="N599" s="3228"/>
      <c r="O599" s="3228"/>
      <c r="P599" s="156"/>
      <c r="W599" s="156"/>
      <c r="X599" s="156"/>
      <c r="Y599" s="156"/>
      <c r="Z599" s="156"/>
    </row>
    <row r="600" spans="1:26">
      <c r="A600" s="156"/>
      <c r="B600" s="156"/>
      <c r="C600" s="156"/>
      <c r="D600" s="156"/>
      <c r="E600" s="156"/>
      <c r="F600" s="156"/>
      <c r="G600" s="156"/>
      <c r="H600" s="156"/>
      <c r="I600" s="156"/>
      <c r="J600" s="156"/>
      <c r="K600" s="156"/>
      <c r="L600" s="156"/>
      <c r="M600" s="156"/>
      <c r="N600" s="156"/>
      <c r="O600" s="156"/>
      <c r="P600" s="156"/>
      <c r="W600" s="156"/>
      <c r="X600" s="156"/>
      <c r="Y600" s="156"/>
      <c r="Z600" s="156"/>
    </row>
    <row r="601" spans="1:26">
      <c r="A601" s="1" t="s">
        <v>520</v>
      </c>
      <c r="B601" s="2"/>
      <c r="C601" s="2"/>
      <c r="D601" s="2"/>
      <c r="E601" s="2"/>
      <c r="F601" s="2"/>
      <c r="G601" s="2"/>
      <c r="H601" s="2"/>
      <c r="I601" s="2"/>
      <c r="J601" s="2"/>
      <c r="K601" s="2"/>
      <c r="L601" s="2"/>
      <c r="M601" s="2"/>
      <c r="N601" s="2"/>
      <c r="O601" s="2"/>
      <c r="P601" s="156" t="str">
        <f>"個別票"&amp;Q601</f>
        <v>個別票25</v>
      </c>
      <c r="Q601" s="1242">
        <f>Q576+1</f>
        <v>25</v>
      </c>
      <c r="W601" s="156"/>
      <c r="X601" s="156"/>
      <c r="Y601" s="156"/>
      <c r="Z601" s="156"/>
    </row>
    <row r="602" spans="1:26">
      <c r="A602" s="2" t="s">
        <v>557</v>
      </c>
      <c r="B602" s="4"/>
      <c r="C602" s="4"/>
      <c r="D602" s="4"/>
      <c r="E602" s="4"/>
      <c r="F602" s="4"/>
      <c r="G602" s="4"/>
      <c r="H602" s="4"/>
      <c r="I602" s="4"/>
      <c r="J602" s="4"/>
      <c r="K602" s="4"/>
      <c r="L602" s="4"/>
      <c r="M602" s="4"/>
      <c r="N602" s="2"/>
      <c r="O602" s="2"/>
      <c r="P602" s="156"/>
      <c r="W602" s="156"/>
      <c r="X602" s="156"/>
      <c r="Y602" s="156"/>
      <c r="Z602" s="156"/>
    </row>
    <row r="603" spans="1:26" ht="17.25">
      <c r="A603" s="2612" t="s">
        <v>556</v>
      </c>
      <c r="B603" s="2612"/>
      <c r="C603" s="2612"/>
      <c r="D603" s="2612"/>
      <c r="E603" s="2612"/>
      <c r="F603" s="2612"/>
      <c r="G603" s="2612"/>
      <c r="H603" s="2612"/>
      <c r="I603" s="2612"/>
      <c r="J603" s="2612"/>
      <c r="K603" s="2612"/>
      <c r="L603" s="2612"/>
      <c r="M603" s="2612"/>
      <c r="N603" s="2612"/>
      <c r="O603" s="2612"/>
      <c r="P603" s="156"/>
      <c r="W603" s="156"/>
      <c r="X603" s="156"/>
      <c r="Y603" s="156"/>
      <c r="Z603" s="156"/>
    </row>
    <row r="604" spans="1:26" ht="17.25">
      <c r="A604" s="38"/>
      <c r="B604" s="38"/>
      <c r="C604" s="38"/>
      <c r="D604" s="38"/>
      <c r="E604" s="38"/>
      <c r="F604" s="38"/>
      <c r="G604" s="38"/>
      <c r="H604" s="38"/>
      <c r="I604" s="38"/>
      <c r="J604" s="38"/>
      <c r="K604" s="38"/>
      <c r="L604" s="38"/>
      <c r="M604" s="38"/>
      <c r="N604" s="38"/>
      <c r="O604" s="38"/>
      <c r="P604" s="156"/>
      <c r="W604" s="156"/>
      <c r="X604" s="156"/>
      <c r="Y604" s="156"/>
      <c r="Z604" s="156"/>
    </row>
    <row r="605" spans="1:26" ht="18" customHeight="1">
      <c r="A605" s="48" t="s">
        <v>151</v>
      </c>
      <c r="B605" s="4"/>
      <c r="C605" s="4"/>
      <c r="D605" s="4"/>
      <c r="E605" s="4"/>
      <c r="F605" s="4"/>
      <c r="G605" s="4"/>
      <c r="H605" s="4"/>
      <c r="I605" s="4"/>
      <c r="J605" s="4"/>
      <c r="K605" s="4"/>
      <c r="L605" s="4"/>
      <c r="M605" s="4"/>
      <c r="N605" s="2"/>
      <c r="O605" s="2"/>
      <c r="P605" s="156"/>
      <c r="W605" s="156"/>
      <c r="X605" s="156"/>
      <c r="Y605" s="156"/>
      <c r="Z605" s="156"/>
    </row>
    <row r="606" spans="1:26" ht="39.950000000000003" customHeight="1">
      <c r="A606" s="2984" t="s">
        <v>152</v>
      </c>
      <c r="B606" s="2985"/>
      <c r="C606" s="2986"/>
      <c r="D606" s="2987" t="str">
        <f>報7!D606</f>
        <v>事業所名を入力25</v>
      </c>
      <c r="E606" s="2988"/>
      <c r="F606" s="2988"/>
      <c r="G606" s="2988"/>
      <c r="H606" s="2988"/>
      <c r="I606" s="2988"/>
      <c r="J606" s="2988"/>
      <c r="K606" s="2988"/>
      <c r="L606" s="2988"/>
      <c r="M606" s="2988"/>
      <c r="N606" s="2988"/>
      <c r="O606" s="2989"/>
      <c r="P606" s="156"/>
      <c r="W606" s="156"/>
      <c r="X606" s="156"/>
      <c r="Y606" s="156"/>
      <c r="Z606" s="156"/>
    </row>
    <row r="607" spans="1:26" ht="39.950000000000003" customHeight="1">
      <c r="A607" s="2570" t="s">
        <v>153</v>
      </c>
      <c r="B607" s="2571"/>
      <c r="C607" s="2990"/>
      <c r="D607" s="2573">
        <f>報7!D607</f>
        <v>0</v>
      </c>
      <c r="E607" s="2574"/>
      <c r="F607" s="2574"/>
      <c r="G607" s="2574"/>
      <c r="H607" s="2574"/>
      <c r="I607" s="2574"/>
      <c r="J607" s="2574"/>
      <c r="K607" s="2574"/>
      <c r="L607" s="2574"/>
      <c r="M607" s="2574"/>
      <c r="N607" s="2574"/>
      <c r="O607" s="2575"/>
      <c r="P607" s="156"/>
      <c r="W607" s="156"/>
      <c r="X607" s="156"/>
      <c r="Y607" s="156"/>
      <c r="Z607" s="156"/>
    </row>
    <row r="608" spans="1:26" ht="39.950000000000003" customHeight="1">
      <c r="A608" s="2536" t="s">
        <v>154</v>
      </c>
      <c r="B608" s="2978"/>
      <c r="C608" s="3245">
        <f>報7!C608</f>
        <v>0</v>
      </c>
      <c r="D608" s="3246"/>
      <c r="E608" s="101" t="s">
        <v>180</v>
      </c>
      <c r="F608" s="2974" t="s">
        <v>404</v>
      </c>
      <c r="G608" s="2975"/>
      <c r="H608" s="2981" t="str">
        <f ca="1">報7!H608</f>
        <v/>
      </c>
      <c r="I608" s="2982"/>
      <c r="J608" s="58" t="s">
        <v>176</v>
      </c>
      <c r="K608" s="2974" t="s">
        <v>405</v>
      </c>
      <c r="L608" s="2975"/>
      <c r="M608" s="3247">
        <f>報7!M608</f>
        <v>0</v>
      </c>
      <c r="N608" s="3248"/>
      <c r="O608" s="3249"/>
      <c r="P608" s="156" t="str">
        <f>IFERROR(VLOOKUP(M608,$U$6:$V$22,2,0),"")</f>
        <v/>
      </c>
      <c r="W608" s="156"/>
      <c r="X608" s="156"/>
      <c r="Y608" s="156"/>
      <c r="Z608" s="156"/>
    </row>
    <row r="609" spans="1:26" ht="39.950000000000003" customHeight="1">
      <c r="A609" s="2974" t="s">
        <v>406</v>
      </c>
      <c r="B609" s="2975"/>
      <c r="C609" s="3250">
        <f>報7!C609</f>
        <v>0</v>
      </c>
      <c r="D609" s="2507"/>
      <c r="E609" s="2508"/>
      <c r="F609" s="2974" t="s">
        <v>158</v>
      </c>
      <c r="G609" s="2975"/>
      <c r="H609" s="3250">
        <f>報7!H609</f>
        <v>0</v>
      </c>
      <c r="I609" s="2507"/>
      <c r="J609" s="2508"/>
      <c r="K609" s="2580"/>
      <c r="L609" s="2977"/>
      <c r="M609" s="2977"/>
      <c r="N609" s="2977"/>
      <c r="O609" s="2977"/>
      <c r="P609" s="156"/>
      <c r="W609" s="156"/>
      <c r="X609" s="156"/>
      <c r="Y609" s="156"/>
      <c r="Z609" s="156"/>
    </row>
    <row r="610" spans="1:26" ht="49.9" customHeight="1">
      <c r="A610" s="39"/>
      <c r="B610" s="39"/>
      <c r="C610" s="40"/>
      <c r="D610" s="41"/>
      <c r="E610" s="40"/>
      <c r="F610" s="42"/>
      <c r="P610" s="156"/>
      <c r="W610" s="156"/>
      <c r="X610" s="156"/>
      <c r="Y610" s="156"/>
      <c r="Z610" s="156"/>
    </row>
    <row r="611" spans="1:26" s="103" customFormat="1" ht="19.5" customHeight="1">
      <c r="A611" s="3251" t="s">
        <v>555</v>
      </c>
      <c r="B611" s="3252"/>
      <c r="C611" s="3252"/>
      <c r="D611" s="3252"/>
      <c r="E611" s="3252"/>
      <c r="F611" s="3252"/>
      <c r="G611" s="3252"/>
      <c r="H611" s="3252"/>
      <c r="I611" s="3252"/>
      <c r="J611" s="3252"/>
      <c r="K611" s="3252"/>
      <c r="L611" s="3252"/>
      <c r="M611" s="3252"/>
      <c r="N611" s="3252"/>
      <c r="O611" s="3252"/>
      <c r="P611" s="334"/>
      <c r="Q611" s="1243"/>
      <c r="R611" s="1243"/>
      <c r="S611" s="1243"/>
      <c r="T611" s="1243"/>
      <c r="U611" s="1243"/>
      <c r="V611" s="1243"/>
      <c r="W611" s="334"/>
      <c r="X611" s="334"/>
      <c r="Y611" s="334"/>
      <c r="Z611" s="334"/>
    </row>
    <row r="612" spans="1:26" ht="49.9" customHeight="1">
      <c r="A612" s="104"/>
      <c r="B612" s="39"/>
      <c r="E612" s="105"/>
      <c r="F612" s="105"/>
      <c r="G612" s="105"/>
      <c r="H612" s="105"/>
      <c r="I612" s="105"/>
      <c r="J612" s="105"/>
      <c r="K612" s="105"/>
      <c r="L612" s="105"/>
      <c r="M612" s="105"/>
      <c r="N612" s="105"/>
      <c r="O612" s="105"/>
      <c r="P612" s="156"/>
      <c r="W612" s="156"/>
      <c r="X612" s="156"/>
      <c r="Y612" s="156"/>
      <c r="Z612" s="156"/>
    </row>
    <row r="613" spans="1:26" ht="20.25" customHeight="1">
      <c r="A613" s="50" t="s">
        <v>554</v>
      </c>
      <c r="B613" s="30"/>
      <c r="C613" s="30"/>
      <c r="D613" s="30"/>
      <c r="E613" s="30"/>
      <c r="F613" s="30"/>
      <c r="G613" s="30"/>
      <c r="H613" s="30"/>
      <c r="I613" s="30"/>
      <c r="J613" s="30"/>
      <c r="K613" s="30"/>
      <c r="L613" s="6"/>
      <c r="M613" s="6"/>
      <c r="N613" s="6"/>
      <c r="O613" s="6"/>
      <c r="P613" s="156"/>
      <c r="W613" s="156"/>
      <c r="X613" s="156"/>
      <c r="Y613" s="156"/>
      <c r="Z613" s="156"/>
    </row>
    <row r="614" spans="1:26" ht="20.100000000000001" customHeight="1">
      <c r="A614" s="2654"/>
      <c r="B614" s="2655"/>
      <c r="C614" s="2673" t="s">
        <v>561</v>
      </c>
      <c r="D614" s="2674"/>
      <c r="E614" s="2674"/>
      <c r="F614" s="2674"/>
      <c r="G614" s="2674"/>
      <c r="H614" s="2675"/>
      <c r="I614" s="2673" t="s">
        <v>560</v>
      </c>
      <c r="J614" s="2674"/>
      <c r="K614" s="2674"/>
      <c r="L614" s="2674"/>
      <c r="M614" s="2674"/>
      <c r="N614" s="2674"/>
      <c r="O614" s="2675"/>
      <c r="P614" s="156"/>
      <c r="W614" s="156"/>
      <c r="X614" s="156"/>
      <c r="Y614" s="156"/>
      <c r="Z614" s="156"/>
    </row>
    <row r="615" spans="1:26" ht="22.15" customHeight="1">
      <c r="A615" s="3253" t="s">
        <v>122</v>
      </c>
      <c r="B615" s="3254"/>
      <c r="C615" s="3255" t="str">
        <f ca="1">参照元個別!E29</f>
        <v/>
      </c>
      <c r="D615" s="3256"/>
      <c r="E615" s="3256"/>
      <c r="F615" s="3256"/>
      <c r="G615" s="3047" t="s">
        <v>1265</v>
      </c>
      <c r="H615" s="2959"/>
      <c r="I615" s="3260" t="str">
        <f>報7!I615</f>
        <v/>
      </c>
      <c r="J615" s="3261"/>
      <c r="K615" s="3261"/>
      <c r="L615" s="3261"/>
      <c r="M615" s="3047" t="s">
        <v>4308</v>
      </c>
      <c r="N615" s="3047"/>
      <c r="O615" s="3264" t="str">
        <f>報7!N615</f>
        <v/>
      </c>
      <c r="P615" s="165"/>
      <c r="Q615" s="1244"/>
      <c r="W615" s="156"/>
      <c r="X615" s="156"/>
      <c r="Y615" s="156"/>
      <c r="Z615" s="156"/>
    </row>
    <row r="616" spans="1:26" ht="22.15" customHeight="1">
      <c r="A616" s="3097">
        <f>IF(計1!$D$28="","",計1!$D$28-1)</f>
        <v>2023</v>
      </c>
      <c r="B616" s="2655"/>
      <c r="C616" s="3257"/>
      <c r="D616" s="3258"/>
      <c r="E616" s="3258"/>
      <c r="F616" s="3258"/>
      <c r="G616" s="3076"/>
      <c r="H616" s="3259"/>
      <c r="I616" s="3262"/>
      <c r="J616" s="3263"/>
      <c r="K616" s="3263"/>
      <c r="L616" s="3263"/>
      <c r="M616" s="3048"/>
      <c r="N616" s="3048"/>
      <c r="O616" s="3265"/>
      <c r="P616" s="165"/>
      <c r="Q616" s="1244"/>
      <c r="W616" s="156"/>
      <c r="X616" s="156"/>
      <c r="Y616" s="156"/>
      <c r="Z616" s="156"/>
    </row>
    <row r="617" spans="1:26" ht="22.15" customHeight="1">
      <c r="A617" s="2633" t="s">
        <v>558</v>
      </c>
      <c r="B617" s="3065"/>
      <c r="C617" s="3216"/>
      <c r="D617" s="3217"/>
      <c r="E617" s="3217"/>
      <c r="F617" s="3217"/>
      <c r="G617" s="3047" t="s">
        <v>414</v>
      </c>
      <c r="H617" s="2959"/>
      <c r="I617" s="3221"/>
      <c r="J617" s="3222"/>
      <c r="K617" s="3222"/>
      <c r="L617" s="3222"/>
      <c r="M617" s="3047" t="s">
        <v>415</v>
      </c>
      <c r="N617" s="3047"/>
      <c r="O617" s="3225" t="str">
        <f>IF(O615="","",O615)</f>
        <v/>
      </c>
      <c r="P617" s="3229"/>
      <c r="Q617" s="3229"/>
      <c r="W617" s="156"/>
      <c r="X617" s="156"/>
      <c r="Y617" s="156"/>
      <c r="Z617" s="156"/>
    </row>
    <row r="618" spans="1:26" ht="22.15" customHeight="1">
      <c r="A618" s="3080">
        <f>IF(計1!$D$28="","",計1!$G$28)</f>
        <v>2026</v>
      </c>
      <c r="B618" s="3059"/>
      <c r="C618" s="3218"/>
      <c r="D618" s="3219"/>
      <c r="E618" s="3219"/>
      <c r="F618" s="3219"/>
      <c r="G618" s="3048"/>
      <c r="H618" s="3220"/>
      <c r="I618" s="3223"/>
      <c r="J618" s="3224"/>
      <c r="K618" s="3224"/>
      <c r="L618" s="3224"/>
      <c r="M618" s="3048"/>
      <c r="N618" s="3048"/>
      <c r="O618" s="3226"/>
      <c r="P618" s="3230"/>
      <c r="Q618" s="3231"/>
      <c r="W618" s="156"/>
      <c r="X618" s="357"/>
      <c r="Y618" s="156"/>
      <c r="Z618" s="156"/>
    </row>
    <row r="619" spans="1:26" ht="24.95" customHeight="1">
      <c r="A619" s="145"/>
      <c r="B619" s="146" t="s">
        <v>577</v>
      </c>
      <c r="C619" s="147"/>
      <c r="D619" s="3232" t="str">
        <f ca="1">IF(OR(C615=0,C617=""),"",INT((C615-C617)/C615*10000)/100)</f>
        <v/>
      </c>
      <c r="E619" s="3232"/>
      <c r="F619" s="3232"/>
      <c r="G619" s="3233" t="s">
        <v>134</v>
      </c>
      <c r="H619" s="3234"/>
      <c r="I619" s="148"/>
      <c r="J619" s="3235" t="str">
        <f>IF(OR(I615=0,I617=""),"",INT((I615-I617)/I615*10000)/100)</f>
        <v/>
      </c>
      <c r="K619" s="3235"/>
      <c r="L619" s="3235"/>
      <c r="M619" s="3232" t="s">
        <v>501</v>
      </c>
      <c r="N619" s="3232"/>
      <c r="O619" s="3236"/>
      <c r="P619" s="335"/>
      <c r="Q619" s="1245"/>
      <c r="W619" s="359"/>
      <c r="X619" s="359"/>
      <c r="Y619" s="359"/>
      <c r="Z619" s="156"/>
    </row>
    <row r="620" spans="1:26" ht="27.75" customHeight="1">
      <c r="A620" s="2672" t="s">
        <v>559</v>
      </c>
      <c r="B620" s="2635"/>
      <c r="C620" s="3240"/>
      <c r="D620" s="3241"/>
      <c r="E620" s="3241"/>
      <c r="F620" s="3241"/>
      <c r="G620" s="3241"/>
      <c r="H620" s="3241"/>
      <c r="I620" s="3241"/>
      <c r="J620" s="3241"/>
      <c r="K620" s="3241"/>
      <c r="L620" s="3241"/>
      <c r="M620" s="3241"/>
      <c r="N620" s="3241"/>
      <c r="O620" s="3242"/>
      <c r="P620" s="335"/>
      <c r="Q620" s="1245"/>
      <c r="R620" s="1246"/>
      <c r="W620" s="359"/>
      <c r="X620" s="359" t="s">
        <v>586</v>
      </c>
      <c r="Y620" s="359"/>
      <c r="Z620" s="156"/>
    </row>
    <row r="621" spans="1:26" ht="35.1" customHeight="1">
      <c r="A621" s="3237"/>
      <c r="B621" s="2648"/>
      <c r="C621" s="3243"/>
      <c r="D621" s="2941"/>
      <c r="E621" s="2941"/>
      <c r="F621" s="2941"/>
      <c r="G621" s="2941"/>
      <c r="H621" s="2941"/>
      <c r="I621" s="2941"/>
      <c r="J621" s="2941"/>
      <c r="K621" s="2941"/>
      <c r="L621" s="2941"/>
      <c r="M621" s="2941"/>
      <c r="N621" s="2941"/>
      <c r="O621" s="2942"/>
      <c r="P621" s="358"/>
      <c r="Q621" s="1247"/>
      <c r="R621" s="1248">
        <v>0</v>
      </c>
      <c r="W621" s="359"/>
      <c r="X621" s="360" t="s">
        <v>587</v>
      </c>
      <c r="Y621" s="359"/>
      <c r="Z621" s="156"/>
    </row>
    <row r="622" spans="1:26" ht="93" customHeight="1">
      <c r="A622" s="3238"/>
      <c r="B622" s="3239"/>
      <c r="C622" s="3244"/>
      <c r="D622" s="2943"/>
      <c r="E622" s="2943"/>
      <c r="F622" s="2943"/>
      <c r="G622" s="2943"/>
      <c r="H622" s="2943"/>
      <c r="I622" s="2943"/>
      <c r="J622" s="2943"/>
      <c r="K622" s="2943"/>
      <c r="L622" s="2943"/>
      <c r="M622" s="2943"/>
      <c r="N622" s="2943"/>
      <c r="O622" s="2944"/>
      <c r="P622" s="336"/>
      <c r="Q622" s="1249"/>
      <c r="W622" s="156"/>
      <c r="X622" s="156"/>
      <c r="Y622" s="156"/>
      <c r="Z622" s="156"/>
    </row>
    <row r="623" spans="1:26" ht="18" customHeight="1">
      <c r="A623" s="2831" t="s">
        <v>583</v>
      </c>
      <c r="B623" s="2831"/>
      <c r="C623" s="2831"/>
      <c r="D623" s="2831"/>
      <c r="E623" s="2831"/>
      <c r="F623" s="2831"/>
      <c r="G623" s="2831"/>
      <c r="H623" s="2831"/>
      <c r="I623" s="2831"/>
      <c r="J623" s="2831"/>
      <c r="K623" s="2831"/>
      <c r="L623" s="2831"/>
      <c r="M623" s="2831"/>
      <c r="N623" s="2831"/>
      <c r="O623" s="2831"/>
      <c r="P623" s="3227"/>
      <c r="Q623" s="3227"/>
      <c r="W623" s="156"/>
      <c r="X623" s="156"/>
      <c r="Y623" s="156"/>
      <c r="Z623" s="156"/>
    </row>
    <row r="624" spans="1:26" ht="9.75" customHeight="1">
      <c r="A624" s="89"/>
      <c r="B624" s="89"/>
      <c r="C624" s="106"/>
      <c r="D624" s="106"/>
      <c r="E624" s="106"/>
      <c r="F624" s="106"/>
      <c r="G624" s="106"/>
      <c r="H624" s="106"/>
      <c r="I624" s="106"/>
      <c r="J624" s="106"/>
      <c r="K624" s="106"/>
      <c r="L624" s="106"/>
      <c r="M624" s="106"/>
      <c r="N624" s="3228"/>
      <c r="O624" s="3228"/>
      <c r="P624" s="156"/>
      <c r="W624" s="156"/>
      <c r="X624" s="156"/>
      <c r="Y624" s="156"/>
      <c r="Z624" s="156"/>
    </row>
    <row r="625" spans="1:26">
      <c r="A625" s="156"/>
      <c r="B625" s="156"/>
      <c r="C625" s="156"/>
      <c r="D625" s="156"/>
      <c r="E625" s="156"/>
      <c r="F625" s="156"/>
      <c r="G625" s="156"/>
      <c r="H625" s="156"/>
      <c r="I625" s="156"/>
      <c r="J625" s="156"/>
      <c r="K625" s="156"/>
      <c r="L625" s="156"/>
      <c r="M625" s="156"/>
      <c r="N625" s="156"/>
      <c r="O625" s="156"/>
      <c r="P625" s="156"/>
      <c r="W625" s="156"/>
      <c r="X625" s="156"/>
      <c r="Y625" s="156"/>
      <c r="Z625" s="156"/>
    </row>
    <row r="626" spans="1:26">
      <c r="A626" s="1" t="s">
        <v>520</v>
      </c>
      <c r="B626" s="2"/>
      <c r="C626" s="2"/>
      <c r="D626" s="2"/>
      <c r="E626" s="2"/>
      <c r="F626" s="2"/>
      <c r="G626" s="2"/>
      <c r="H626" s="2"/>
      <c r="I626" s="2"/>
      <c r="J626" s="2"/>
      <c r="K626" s="2"/>
      <c r="L626" s="2"/>
      <c r="M626" s="2"/>
      <c r="N626" s="2"/>
      <c r="O626" s="2"/>
      <c r="P626" s="156" t="str">
        <f>"個別票"&amp;Q626</f>
        <v>個別票26</v>
      </c>
      <c r="Q626" s="1242">
        <f>Q601+1</f>
        <v>26</v>
      </c>
      <c r="W626" s="156"/>
      <c r="X626" s="156"/>
      <c r="Y626" s="156"/>
      <c r="Z626" s="156"/>
    </row>
    <row r="627" spans="1:26">
      <c r="A627" s="2" t="s">
        <v>557</v>
      </c>
      <c r="B627" s="4"/>
      <c r="C627" s="4"/>
      <c r="D627" s="4"/>
      <c r="E627" s="4"/>
      <c r="F627" s="4"/>
      <c r="G627" s="4"/>
      <c r="H627" s="4"/>
      <c r="I627" s="4"/>
      <c r="J627" s="4"/>
      <c r="K627" s="4"/>
      <c r="L627" s="4"/>
      <c r="M627" s="4"/>
      <c r="N627" s="2"/>
      <c r="O627" s="2"/>
      <c r="P627" s="156"/>
      <c r="W627" s="156"/>
      <c r="X627" s="156"/>
      <c r="Y627" s="156"/>
      <c r="Z627" s="156"/>
    </row>
    <row r="628" spans="1:26" ht="17.25">
      <c r="A628" s="2612" t="s">
        <v>556</v>
      </c>
      <c r="B628" s="2612"/>
      <c r="C628" s="2612"/>
      <c r="D628" s="2612"/>
      <c r="E628" s="2612"/>
      <c r="F628" s="2612"/>
      <c r="G628" s="2612"/>
      <c r="H628" s="2612"/>
      <c r="I628" s="2612"/>
      <c r="J628" s="2612"/>
      <c r="K628" s="2612"/>
      <c r="L628" s="2612"/>
      <c r="M628" s="2612"/>
      <c r="N628" s="2612"/>
      <c r="O628" s="2612"/>
      <c r="P628" s="156"/>
      <c r="W628" s="156"/>
      <c r="X628" s="156"/>
      <c r="Y628" s="156"/>
      <c r="Z628" s="156"/>
    </row>
    <row r="629" spans="1:26" ht="17.25">
      <c r="A629" s="38"/>
      <c r="B629" s="38"/>
      <c r="C629" s="38"/>
      <c r="D629" s="38"/>
      <c r="E629" s="38"/>
      <c r="F629" s="38"/>
      <c r="G629" s="38"/>
      <c r="H629" s="38"/>
      <c r="I629" s="38"/>
      <c r="J629" s="38"/>
      <c r="K629" s="38"/>
      <c r="L629" s="38"/>
      <c r="M629" s="38"/>
      <c r="N629" s="38"/>
      <c r="O629" s="38"/>
      <c r="P629" s="156"/>
      <c r="W629" s="156"/>
      <c r="X629" s="156"/>
      <c r="Y629" s="156"/>
      <c r="Z629" s="156"/>
    </row>
    <row r="630" spans="1:26" ht="18" customHeight="1">
      <c r="A630" s="48" t="s">
        <v>151</v>
      </c>
      <c r="B630" s="4"/>
      <c r="C630" s="4"/>
      <c r="D630" s="4"/>
      <c r="E630" s="4"/>
      <c r="F630" s="4"/>
      <c r="G630" s="4"/>
      <c r="H630" s="4"/>
      <c r="I630" s="4"/>
      <c r="J630" s="4"/>
      <c r="K630" s="4"/>
      <c r="L630" s="4"/>
      <c r="M630" s="4"/>
      <c r="N630" s="2"/>
      <c r="O630" s="2"/>
      <c r="P630" s="156"/>
      <c r="W630" s="156"/>
      <c r="X630" s="156"/>
      <c r="Y630" s="156"/>
      <c r="Z630" s="156"/>
    </row>
    <row r="631" spans="1:26" ht="39.950000000000003" customHeight="1">
      <c r="A631" s="2984" t="s">
        <v>152</v>
      </c>
      <c r="B631" s="2985"/>
      <c r="C631" s="2986"/>
      <c r="D631" s="2987" t="str">
        <f>報7!D631</f>
        <v>事業所名を入力26</v>
      </c>
      <c r="E631" s="2988"/>
      <c r="F631" s="2988"/>
      <c r="G631" s="2988"/>
      <c r="H631" s="2988"/>
      <c r="I631" s="2988"/>
      <c r="J631" s="2988"/>
      <c r="K631" s="2988"/>
      <c r="L631" s="2988"/>
      <c r="M631" s="2988"/>
      <c r="N631" s="2988"/>
      <c r="O631" s="2989"/>
      <c r="P631" s="156"/>
      <c r="W631" s="156"/>
      <c r="X631" s="156"/>
      <c r="Y631" s="156"/>
      <c r="Z631" s="156"/>
    </row>
    <row r="632" spans="1:26" ht="39.950000000000003" customHeight="1">
      <c r="A632" s="2570" t="s">
        <v>153</v>
      </c>
      <c r="B632" s="2571"/>
      <c r="C632" s="2990"/>
      <c r="D632" s="2573">
        <f>報7!D632</f>
        <v>0</v>
      </c>
      <c r="E632" s="2574"/>
      <c r="F632" s="2574"/>
      <c r="G632" s="2574"/>
      <c r="H632" s="2574"/>
      <c r="I632" s="2574"/>
      <c r="J632" s="2574"/>
      <c r="K632" s="2574"/>
      <c r="L632" s="2574"/>
      <c r="M632" s="2574"/>
      <c r="N632" s="2574"/>
      <c r="O632" s="2575"/>
      <c r="P632" s="156"/>
      <c r="W632" s="156"/>
      <c r="X632" s="156"/>
      <c r="Y632" s="156"/>
      <c r="Z632" s="156"/>
    </row>
    <row r="633" spans="1:26" ht="39.950000000000003" customHeight="1">
      <c r="A633" s="2536" t="s">
        <v>154</v>
      </c>
      <c r="B633" s="2978"/>
      <c r="C633" s="3245">
        <f>報7!C633</f>
        <v>0</v>
      </c>
      <c r="D633" s="3246"/>
      <c r="E633" s="101" t="s">
        <v>180</v>
      </c>
      <c r="F633" s="2974" t="s">
        <v>404</v>
      </c>
      <c r="G633" s="2975"/>
      <c r="H633" s="2981" t="str">
        <f ca="1">報7!H633</f>
        <v/>
      </c>
      <c r="I633" s="2982"/>
      <c r="J633" s="58" t="s">
        <v>176</v>
      </c>
      <c r="K633" s="2974" t="s">
        <v>405</v>
      </c>
      <c r="L633" s="2975"/>
      <c r="M633" s="3247">
        <f>報7!M633</f>
        <v>0</v>
      </c>
      <c r="N633" s="3248"/>
      <c r="O633" s="3249"/>
      <c r="P633" s="156" t="str">
        <f>IFERROR(VLOOKUP(M633,$U$6:$V$22,2,0),"")</f>
        <v/>
      </c>
      <c r="W633" s="156"/>
      <c r="X633" s="156"/>
      <c r="Y633" s="156"/>
      <c r="Z633" s="156"/>
    </row>
    <row r="634" spans="1:26" ht="39.950000000000003" customHeight="1">
      <c r="A634" s="2974" t="s">
        <v>406</v>
      </c>
      <c r="B634" s="2975"/>
      <c r="C634" s="3250">
        <f>報7!C634</f>
        <v>0</v>
      </c>
      <c r="D634" s="2507"/>
      <c r="E634" s="2508"/>
      <c r="F634" s="2974" t="s">
        <v>158</v>
      </c>
      <c r="G634" s="2975"/>
      <c r="H634" s="3250">
        <f>報7!H634</f>
        <v>0</v>
      </c>
      <c r="I634" s="2507"/>
      <c r="J634" s="2508"/>
      <c r="K634" s="2580"/>
      <c r="L634" s="2977"/>
      <c r="M634" s="2977"/>
      <c r="N634" s="2977"/>
      <c r="O634" s="2977"/>
      <c r="P634" s="156"/>
      <c r="W634" s="156"/>
      <c r="X634" s="156"/>
      <c r="Y634" s="156"/>
      <c r="Z634" s="156"/>
    </row>
    <row r="635" spans="1:26" ht="49.9" customHeight="1">
      <c r="A635" s="39"/>
      <c r="B635" s="39"/>
      <c r="C635" s="40"/>
      <c r="D635" s="41"/>
      <c r="E635" s="40"/>
      <c r="F635" s="42"/>
      <c r="P635" s="156"/>
      <c r="W635" s="156"/>
      <c r="X635" s="156"/>
      <c r="Y635" s="156"/>
      <c r="Z635" s="156"/>
    </row>
    <row r="636" spans="1:26" s="103" customFormat="1" ht="19.5" customHeight="1">
      <c r="A636" s="3251" t="s">
        <v>555</v>
      </c>
      <c r="B636" s="3252"/>
      <c r="C636" s="3252"/>
      <c r="D636" s="3252"/>
      <c r="E636" s="3252"/>
      <c r="F636" s="3252"/>
      <c r="G636" s="3252"/>
      <c r="H636" s="3252"/>
      <c r="I636" s="3252"/>
      <c r="J636" s="3252"/>
      <c r="K636" s="3252"/>
      <c r="L636" s="3252"/>
      <c r="M636" s="3252"/>
      <c r="N636" s="3252"/>
      <c r="O636" s="3252"/>
      <c r="P636" s="334"/>
      <c r="Q636" s="1243"/>
      <c r="R636" s="1243"/>
      <c r="S636" s="1243"/>
      <c r="T636" s="1243"/>
      <c r="U636" s="1243"/>
      <c r="V636" s="1243"/>
      <c r="W636" s="334"/>
      <c r="X636" s="334"/>
      <c r="Y636" s="334"/>
      <c r="Z636" s="334"/>
    </row>
    <row r="637" spans="1:26" ht="49.9" customHeight="1">
      <c r="A637" s="104"/>
      <c r="B637" s="39"/>
      <c r="E637" s="105"/>
      <c r="F637" s="105"/>
      <c r="G637" s="105"/>
      <c r="H637" s="105"/>
      <c r="I637" s="105"/>
      <c r="J637" s="105"/>
      <c r="K637" s="105"/>
      <c r="L637" s="105"/>
      <c r="M637" s="105"/>
      <c r="N637" s="105"/>
      <c r="O637" s="105"/>
      <c r="P637" s="156"/>
      <c r="W637" s="156"/>
      <c r="X637" s="156"/>
      <c r="Y637" s="156"/>
      <c r="Z637" s="156"/>
    </row>
    <row r="638" spans="1:26" ht="20.25" customHeight="1">
      <c r="A638" s="50" t="s">
        <v>554</v>
      </c>
      <c r="B638" s="30"/>
      <c r="C638" s="30"/>
      <c r="D638" s="30"/>
      <c r="E638" s="30"/>
      <c r="F638" s="30"/>
      <c r="G638" s="30"/>
      <c r="H638" s="30"/>
      <c r="I638" s="30"/>
      <c r="J638" s="30"/>
      <c r="K638" s="30"/>
      <c r="L638" s="6"/>
      <c r="M638" s="6"/>
      <c r="N638" s="6"/>
      <c r="O638" s="6"/>
      <c r="P638" s="156"/>
      <c r="W638" s="156"/>
      <c r="X638" s="156"/>
      <c r="Y638" s="156"/>
      <c r="Z638" s="156"/>
    </row>
    <row r="639" spans="1:26" ht="20.100000000000001" customHeight="1">
      <c r="A639" s="2654"/>
      <c r="B639" s="2655"/>
      <c r="C639" s="2673" t="s">
        <v>561</v>
      </c>
      <c r="D639" s="2674"/>
      <c r="E639" s="2674"/>
      <c r="F639" s="2674"/>
      <c r="G639" s="2674"/>
      <c r="H639" s="2675"/>
      <c r="I639" s="2673" t="s">
        <v>560</v>
      </c>
      <c r="J639" s="2674"/>
      <c r="K639" s="2674"/>
      <c r="L639" s="2674"/>
      <c r="M639" s="2674"/>
      <c r="N639" s="2674"/>
      <c r="O639" s="2675"/>
      <c r="P639" s="156"/>
      <c r="W639" s="156"/>
      <c r="X639" s="156"/>
      <c r="Y639" s="156"/>
      <c r="Z639" s="156"/>
    </row>
    <row r="640" spans="1:26" ht="22.15" customHeight="1">
      <c r="A640" s="3253" t="s">
        <v>122</v>
      </c>
      <c r="B640" s="3254"/>
      <c r="C640" s="3255" t="str">
        <f ca="1">参照元個別!E30</f>
        <v/>
      </c>
      <c r="D640" s="3256"/>
      <c r="E640" s="3256"/>
      <c r="F640" s="3256"/>
      <c r="G640" s="3047" t="s">
        <v>1265</v>
      </c>
      <c r="H640" s="2959"/>
      <c r="I640" s="3260" t="str">
        <f>報7!I640</f>
        <v/>
      </c>
      <c r="J640" s="3261"/>
      <c r="K640" s="3261"/>
      <c r="L640" s="3261"/>
      <c r="M640" s="3047" t="s">
        <v>4308</v>
      </c>
      <c r="N640" s="3047"/>
      <c r="O640" s="3264" t="str">
        <f>報7!N640</f>
        <v/>
      </c>
      <c r="P640" s="165"/>
      <c r="Q640" s="1244"/>
      <c r="W640" s="156"/>
      <c r="X640" s="156"/>
      <c r="Y640" s="156"/>
      <c r="Z640" s="156"/>
    </row>
    <row r="641" spans="1:26" ht="22.15" customHeight="1">
      <c r="A641" s="3097">
        <f>IF(計1!$D$28="","",計1!$D$28-1)</f>
        <v>2023</v>
      </c>
      <c r="B641" s="2655"/>
      <c r="C641" s="3257"/>
      <c r="D641" s="3258"/>
      <c r="E641" s="3258"/>
      <c r="F641" s="3258"/>
      <c r="G641" s="3076"/>
      <c r="H641" s="3259"/>
      <c r="I641" s="3262"/>
      <c r="J641" s="3263"/>
      <c r="K641" s="3263"/>
      <c r="L641" s="3263"/>
      <c r="M641" s="3048"/>
      <c r="N641" s="3048"/>
      <c r="O641" s="3265"/>
      <c r="P641" s="165"/>
      <c r="Q641" s="1244"/>
      <c r="W641" s="156"/>
      <c r="X641" s="156"/>
      <c r="Y641" s="156"/>
      <c r="Z641" s="156"/>
    </row>
    <row r="642" spans="1:26" ht="22.15" customHeight="1">
      <c r="A642" s="2633" t="s">
        <v>558</v>
      </c>
      <c r="B642" s="3065"/>
      <c r="C642" s="3216"/>
      <c r="D642" s="3217"/>
      <c r="E642" s="3217"/>
      <c r="F642" s="3217"/>
      <c r="G642" s="3047" t="s">
        <v>414</v>
      </c>
      <c r="H642" s="2959"/>
      <c r="I642" s="3221"/>
      <c r="J642" s="3222"/>
      <c r="K642" s="3222"/>
      <c r="L642" s="3222"/>
      <c r="M642" s="3047" t="s">
        <v>415</v>
      </c>
      <c r="N642" s="3047"/>
      <c r="O642" s="3225" t="str">
        <f>IF(O640="","",O640)</f>
        <v/>
      </c>
      <c r="P642" s="3229"/>
      <c r="Q642" s="3229"/>
      <c r="W642" s="156"/>
      <c r="X642" s="156"/>
      <c r="Y642" s="156"/>
      <c r="Z642" s="156"/>
    </row>
    <row r="643" spans="1:26" ht="22.15" customHeight="1">
      <c r="A643" s="3080">
        <f>IF(計1!$D$28="","",計1!$G$28)</f>
        <v>2026</v>
      </c>
      <c r="B643" s="3059"/>
      <c r="C643" s="3218"/>
      <c r="D643" s="3219"/>
      <c r="E643" s="3219"/>
      <c r="F643" s="3219"/>
      <c r="G643" s="3048"/>
      <c r="H643" s="3220"/>
      <c r="I643" s="3223"/>
      <c r="J643" s="3224"/>
      <c r="K643" s="3224"/>
      <c r="L643" s="3224"/>
      <c r="M643" s="3048"/>
      <c r="N643" s="3048"/>
      <c r="O643" s="3226"/>
      <c r="P643" s="3230"/>
      <c r="Q643" s="3231"/>
      <c r="W643" s="156"/>
      <c r="X643" s="357"/>
      <c r="Y643" s="156"/>
      <c r="Z643" s="156"/>
    </row>
    <row r="644" spans="1:26" ht="24.95" customHeight="1">
      <c r="A644" s="145"/>
      <c r="B644" s="146" t="s">
        <v>577</v>
      </c>
      <c r="C644" s="147"/>
      <c r="D644" s="3232" t="str">
        <f ca="1">IF(OR(C640=0,C642=""),"",INT((C640-C642)/C640*10000)/100)</f>
        <v/>
      </c>
      <c r="E644" s="3232"/>
      <c r="F644" s="3232"/>
      <c r="G644" s="3233" t="s">
        <v>134</v>
      </c>
      <c r="H644" s="3234"/>
      <c r="I644" s="148"/>
      <c r="J644" s="3235" t="str">
        <f>IF(OR(I640=0,I642=""),"",INT((I640-I642)/I640*10000)/100)</f>
        <v/>
      </c>
      <c r="K644" s="3235"/>
      <c r="L644" s="3235"/>
      <c r="M644" s="3232" t="s">
        <v>501</v>
      </c>
      <c r="N644" s="3232"/>
      <c r="O644" s="3236"/>
      <c r="P644" s="335"/>
      <c r="Q644" s="1245"/>
      <c r="W644" s="359"/>
      <c r="X644" s="359"/>
      <c r="Y644" s="359"/>
      <c r="Z644" s="156"/>
    </row>
    <row r="645" spans="1:26" ht="27.75" customHeight="1">
      <c r="A645" s="2672" t="s">
        <v>559</v>
      </c>
      <c r="B645" s="2635"/>
      <c r="C645" s="3240"/>
      <c r="D645" s="3241"/>
      <c r="E645" s="3241"/>
      <c r="F645" s="3241"/>
      <c r="G645" s="3241"/>
      <c r="H645" s="3241"/>
      <c r="I645" s="3241"/>
      <c r="J645" s="3241"/>
      <c r="K645" s="3241"/>
      <c r="L645" s="3241"/>
      <c r="M645" s="3241"/>
      <c r="N645" s="3241"/>
      <c r="O645" s="3242"/>
      <c r="P645" s="335"/>
      <c r="Q645" s="1245"/>
      <c r="R645" s="1246"/>
      <c r="W645" s="359"/>
      <c r="X645" s="359" t="s">
        <v>586</v>
      </c>
      <c r="Y645" s="359"/>
      <c r="Z645" s="156"/>
    </row>
    <row r="646" spans="1:26" ht="35.1" customHeight="1">
      <c r="A646" s="3237"/>
      <c r="B646" s="2648"/>
      <c r="C646" s="3243"/>
      <c r="D646" s="2941"/>
      <c r="E646" s="2941"/>
      <c r="F646" s="2941"/>
      <c r="G646" s="2941"/>
      <c r="H646" s="2941"/>
      <c r="I646" s="2941"/>
      <c r="J646" s="2941"/>
      <c r="K646" s="2941"/>
      <c r="L646" s="2941"/>
      <c r="M646" s="2941"/>
      <c r="N646" s="2941"/>
      <c r="O646" s="2942"/>
      <c r="P646" s="358"/>
      <c r="Q646" s="1247"/>
      <c r="R646" s="1248">
        <v>0</v>
      </c>
      <c r="W646" s="359"/>
      <c r="X646" s="360" t="s">
        <v>587</v>
      </c>
      <c r="Y646" s="359"/>
      <c r="Z646" s="156"/>
    </row>
    <row r="647" spans="1:26" ht="93" customHeight="1">
      <c r="A647" s="3238"/>
      <c r="B647" s="3239"/>
      <c r="C647" s="3244"/>
      <c r="D647" s="2943"/>
      <c r="E647" s="2943"/>
      <c r="F647" s="2943"/>
      <c r="G647" s="2943"/>
      <c r="H647" s="2943"/>
      <c r="I647" s="2943"/>
      <c r="J647" s="2943"/>
      <c r="K647" s="2943"/>
      <c r="L647" s="2943"/>
      <c r="M647" s="2943"/>
      <c r="N647" s="2943"/>
      <c r="O647" s="2944"/>
      <c r="P647" s="336"/>
      <c r="Q647" s="1249"/>
      <c r="W647" s="156"/>
      <c r="X647" s="156"/>
      <c r="Y647" s="156"/>
      <c r="Z647" s="156"/>
    </row>
    <row r="648" spans="1:26" ht="18" customHeight="1">
      <c r="A648" s="2831" t="s">
        <v>583</v>
      </c>
      <c r="B648" s="2831"/>
      <c r="C648" s="2831"/>
      <c r="D648" s="2831"/>
      <c r="E648" s="2831"/>
      <c r="F648" s="2831"/>
      <c r="G648" s="2831"/>
      <c r="H648" s="2831"/>
      <c r="I648" s="2831"/>
      <c r="J648" s="2831"/>
      <c r="K648" s="2831"/>
      <c r="L648" s="2831"/>
      <c r="M648" s="2831"/>
      <c r="N648" s="2831"/>
      <c r="O648" s="2831"/>
      <c r="P648" s="3227"/>
      <c r="Q648" s="3227"/>
      <c r="W648" s="156"/>
      <c r="X648" s="156"/>
      <c r="Y648" s="156"/>
      <c r="Z648" s="156"/>
    </row>
    <row r="649" spans="1:26" ht="9.75" customHeight="1">
      <c r="A649" s="89"/>
      <c r="B649" s="89"/>
      <c r="C649" s="106"/>
      <c r="D649" s="106"/>
      <c r="E649" s="106"/>
      <c r="F649" s="106"/>
      <c r="G649" s="106"/>
      <c r="H649" s="106"/>
      <c r="I649" s="106"/>
      <c r="J649" s="106"/>
      <c r="K649" s="106"/>
      <c r="L649" s="106"/>
      <c r="M649" s="106"/>
      <c r="N649" s="3228"/>
      <c r="O649" s="3228"/>
      <c r="P649" s="156"/>
      <c r="W649" s="156"/>
      <c r="X649" s="156"/>
      <c r="Y649" s="156"/>
      <c r="Z649" s="156"/>
    </row>
    <row r="650" spans="1:26">
      <c r="A650" s="156"/>
      <c r="B650" s="156"/>
      <c r="C650" s="156"/>
      <c r="D650" s="156"/>
      <c r="E650" s="156"/>
      <c r="F650" s="156"/>
      <c r="G650" s="156"/>
      <c r="H650" s="156"/>
      <c r="I650" s="156"/>
      <c r="J650" s="156"/>
      <c r="K650" s="156"/>
      <c r="L650" s="156"/>
      <c r="M650" s="156"/>
      <c r="N650" s="156"/>
      <c r="O650" s="156"/>
      <c r="P650" s="156"/>
      <c r="W650" s="156"/>
      <c r="X650" s="156"/>
      <c r="Y650" s="156"/>
      <c r="Z650" s="156"/>
    </row>
    <row r="651" spans="1:26">
      <c r="A651" s="1" t="s">
        <v>520</v>
      </c>
      <c r="B651" s="2"/>
      <c r="C651" s="2"/>
      <c r="D651" s="2"/>
      <c r="E651" s="2"/>
      <c r="F651" s="2"/>
      <c r="G651" s="2"/>
      <c r="H651" s="2"/>
      <c r="I651" s="2"/>
      <c r="J651" s="2"/>
      <c r="K651" s="2"/>
      <c r="L651" s="2"/>
      <c r="M651" s="2"/>
      <c r="N651" s="2"/>
      <c r="O651" s="2"/>
      <c r="P651" s="156" t="str">
        <f>"個別票"&amp;Q651</f>
        <v>個別票27</v>
      </c>
      <c r="Q651" s="1242">
        <f>Q626+1</f>
        <v>27</v>
      </c>
      <c r="W651" s="156"/>
      <c r="X651" s="156"/>
      <c r="Y651" s="156"/>
      <c r="Z651" s="156"/>
    </row>
    <row r="652" spans="1:26">
      <c r="A652" s="2" t="s">
        <v>557</v>
      </c>
      <c r="B652" s="4"/>
      <c r="C652" s="4"/>
      <c r="D652" s="4"/>
      <c r="E652" s="4"/>
      <c r="F652" s="4"/>
      <c r="G652" s="4"/>
      <c r="H652" s="4"/>
      <c r="I652" s="4"/>
      <c r="J652" s="4"/>
      <c r="K652" s="4"/>
      <c r="L652" s="4"/>
      <c r="M652" s="4"/>
      <c r="N652" s="2"/>
      <c r="O652" s="2"/>
      <c r="P652" s="156"/>
      <c r="W652" s="156"/>
      <c r="X652" s="156"/>
      <c r="Y652" s="156"/>
      <c r="Z652" s="156"/>
    </row>
    <row r="653" spans="1:26" ht="17.25">
      <c r="A653" s="2612" t="s">
        <v>556</v>
      </c>
      <c r="B653" s="2612"/>
      <c r="C653" s="2612"/>
      <c r="D653" s="2612"/>
      <c r="E653" s="2612"/>
      <c r="F653" s="2612"/>
      <c r="G653" s="2612"/>
      <c r="H653" s="2612"/>
      <c r="I653" s="2612"/>
      <c r="J653" s="2612"/>
      <c r="K653" s="2612"/>
      <c r="L653" s="2612"/>
      <c r="M653" s="2612"/>
      <c r="N653" s="2612"/>
      <c r="O653" s="2612"/>
      <c r="P653" s="156"/>
      <c r="W653" s="156"/>
      <c r="X653" s="156"/>
      <c r="Y653" s="156"/>
      <c r="Z653" s="156"/>
    </row>
    <row r="654" spans="1:26" ht="17.25">
      <c r="A654" s="38"/>
      <c r="B654" s="38"/>
      <c r="C654" s="38"/>
      <c r="D654" s="38"/>
      <c r="E654" s="38"/>
      <c r="F654" s="38"/>
      <c r="G654" s="38"/>
      <c r="H654" s="38"/>
      <c r="I654" s="38"/>
      <c r="J654" s="38"/>
      <c r="K654" s="38"/>
      <c r="L654" s="38"/>
      <c r="M654" s="38"/>
      <c r="N654" s="38"/>
      <c r="O654" s="38"/>
      <c r="P654" s="156"/>
      <c r="W654" s="156"/>
      <c r="X654" s="156"/>
      <c r="Y654" s="156"/>
      <c r="Z654" s="156"/>
    </row>
    <row r="655" spans="1:26" ht="18" customHeight="1">
      <c r="A655" s="48" t="s">
        <v>151</v>
      </c>
      <c r="B655" s="4"/>
      <c r="C655" s="4"/>
      <c r="D655" s="4"/>
      <c r="E655" s="4"/>
      <c r="F655" s="4"/>
      <c r="G655" s="4"/>
      <c r="H655" s="4"/>
      <c r="I655" s="4"/>
      <c r="J655" s="4"/>
      <c r="K655" s="4"/>
      <c r="L655" s="4"/>
      <c r="M655" s="4"/>
      <c r="N655" s="2"/>
      <c r="O655" s="2"/>
      <c r="P655" s="156"/>
      <c r="W655" s="156"/>
      <c r="X655" s="156"/>
      <c r="Y655" s="156"/>
      <c r="Z655" s="156"/>
    </row>
    <row r="656" spans="1:26" ht="39.950000000000003" customHeight="1">
      <c r="A656" s="2984" t="s">
        <v>152</v>
      </c>
      <c r="B656" s="2985"/>
      <c r="C656" s="2986"/>
      <c r="D656" s="2987" t="str">
        <f>報7!D656</f>
        <v>事業所名を入力27</v>
      </c>
      <c r="E656" s="2988"/>
      <c r="F656" s="2988"/>
      <c r="G656" s="2988"/>
      <c r="H656" s="2988"/>
      <c r="I656" s="2988"/>
      <c r="J656" s="2988"/>
      <c r="K656" s="2988"/>
      <c r="L656" s="2988"/>
      <c r="M656" s="2988"/>
      <c r="N656" s="2988"/>
      <c r="O656" s="2989"/>
      <c r="P656" s="156"/>
      <c r="W656" s="156"/>
      <c r="X656" s="156"/>
      <c r="Y656" s="156"/>
      <c r="Z656" s="156"/>
    </row>
    <row r="657" spans="1:26" ht="39.950000000000003" customHeight="1">
      <c r="A657" s="2570" t="s">
        <v>153</v>
      </c>
      <c r="B657" s="2571"/>
      <c r="C657" s="2990"/>
      <c r="D657" s="2573">
        <f>報7!D657</f>
        <v>0</v>
      </c>
      <c r="E657" s="2574"/>
      <c r="F657" s="2574"/>
      <c r="G657" s="2574"/>
      <c r="H657" s="2574"/>
      <c r="I657" s="2574"/>
      <c r="J657" s="2574"/>
      <c r="K657" s="2574"/>
      <c r="L657" s="2574"/>
      <c r="M657" s="2574"/>
      <c r="N657" s="2574"/>
      <c r="O657" s="2575"/>
      <c r="P657" s="156"/>
      <c r="W657" s="156"/>
      <c r="X657" s="156"/>
      <c r="Y657" s="156"/>
      <c r="Z657" s="156"/>
    </row>
    <row r="658" spans="1:26" ht="39.950000000000003" customHeight="1">
      <c r="A658" s="2536" t="s">
        <v>154</v>
      </c>
      <c r="B658" s="2978"/>
      <c r="C658" s="3245">
        <f>報7!C658</f>
        <v>0</v>
      </c>
      <c r="D658" s="3246"/>
      <c r="E658" s="101" t="s">
        <v>180</v>
      </c>
      <c r="F658" s="2974" t="s">
        <v>404</v>
      </c>
      <c r="G658" s="2975"/>
      <c r="H658" s="2981" t="str">
        <f ca="1">報7!H658</f>
        <v/>
      </c>
      <c r="I658" s="2982"/>
      <c r="J658" s="58" t="s">
        <v>176</v>
      </c>
      <c r="K658" s="2974" t="s">
        <v>405</v>
      </c>
      <c r="L658" s="2975"/>
      <c r="M658" s="3247">
        <f>報7!M658</f>
        <v>0</v>
      </c>
      <c r="N658" s="3248"/>
      <c r="O658" s="3249"/>
      <c r="P658" s="156" t="str">
        <f>IFERROR(VLOOKUP(M658,$U$6:$V$22,2,0),"")</f>
        <v/>
      </c>
      <c r="W658" s="156"/>
      <c r="X658" s="156"/>
      <c r="Y658" s="156"/>
      <c r="Z658" s="156"/>
    </row>
    <row r="659" spans="1:26" ht="39.950000000000003" customHeight="1">
      <c r="A659" s="2974" t="s">
        <v>406</v>
      </c>
      <c r="B659" s="2975"/>
      <c r="C659" s="3250">
        <f>報7!C659</f>
        <v>0</v>
      </c>
      <c r="D659" s="2507"/>
      <c r="E659" s="2508"/>
      <c r="F659" s="2974" t="s">
        <v>158</v>
      </c>
      <c r="G659" s="2975"/>
      <c r="H659" s="3250">
        <f>報7!H659</f>
        <v>0</v>
      </c>
      <c r="I659" s="2507"/>
      <c r="J659" s="2508"/>
      <c r="K659" s="2580"/>
      <c r="L659" s="2977"/>
      <c r="M659" s="2977"/>
      <c r="N659" s="2977"/>
      <c r="O659" s="2977"/>
      <c r="P659" s="156"/>
      <c r="W659" s="156"/>
      <c r="X659" s="156"/>
      <c r="Y659" s="156"/>
      <c r="Z659" s="156"/>
    </row>
    <row r="660" spans="1:26" ht="49.9" customHeight="1">
      <c r="A660" s="39"/>
      <c r="B660" s="39"/>
      <c r="C660" s="40"/>
      <c r="D660" s="41"/>
      <c r="E660" s="40"/>
      <c r="F660" s="42"/>
      <c r="P660" s="156"/>
      <c r="W660" s="156"/>
      <c r="X660" s="156"/>
      <c r="Y660" s="156"/>
      <c r="Z660" s="156"/>
    </row>
    <row r="661" spans="1:26" s="103" customFormat="1" ht="19.5" customHeight="1">
      <c r="A661" s="3251" t="s">
        <v>555</v>
      </c>
      <c r="B661" s="3252"/>
      <c r="C661" s="3252"/>
      <c r="D661" s="3252"/>
      <c r="E661" s="3252"/>
      <c r="F661" s="3252"/>
      <c r="G661" s="3252"/>
      <c r="H661" s="3252"/>
      <c r="I661" s="3252"/>
      <c r="J661" s="3252"/>
      <c r="K661" s="3252"/>
      <c r="L661" s="3252"/>
      <c r="M661" s="3252"/>
      <c r="N661" s="3252"/>
      <c r="O661" s="3252"/>
      <c r="P661" s="334"/>
      <c r="Q661" s="1243"/>
      <c r="R661" s="1243"/>
      <c r="S661" s="1243"/>
      <c r="T661" s="1243"/>
      <c r="U661" s="1243"/>
      <c r="V661" s="1243"/>
      <c r="W661" s="334"/>
      <c r="X661" s="334"/>
      <c r="Y661" s="334"/>
      <c r="Z661" s="334"/>
    </row>
    <row r="662" spans="1:26" ht="49.9" customHeight="1">
      <c r="A662" s="104"/>
      <c r="B662" s="39"/>
      <c r="E662" s="105"/>
      <c r="F662" s="105"/>
      <c r="G662" s="105"/>
      <c r="H662" s="105"/>
      <c r="I662" s="105"/>
      <c r="J662" s="105"/>
      <c r="K662" s="105"/>
      <c r="L662" s="105"/>
      <c r="M662" s="105"/>
      <c r="N662" s="105"/>
      <c r="O662" s="105"/>
      <c r="P662" s="156"/>
      <c r="W662" s="156"/>
      <c r="X662" s="156"/>
      <c r="Y662" s="156"/>
      <c r="Z662" s="156"/>
    </row>
    <row r="663" spans="1:26" ht="20.25" customHeight="1">
      <c r="A663" s="50" t="s">
        <v>554</v>
      </c>
      <c r="B663" s="30"/>
      <c r="C663" s="30"/>
      <c r="D663" s="30"/>
      <c r="E663" s="30"/>
      <c r="F663" s="30"/>
      <c r="G663" s="30"/>
      <c r="H663" s="30"/>
      <c r="I663" s="30"/>
      <c r="J663" s="30"/>
      <c r="K663" s="30"/>
      <c r="L663" s="6"/>
      <c r="M663" s="6"/>
      <c r="N663" s="6"/>
      <c r="O663" s="6"/>
      <c r="P663" s="156"/>
      <c r="W663" s="156"/>
      <c r="X663" s="156"/>
      <c r="Y663" s="156"/>
      <c r="Z663" s="156"/>
    </row>
    <row r="664" spans="1:26" ht="20.100000000000001" customHeight="1">
      <c r="A664" s="2654"/>
      <c r="B664" s="2655"/>
      <c r="C664" s="2673" t="s">
        <v>561</v>
      </c>
      <c r="D664" s="2674"/>
      <c r="E664" s="2674"/>
      <c r="F664" s="2674"/>
      <c r="G664" s="2674"/>
      <c r="H664" s="2675"/>
      <c r="I664" s="2673" t="s">
        <v>560</v>
      </c>
      <c r="J664" s="2674"/>
      <c r="K664" s="2674"/>
      <c r="L664" s="2674"/>
      <c r="M664" s="2674"/>
      <c r="N664" s="2674"/>
      <c r="O664" s="2675"/>
      <c r="P664" s="156"/>
      <c r="W664" s="156"/>
      <c r="X664" s="156"/>
      <c r="Y664" s="156"/>
      <c r="Z664" s="156"/>
    </row>
    <row r="665" spans="1:26" ht="22.15" customHeight="1">
      <c r="A665" s="3253" t="s">
        <v>122</v>
      </c>
      <c r="B665" s="3254"/>
      <c r="C665" s="3255" t="str">
        <f ca="1">参照元個別!E31</f>
        <v/>
      </c>
      <c r="D665" s="3256"/>
      <c r="E665" s="3256"/>
      <c r="F665" s="3256"/>
      <c r="G665" s="3047" t="s">
        <v>1265</v>
      </c>
      <c r="H665" s="2959"/>
      <c r="I665" s="3260" t="str">
        <f>報7!I665</f>
        <v/>
      </c>
      <c r="J665" s="3261"/>
      <c r="K665" s="3261"/>
      <c r="L665" s="3261"/>
      <c r="M665" s="3047" t="s">
        <v>4308</v>
      </c>
      <c r="N665" s="3047"/>
      <c r="O665" s="3264" t="str">
        <f>報7!N665</f>
        <v/>
      </c>
      <c r="P665" s="165"/>
      <c r="Q665" s="1244"/>
      <c r="W665" s="156"/>
      <c r="X665" s="156"/>
      <c r="Y665" s="156"/>
      <c r="Z665" s="156"/>
    </row>
    <row r="666" spans="1:26" ht="22.15" customHeight="1">
      <c r="A666" s="3097">
        <f>IF(計1!$D$28="","",計1!$D$28-1)</f>
        <v>2023</v>
      </c>
      <c r="B666" s="2655"/>
      <c r="C666" s="3257"/>
      <c r="D666" s="3258"/>
      <c r="E666" s="3258"/>
      <c r="F666" s="3258"/>
      <c r="G666" s="3076"/>
      <c r="H666" s="3259"/>
      <c r="I666" s="3262"/>
      <c r="J666" s="3263"/>
      <c r="K666" s="3263"/>
      <c r="L666" s="3263"/>
      <c r="M666" s="3048"/>
      <c r="N666" s="3048"/>
      <c r="O666" s="3265"/>
      <c r="P666" s="165"/>
      <c r="Q666" s="1244"/>
      <c r="W666" s="156"/>
      <c r="X666" s="156"/>
      <c r="Y666" s="156"/>
      <c r="Z666" s="156"/>
    </row>
    <row r="667" spans="1:26" ht="22.15" customHeight="1">
      <c r="A667" s="2633" t="s">
        <v>558</v>
      </c>
      <c r="B667" s="3065"/>
      <c r="C667" s="3216"/>
      <c r="D667" s="3217"/>
      <c r="E667" s="3217"/>
      <c r="F667" s="3217"/>
      <c r="G667" s="3047" t="s">
        <v>414</v>
      </c>
      <c r="H667" s="2959"/>
      <c r="I667" s="3221"/>
      <c r="J667" s="3222"/>
      <c r="K667" s="3222"/>
      <c r="L667" s="3222"/>
      <c r="M667" s="3047" t="s">
        <v>415</v>
      </c>
      <c r="N667" s="3047"/>
      <c r="O667" s="3225" t="str">
        <f>IF(O665="","",O665)</f>
        <v/>
      </c>
      <c r="P667" s="3229"/>
      <c r="Q667" s="3229"/>
      <c r="W667" s="156"/>
      <c r="X667" s="156"/>
      <c r="Y667" s="156"/>
      <c r="Z667" s="156"/>
    </row>
    <row r="668" spans="1:26" ht="22.15" customHeight="1">
      <c r="A668" s="3080">
        <f>IF(計1!$D$28="","",計1!$G$28)</f>
        <v>2026</v>
      </c>
      <c r="B668" s="3059"/>
      <c r="C668" s="3218"/>
      <c r="D668" s="3219"/>
      <c r="E668" s="3219"/>
      <c r="F668" s="3219"/>
      <c r="G668" s="3048"/>
      <c r="H668" s="3220"/>
      <c r="I668" s="3223"/>
      <c r="J668" s="3224"/>
      <c r="K668" s="3224"/>
      <c r="L668" s="3224"/>
      <c r="M668" s="3048"/>
      <c r="N668" s="3048"/>
      <c r="O668" s="3226"/>
      <c r="P668" s="3230"/>
      <c r="Q668" s="3231"/>
      <c r="W668" s="156"/>
      <c r="X668" s="357"/>
      <c r="Y668" s="156"/>
      <c r="Z668" s="156"/>
    </row>
    <row r="669" spans="1:26" ht="24.95" customHeight="1">
      <c r="A669" s="145"/>
      <c r="B669" s="146" t="s">
        <v>577</v>
      </c>
      <c r="C669" s="147"/>
      <c r="D669" s="3232" t="str">
        <f ca="1">IF(OR(C665=0,C667=""),"",INT((C665-C667)/C665*10000)/100)</f>
        <v/>
      </c>
      <c r="E669" s="3232"/>
      <c r="F669" s="3232"/>
      <c r="G669" s="3233" t="s">
        <v>134</v>
      </c>
      <c r="H669" s="3234"/>
      <c r="I669" s="148"/>
      <c r="J669" s="3235" t="str">
        <f>IF(OR(I665=0,I667=""),"",INT((I665-I667)/I665*10000)/100)</f>
        <v/>
      </c>
      <c r="K669" s="3235"/>
      <c r="L669" s="3235"/>
      <c r="M669" s="3232" t="s">
        <v>501</v>
      </c>
      <c r="N669" s="3232"/>
      <c r="O669" s="3236"/>
      <c r="P669" s="335"/>
      <c r="Q669" s="1245"/>
      <c r="W669" s="359"/>
      <c r="X669" s="359"/>
      <c r="Y669" s="359"/>
      <c r="Z669" s="156"/>
    </row>
    <row r="670" spans="1:26" ht="27.75" customHeight="1">
      <c r="A670" s="2672" t="s">
        <v>559</v>
      </c>
      <c r="B670" s="2635"/>
      <c r="C670" s="3240"/>
      <c r="D670" s="3241"/>
      <c r="E670" s="3241"/>
      <c r="F670" s="3241"/>
      <c r="G670" s="3241"/>
      <c r="H670" s="3241"/>
      <c r="I670" s="3241"/>
      <c r="J670" s="3241"/>
      <c r="K670" s="3241"/>
      <c r="L670" s="3241"/>
      <c r="M670" s="3241"/>
      <c r="N670" s="3241"/>
      <c r="O670" s="3242"/>
      <c r="P670" s="335"/>
      <c r="Q670" s="1245"/>
      <c r="R670" s="1246"/>
      <c r="W670" s="359"/>
      <c r="X670" s="359" t="s">
        <v>586</v>
      </c>
      <c r="Y670" s="359"/>
      <c r="Z670" s="156"/>
    </row>
    <row r="671" spans="1:26" ht="35.1" customHeight="1">
      <c r="A671" s="3237"/>
      <c r="B671" s="2648"/>
      <c r="C671" s="3243"/>
      <c r="D671" s="2941"/>
      <c r="E671" s="2941"/>
      <c r="F671" s="2941"/>
      <c r="G671" s="2941"/>
      <c r="H671" s="2941"/>
      <c r="I671" s="2941"/>
      <c r="J671" s="2941"/>
      <c r="K671" s="2941"/>
      <c r="L671" s="2941"/>
      <c r="M671" s="2941"/>
      <c r="N671" s="2941"/>
      <c r="O671" s="2942"/>
      <c r="P671" s="358"/>
      <c r="Q671" s="1247"/>
      <c r="R671" s="1248">
        <v>0</v>
      </c>
      <c r="W671" s="359"/>
      <c r="X671" s="360" t="s">
        <v>587</v>
      </c>
      <c r="Y671" s="359"/>
      <c r="Z671" s="156"/>
    </row>
    <row r="672" spans="1:26" ht="93" customHeight="1">
      <c r="A672" s="3238"/>
      <c r="B672" s="3239"/>
      <c r="C672" s="3244"/>
      <c r="D672" s="2943"/>
      <c r="E672" s="2943"/>
      <c r="F672" s="2943"/>
      <c r="G672" s="2943"/>
      <c r="H672" s="2943"/>
      <c r="I672" s="2943"/>
      <c r="J672" s="2943"/>
      <c r="K672" s="2943"/>
      <c r="L672" s="2943"/>
      <c r="M672" s="2943"/>
      <c r="N672" s="2943"/>
      <c r="O672" s="2944"/>
      <c r="P672" s="336"/>
      <c r="Q672" s="1249"/>
      <c r="W672" s="156"/>
      <c r="X672" s="156"/>
      <c r="Y672" s="156"/>
      <c r="Z672" s="156"/>
    </row>
    <row r="673" spans="1:26" ht="18" customHeight="1">
      <c r="A673" s="2831" t="s">
        <v>583</v>
      </c>
      <c r="B673" s="2831"/>
      <c r="C673" s="2831"/>
      <c r="D673" s="2831"/>
      <c r="E673" s="2831"/>
      <c r="F673" s="2831"/>
      <c r="G673" s="2831"/>
      <c r="H673" s="2831"/>
      <c r="I673" s="2831"/>
      <c r="J673" s="2831"/>
      <c r="K673" s="2831"/>
      <c r="L673" s="2831"/>
      <c r="M673" s="2831"/>
      <c r="N673" s="2831"/>
      <c r="O673" s="2831"/>
      <c r="P673" s="3227"/>
      <c r="Q673" s="3227"/>
      <c r="W673" s="156"/>
      <c r="X673" s="156"/>
      <c r="Y673" s="156"/>
      <c r="Z673" s="156"/>
    </row>
    <row r="674" spans="1:26" ht="9.75" customHeight="1">
      <c r="A674" s="89"/>
      <c r="B674" s="89"/>
      <c r="C674" s="106"/>
      <c r="D674" s="106"/>
      <c r="E674" s="106"/>
      <c r="F674" s="106"/>
      <c r="G674" s="106"/>
      <c r="H674" s="106"/>
      <c r="I674" s="106"/>
      <c r="J674" s="106"/>
      <c r="K674" s="106"/>
      <c r="L674" s="106"/>
      <c r="M674" s="106"/>
      <c r="N674" s="3228"/>
      <c r="O674" s="3228"/>
      <c r="P674" s="156"/>
      <c r="W674" s="156"/>
      <c r="X674" s="156"/>
      <c r="Y674" s="156"/>
      <c r="Z674" s="156"/>
    </row>
    <row r="675" spans="1:26">
      <c r="A675" s="156"/>
      <c r="B675" s="156"/>
      <c r="C675" s="156"/>
      <c r="D675" s="156"/>
      <c r="E675" s="156"/>
      <c r="F675" s="156"/>
      <c r="G675" s="156"/>
      <c r="H675" s="156"/>
      <c r="I675" s="156"/>
      <c r="J675" s="156"/>
      <c r="K675" s="156"/>
      <c r="L675" s="156"/>
      <c r="M675" s="156"/>
      <c r="N675" s="156"/>
      <c r="O675" s="156"/>
      <c r="P675" s="156"/>
      <c r="W675" s="156"/>
      <c r="X675" s="156"/>
      <c r="Y675" s="156"/>
      <c r="Z675" s="156"/>
    </row>
    <row r="676" spans="1:26">
      <c r="A676" s="1" t="s">
        <v>520</v>
      </c>
      <c r="B676" s="2"/>
      <c r="C676" s="2"/>
      <c r="D676" s="2"/>
      <c r="E676" s="2"/>
      <c r="F676" s="2"/>
      <c r="G676" s="2"/>
      <c r="H676" s="2"/>
      <c r="I676" s="2"/>
      <c r="J676" s="2"/>
      <c r="K676" s="2"/>
      <c r="L676" s="2"/>
      <c r="M676" s="2"/>
      <c r="N676" s="2"/>
      <c r="O676" s="2"/>
      <c r="P676" s="156" t="str">
        <f>"個別票"&amp;Q676</f>
        <v>個別票28</v>
      </c>
      <c r="Q676" s="1242">
        <f>Q651+1</f>
        <v>28</v>
      </c>
      <c r="W676" s="156"/>
      <c r="X676" s="156"/>
      <c r="Y676" s="156"/>
      <c r="Z676" s="156"/>
    </row>
    <row r="677" spans="1:26">
      <c r="A677" s="2" t="s">
        <v>557</v>
      </c>
      <c r="B677" s="4"/>
      <c r="C677" s="4"/>
      <c r="D677" s="4"/>
      <c r="E677" s="4"/>
      <c r="F677" s="4"/>
      <c r="G677" s="4"/>
      <c r="H677" s="4"/>
      <c r="I677" s="4"/>
      <c r="J677" s="4"/>
      <c r="K677" s="4"/>
      <c r="L677" s="4"/>
      <c r="M677" s="4"/>
      <c r="N677" s="2"/>
      <c r="O677" s="2"/>
      <c r="P677" s="156"/>
      <c r="W677" s="156"/>
      <c r="X677" s="156"/>
      <c r="Y677" s="156"/>
      <c r="Z677" s="156"/>
    </row>
    <row r="678" spans="1:26" ht="17.25">
      <c r="A678" s="2612" t="s">
        <v>556</v>
      </c>
      <c r="B678" s="2612"/>
      <c r="C678" s="2612"/>
      <c r="D678" s="2612"/>
      <c r="E678" s="2612"/>
      <c r="F678" s="2612"/>
      <c r="G678" s="2612"/>
      <c r="H678" s="2612"/>
      <c r="I678" s="2612"/>
      <c r="J678" s="2612"/>
      <c r="K678" s="2612"/>
      <c r="L678" s="2612"/>
      <c r="M678" s="2612"/>
      <c r="N678" s="2612"/>
      <c r="O678" s="2612"/>
      <c r="P678" s="156"/>
      <c r="W678" s="156"/>
      <c r="X678" s="156"/>
      <c r="Y678" s="156"/>
      <c r="Z678" s="156"/>
    </row>
    <row r="679" spans="1:26" ht="17.25">
      <c r="A679" s="38"/>
      <c r="B679" s="38"/>
      <c r="C679" s="38"/>
      <c r="D679" s="38"/>
      <c r="E679" s="38"/>
      <c r="F679" s="38"/>
      <c r="G679" s="38"/>
      <c r="H679" s="38"/>
      <c r="I679" s="38"/>
      <c r="J679" s="38"/>
      <c r="K679" s="38"/>
      <c r="L679" s="38"/>
      <c r="M679" s="38"/>
      <c r="N679" s="38"/>
      <c r="O679" s="38"/>
      <c r="P679" s="156"/>
      <c r="W679" s="156"/>
      <c r="X679" s="156"/>
      <c r="Y679" s="156"/>
      <c r="Z679" s="156"/>
    </row>
    <row r="680" spans="1:26" ht="18" customHeight="1">
      <c r="A680" s="48" t="s">
        <v>151</v>
      </c>
      <c r="B680" s="4"/>
      <c r="C680" s="4"/>
      <c r="D680" s="4"/>
      <c r="E680" s="4"/>
      <c r="F680" s="4"/>
      <c r="G680" s="4"/>
      <c r="H680" s="4"/>
      <c r="I680" s="4"/>
      <c r="J680" s="4"/>
      <c r="K680" s="4"/>
      <c r="L680" s="4"/>
      <c r="M680" s="4"/>
      <c r="N680" s="2"/>
      <c r="O680" s="2"/>
      <c r="P680" s="156"/>
      <c r="W680" s="156"/>
      <c r="X680" s="156"/>
      <c r="Y680" s="156"/>
      <c r="Z680" s="156"/>
    </row>
    <row r="681" spans="1:26" ht="39.950000000000003" customHeight="1">
      <c r="A681" s="2984" t="s">
        <v>152</v>
      </c>
      <c r="B681" s="2985"/>
      <c r="C681" s="2986"/>
      <c r="D681" s="2987" t="str">
        <f>報7!D681</f>
        <v>事業所名を入力28</v>
      </c>
      <c r="E681" s="2988"/>
      <c r="F681" s="2988"/>
      <c r="G681" s="2988"/>
      <c r="H681" s="2988"/>
      <c r="I681" s="2988"/>
      <c r="J681" s="2988"/>
      <c r="K681" s="2988"/>
      <c r="L681" s="2988"/>
      <c r="M681" s="2988"/>
      <c r="N681" s="2988"/>
      <c r="O681" s="2989"/>
      <c r="P681" s="156"/>
      <c r="W681" s="156"/>
      <c r="X681" s="156"/>
      <c r="Y681" s="156"/>
      <c r="Z681" s="156"/>
    </row>
    <row r="682" spans="1:26" ht="39.950000000000003" customHeight="1">
      <c r="A682" s="2570" t="s">
        <v>153</v>
      </c>
      <c r="B682" s="2571"/>
      <c r="C682" s="2990"/>
      <c r="D682" s="2573">
        <f>報7!D682</f>
        <v>0</v>
      </c>
      <c r="E682" s="2574"/>
      <c r="F682" s="2574"/>
      <c r="G682" s="2574"/>
      <c r="H682" s="2574"/>
      <c r="I682" s="2574"/>
      <c r="J682" s="2574"/>
      <c r="K682" s="2574"/>
      <c r="L682" s="2574"/>
      <c r="M682" s="2574"/>
      <c r="N682" s="2574"/>
      <c r="O682" s="2575"/>
      <c r="P682" s="156"/>
      <c r="W682" s="156"/>
      <c r="X682" s="156"/>
      <c r="Y682" s="156"/>
      <c r="Z682" s="156"/>
    </row>
    <row r="683" spans="1:26" ht="39.950000000000003" customHeight="1">
      <c r="A683" s="2536" t="s">
        <v>154</v>
      </c>
      <c r="B683" s="2978"/>
      <c r="C683" s="3245">
        <f>報7!C683</f>
        <v>0</v>
      </c>
      <c r="D683" s="3246"/>
      <c r="E683" s="101" t="s">
        <v>180</v>
      </c>
      <c r="F683" s="2974" t="s">
        <v>404</v>
      </c>
      <c r="G683" s="2975"/>
      <c r="H683" s="2981" t="str">
        <f ca="1">報7!H683</f>
        <v/>
      </c>
      <c r="I683" s="2982"/>
      <c r="J683" s="58" t="s">
        <v>176</v>
      </c>
      <c r="K683" s="2974" t="s">
        <v>405</v>
      </c>
      <c r="L683" s="2975"/>
      <c r="M683" s="3247">
        <f>報7!M683</f>
        <v>0</v>
      </c>
      <c r="N683" s="3248"/>
      <c r="O683" s="3249"/>
      <c r="P683" s="156" t="str">
        <f>IFERROR(VLOOKUP(M683,$U$6:$V$22,2,0),"")</f>
        <v/>
      </c>
      <c r="W683" s="156"/>
      <c r="X683" s="156"/>
      <c r="Y683" s="156"/>
      <c r="Z683" s="156"/>
    </row>
    <row r="684" spans="1:26" ht="39.950000000000003" customHeight="1">
      <c r="A684" s="2974" t="s">
        <v>406</v>
      </c>
      <c r="B684" s="2975"/>
      <c r="C684" s="3250">
        <f>報7!C684</f>
        <v>0</v>
      </c>
      <c r="D684" s="2507"/>
      <c r="E684" s="2508"/>
      <c r="F684" s="2974" t="s">
        <v>158</v>
      </c>
      <c r="G684" s="2975"/>
      <c r="H684" s="3250">
        <f>報7!H684</f>
        <v>0</v>
      </c>
      <c r="I684" s="2507"/>
      <c r="J684" s="2508"/>
      <c r="K684" s="2580"/>
      <c r="L684" s="2977"/>
      <c r="M684" s="2977"/>
      <c r="N684" s="2977"/>
      <c r="O684" s="2977"/>
      <c r="P684" s="156"/>
      <c r="W684" s="156"/>
      <c r="X684" s="156"/>
      <c r="Y684" s="156"/>
      <c r="Z684" s="156"/>
    </row>
    <row r="685" spans="1:26" ht="49.9" customHeight="1">
      <c r="A685" s="39"/>
      <c r="B685" s="39"/>
      <c r="C685" s="40"/>
      <c r="D685" s="41"/>
      <c r="E685" s="40"/>
      <c r="F685" s="42"/>
      <c r="P685" s="156"/>
      <c r="W685" s="156"/>
      <c r="X685" s="156"/>
      <c r="Y685" s="156"/>
      <c r="Z685" s="156"/>
    </row>
    <row r="686" spans="1:26" s="103" customFormat="1" ht="19.5" customHeight="1">
      <c r="A686" s="3251" t="s">
        <v>555</v>
      </c>
      <c r="B686" s="3252"/>
      <c r="C686" s="3252"/>
      <c r="D686" s="3252"/>
      <c r="E686" s="3252"/>
      <c r="F686" s="3252"/>
      <c r="G686" s="3252"/>
      <c r="H686" s="3252"/>
      <c r="I686" s="3252"/>
      <c r="J686" s="3252"/>
      <c r="K686" s="3252"/>
      <c r="L686" s="3252"/>
      <c r="M686" s="3252"/>
      <c r="N686" s="3252"/>
      <c r="O686" s="3252"/>
      <c r="P686" s="334"/>
      <c r="Q686" s="1243"/>
      <c r="R686" s="1243"/>
      <c r="S686" s="1243"/>
      <c r="T686" s="1243"/>
      <c r="U686" s="1243"/>
      <c r="V686" s="1243"/>
      <c r="W686" s="334"/>
      <c r="X686" s="334"/>
      <c r="Y686" s="334"/>
      <c r="Z686" s="334"/>
    </row>
    <row r="687" spans="1:26" ht="49.9" customHeight="1">
      <c r="A687" s="104"/>
      <c r="B687" s="39"/>
      <c r="E687" s="105"/>
      <c r="F687" s="105"/>
      <c r="G687" s="105"/>
      <c r="H687" s="105"/>
      <c r="I687" s="105"/>
      <c r="J687" s="105"/>
      <c r="K687" s="105"/>
      <c r="L687" s="105"/>
      <c r="M687" s="105"/>
      <c r="N687" s="105"/>
      <c r="O687" s="105"/>
      <c r="P687" s="156"/>
      <c r="W687" s="156"/>
      <c r="X687" s="156"/>
      <c r="Y687" s="156"/>
      <c r="Z687" s="156"/>
    </row>
    <row r="688" spans="1:26" ht="20.25" customHeight="1">
      <c r="A688" s="50" t="s">
        <v>554</v>
      </c>
      <c r="B688" s="30"/>
      <c r="C688" s="30"/>
      <c r="D688" s="30"/>
      <c r="E688" s="30"/>
      <c r="F688" s="30"/>
      <c r="G688" s="30"/>
      <c r="H688" s="30"/>
      <c r="I688" s="30"/>
      <c r="J688" s="30"/>
      <c r="K688" s="30"/>
      <c r="L688" s="6"/>
      <c r="M688" s="6"/>
      <c r="N688" s="6"/>
      <c r="O688" s="6"/>
      <c r="P688" s="156"/>
      <c r="W688" s="156"/>
      <c r="X688" s="156"/>
      <c r="Y688" s="156"/>
      <c r="Z688" s="156"/>
    </row>
    <row r="689" spans="1:26" ht="20.100000000000001" customHeight="1">
      <c r="A689" s="2654"/>
      <c r="B689" s="2655"/>
      <c r="C689" s="2673" t="s">
        <v>561</v>
      </c>
      <c r="D689" s="2674"/>
      <c r="E689" s="2674"/>
      <c r="F689" s="2674"/>
      <c r="G689" s="2674"/>
      <c r="H689" s="2675"/>
      <c r="I689" s="2673" t="s">
        <v>560</v>
      </c>
      <c r="J689" s="2674"/>
      <c r="K689" s="2674"/>
      <c r="L689" s="2674"/>
      <c r="M689" s="2674"/>
      <c r="N689" s="2674"/>
      <c r="O689" s="2675"/>
      <c r="P689" s="156"/>
      <c r="W689" s="156"/>
      <c r="X689" s="156"/>
      <c r="Y689" s="156"/>
      <c r="Z689" s="156"/>
    </row>
    <row r="690" spans="1:26" ht="22.15" customHeight="1">
      <c r="A690" s="3253" t="s">
        <v>122</v>
      </c>
      <c r="B690" s="3254"/>
      <c r="C690" s="3255" t="str">
        <f ca="1">参照元個別!E32</f>
        <v/>
      </c>
      <c r="D690" s="3256"/>
      <c r="E690" s="3256"/>
      <c r="F690" s="3256"/>
      <c r="G690" s="3047" t="s">
        <v>1265</v>
      </c>
      <c r="H690" s="2959"/>
      <c r="I690" s="3260" t="str">
        <f>報7!I690</f>
        <v/>
      </c>
      <c r="J690" s="3261"/>
      <c r="K690" s="3261"/>
      <c r="L690" s="3261"/>
      <c r="M690" s="3047" t="s">
        <v>4308</v>
      </c>
      <c r="N690" s="3047"/>
      <c r="O690" s="3264" t="str">
        <f>報7!N690</f>
        <v/>
      </c>
      <c r="P690" s="165"/>
      <c r="Q690" s="1244"/>
      <c r="W690" s="156"/>
      <c r="X690" s="156"/>
      <c r="Y690" s="156"/>
      <c r="Z690" s="156"/>
    </row>
    <row r="691" spans="1:26" ht="22.15" customHeight="1">
      <c r="A691" s="3097">
        <f>IF(計1!$D$28="","",計1!$D$28-1)</f>
        <v>2023</v>
      </c>
      <c r="B691" s="2655"/>
      <c r="C691" s="3257"/>
      <c r="D691" s="3258"/>
      <c r="E691" s="3258"/>
      <c r="F691" s="3258"/>
      <c r="G691" s="3076"/>
      <c r="H691" s="3259"/>
      <c r="I691" s="3262"/>
      <c r="J691" s="3263"/>
      <c r="K691" s="3263"/>
      <c r="L691" s="3263"/>
      <c r="M691" s="3048"/>
      <c r="N691" s="3048"/>
      <c r="O691" s="3265"/>
      <c r="P691" s="165"/>
      <c r="Q691" s="1244"/>
      <c r="W691" s="156"/>
      <c r="X691" s="156"/>
      <c r="Y691" s="156"/>
      <c r="Z691" s="156"/>
    </row>
    <row r="692" spans="1:26" ht="22.15" customHeight="1">
      <c r="A692" s="2633" t="s">
        <v>558</v>
      </c>
      <c r="B692" s="3065"/>
      <c r="C692" s="3216"/>
      <c r="D692" s="3217"/>
      <c r="E692" s="3217"/>
      <c r="F692" s="3217"/>
      <c r="G692" s="3047" t="s">
        <v>414</v>
      </c>
      <c r="H692" s="2959"/>
      <c r="I692" s="3221"/>
      <c r="J692" s="3222"/>
      <c r="K692" s="3222"/>
      <c r="L692" s="3222"/>
      <c r="M692" s="3047" t="s">
        <v>415</v>
      </c>
      <c r="N692" s="3047"/>
      <c r="O692" s="3225" t="str">
        <f>IF(O690="","",O690)</f>
        <v/>
      </c>
      <c r="P692" s="3229"/>
      <c r="Q692" s="3229"/>
      <c r="W692" s="156"/>
      <c r="X692" s="156"/>
      <c r="Y692" s="156"/>
      <c r="Z692" s="156"/>
    </row>
    <row r="693" spans="1:26" ht="22.15" customHeight="1">
      <c r="A693" s="3080">
        <f>IF(計1!$D$28="","",計1!$G$28)</f>
        <v>2026</v>
      </c>
      <c r="B693" s="3059"/>
      <c r="C693" s="3218"/>
      <c r="D693" s="3219"/>
      <c r="E693" s="3219"/>
      <c r="F693" s="3219"/>
      <c r="G693" s="3048"/>
      <c r="H693" s="3220"/>
      <c r="I693" s="3223"/>
      <c r="J693" s="3224"/>
      <c r="K693" s="3224"/>
      <c r="L693" s="3224"/>
      <c r="M693" s="3048"/>
      <c r="N693" s="3048"/>
      <c r="O693" s="3226"/>
      <c r="P693" s="3230"/>
      <c r="Q693" s="3231"/>
      <c r="W693" s="156"/>
      <c r="X693" s="357"/>
      <c r="Y693" s="156"/>
      <c r="Z693" s="156"/>
    </row>
    <row r="694" spans="1:26" ht="24.95" customHeight="1">
      <c r="A694" s="145"/>
      <c r="B694" s="146" t="s">
        <v>577</v>
      </c>
      <c r="C694" s="147"/>
      <c r="D694" s="3232" t="str">
        <f ca="1">IF(OR(C690=0,C692=""),"",INT((C690-C692)/C690*10000)/100)</f>
        <v/>
      </c>
      <c r="E694" s="3232"/>
      <c r="F694" s="3232"/>
      <c r="G694" s="3233" t="s">
        <v>134</v>
      </c>
      <c r="H694" s="3234"/>
      <c r="I694" s="148"/>
      <c r="J694" s="3235" t="str">
        <f>IF(OR(I690=0,I692=""),"",INT((I690-I692)/I690*10000)/100)</f>
        <v/>
      </c>
      <c r="K694" s="3235"/>
      <c r="L694" s="3235"/>
      <c r="M694" s="3232" t="s">
        <v>501</v>
      </c>
      <c r="N694" s="3232"/>
      <c r="O694" s="3236"/>
      <c r="P694" s="335"/>
      <c r="Q694" s="1245"/>
      <c r="W694" s="359"/>
      <c r="X694" s="359"/>
      <c r="Y694" s="359"/>
      <c r="Z694" s="156"/>
    </row>
    <row r="695" spans="1:26" ht="27.75" customHeight="1">
      <c r="A695" s="2672" t="s">
        <v>559</v>
      </c>
      <c r="B695" s="2635"/>
      <c r="C695" s="3240"/>
      <c r="D695" s="3241"/>
      <c r="E695" s="3241"/>
      <c r="F695" s="3241"/>
      <c r="G695" s="3241"/>
      <c r="H695" s="3241"/>
      <c r="I695" s="3241"/>
      <c r="J695" s="3241"/>
      <c r="K695" s="3241"/>
      <c r="L695" s="3241"/>
      <c r="M695" s="3241"/>
      <c r="N695" s="3241"/>
      <c r="O695" s="3242"/>
      <c r="P695" s="335"/>
      <c r="Q695" s="1245"/>
      <c r="R695" s="1246"/>
      <c r="W695" s="359"/>
      <c r="X695" s="359" t="s">
        <v>586</v>
      </c>
      <c r="Y695" s="359"/>
      <c r="Z695" s="156"/>
    </row>
    <row r="696" spans="1:26" ht="35.1" customHeight="1">
      <c r="A696" s="3237"/>
      <c r="B696" s="2648"/>
      <c r="C696" s="3243"/>
      <c r="D696" s="2941"/>
      <c r="E696" s="2941"/>
      <c r="F696" s="2941"/>
      <c r="G696" s="2941"/>
      <c r="H696" s="2941"/>
      <c r="I696" s="2941"/>
      <c r="J696" s="2941"/>
      <c r="K696" s="2941"/>
      <c r="L696" s="2941"/>
      <c r="M696" s="2941"/>
      <c r="N696" s="2941"/>
      <c r="O696" s="2942"/>
      <c r="P696" s="358"/>
      <c r="Q696" s="1247"/>
      <c r="R696" s="1248">
        <v>0</v>
      </c>
      <c r="W696" s="359"/>
      <c r="X696" s="360" t="s">
        <v>587</v>
      </c>
      <c r="Y696" s="359"/>
      <c r="Z696" s="156"/>
    </row>
    <row r="697" spans="1:26" ht="93" customHeight="1">
      <c r="A697" s="3238"/>
      <c r="B697" s="3239"/>
      <c r="C697" s="3244"/>
      <c r="D697" s="2943"/>
      <c r="E697" s="2943"/>
      <c r="F697" s="2943"/>
      <c r="G697" s="2943"/>
      <c r="H697" s="2943"/>
      <c r="I697" s="2943"/>
      <c r="J697" s="2943"/>
      <c r="K697" s="2943"/>
      <c r="L697" s="2943"/>
      <c r="M697" s="2943"/>
      <c r="N697" s="2943"/>
      <c r="O697" s="2944"/>
      <c r="P697" s="336"/>
      <c r="Q697" s="1249"/>
      <c r="W697" s="156"/>
      <c r="X697" s="156"/>
      <c r="Y697" s="156"/>
      <c r="Z697" s="156"/>
    </row>
    <row r="698" spans="1:26" ht="18" customHeight="1">
      <c r="A698" s="2831" t="s">
        <v>583</v>
      </c>
      <c r="B698" s="2831"/>
      <c r="C698" s="2831"/>
      <c r="D698" s="2831"/>
      <c r="E698" s="2831"/>
      <c r="F698" s="2831"/>
      <c r="G698" s="2831"/>
      <c r="H698" s="2831"/>
      <c r="I698" s="2831"/>
      <c r="J698" s="2831"/>
      <c r="K698" s="2831"/>
      <c r="L698" s="2831"/>
      <c r="M698" s="2831"/>
      <c r="N698" s="2831"/>
      <c r="O698" s="2831"/>
      <c r="P698" s="3227"/>
      <c r="Q698" s="3227"/>
      <c r="W698" s="156"/>
      <c r="X698" s="156"/>
      <c r="Y698" s="156"/>
      <c r="Z698" s="156"/>
    </row>
    <row r="699" spans="1:26" ht="9.75" customHeight="1">
      <c r="A699" s="89"/>
      <c r="B699" s="89"/>
      <c r="C699" s="106"/>
      <c r="D699" s="106"/>
      <c r="E699" s="106"/>
      <c r="F699" s="106"/>
      <c r="G699" s="106"/>
      <c r="H699" s="106"/>
      <c r="I699" s="106"/>
      <c r="J699" s="106"/>
      <c r="K699" s="106"/>
      <c r="L699" s="106"/>
      <c r="M699" s="106"/>
      <c r="N699" s="3228"/>
      <c r="O699" s="3228"/>
      <c r="P699" s="156"/>
      <c r="W699" s="156"/>
      <c r="X699" s="156"/>
      <c r="Y699" s="156"/>
      <c r="Z699" s="156"/>
    </row>
    <row r="700" spans="1:26">
      <c r="A700" s="156"/>
      <c r="B700" s="156"/>
      <c r="C700" s="156"/>
      <c r="D700" s="156"/>
      <c r="E700" s="156"/>
      <c r="F700" s="156"/>
      <c r="G700" s="156"/>
      <c r="H700" s="156"/>
      <c r="I700" s="156"/>
      <c r="J700" s="156"/>
      <c r="K700" s="156"/>
      <c r="L700" s="156"/>
      <c r="M700" s="156"/>
      <c r="N700" s="156"/>
      <c r="O700" s="156"/>
      <c r="P700" s="156"/>
      <c r="W700" s="156"/>
      <c r="X700" s="156"/>
      <c r="Y700" s="156"/>
      <c r="Z700" s="156"/>
    </row>
    <row r="701" spans="1:26">
      <c r="A701" s="1" t="s">
        <v>520</v>
      </c>
      <c r="B701" s="2"/>
      <c r="C701" s="2"/>
      <c r="D701" s="2"/>
      <c r="E701" s="2"/>
      <c r="F701" s="2"/>
      <c r="G701" s="2"/>
      <c r="H701" s="2"/>
      <c r="I701" s="2"/>
      <c r="J701" s="2"/>
      <c r="K701" s="2"/>
      <c r="L701" s="2"/>
      <c r="M701" s="2"/>
      <c r="N701" s="2"/>
      <c r="O701" s="2"/>
      <c r="P701" s="156" t="str">
        <f>"個別票"&amp;Q701</f>
        <v>個別票29</v>
      </c>
      <c r="Q701" s="1242">
        <f>Q676+1</f>
        <v>29</v>
      </c>
      <c r="W701" s="156"/>
      <c r="X701" s="156"/>
      <c r="Y701" s="156"/>
      <c r="Z701" s="156"/>
    </row>
    <row r="702" spans="1:26">
      <c r="A702" s="2" t="s">
        <v>557</v>
      </c>
      <c r="B702" s="4"/>
      <c r="C702" s="4"/>
      <c r="D702" s="4"/>
      <c r="E702" s="4"/>
      <c r="F702" s="4"/>
      <c r="G702" s="4"/>
      <c r="H702" s="4"/>
      <c r="I702" s="4"/>
      <c r="J702" s="4"/>
      <c r="K702" s="4"/>
      <c r="L702" s="4"/>
      <c r="M702" s="4"/>
      <c r="N702" s="2"/>
      <c r="O702" s="2"/>
      <c r="P702" s="156"/>
      <c r="W702" s="156"/>
      <c r="X702" s="156"/>
      <c r="Y702" s="156"/>
      <c r="Z702" s="156"/>
    </row>
    <row r="703" spans="1:26" ht="17.25">
      <c r="A703" s="2612" t="s">
        <v>556</v>
      </c>
      <c r="B703" s="2612"/>
      <c r="C703" s="2612"/>
      <c r="D703" s="2612"/>
      <c r="E703" s="2612"/>
      <c r="F703" s="2612"/>
      <c r="G703" s="2612"/>
      <c r="H703" s="2612"/>
      <c r="I703" s="2612"/>
      <c r="J703" s="2612"/>
      <c r="K703" s="2612"/>
      <c r="L703" s="2612"/>
      <c r="M703" s="2612"/>
      <c r="N703" s="2612"/>
      <c r="O703" s="2612"/>
      <c r="P703" s="156"/>
      <c r="W703" s="156"/>
      <c r="X703" s="156"/>
      <c r="Y703" s="156"/>
      <c r="Z703" s="156"/>
    </row>
    <row r="704" spans="1:26" ht="17.25">
      <c r="A704" s="38"/>
      <c r="B704" s="38"/>
      <c r="C704" s="38"/>
      <c r="D704" s="38"/>
      <c r="E704" s="38"/>
      <c r="F704" s="38"/>
      <c r="G704" s="38"/>
      <c r="H704" s="38"/>
      <c r="I704" s="38"/>
      <c r="J704" s="38"/>
      <c r="K704" s="38"/>
      <c r="L704" s="38"/>
      <c r="M704" s="38"/>
      <c r="N704" s="38"/>
      <c r="O704" s="38"/>
      <c r="P704" s="156"/>
      <c r="W704" s="156"/>
      <c r="X704" s="156"/>
      <c r="Y704" s="156"/>
      <c r="Z704" s="156"/>
    </row>
    <row r="705" spans="1:26" ht="18" customHeight="1">
      <c r="A705" s="48" t="s">
        <v>151</v>
      </c>
      <c r="B705" s="4"/>
      <c r="C705" s="4"/>
      <c r="D705" s="4"/>
      <c r="E705" s="4"/>
      <c r="F705" s="4"/>
      <c r="G705" s="4"/>
      <c r="H705" s="4"/>
      <c r="I705" s="4"/>
      <c r="J705" s="4"/>
      <c r="K705" s="4"/>
      <c r="L705" s="4"/>
      <c r="M705" s="4"/>
      <c r="N705" s="2"/>
      <c r="O705" s="2"/>
      <c r="P705" s="156"/>
      <c r="W705" s="156"/>
      <c r="X705" s="156"/>
      <c r="Y705" s="156"/>
      <c r="Z705" s="156"/>
    </row>
    <row r="706" spans="1:26" ht="39.950000000000003" customHeight="1">
      <c r="A706" s="2984" t="s">
        <v>152</v>
      </c>
      <c r="B706" s="2985"/>
      <c r="C706" s="2986"/>
      <c r="D706" s="2987" t="str">
        <f>報7!D706</f>
        <v>事業所名を入力29</v>
      </c>
      <c r="E706" s="2988"/>
      <c r="F706" s="2988"/>
      <c r="G706" s="2988"/>
      <c r="H706" s="2988"/>
      <c r="I706" s="2988"/>
      <c r="J706" s="2988"/>
      <c r="K706" s="2988"/>
      <c r="L706" s="2988"/>
      <c r="M706" s="2988"/>
      <c r="N706" s="2988"/>
      <c r="O706" s="2989"/>
      <c r="P706" s="156"/>
      <c r="W706" s="156"/>
      <c r="X706" s="156"/>
      <c r="Y706" s="156"/>
      <c r="Z706" s="156"/>
    </row>
    <row r="707" spans="1:26" ht="39.950000000000003" customHeight="1">
      <c r="A707" s="2570" t="s">
        <v>153</v>
      </c>
      <c r="B707" s="2571"/>
      <c r="C707" s="2990"/>
      <c r="D707" s="2573">
        <f>報7!D707</f>
        <v>0</v>
      </c>
      <c r="E707" s="2574"/>
      <c r="F707" s="2574"/>
      <c r="G707" s="2574"/>
      <c r="H707" s="2574"/>
      <c r="I707" s="2574"/>
      <c r="J707" s="2574"/>
      <c r="K707" s="2574"/>
      <c r="L707" s="2574"/>
      <c r="M707" s="2574"/>
      <c r="N707" s="2574"/>
      <c r="O707" s="2575"/>
      <c r="P707" s="156"/>
      <c r="W707" s="156"/>
      <c r="X707" s="156"/>
      <c r="Y707" s="156"/>
      <c r="Z707" s="156"/>
    </row>
    <row r="708" spans="1:26" ht="39.950000000000003" customHeight="1">
      <c r="A708" s="2536" t="s">
        <v>154</v>
      </c>
      <c r="B708" s="2978"/>
      <c r="C708" s="3245">
        <f>報7!C708</f>
        <v>0</v>
      </c>
      <c r="D708" s="3246"/>
      <c r="E708" s="101" t="s">
        <v>180</v>
      </c>
      <c r="F708" s="2974" t="s">
        <v>404</v>
      </c>
      <c r="G708" s="2975"/>
      <c r="H708" s="2981" t="str">
        <f ca="1">報7!H708</f>
        <v/>
      </c>
      <c r="I708" s="2982"/>
      <c r="J708" s="58" t="s">
        <v>176</v>
      </c>
      <c r="K708" s="2974" t="s">
        <v>405</v>
      </c>
      <c r="L708" s="2975"/>
      <c r="M708" s="3247">
        <f>報7!M708</f>
        <v>0</v>
      </c>
      <c r="N708" s="3248"/>
      <c r="O708" s="3249"/>
      <c r="P708" s="156" t="str">
        <f>IFERROR(VLOOKUP(M708,$U$6:$V$22,2,0),"")</f>
        <v/>
      </c>
      <c r="W708" s="156"/>
      <c r="X708" s="156"/>
      <c r="Y708" s="156"/>
      <c r="Z708" s="156"/>
    </row>
    <row r="709" spans="1:26" ht="39.950000000000003" customHeight="1">
      <c r="A709" s="2974" t="s">
        <v>406</v>
      </c>
      <c r="B709" s="2975"/>
      <c r="C709" s="3250">
        <f>報7!C709</f>
        <v>0</v>
      </c>
      <c r="D709" s="2507"/>
      <c r="E709" s="2508"/>
      <c r="F709" s="2974" t="s">
        <v>158</v>
      </c>
      <c r="G709" s="2975"/>
      <c r="H709" s="3250">
        <f>報7!H709</f>
        <v>0</v>
      </c>
      <c r="I709" s="2507"/>
      <c r="J709" s="2508"/>
      <c r="K709" s="2580"/>
      <c r="L709" s="2977"/>
      <c r="M709" s="2977"/>
      <c r="N709" s="2977"/>
      <c r="O709" s="2977"/>
      <c r="P709" s="156"/>
      <c r="W709" s="156"/>
      <c r="X709" s="156"/>
      <c r="Y709" s="156"/>
      <c r="Z709" s="156"/>
    </row>
    <row r="710" spans="1:26" ht="49.9" customHeight="1">
      <c r="A710" s="39"/>
      <c r="B710" s="39"/>
      <c r="C710" s="40"/>
      <c r="D710" s="41"/>
      <c r="E710" s="40"/>
      <c r="F710" s="42"/>
      <c r="P710" s="156"/>
      <c r="W710" s="156"/>
      <c r="X710" s="156"/>
      <c r="Y710" s="156"/>
      <c r="Z710" s="156"/>
    </row>
    <row r="711" spans="1:26" s="103" customFormat="1" ht="19.5" customHeight="1">
      <c r="A711" s="3251" t="s">
        <v>555</v>
      </c>
      <c r="B711" s="3252"/>
      <c r="C711" s="3252"/>
      <c r="D711" s="3252"/>
      <c r="E711" s="3252"/>
      <c r="F711" s="3252"/>
      <c r="G711" s="3252"/>
      <c r="H711" s="3252"/>
      <c r="I711" s="3252"/>
      <c r="J711" s="3252"/>
      <c r="K711" s="3252"/>
      <c r="L711" s="3252"/>
      <c r="M711" s="3252"/>
      <c r="N711" s="3252"/>
      <c r="O711" s="3252"/>
      <c r="P711" s="334"/>
      <c r="Q711" s="1243"/>
      <c r="R711" s="1243"/>
      <c r="S711" s="1243"/>
      <c r="T711" s="1243"/>
      <c r="U711" s="1243"/>
      <c r="V711" s="1243"/>
      <c r="W711" s="334"/>
      <c r="X711" s="334"/>
      <c r="Y711" s="334"/>
      <c r="Z711" s="334"/>
    </row>
    <row r="712" spans="1:26" ht="49.9" customHeight="1">
      <c r="A712" s="104"/>
      <c r="B712" s="39"/>
      <c r="E712" s="105"/>
      <c r="F712" s="105"/>
      <c r="G712" s="105"/>
      <c r="H712" s="105"/>
      <c r="I712" s="105"/>
      <c r="J712" s="105"/>
      <c r="K712" s="105"/>
      <c r="L712" s="105"/>
      <c r="M712" s="105"/>
      <c r="N712" s="105"/>
      <c r="O712" s="105"/>
      <c r="P712" s="156"/>
      <c r="W712" s="156"/>
      <c r="X712" s="156"/>
      <c r="Y712" s="156"/>
      <c r="Z712" s="156"/>
    </row>
    <row r="713" spans="1:26" ht="20.25" customHeight="1">
      <c r="A713" s="50" t="s">
        <v>554</v>
      </c>
      <c r="B713" s="30"/>
      <c r="C713" s="30"/>
      <c r="D713" s="30"/>
      <c r="E713" s="30"/>
      <c r="F713" s="30"/>
      <c r="G713" s="30"/>
      <c r="H713" s="30"/>
      <c r="I713" s="30"/>
      <c r="J713" s="30"/>
      <c r="K713" s="30"/>
      <c r="L713" s="6"/>
      <c r="M713" s="6"/>
      <c r="N713" s="6"/>
      <c r="O713" s="6"/>
      <c r="P713" s="156"/>
      <c r="W713" s="156"/>
      <c r="X713" s="156"/>
      <c r="Y713" s="156"/>
      <c r="Z713" s="156"/>
    </row>
    <row r="714" spans="1:26" ht="20.100000000000001" customHeight="1">
      <c r="A714" s="2654"/>
      <c r="B714" s="2655"/>
      <c r="C714" s="2673" t="s">
        <v>561</v>
      </c>
      <c r="D714" s="2674"/>
      <c r="E714" s="2674"/>
      <c r="F714" s="2674"/>
      <c r="G714" s="2674"/>
      <c r="H714" s="2675"/>
      <c r="I714" s="2673" t="s">
        <v>560</v>
      </c>
      <c r="J714" s="2674"/>
      <c r="K714" s="2674"/>
      <c r="L714" s="2674"/>
      <c r="M714" s="2674"/>
      <c r="N714" s="2674"/>
      <c r="O714" s="2675"/>
      <c r="P714" s="156"/>
      <c r="W714" s="156"/>
      <c r="X714" s="156"/>
      <c r="Y714" s="156"/>
      <c r="Z714" s="156"/>
    </row>
    <row r="715" spans="1:26" ht="22.15" customHeight="1">
      <c r="A715" s="3253" t="s">
        <v>122</v>
      </c>
      <c r="B715" s="3254"/>
      <c r="C715" s="3255" t="str">
        <f ca="1">参照元個別!E33</f>
        <v/>
      </c>
      <c r="D715" s="3256"/>
      <c r="E715" s="3256"/>
      <c r="F715" s="3256"/>
      <c r="G715" s="3047" t="s">
        <v>1265</v>
      </c>
      <c r="H715" s="2959"/>
      <c r="I715" s="3260" t="str">
        <f>報7!I715</f>
        <v/>
      </c>
      <c r="J715" s="3261"/>
      <c r="K715" s="3261"/>
      <c r="L715" s="3261"/>
      <c r="M715" s="3047" t="s">
        <v>4308</v>
      </c>
      <c r="N715" s="3047"/>
      <c r="O715" s="3264" t="str">
        <f>報7!N715</f>
        <v/>
      </c>
      <c r="P715" s="165"/>
      <c r="Q715" s="1244"/>
      <c r="W715" s="156"/>
      <c r="X715" s="156"/>
      <c r="Y715" s="156"/>
      <c r="Z715" s="156"/>
    </row>
    <row r="716" spans="1:26" ht="22.15" customHeight="1">
      <c r="A716" s="3097">
        <f>IF(計1!$D$28="","",計1!$D$28-1)</f>
        <v>2023</v>
      </c>
      <c r="B716" s="2655"/>
      <c r="C716" s="3257"/>
      <c r="D716" s="3258"/>
      <c r="E716" s="3258"/>
      <c r="F716" s="3258"/>
      <c r="G716" s="3076"/>
      <c r="H716" s="3259"/>
      <c r="I716" s="3262"/>
      <c r="J716" s="3263"/>
      <c r="K716" s="3263"/>
      <c r="L716" s="3263"/>
      <c r="M716" s="3048"/>
      <c r="N716" s="3048"/>
      <c r="O716" s="3265"/>
      <c r="P716" s="165"/>
      <c r="Q716" s="1244"/>
      <c r="W716" s="156"/>
      <c r="X716" s="156"/>
      <c r="Y716" s="156"/>
      <c r="Z716" s="156"/>
    </row>
    <row r="717" spans="1:26" ht="22.15" customHeight="1">
      <c r="A717" s="2633" t="s">
        <v>558</v>
      </c>
      <c r="B717" s="3065"/>
      <c r="C717" s="3216"/>
      <c r="D717" s="3217"/>
      <c r="E717" s="3217"/>
      <c r="F717" s="3217"/>
      <c r="G717" s="3047" t="s">
        <v>414</v>
      </c>
      <c r="H717" s="2959"/>
      <c r="I717" s="3221"/>
      <c r="J717" s="3222"/>
      <c r="K717" s="3222"/>
      <c r="L717" s="3222"/>
      <c r="M717" s="3047" t="s">
        <v>415</v>
      </c>
      <c r="N717" s="3047"/>
      <c r="O717" s="3225" t="str">
        <f>IF(O715="","",O715)</f>
        <v/>
      </c>
      <c r="P717" s="3229"/>
      <c r="Q717" s="3229"/>
      <c r="W717" s="156"/>
      <c r="X717" s="156"/>
      <c r="Y717" s="156"/>
      <c r="Z717" s="156"/>
    </row>
    <row r="718" spans="1:26" ht="22.15" customHeight="1">
      <c r="A718" s="3080">
        <f>IF(計1!$D$28="","",計1!$G$28)</f>
        <v>2026</v>
      </c>
      <c r="B718" s="3059"/>
      <c r="C718" s="3218"/>
      <c r="D718" s="3219"/>
      <c r="E718" s="3219"/>
      <c r="F718" s="3219"/>
      <c r="G718" s="3048"/>
      <c r="H718" s="3220"/>
      <c r="I718" s="3223"/>
      <c r="J718" s="3224"/>
      <c r="K718" s="3224"/>
      <c r="L718" s="3224"/>
      <c r="M718" s="3048"/>
      <c r="N718" s="3048"/>
      <c r="O718" s="3226"/>
      <c r="P718" s="3230"/>
      <c r="Q718" s="3231"/>
      <c r="W718" s="156"/>
      <c r="X718" s="357"/>
      <c r="Y718" s="156"/>
      <c r="Z718" s="156"/>
    </row>
    <row r="719" spans="1:26" ht="24.95" customHeight="1">
      <c r="A719" s="145"/>
      <c r="B719" s="146" t="s">
        <v>577</v>
      </c>
      <c r="C719" s="147"/>
      <c r="D719" s="3232" t="str">
        <f ca="1">IF(OR(C715=0,C717=""),"",INT((C715-C717)/C715*10000)/100)</f>
        <v/>
      </c>
      <c r="E719" s="3232"/>
      <c r="F719" s="3232"/>
      <c r="G719" s="3233" t="s">
        <v>134</v>
      </c>
      <c r="H719" s="3234"/>
      <c r="I719" s="148"/>
      <c r="J719" s="3235" t="str">
        <f>IF(OR(I715=0,I717=""),"",INT((I715-I717)/I715*10000)/100)</f>
        <v/>
      </c>
      <c r="K719" s="3235"/>
      <c r="L719" s="3235"/>
      <c r="M719" s="3232" t="s">
        <v>501</v>
      </c>
      <c r="N719" s="3232"/>
      <c r="O719" s="3236"/>
      <c r="P719" s="335"/>
      <c r="Q719" s="1245"/>
      <c r="W719" s="359"/>
      <c r="X719" s="359"/>
      <c r="Y719" s="359"/>
      <c r="Z719" s="156"/>
    </row>
    <row r="720" spans="1:26" ht="27.75" customHeight="1">
      <c r="A720" s="2672" t="s">
        <v>559</v>
      </c>
      <c r="B720" s="2635"/>
      <c r="C720" s="3240"/>
      <c r="D720" s="3241"/>
      <c r="E720" s="3241"/>
      <c r="F720" s="3241"/>
      <c r="G720" s="3241"/>
      <c r="H720" s="3241"/>
      <c r="I720" s="3241"/>
      <c r="J720" s="3241"/>
      <c r="K720" s="3241"/>
      <c r="L720" s="3241"/>
      <c r="M720" s="3241"/>
      <c r="N720" s="3241"/>
      <c r="O720" s="3242"/>
      <c r="P720" s="335"/>
      <c r="Q720" s="1245"/>
      <c r="R720" s="1246"/>
      <c r="W720" s="359"/>
      <c r="X720" s="359" t="s">
        <v>586</v>
      </c>
      <c r="Y720" s="359"/>
      <c r="Z720" s="156"/>
    </row>
    <row r="721" spans="1:26" ht="35.1" customHeight="1">
      <c r="A721" s="3237"/>
      <c r="B721" s="2648"/>
      <c r="C721" s="3243"/>
      <c r="D721" s="2941"/>
      <c r="E721" s="2941"/>
      <c r="F721" s="2941"/>
      <c r="G721" s="2941"/>
      <c r="H721" s="2941"/>
      <c r="I721" s="2941"/>
      <c r="J721" s="2941"/>
      <c r="K721" s="2941"/>
      <c r="L721" s="2941"/>
      <c r="M721" s="2941"/>
      <c r="N721" s="2941"/>
      <c r="O721" s="2942"/>
      <c r="P721" s="358"/>
      <c r="Q721" s="1247"/>
      <c r="R721" s="1248">
        <v>0</v>
      </c>
      <c r="W721" s="359"/>
      <c r="X721" s="360" t="s">
        <v>587</v>
      </c>
      <c r="Y721" s="359"/>
      <c r="Z721" s="156"/>
    </row>
    <row r="722" spans="1:26" ht="93" customHeight="1">
      <c r="A722" s="3238"/>
      <c r="B722" s="3239"/>
      <c r="C722" s="3244"/>
      <c r="D722" s="2943"/>
      <c r="E722" s="2943"/>
      <c r="F722" s="2943"/>
      <c r="G722" s="2943"/>
      <c r="H722" s="2943"/>
      <c r="I722" s="2943"/>
      <c r="J722" s="2943"/>
      <c r="K722" s="2943"/>
      <c r="L722" s="2943"/>
      <c r="M722" s="2943"/>
      <c r="N722" s="2943"/>
      <c r="O722" s="2944"/>
      <c r="P722" s="336"/>
      <c r="Q722" s="1249"/>
      <c r="W722" s="156"/>
      <c r="X722" s="156"/>
      <c r="Y722" s="156"/>
      <c r="Z722" s="156"/>
    </row>
    <row r="723" spans="1:26" ht="18" customHeight="1">
      <c r="A723" s="2831" t="s">
        <v>583</v>
      </c>
      <c r="B723" s="2831"/>
      <c r="C723" s="2831"/>
      <c r="D723" s="2831"/>
      <c r="E723" s="2831"/>
      <c r="F723" s="2831"/>
      <c r="G723" s="2831"/>
      <c r="H723" s="2831"/>
      <c r="I723" s="2831"/>
      <c r="J723" s="2831"/>
      <c r="K723" s="2831"/>
      <c r="L723" s="2831"/>
      <c r="M723" s="2831"/>
      <c r="N723" s="2831"/>
      <c r="O723" s="2831"/>
      <c r="P723" s="3227"/>
      <c r="Q723" s="3227"/>
      <c r="W723" s="156"/>
      <c r="X723" s="156"/>
      <c r="Y723" s="156"/>
      <c r="Z723" s="156"/>
    </row>
    <row r="724" spans="1:26" ht="9.75" customHeight="1">
      <c r="A724" s="89"/>
      <c r="B724" s="89"/>
      <c r="C724" s="106"/>
      <c r="D724" s="106"/>
      <c r="E724" s="106"/>
      <c r="F724" s="106"/>
      <c r="G724" s="106"/>
      <c r="H724" s="106"/>
      <c r="I724" s="106"/>
      <c r="J724" s="106"/>
      <c r="K724" s="106"/>
      <c r="L724" s="106"/>
      <c r="M724" s="106"/>
      <c r="N724" s="3228"/>
      <c r="O724" s="3228"/>
      <c r="P724" s="156"/>
      <c r="W724" s="156"/>
      <c r="X724" s="156"/>
      <c r="Y724" s="156"/>
      <c r="Z724" s="156"/>
    </row>
    <row r="725" spans="1:26">
      <c r="A725" s="156"/>
      <c r="B725" s="156"/>
      <c r="C725" s="156"/>
      <c r="D725" s="156"/>
      <c r="E725" s="156"/>
      <c r="F725" s="156"/>
      <c r="G725" s="156"/>
      <c r="H725" s="156"/>
      <c r="I725" s="156"/>
      <c r="J725" s="156"/>
      <c r="K725" s="156"/>
      <c r="L725" s="156"/>
      <c r="M725" s="156"/>
      <c r="N725" s="156"/>
      <c r="O725" s="156"/>
      <c r="P725" s="156"/>
      <c r="W725" s="156"/>
      <c r="X725" s="156"/>
      <c r="Y725" s="156"/>
      <c r="Z725" s="156"/>
    </row>
    <row r="726" spans="1:26">
      <c r="A726" s="1" t="s">
        <v>520</v>
      </c>
      <c r="B726" s="2"/>
      <c r="C726" s="2"/>
      <c r="D726" s="2"/>
      <c r="E726" s="2"/>
      <c r="F726" s="2"/>
      <c r="G726" s="2"/>
      <c r="H726" s="2"/>
      <c r="I726" s="2"/>
      <c r="J726" s="2"/>
      <c r="K726" s="2"/>
      <c r="L726" s="2"/>
      <c r="M726" s="2"/>
      <c r="N726" s="2"/>
      <c r="O726" s="2"/>
      <c r="P726" s="156" t="str">
        <f>"個別票"&amp;Q726</f>
        <v>個別票30</v>
      </c>
      <c r="Q726" s="1242">
        <f>Q701+1</f>
        <v>30</v>
      </c>
      <c r="W726" s="156"/>
      <c r="X726" s="156"/>
      <c r="Y726" s="156"/>
      <c r="Z726" s="156"/>
    </row>
    <row r="727" spans="1:26">
      <c r="A727" s="2" t="s">
        <v>557</v>
      </c>
      <c r="B727" s="4"/>
      <c r="C727" s="4"/>
      <c r="D727" s="4"/>
      <c r="E727" s="4"/>
      <c r="F727" s="4"/>
      <c r="G727" s="4"/>
      <c r="H727" s="4"/>
      <c r="I727" s="4"/>
      <c r="J727" s="4"/>
      <c r="K727" s="4"/>
      <c r="L727" s="4"/>
      <c r="M727" s="4"/>
      <c r="N727" s="2"/>
      <c r="O727" s="2"/>
      <c r="P727" s="156"/>
      <c r="W727" s="156"/>
      <c r="X727" s="156"/>
      <c r="Y727" s="156"/>
      <c r="Z727" s="156"/>
    </row>
    <row r="728" spans="1:26" ht="17.25">
      <c r="A728" s="2612" t="s">
        <v>556</v>
      </c>
      <c r="B728" s="2612"/>
      <c r="C728" s="2612"/>
      <c r="D728" s="2612"/>
      <c r="E728" s="2612"/>
      <c r="F728" s="2612"/>
      <c r="G728" s="2612"/>
      <c r="H728" s="2612"/>
      <c r="I728" s="2612"/>
      <c r="J728" s="2612"/>
      <c r="K728" s="2612"/>
      <c r="L728" s="2612"/>
      <c r="M728" s="2612"/>
      <c r="N728" s="2612"/>
      <c r="O728" s="2612"/>
      <c r="P728" s="156"/>
      <c r="W728" s="156"/>
      <c r="X728" s="156"/>
      <c r="Y728" s="156"/>
      <c r="Z728" s="156"/>
    </row>
    <row r="729" spans="1:26" ht="17.25">
      <c r="A729" s="38"/>
      <c r="B729" s="38"/>
      <c r="C729" s="38"/>
      <c r="D729" s="38"/>
      <c r="E729" s="38"/>
      <c r="F729" s="38"/>
      <c r="G729" s="38"/>
      <c r="H729" s="38"/>
      <c r="I729" s="38"/>
      <c r="J729" s="38"/>
      <c r="K729" s="38"/>
      <c r="L729" s="38"/>
      <c r="M729" s="38"/>
      <c r="N729" s="38"/>
      <c r="O729" s="38"/>
      <c r="P729" s="156"/>
      <c r="W729" s="156"/>
      <c r="X729" s="156"/>
      <c r="Y729" s="156"/>
      <c r="Z729" s="156"/>
    </row>
    <row r="730" spans="1:26" ht="18" customHeight="1">
      <c r="A730" s="48" t="s">
        <v>151</v>
      </c>
      <c r="B730" s="4"/>
      <c r="C730" s="4"/>
      <c r="D730" s="4"/>
      <c r="E730" s="4"/>
      <c r="F730" s="4"/>
      <c r="G730" s="4"/>
      <c r="H730" s="4"/>
      <c r="I730" s="4"/>
      <c r="J730" s="4"/>
      <c r="K730" s="4"/>
      <c r="L730" s="4"/>
      <c r="M730" s="4"/>
      <c r="N730" s="2"/>
      <c r="O730" s="2"/>
      <c r="P730" s="156"/>
      <c r="W730" s="156"/>
      <c r="X730" s="156"/>
      <c r="Y730" s="156"/>
      <c r="Z730" s="156"/>
    </row>
    <row r="731" spans="1:26" ht="39.950000000000003" customHeight="1">
      <c r="A731" s="2984" t="s">
        <v>152</v>
      </c>
      <c r="B731" s="2985"/>
      <c r="C731" s="2986"/>
      <c r="D731" s="2987" t="str">
        <f>報7!D731</f>
        <v>事業所名を入力30</v>
      </c>
      <c r="E731" s="2988"/>
      <c r="F731" s="2988"/>
      <c r="G731" s="2988"/>
      <c r="H731" s="2988"/>
      <c r="I731" s="2988"/>
      <c r="J731" s="2988"/>
      <c r="K731" s="2988"/>
      <c r="L731" s="2988"/>
      <c r="M731" s="2988"/>
      <c r="N731" s="2988"/>
      <c r="O731" s="2989"/>
      <c r="P731" s="156"/>
      <c r="W731" s="156"/>
      <c r="X731" s="156"/>
      <c r="Y731" s="156"/>
      <c r="Z731" s="156"/>
    </row>
    <row r="732" spans="1:26" ht="39.950000000000003" customHeight="1">
      <c r="A732" s="2570" t="s">
        <v>153</v>
      </c>
      <c r="B732" s="2571"/>
      <c r="C732" s="2990"/>
      <c r="D732" s="2573">
        <f>報7!D732</f>
        <v>0</v>
      </c>
      <c r="E732" s="2574"/>
      <c r="F732" s="2574"/>
      <c r="G732" s="2574"/>
      <c r="H732" s="2574"/>
      <c r="I732" s="2574"/>
      <c r="J732" s="2574"/>
      <c r="K732" s="2574"/>
      <c r="L732" s="2574"/>
      <c r="M732" s="2574"/>
      <c r="N732" s="2574"/>
      <c r="O732" s="2575"/>
      <c r="P732" s="156"/>
      <c r="W732" s="156"/>
      <c r="X732" s="156"/>
      <c r="Y732" s="156"/>
      <c r="Z732" s="156"/>
    </row>
    <row r="733" spans="1:26" ht="39.950000000000003" customHeight="1">
      <c r="A733" s="2536" t="s">
        <v>154</v>
      </c>
      <c r="B733" s="2978"/>
      <c r="C733" s="3245">
        <f>報7!C733</f>
        <v>0</v>
      </c>
      <c r="D733" s="3246"/>
      <c r="E733" s="101" t="s">
        <v>180</v>
      </c>
      <c r="F733" s="2974" t="s">
        <v>404</v>
      </c>
      <c r="G733" s="2975"/>
      <c r="H733" s="2981" t="str">
        <f ca="1">報7!H733</f>
        <v/>
      </c>
      <c r="I733" s="2982"/>
      <c r="J733" s="58" t="s">
        <v>176</v>
      </c>
      <c r="K733" s="2974" t="s">
        <v>405</v>
      </c>
      <c r="L733" s="2975"/>
      <c r="M733" s="3247">
        <f>報7!M733</f>
        <v>0</v>
      </c>
      <c r="N733" s="3248"/>
      <c r="O733" s="3249"/>
      <c r="P733" s="156" t="str">
        <f>IFERROR(VLOOKUP(M733,$U$6:$V$22,2,0),"")</f>
        <v/>
      </c>
      <c r="W733" s="156"/>
      <c r="X733" s="156"/>
      <c r="Y733" s="156"/>
      <c r="Z733" s="156"/>
    </row>
    <row r="734" spans="1:26" ht="39.950000000000003" customHeight="1">
      <c r="A734" s="2974" t="s">
        <v>406</v>
      </c>
      <c r="B734" s="2975"/>
      <c r="C734" s="3250">
        <f>報7!C734</f>
        <v>0</v>
      </c>
      <c r="D734" s="2507"/>
      <c r="E734" s="2508"/>
      <c r="F734" s="2974" t="s">
        <v>158</v>
      </c>
      <c r="G734" s="2975"/>
      <c r="H734" s="3250">
        <f>報7!H734</f>
        <v>0</v>
      </c>
      <c r="I734" s="2507"/>
      <c r="J734" s="2508"/>
      <c r="K734" s="2580"/>
      <c r="L734" s="2977"/>
      <c r="M734" s="2977"/>
      <c r="N734" s="2977"/>
      <c r="O734" s="2977"/>
      <c r="P734" s="156"/>
      <c r="W734" s="156"/>
      <c r="X734" s="156"/>
      <c r="Y734" s="156"/>
      <c r="Z734" s="156"/>
    </row>
    <row r="735" spans="1:26" ht="49.9" customHeight="1">
      <c r="A735" s="39"/>
      <c r="B735" s="39"/>
      <c r="C735" s="40"/>
      <c r="D735" s="41"/>
      <c r="E735" s="40"/>
      <c r="F735" s="42"/>
      <c r="P735" s="156"/>
      <c r="W735" s="156"/>
      <c r="X735" s="156"/>
      <c r="Y735" s="156"/>
      <c r="Z735" s="156"/>
    </row>
    <row r="736" spans="1:26" s="103" customFormat="1" ht="19.5" customHeight="1">
      <c r="A736" s="3251" t="s">
        <v>555</v>
      </c>
      <c r="B736" s="3252"/>
      <c r="C736" s="3252"/>
      <c r="D736" s="3252"/>
      <c r="E736" s="3252"/>
      <c r="F736" s="3252"/>
      <c r="G736" s="3252"/>
      <c r="H736" s="3252"/>
      <c r="I736" s="3252"/>
      <c r="J736" s="3252"/>
      <c r="K736" s="3252"/>
      <c r="L736" s="3252"/>
      <c r="M736" s="3252"/>
      <c r="N736" s="3252"/>
      <c r="O736" s="3252"/>
      <c r="P736" s="334"/>
      <c r="Q736" s="1243"/>
      <c r="R736" s="1243"/>
      <c r="S736" s="1243"/>
      <c r="T736" s="1243"/>
      <c r="U736" s="1243"/>
      <c r="V736" s="1243"/>
      <c r="W736" s="334"/>
      <c r="X736" s="334"/>
      <c r="Y736" s="334"/>
      <c r="Z736" s="334"/>
    </row>
    <row r="737" spans="1:26" ht="49.9" customHeight="1">
      <c r="A737" s="104"/>
      <c r="B737" s="39"/>
      <c r="E737" s="105"/>
      <c r="F737" s="105"/>
      <c r="G737" s="105"/>
      <c r="H737" s="105"/>
      <c r="I737" s="105"/>
      <c r="J737" s="105"/>
      <c r="K737" s="105"/>
      <c r="L737" s="105"/>
      <c r="M737" s="105"/>
      <c r="N737" s="105"/>
      <c r="O737" s="105"/>
      <c r="P737" s="156"/>
      <c r="W737" s="156"/>
      <c r="X737" s="156"/>
      <c r="Y737" s="156"/>
      <c r="Z737" s="156"/>
    </row>
    <row r="738" spans="1:26" ht="20.25" customHeight="1">
      <c r="A738" s="50" t="s">
        <v>554</v>
      </c>
      <c r="B738" s="30"/>
      <c r="C738" s="30"/>
      <c r="D738" s="30"/>
      <c r="E738" s="30"/>
      <c r="F738" s="30"/>
      <c r="G738" s="30"/>
      <c r="H738" s="30"/>
      <c r="I738" s="30"/>
      <c r="J738" s="30"/>
      <c r="K738" s="30"/>
      <c r="L738" s="6"/>
      <c r="M738" s="6"/>
      <c r="N738" s="6"/>
      <c r="O738" s="6"/>
      <c r="P738" s="156"/>
      <c r="W738" s="156"/>
      <c r="X738" s="156"/>
      <c r="Y738" s="156"/>
      <c r="Z738" s="156"/>
    </row>
    <row r="739" spans="1:26" ht="20.100000000000001" customHeight="1">
      <c r="A739" s="2654"/>
      <c r="B739" s="2655"/>
      <c r="C739" s="2673" t="s">
        <v>561</v>
      </c>
      <c r="D739" s="2674"/>
      <c r="E739" s="2674"/>
      <c r="F739" s="2674"/>
      <c r="G739" s="2674"/>
      <c r="H739" s="2675"/>
      <c r="I739" s="2673" t="s">
        <v>560</v>
      </c>
      <c r="J739" s="2674"/>
      <c r="K739" s="2674"/>
      <c r="L739" s="2674"/>
      <c r="M739" s="2674"/>
      <c r="N739" s="2674"/>
      <c r="O739" s="2675"/>
      <c r="P739" s="156"/>
      <c r="W739" s="156"/>
      <c r="X739" s="156"/>
      <c r="Y739" s="156"/>
      <c r="Z739" s="156"/>
    </row>
    <row r="740" spans="1:26" ht="22.15" customHeight="1">
      <c r="A740" s="3253" t="s">
        <v>122</v>
      </c>
      <c r="B740" s="3254"/>
      <c r="C740" s="3255" t="str">
        <f ca="1">参照元個別!E34</f>
        <v/>
      </c>
      <c r="D740" s="3256"/>
      <c r="E740" s="3256"/>
      <c r="F740" s="3256"/>
      <c r="G740" s="3047" t="s">
        <v>1265</v>
      </c>
      <c r="H740" s="2959"/>
      <c r="I740" s="3260" t="str">
        <f>報7!I740</f>
        <v/>
      </c>
      <c r="J740" s="3261"/>
      <c r="K740" s="3261"/>
      <c r="L740" s="3261"/>
      <c r="M740" s="3047" t="s">
        <v>4308</v>
      </c>
      <c r="N740" s="3047"/>
      <c r="O740" s="3264" t="str">
        <f>報7!N740</f>
        <v/>
      </c>
      <c r="P740" s="165"/>
      <c r="Q740" s="1244"/>
      <c r="W740" s="156"/>
      <c r="X740" s="156"/>
      <c r="Y740" s="156"/>
      <c r="Z740" s="156"/>
    </row>
    <row r="741" spans="1:26" ht="22.15" customHeight="1">
      <c r="A741" s="3097">
        <f>IF(計1!$D$28="","",計1!$D$28-1)</f>
        <v>2023</v>
      </c>
      <c r="B741" s="2655"/>
      <c r="C741" s="3257"/>
      <c r="D741" s="3258"/>
      <c r="E741" s="3258"/>
      <c r="F741" s="3258"/>
      <c r="G741" s="3076"/>
      <c r="H741" s="3259"/>
      <c r="I741" s="3262"/>
      <c r="J741" s="3263"/>
      <c r="K741" s="3263"/>
      <c r="L741" s="3263"/>
      <c r="M741" s="3048"/>
      <c r="N741" s="3048"/>
      <c r="O741" s="3265"/>
      <c r="P741" s="165"/>
      <c r="Q741" s="1244"/>
      <c r="W741" s="156"/>
      <c r="X741" s="156"/>
      <c r="Y741" s="156"/>
      <c r="Z741" s="156"/>
    </row>
    <row r="742" spans="1:26" ht="22.15" customHeight="1">
      <c r="A742" s="2633" t="s">
        <v>558</v>
      </c>
      <c r="B742" s="3065"/>
      <c r="C742" s="3216"/>
      <c r="D742" s="3217"/>
      <c r="E742" s="3217"/>
      <c r="F742" s="3217"/>
      <c r="G742" s="3047" t="s">
        <v>414</v>
      </c>
      <c r="H742" s="2959"/>
      <c r="I742" s="3221"/>
      <c r="J742" s="3222"/>
      <c r="K742" s="3222"/>
      <c r="L742" s="3222"/>
      <c r="M742" s="3047" t="s">
        <v>415</v>
      </c>
      <c r="N742" s="3047"/>
      <c r="O742" s="3225" t="str">
        <f>IF(O740="","",O740)</f>
        <v/>
      </c>
      <c r="P742" s="3229"/>
      <c r="Q742" s="3229"/>
      <c r="W742" s="156"/>
      <c r="X742" s="156"/>
      <c r="Y742" s="156"/>
      <c r="Z742" s="156"/>
    </row>
    <row r="743" spans="1:26" ht="22.15" customHeight="1">
      <c r="A743" s="3080">
        <f>IF(計1!$D$28="","",計1!$G$28)</f>
        <v>2026</v>
      </c>
      <c r="B743" s="3059"/>
      <c r="C743" s="3218"/>
      <c r="D743" s="3219"/>
      <c r="E743" s="3219"/>
      <c r="F743" s="3219"/>
      <c r="G743" s="3048"/>
      <c r="H743" s="3220"/>
      <c r="I743" s="3223"/>
      <c r="J743" s="3224"/>
      <c r="K743" s="3224"/>
      <c r="L743" s="3224"/>
      <c r="M743" s="3048"/>
      <c r="N743" s="3048"/>
      <c r="O743" s="3226"/>
      <c r="P743" s="3230"/>
      <c r="Q743" s="3231"/>
      <c r="W743" s="156"/>
      <c r="X743" s="357"/>
      <c r="Y743" s="156"/>
      <c r="Z743" s="156"/>
    </row>
    <row r="744" spans="1:26" ht="24.95" customHeight="1">
      <c r="A744" s="145"/>
      <c r="B744" s="146" t="s">
        <v>577</v>
      </c>
      <c r="C744" s="147"/>
      <c r="D744" s="3232" t="str">
        <f ca="1">IF(OR(C740=0,C742=""),"",INT((C740-C742)/C740*10000)/100)</f>
        <v/>
      </c>
      <c r="E744" s="3232"/>
      <c r="F744" s="3232"/>
      <c r="G744" s="3233" t="s">
        <v>134</v>
      </c>
      <c r="H744" s="3234"/>
      <c r="I744" s="148"/>
      <c r="J744" s="3235" t="str">
        <f>IF(OR(I740=0,I742=""),"",INT((I740-I742)/I740*10000)/100)</f>
        <v/>
      </c>
      <c r="K744" s="3235"/>
      <c r="L744" s="3235"/>
      <c r="M744" s="3232" t="s">
        <v>501</v>
      </c>
      <c r="N744" s="3232"/>
      <c r="O744" s="3236"/>
      <c r="P744" s="335"/>
      <c r="Q744" s="1245"/>
      <c r="W744" s="359"/>
      <c r="X744" s="359"/>
      <c r="Y744" s="359"/>
      <c r="Z744" s="156"/>
    </row>
    <row r="745" spans="1:26" ht="27.75" customHeight="1">
      <c r="A745" s="2672" t="s">
        <v>559</v>
      </c>
      <c r="B745" s="2635"/>
      <c r="C745" s="3240"/>
      <c r="D745" s="3241"/>
      <c r="E745" s="3241"/>
      <c r="F745" s="3241"/>
      <c r="G745" s="3241"/>
      <c r="H745" s="3241"/>
      <c r="I745" s="3241"/>
      <c r="J745" s="3241"/>
      <c r="K745" s="3241"/>
      <c r="L745" s="3241"/>
      <c r="M745" s="3241"/>
      <c r="N745" s="3241"/>
      <c r="O745" s="3242"/>
      <c r="P745" s="335"/>
      <c r="Q745" s="1245"/>
      <c r="R745" s="1246"/>
      <c r="W745" s="359"/>
      <c r="X745" s="359" t="s">
        <v>586</v>
      </c>
      <c r="Y745" s="359"/>
      <c r="Z745" s="156"/>
    </row>
    <row r="746" spans="1:26" ht="35.1" customHeight="1">
      <c r="A746" s="3237"/>
      <c r="B746" s="2648"/>
      <c r="C746" s="3243"/>
      <c r="D746" s="2941"/>
      <c r="E746" s="2941"/>
      <c r="F746" s="2941"/>
      <c r="G746" s="2941"/>
      <c r="H746" s="2941"/>
      <c r="I746" s="2941"/>
      <c r="J746" s="2941"/>
      <c r="K746" s="2941"/>
      <c r="L746" s="2941"/>
      <c r="M746" s="2941"/>
      <c r="N746" s="2941"/>
      <c r="O746" s="2942"/>
      <c r="P746" s="358"/>
      <c r="Q746" s="1247"/>
      <c r="R746" s="1248">
        <v>0</v>
      </c>
      <c r="W746" s="359"/>
      <c r="X746" s="360" t="s">
        <v>587</v>
      </c>
      <c r="Y746" s="359"/>
      <c r="Z746" s="156"/>
    </row>
    <row r="747" spans="1:26" ht="93" customHeight="1">
      <c r="A747" s="3238"/>
      <c r="B747" s="3239"/>
      <c r="C747" s="3244"/>
      <c r="D747" s="2943"/>
      <c r="E747" s="2943"/>
      <c r="F747" s="2943"/>
      <c r="G747" s="2943"/>
      <c r="H747" s="2943"/>
      <c r="I747" s="2943"/>
      <c r="J747" s="2943"/>
      <c r="K747" s="2943"/>
      <c r="L747" s="2943"/>
      <c r="M747" s="2943"/>
      <c r="N747" s="2943"/>
      <c r="O747" s="2944"/>
      <c r="P747" s="336"/>
      <c r="Q747" s="1249"/>
      <c r="W747" s="156"/>
      <c r="X747" s="156"/>
      <c r="Y747" s="156"/>
      <c r="Z747" s="156"/>
    </row>
    <row r="748" spans="1:26" ht="18" customHeight="1">
      <c r="A748" s="2831" t="s">
        <v>583</v>
      </c>
      <c r="B748" s="2831"/>
      <c r="C748" s="2831"/>
      <c r="D748" s="2831"/>
      <c r="E748" s="2831"/>
      <c r="F748" s="2831"/>
      <c r="G748" s="2831"/>
      <c r="H748" s="2831"/>
      <c r="I748" s="2831"/>
      <c r="J748" s="2831"/>
      <c r="K748" s="2831"/>
      <c r="L748" s="2831"/>
      <c r="M748" s="2831"/>
      <c r="N748" s="2831"/>
      <c r="O748" s="2831"/>
      <c r="P748" s="3227"/>
      <c r="Q748" s="3227"/>
      <c r="W748" s="156"/>
      <c r="X748" s="156"/>
      <c r="Y748" s="156"/>
      <c r="Z748" s="156"/>
    </row>
    <row r="749" spans="1:26" ht="9.75" customHeight="1">
      <c r="A749" s="89"/>
      <c r="B749" s="89"/>
      <c r="C749" s="106"/>
      <c r="D749" s="106"/>
      <c r="E749" s="106"/>
      <c r="F749" s="106"/>
      <c r="G749" s="106"/>
      <c r="H749" s="106"/>
      <c r="I749" s="106"/>
      <c r="J749" s="106"/>
      <c r="K749" s="106"/>
      <c r="L749" s="106"/>
      <c r="M749" s="106"/>
      <c r="N749" s="3228"/>
      <c r="O749" s="3228"/>
      <c r="P749" s="156"/>
      <c r="W749" s="156"/>
      <c r="X749" s="156"/>
      <c r="Y749" s="156"/>
      <c r="Z749" s="156"/>
    </row>
    <row r="750" spans="1:26">
      <c r="A750" s="156"/>
      <c r="B750" s="156"/>
      <c r="C750" s="156"/>
      <c r="D750" s="156"/>
      <c r="E750" s="156"/>
      <c r="F750" s="156"/>
      <c r="G750" s="156"/>
      <c r="H750" s="156"/>
      <c r="I750" s="156"/>
      <c r="J750" s="156"/>
      <c r="K750" s="156"/>
      <c r="L750" s="156"/>
      <c r="M750" s="156"/>
      <c r="N750" s="156"/>
      <c r="O750" s="156"/>
      <c r="P750" s="156"/>
      <c r="W750" s="156"/>
      <c r="X750" s="156"/>
      <c r="Y750" s="156"/>
      <c r="Z750" s="156"/>
    </row>
    <row r="751" spans="1:26">
      <c r="A751" s="1" t="s">
        <v>520</v>
      </c>
      <c r="B751" s="2"/>
      <c r="C751" s="2"/>
      <c r="D751" s="2"/>
      <c r="E751" s="2"/>
      <c r="F751" s="2"/>
      <c r="G751" s="2"/>
      <c r="H751" s="2"/>
      <c r="I751" s="2"/>
      <c r="J751" s="2"/>
      <c r="K751" s="2"/>
      <c r="L751" s="2"/>
      <c r="M751" s="2"/>
      <c r="N751" s="2"/>
      <c r="O751" s="2"/>
      <c r="P751" s="156" t="str">
        <f>"個別票"&amp;Q751</f>
        <v>個別票31</v>
      </c>
      <c r="Q751" s="1242">
        <f>Q726+1</f>
        <v>31</v>
      </c>
      <c r="W751" s="156"/>
      <c r="X751" s="156"/>
      <c r="Y751" s="156"/>
      <c r="Z751" s="156"/>
    </row>
    <row r="752" spans="1:26">
      <c r="A752" s="2" t="s">
        <v>557</v>
      </c>
      <c r="B752" s="4"/>
      <c r="C752" s="4"/>
      <c r="D752" s="4"/>
      <c r="E752" s="4"/>
      <c r="F752" s="4"/>
      <c r="G752" s="4"/>
      <c r="H752" s="4"/>
      <c r="I752" s="4"/>
      <c r="J752" s="4"/>
      <c r="K752" s="4"/>
      <c r="L752" s="4"/>
      <c r="M752" s="4"/>
      <c r="N752" s="2"/>
      <c r="O752" s="2"/>
      <c r="P752" s="156"/>
      <c r="W752" s="156"/>
      <c r="X752" s="156"/>
      <c r="Y752" s="156"/>
      <c r="Z752" s="156"/>
    </row>
    <row r="753" spans="1:26" ht="17.25">
      <c r="A753" s="2612" t="s">
        <v>556</v>
      </c>
      <c r="B753" s="2612"/>
      <c r="C753" s="2612"/>
      <c r="D753" s="2612"/>
      <c r="E753" s="2612"/>
      <c r="F753" s="2612"/>
      <c r="G753" s="2612"/>
      <c r="H753" s="2612"/>
      <c r="I753" s="2612"/>
      <c r="J753" s="2612"/>
      <c r="K753" s="2612"/>
      <c r="L753" s="2612"/>
      <c r="M753" s="2612"/>
      <c r="N753" s="2612"/>
      <c r="O753" s="2612"/>
      <c r="P753" s="156"/>
      <c r="W753" s="156"/>
      <c r="X753" s="156"/>
      <c r="Y753" s="156"/>
      <c r="Z753" s="156"/>
    </row>
    <row r="754" spans="1:26" ht="17.25">
      <c r="A754" s="38"/>
      <c r="B754" s="38"/>
      <c r="C754" s="38"/>
      <c r="D754" s="38"/>
      <c r="E754" s="38"/>
      <c r="F754" s="38"/>
      <c r="G754" s="38"/>
      <c r="H754" s="38"/>
      <c r="I754" s="38"/>
      <c r="J754" s="38"/>
      <c r="K754" s="38"/>
      <c r="L754" s="38"/>
      <c r="M754" s="38"/>
      <c r="N754" s="38"/>
      <c r="O754" s="38"/>
      <c r="P754" s="156"/>
      <c r="W754" s="156"/>
      <c r="X754" s="156"/>
      <c r="Y754" s="156"/>
      <c r="Z754" s="156"/>
    </row>
    <row r="755" spans="1:26" ht="18" customHeight="1">
      <c r="A755" s="48" t="s">
        <v>151</v>
      </c>
      <c r="B755" s="4"/>
      <c r="C755" s="4"/>
      <c r="D755" s="4"/>
      <c r="E755" s="4"/>
      <c r="F755" s="4"/>
      <c r="G755" s="4"/>
      <c r="H755" s="4"/>
      <c r="I755" s="4"/>
      <c r="J755" s="4"/>
      <c r="K755" s="4"/>
      <c r="L755" s="4"/>
      <c r="M755" s="4"/>
      <c r="N755" s="2"/>
      <c r="O755" s="2"/>
      <c r="P755" s="156"/>
      <c r="W755" s="156"/>
      <c r="X755" s="156"/>
      <c r="Y755" s="156"/>
      <c r="Z755" s="156"/>
    </row>
    <row r="756" spans="1:26" ht="39.950000000000003" customHeight="1">
      <c r="A756" s="2984" t="s">
        <v>152</v>
      </c>
      <c r="B756" s="2985"/>
      <c r="C756" s="2986"/>
      <c r="D756" s="2987" t="str">
        <f>報7!D756</f>
        <v>事業所名を入力31</v>
      </c>
      <c r="E756" s="2988"/>
      <c r="F756" s="2988"/>
      <c r="G756" s="2988"/>
      <c r="H756" s="2988"/>
      <c r="I756" s="2988"/>
      <c r="J756" s="2988"/>
      <c r="K756" s="2988"/>
      <c r="L756" s="2988"/>
      <c r="M756" s="2988"/>
      <c r="N756" s="2988"/>
      <c r="O756" s="2989"/>
      <c r="P756" s="156"/>
      <c r="W756" s="156"/>
      <c r="X756" s="156"/>
      <c r="Y756" s="156"/>
      <c r="Z756" s="156"/>
    </row>
    <row r="757" spans="1:26" ht="39.950000000000003" customHeight="1">
      <c r="A757" s="2570" t="s">
        <v>153</v>
      </c>
      <c r="B757" s="2571"/>
      <c r="C757" s="2990"/>
      <c r="D757" s="2573">
        <f>報7!D757</f>
        <v>0</v>
      </c>
      <c r="E757" s="2574"/>
      <c r="F757" s="2574"/>
      <c r="G757" s="2574"/>
      <c r="H757" s="2574"/>
      <c r="I757" s="2574"/>
      <c r="J757" s="2574"/>
      <c r="K757" s="2574"/>
      <c r="L757" s="2574"/>
      <c r="M757" s="2574"/>
      <c r="N757" s="2574"/>
      <c r="O757" s="2575"/>
      <c r="P757" s="156"/>
      <c r="W757" s="156"/>
      <c r="X757" s="156"/>
      <c r="Y757" s="156"/>
      <c r="Z757" s="156"/>
    </row>
    <row r="758" spans="1:26" ht="39.950000000000003" customHeight="1">
      <c r="A758" s="2536" t="s">
        <v>154</v>
      </c>
      <c r="B758" s="2978"/>
      <c r="C758" s="3245">
        <f>報7!C758</f>
        <v>0</v>
      </c>
      <c r="D758" s="3246"/>
      <c r="E758" s="101" t="s">
        <v>180</v>
      </c>
      <c r="F758" s="2974" t="s">
        <v>404</v>
      </c>
      <c r="G758" s="2975"/>
      <c r="H758" s="2981" t="str">
        <f ca="1">報7!H758</f>
        <v/>
      </c>
      <c r="I758" s="2982"/>
      <c r="J758" s="58" t="s">
        <v>176</v>
      </c>
      <c r="K758" s="2974" t="s">
        <v>405</v>
      </c>
      <c r="L758" s="2975"/>
      <c r="M758" s="3247">
        <f>報7!M758</f>
        <v>0</v>
      </c>
      <c r="N758" s="3248"/>
      <c r="O758" s="3249"/>
      <c r="P758" s="156" t="str">
        <f>IFERROR(VLOOKUP(M758,$U$6:$V$22,2,0),"")</f>
        <v/>
      </c>
      <c r="W758" s="156"/>
      <c r="X758" s="156"/>
      <c r="Y758" s="156"/>
      <c r="Z758" s="156"/>
    </row>
    <row r="759" spans="1:26" ht="39.950000000000003" customHeight="1">
      <c r="A759" s="2974" t="s">
        <v>406</v>
      </c>
      <c r="B759" s="2975"/>
      <c r="C759" s="3250">
        <f>報7!C759</f>
        <v>0</v>
      </c>
      <c r="D759" s="2507"/>
      <c r="E759" s="2508"/>
      <c r="F759" s="2974" t="s">
        <v>158</v>
      </c>
      <c r="G759" s="2975"/>
      <c r="H759" s="3250">
        <f>報7!H759</f>
        <v>0</v>
      </c>
      <c r="I759" s="2507"/>
      <c r="J759" s="2508"/>
      <c r="K759" s="2580"/>
      <c r="L759" s="2977"/>
      <c r="M759" s="2977"/>
      <c r="N759" s="2977"/>
      <c r="O759" s="2977"/>
      <c r="P759" s="156"/>
      <c r="W759" s="156"/>
      <c r="X759" s="156"/>
      <c r="Y759" s="156"/>
      <c r="Z759" s="156"/>
    </row>
    <row r="760" spans="1:26" ht="49.9" customHeight="1">
      <c r="A760" s="39"/>
      <c r="B760" s="39"/>
      <c r="C760" s="40"/>
      <c r="D760" s="41"/>
      <c r="E760" s="40"/>
      <c r="F760" s="42"/>
      <c r="P760" s="156"/>
      <c r="W760" s="156"/>
      <c r="X760" s="156"/>
      <c r="Y760" s="156"/>
      <c r="Z760" s="156"/>
    </row>
    <row r="761" spans="1:26" s="103" customFormat="1" ht="19.5" customHeight="1">
      <c r="A761" s="3251" t="s">
        <v>555</v>
      </c>
      <c r="B761" s="3252"/>
      <c r="C761" s="3252"/>
      <c r="D761" s="3252"/>
      <c r="E761" s="3252"/>
      <c r="F761" s="3252"/>
      <c r="G761" s="3252"/>
      <c r="H761" s="3252"/>
      <c r="I761" s="3252"/>
      <c r="J761" s="3252"/>
      <c r="K761" s="3252"/>
      <c r="L761" s="3252"/>
      <c r="M761" s="3252"/>
      <c r="N761" s="3252"/>
      <c r="O761" s="3252"/>
      <c r="P761" s="334"/>
      <c r="Q761" s="1243"/>
      <c r="R761" s="1243"/>
      <c r="S761" s="1243"/>
      <c r="T761" s="1243"/>
      <c r="U761" s="1243"/>
      <c r="V761" s="1243"/>
      <c r="W761" s="334"/>
      <c r="X761" s="334"/>
      <c r="Y761" s="334"/>
      <c r="Z761" s="334"/>
    </row>
    <row r="762" spans="1:26" ht="49.9" customHeight="1">
      <c r="A762" s="104"/>
      <c r="B762" s="39"/>
      <c r="E762" s="105"/>
      <c r="F762" s="105"/>
      <c r="G762" s="105"/>
      <c r="H762" s="105"/>
      <c r="I762" s="105"/>
      <c r="J762" s="105"/>
      <c r="K762" s="105"/>
      <c r="L762" s="105"/>
      <c r="M762" s="105"/>
      <c r="N762" s="105"/>
      <c r="O762" s="105"/>
      <c r="P762" s="156"/>
      <c r="W762" s="156"/>
      <c r="X762" s="156"/>
      <c r="Y762" s="156"/>
      <c r="Z762" s="156"/>
    </row>
    <row r="763" spans="1:26" ht="20.25" customHeight="1">
      <c r="A763" s="50" t="s">
        <v>554</v>
      </c>
      <c r="B763" s="30"/>
      <c r="C763" s="30"/>
      <c r="D763" s="30"/>
      <c r="E763" s="30"/>
      <c r="F763" s="30"/>
      <c r="G763" s="30"/>
      <c r="H763" s="30"/>
      <c r="I763" s="30"/>
      <c r="J763" s="30"/>
      <c r="K763" s="30"/>
      <c r="L763" s="6"/>
      <c r="M763" s="6"/>
      <c r="N763" s="6"/>
      <c r="O763" s="6"/>
      <c r="P763" s="156"/>
      <c r="W763" s="156"/>
      <c r="X763" s="156"/>
      <c r="Y763" s="156"/>
      <c r="Z763" s="156"/>
    </row>
    <row r="764" spans="1:26" ht="20.100000000000001" customHeight="1">
      <c r="A764" s="2654"/>
      <c r="B764" s="2655"/>
      <c r="C764" s="2673" t="s">
        <v>561</v>
      </c>
      <c r="D764" s="2674"/>
      <c r="E764" s="2674"/>
      <c r="F764" s="2674"/>
      <c r="G764" s="2674"/>
      <c r="H764" s="2675"/>
      <c r="I764" s="2673" t="s">
        <v>560</v>
      </c>
      <c r="J764" s="2674"/>
      <c r="K764" s="2674"/>
      <c r="L764" s="2674"/>
      <c r="M764" s="2674"/>
      <c r="N764" s="2674"/>
      <c r="O764" s="2675"/>
      <c r="P764" s="156"/>
      <c r="W764" s="156"/>
      <c r="X764" s="156"/>
      <c r="Y764" s="156"/>
      <c r="Z764" s="156"/>
    </row>
    <row r="765" spans="1:26" ht="22.15" customHeight="1">
      <c r="A765" s="3253" t="s">
        <v>122</v>
      </c>
      <c r="B765" s="3254"/>
      <c r="C765" s="3255" t="str">
        <f ca="1">参照元個別!E35</f>
        <v/>
      </c>
      <c r="D765" s="3256"/>
      <c r="E765" s="3256"/>
      <c r="F765" s="3256"/>
      <c r="G765" s="3047" t="s">
        <v>1265</v>
      </c>
      <c r="H765" s="2959"/>
      <c r="I765" s="3260" t="str">
        <f>報7!I765</f>
        <v/>
      </c>
      <c r="J765" s="3261"/>
      <c r="K765" s="3261"/>
      <c r="L765" s="3261"/>
      <c r="M765" s="3047" t="s">
        <v>4308</v>
      </c>
      <c r="N765" s="3047"/>
      <c r="O765" s="3264" t="str">
        <f>報7!N765</f>
        <v/>
      </c>
      <c r="P765" s="165"/>
      <c r="Q765" s="1244"/>
      <c r="W765" s="156"/>
      <c r="X765" s="156"/>
      <c r="Y765" s="156"/>
      <c r="Z765" s="156"/>
    </row>
    <row r="766" spans="1:26" ht="22.15" customHeight="1">
      <c r="A766" s="3097">
        <f>IF(計1!$D$28="","",計1!$D$28-1)</f>
        <v>2023</v>
      </c>
      <c r="B766" s="2655"/>
      <c r="C766" s="3257"/>
      <c r="D766" s="3258"/>
      <c r="E766" s="3258"/>
      <c r="F766" s="3258"/>
      <c r="G766" s="3076"/>
      <c r="H766" s="3259"/>
      <c r="I766" s="3262"/>
      <c r="J766" s="3263"/>
      <c r="K766" s="3263"/>
      <c r="L766" s="3263"/>
      <c r="M766" s="3048"/>
      <c r="N766" s="3048"/>
      <c r="O766" s="3265"/>
      <c r="P766" s="165"/>
      <c r="Q766" s="1244"/>
      <c r="W766" s="156"/>
      <c r="X766" s="156"/>
      <c r="Y766" s="156"/>
      <c r="Z766" s="156"/>
    </row>
    <row r="767" spans="1:26" ht="22.15" customHeight="1">
      <c r="A767" s="2633" t="s">
        <v>558</v>
      </c>
      <c r="B767" s="3065"/>
      <c r="C767" s="3216"/>
      <c r="D767" s="3217"/>
      <c r="E767" s="3217"/>
      <c r="F767" s="3217"/>
      <c r="G767" s="3047" t="s">
        <v>414</v>
      </c>
      <c r="H767" s="2959"/>
      <c r="I767" s="3221"/>
      <c r="J767" s="3222"/>
      <c r="K767" s="3222"/>
      <c r="L767" s="3222"/>
      <c r="M767" s="3047" t="s">
        <v>415</v>
      </c>
      <c r="N767" s="3047"/>
      <c r="O767" s="3225" t="str">
        <f>IF(O765="","",O765)</f>
        <v/>
      </c>
      <c r="P767" s="3229"/>
      <c r="Q767" s="3229"/>
      <c r="W767" s="156"/>
      <c r="X767" s="156"/>
      <c r="Y767" s="156"/>
      <c r="Z767" s="156"/>
    </row>
    <row r="768" spans="1:26" ht="22.15" customHeight="1">
      <c r="A768" s="3080">
        <f>IF(計1!$D$28="","",計1!$G$28)</f>
        <v>2026</v>
      </c>
      <c r="B768" s="3059"/>
      <c r="C768" s="3218"/>
      <c r="D768" s="3219"/>
      <c r="E768" s="3219"/>
      <c r="F768" s="3219"/>
      <c r="G768" s="3048"/>
      <c r="H768" s="3220"/>
      <c r="I768" s="3223"/>
      <c r="J768" s="3224"/>
      <c r="K768" s="3224"/>
      <c r="L768" s="3224"/>
      <c r="M768" s="3048"/>
      <c r="N768" s="3048"/>
      <c r="O768" s="3226"/>
      <c r="P768" s="3230"/>
      <c r="Q768" s="3231"/>
      <c r="W768" s="156"/>
      <c r="X768" s="357"/>
      <c r="Y768" s="156"/>
      <c r="Z768" s="156"/>
    </row>
    <row r="769" spans="1:26" ht="24.95" customHeight="1">
      <c r="A769" s="145"/>
      <c r="B769" s="146" t="s">
        <v>577</v>
      </c>
      <c r="C769" s="147"/>
      <c r="D769" s="3232" t="str">
        <f ca="1">IF(OR(C765=0,C767=""),"",INT((C765-C767)/C765*10000)/100)</f>
        <v/>
      </c>
      <c r="E769" s="3232"/>
      <c r="F769" s="3232"/>
      <c r="G769" s="3233" t="s">
        <v>134</v>
      </c>
      <c r="H769" s="3234"/>
      <c r="I769" s="148"/>
      <c r="J769" s="3235" t="str">
        <f>IF(OR(I765=0,I767=""),"",INT((I765-I767)/I765*10000)/100)</f>
        <v/>
      </c>
      <c r="K769" s="3235"/>
      <c r="L769" s="3235"/>
      <c r="M769" s="3232" t="s">
        <v>501</v>
      </c>
      <c r="N769" s="3232"/>
      <c r="O769" s="3236"/>
      <c r="P769" s="335"/>
      <c r="Q769" s="1245"/>
      <c r="W769" s="359"/>
      <c r="X769" s="359"/>
      <c r="Y769" s="359"/>
      <c r="Z769" s="156"/>
    </row>
    <row r="770" spans="1:26" ht="27.75" customHeight="1">
      <c r="A770" s="2672" t="s">
        <v>559</v>
      </c>
      <c r="B770" s="2635"/>
      <c r="C770" s="3240"/>
      <c r="D770" s="3241"/>
      <c r="E770" s="3241"/>
      <c r="F770" s="3241"/>
      <c r="G770" s="3241"/>
      <c r="H770" s="3241"/>
      <c r="I770" s="3241"/>
      <c r="J770" s="3241"/>
      <c r="K770" s="3241"/>
      <c r="L770" s="3241"/>
      <c r="M770" s="3241"/>
      <c r="N770" s="3241"/>
      <c r="O770" s="3242"/>
      <c r="P770" s="335"/>
      <c r="Q770" s="1245"/>
      <c r="R770" s="1246"/>
      <c r="W770" s="359"/>
      <c r="X770" s="359" t="s">
        <v>586</v>
      </c>
      <c r="Y770" s="359"/>
      <c r="Z770" s="156"/>
    </row>
    <row r="771" spans="1:26" ht="35.1" customHeight="1">
      <c r="A771" s="3237"/>
      <c r="B771" s="2648"/>
      <c r="C771" s="3243"/>
      <c r="D771" s="2941"/>
      <c r="E771" s="2941"/>
      <c r="F771" s="2941"/>
      <c r="G771" s="2941"/>
      <c r="H771" s="2941"/>
      <c r="I771" s="2941"/>
      <c r="J771" s="2941"/>
      <c r="K771" s="2941"/>
      <c r="L771" s="2941"/>
      <c r="M771" s="2941"/>
      <c r="N771" s="2941"/>
      <c r="O771" s="2942"/>
      <c r="P771" s="358"/>
      <c r="Q771" s="1247"/>
      <c r="R771" s="1248">
        <v>0</v>
      </c>
      <c r="W771" s="359"/>
      <c r="X771" s="360" t="s">
        <v>587</v>
      </c>
      <c r="Y771" s="359"/>
      <c r="Z771" s="156"/>
    </row>
    <row r="772" spans="1:26" ht="93" customHeight="1">
      <c r="A772" s="3238"/>
      <c r="B772" s="3239"/>
      <c r="C772" s="3244"/>
      <c r="D772" s="2943"/>
      <c r="E772" s="2943"/>
      <c r="F772" s="2943"/>
      <c r="G772" s="2943"/>
      <c r="H772" s="2943"/>
      <c r="I772" s="2943"/>
      <c r="J772" s="2943"/>
      <c r="K772" s="2943"/>
      <c r="L772" s="2943"/>
      <c r="M772" s="2943"/>
      <c r="N772" s="2943"/>
      <c r="O772" s="2944"/>
      <c r="P772" s="336"/>
      <c r="Q772" s="1249"/>
      <c r="W772" s="156"/>
      <c r="X772" s="156"/>
      <c r="Y772" s="156"/>
      <c r="Z772" s="156"/>
    </row>
    <row r="773" spans="1:26" ht="18" customHeight="1">
      <c r="A773" s="2831" t="s">
        <v>583</v>
      </c>
      <c r="B773" s="2831"/>
      <c r="C773" s="2831"/>
      <c r="D773" s="2831"/>
      <c r="E773" s="2831"/>
      <c r="F773" s="2831"/>
      <c r="G773" s="2831"/>
      <c r="H773" s="2831"/>
      <c r="I773" s="2831"/>
      <c r="J773" s="2831"/>
      <c r="K773" s="2831"/>
      <c r="L773" s="2831"/>
      <c r="M773" s="2831"/>
      <c r="N773" s="2831"/>
      <c r="O773" s="2831"/>
      <c r="P773" s="3227"/>
      <c r="Q773" s="3227"/>
      <c r="W773" s="156"/>
      <c r="X773" s="156"/>
      <c r="Y773" s="156"/>
      <c r="Z773" s="156"/>
    </row>
    <row r="774" spans="1:26" ht="9.75" customHeight="1">
      <c r="A774" s="89"/>
      <c r="B774" s="89"/>
      <c r="C774" s="106"/>
      <c r="D774" s="106"/>
      <c r="E774" s="106"/>
      <c r="F774" s="106"/>
      <c r="G774" s="106"/>
      <c r="H774" s="106"/>
      <c r="I774" s="106"/>
      <c r="J774" s="106"/>
      <c r="K774" s="106"/>
      <c r="L774" s="106"/>
      <c r="M774" s="106"/>
      <c r="N774" s="3228"/>
      <c r="O774" s="3228"/>
      <c r="P774" s="156"/>
      <c r="W774" s="156"/>
      <c r="X774" s="156"/>
      <c r="Y774" s="156"/>
      <c r="Z774" s="156"/>
    </row>
    <row r="775" spans="1:26">
      <c r="A775" s="156"/>
      <c r="B775" s="156"/>
      <c r="C775" s="156"/>
      <c r="D775" s="156"/>
      <c r="E775" s="156"/>
      <c r="F775" s="156"/>
      <c r="G775" s="156"/>
      <c r="H775" s="156"/>
      <c r="I775" s="156"/>
      <c r="J775" s="156"/>
      <c r="K775" s="156"/>
      <c r="L775" s="156"/>
      <c r="M775" s="156"/>
      <c r="N775" s="156"/>
      <c r="O775" s="156"/>
      <c r="P775" s="156"/>
      <c r="W775" s="156"/>
      <c r="X775" s="156"/>
      <c r="Y775" s="156"/>
      <c r="Z775" s="156"/>
    </row>
    <row r="776" spans="1:26">
      <c r="A776" s="1" t="s">
        <v>520</v>
      </c>
      <c r="B776" s="2"/>
      <c r="C776" s="2"/>
      <c r="D776" s="2"/>
      <c r="E776" s="2"/>
      <c r="F776" s="2"/>
      <c r="G776" s="2"/>
      <c r="H776" s="2"/>
      <c r="I776" s="2"/>
      <c r="J776" s="2"/>
      <c r="K776" s="2"/>
      <c r="L776" s="2"/>
      <c r="M776" s="2"/>
      <c r="N776" s="2"/>
      <c r="O776" s="2"/>
      <c r="P776" s="156" t="str">
        <f>"個別票"&amp;Q776</f>
        <v>個別票32</v>
      </c>
      <c r="Q776" s="1242">
        <f>Q751+1</f>
        <v>32</v>
      </c>
      <c r="W776" s="156"/>
      <c r="X776" s="156"/>
      <c r="Y776" s="156"/>
      <c r="Z776" s="156"/>
    </row>
    <row r="777" spans="1:26">
      <c r="A777" s="2" t="s">
        <v>557</v>
      </c>
      <c r="B777" s="4"/>
      <c r="C777" s="4"/>
      <c r="D777" s="4"/>
      <c r="E777" s="4"/>
      <c r="F777" s="4"/>
      <c r="G777" s="4"/>
      <c r="H777" s="4"/>
      <c r="I777" s="4"/>
      <c r="J777" s="4"/>
      <c r="K777" s="4"/>
      <c r="L777" s="4"/>
      <c r="M777" s="4"/>
      <c r="N777" s="2"/>
      <c r="O777" s="2"/>
      <c r="P777" s="156"/>
      <c r="W777" s="156"/>
      <c r="X777" s="156"/>
      <c r="Y777" s="156"/>
      <c r="Z777" s="156"/>
    </row>
    <row r="778" spans="1:26" ht="17.25">
      <c r="A778" s="2612" t="s">
        <v>556</v>
      </c>
      <c r="B778" s="2612"/>
      <c r="C778" s="2612"/>
      <c r="D778" s="2612"/>
      <c r="E778" s="2612"/>
      <c r="F778" s="2612"/>
      <c r="G778" s="2612"/>
      <c r="H778" s="2612"/>
      <c r="I778" s="2612"/>
      <c r="J778" s="2612"/>
      <c r="K778" s="2612"/>
      <c r="L778" s="2612"/>
      <c r="M778" s="2612"/>
      <c r="N778" s="2612"/>
      <c r="O778" s="2612"/>
      <c r="P778" s="156"/>
      <c r="W778" s="156"/>
      <c r="X778" s="156"/>
      <c r="Y778" s="156"/>
      <c r="Z778" s="156"/>
    </row>
    <row r="779" spans="1:26" ht="17.25">
      <c r="A779" s="38"/>
      <c r="B779" s="38"/>
      <c r="C779" s="38"/>
      <c r="D779" s="38"/>
      <c r="E779" s="38"/>
      <c r="F779" s="38"/>
      <c r="G779" s="38"/>
      <c r="H779" s="38"/>
      <c r="I779" s="38"/>
      <c r="J779" s="38"/>
      <c r="K779" s="38"/>
      <c r="L779" s="38"/>
      <c r="M779" s="38"/>
      <c r="N779" s="38"/>
      <c r="O779" s="38"/>
      <c r="P779" s="156"/>
      <c r="W779" s="156"/>
      <c r="X779" s="156"/>
      <c r="Y779" s="156"/>
      <c r="Z779" s="156"/>
    </row>
    <row r="780" spans="1:26" ht="18" customHeight="1">
      <c r="A780" s="48" t="s">
        <v>151</v>
      </c>
      <c r="B780" s="4"/>
      <c r="C780" s="4"/>
      <c r="D780" s="4"/>
      <c r="E780" s="4"/>
      <c r="F780" s="4"/>
      <c r="G780" s="4"/>
      <c r="H780" s="4"/>
      <c r="I780" s="4"/>
      <c r="J780" s="4"/>
      <c r="K780" s="4"/>
      <c r="L780" s="4"/>
      <c r="M780" s="4"/>
      <c r="N780" s="2"/>
      <c r="O780" s="2"/>
      <c r="P780" s="156"/>
      <c r="W780" s="156"/>
      <c r="X780" s="156"/>
      <c r="Y780" s="156"/>
      <c r="Z780" s="156"/>
    </row>
    <row r="781" spans="1:26" ht="39.950000000000003" customHeight="1">
      <c r="A781" s="2984" t="s">
        <v>152</v>
      </c>
      <c r="B781" s="2985"/>
      <c r="C781" s="2986"/>
      <c r="D781" s="2987" t="str">
        <f>報7!D781</f>
        <v>事業所名を入力32</v>
      </c>
      <c r="E781" s="2988"/>
      <c r="F781" s="2988"/>
      <c r="G781" s="2988"/>
      <c r="H781" s="2988"/>
      <c r="I781" s="2988"/>
      <c r="J781" s="2988"/>
      <c r="K781" s="2988"/>
      <c r="L781" s="2988"/>
      <c r="M781" s="2988"/>
      <c r="N781" s="2988"/>
      <c r="O781" s="2989"/>
      <c r="P781" s="156"/>
      <c r="W781" s="156"/>
      <c r="X781" s="156"/>
      <c r="Y781" s="156"/>
      <c r="Z781" s="156"/>
    </row>
    <row r="782" spans="1:26" ht="39.950000000000003" customHeight="1">
      <c r="A782" s="2570" t="s">
        <v>153</v>
      </c>
      <c r="B782" s="2571"/>
      <c r="C782" s="2990"/>
      <c r="D782" s="2573">
        <f>報7!D782</f>
        <v>0</v>
      </c>
      <c r="E782" s="2574"/>
      <c r="F782" s="2574"/>
      <c r="G782" s="2574"/>
      <c r="H782" s="2574"/>
      <c r="I782" s="2574"/>
      <c r="J782" s="2574"/>
      <c r="K782" s="2574"/>
      <c r="L782" s="2574"/>
      <c r="M782" s="2574"/>
      <c r="N782" s="2574"/>
      <c r="O782" s="2575"/>
      <c r="P782" s="156"/>
      <c r="W782" s="156"/>
      <c r="X782" s="156"/>
      <c r="Y782" s="156"/>
      <c r="Z782" s="156"/>
    </row>
    <row r="783" spans="1:26" ht="39.950000000000003" customHeight="1">
      <c r="A783" s="2536" t="s">
        <v>154</v>
      </c>
      <c r="B783" s="2978"/>
      <c r="C783" s="3245">
        <f>報7!C783</f>
        <v>0</v>
      </c>
      <c r="D783" s="3246"/>
      <c r="E783" s="101" t="s">
        <v>180</v>
      </c>
      <c r="F783" s="2974" t="s">
        <v>404</v>
      </c>
      <c r="G783" s="2975"/>
      <c r="H783" s="2981" t="str">
        <f ca="1">報7!H783</f>
        <v/>
      </c>
      <c r="I783" s="2982"/>
      <c r="J783" s="58" t="s">
        <v>176</v>
      </c>
      <c r="K783" s="2974" t="s">
        <v>405</v>
      </c>
      <c r="L783" s="2975"/>
      <c r="M783" s="3247">
        <f>報7!M783</f>
        <v>0</v>
      </c>
      <c r="N783" s="3248"/>
      <c r="O783" s="3249"/>
      <c r="P783" s="156" t="str">
        <f>IFERROR(VLOOKUP(M783,$U$6:$V$22,2,0),"")</f>
        <v/>
      </c>
      <c r="W783" s="156"/>
      <c r="X783" s="156"/>
      <c r="Y783" s="156"/>
      <c r="Z783" s="156"/>
    </row>
    <row r="784" spans="1:26" ht="39.950000000000003" customHeight="1">
      <c r="A784" s="2974" t="s">
        <v>406</v>
      </c>
      <c r="B784" s="2975"/>
      <c r="C784" s="3250">
        <f>報7!C784</f>
        <v>0</v>
      </c>
      <c r="D784" s="2507"/>
      <c r="E784" s="2508"/>
      <c r="F784" s="2974" t="s">
        <v>158</v>
      </c>
      <c r="G784" s="2975"/>
      <c r="H784" s="3250">
        <f>報7!H784</f>
        <v>0</v>
      </c>
      <c r="I784" s="2507"/>
      <c r="J784" s="2508"/>
      <c r="K784" s="2580"/>
      <c r="L784" s="2977"/>
      <c r="M784" s="2977"/>
      <c r="N784" s="2977"/>
      <c r="O784" s="2977"/>
      <c r="P784" s="156"/>
      <c r="W784" s="156"/>
      <c r="X784" s="156"/>
      <c r="Y784" s="156"/>
      <c r="Z784" s="156"/>
    </row>
    <row r="785" spans="1:26" ht="49.9" customHeight="1">
      <c r="A785" s="39"/>
      <c r="B785" s="39"/>
      <c r="C785" s="40"/>
      <c r="D785" s="41"/>
      <c r="E785" s="40"/>
      <c r="F785" s="42"/>
      <c r="P785" s="156"/>
      <c r="W785" s="156"/>
      <c r="X785" s="156"/>
      <c r="Y785" s="156"/>
      <c r="Z785" s="156"/>
    </row>
    <row r="786" spans="1:26" s="103" customFormat="1" ht="19.5" customHeight="1">
      <c r="A786" s="3251" t="s">
        <v>555</v>
      </c>
      <c r="B786" s="3252"/>
      <c r="C786" s="3252"/>
      <c r="D786" s="3252"/>
      <c r="E786" s="3252"/>
      <c r="F786" s="3252"/>
      <c r="G786" s="3252"/>
      <c r="H786" s="3252"/>
      <c r="I786" s="3252"/>
      <c r="J786" s="3252"/>
      <c r="K786" s="3252"/>
      <c r="L786" s="3252"/>
      <c r="M786" s="3252"/>
      <c r="N786" s="3252"/>
      <c r="O786" s="3252"/>
      <c r="P786" s="334"/>
      <c r="Q786" s="1243"/>
      <c r="R786" s="1243"/>
      <c r="S786" s="1243"/>
      <c r="T786" s="1243"/>
      <c r="U786" s="1243"/>
      <c r="V786" s="1243"/>
      <c r="W786" s="334"/>
      <c r="X786" s="334"/>
      <c r="Y786" s="334"/>
      <c r="Z786" s="334"/>
    </row>
    <row r="787" spans="1:26" ht="49.9" customHeight="1">
      <c r="A787" s="104"/>
      <c r="B787" s="39"/>
      <c r="E787" s="105"/>
      <c r="F787" s="105"/>
      <c r="G787" s="105"/>
      <c r="H787" s="105"/>
      <c r="I787" s="105"/>
      <c r="J787" s="105"/>
      <c r="K787" s="105"/>
      <c r="L787" s="105"/>
      <c r="M787" s="105"/>
      <c r="N787" s="105"/>
      <c r="O787" s="105"/>
      <c r="P787" s="156"/>
      <c r="W787" s="156"/>
      <c r="X787" s="156"/>
      <c r="Y787" s="156"/>
      <c r="Z787" s="156"/>
    </row>
    <row r="788" spans="1:26" ht="20.25" customHeight="1">
      <c r="A788" s="50" t="s">
        <v>554</v>
      </c>
      <c r="B788" s="30"/>
      <c r="C788" s="30"/>
      <c r="D788" s="30"/>
      <c r="E788" s="30"/>
      <c r="F788" s="30"/>
      <c r="G788" s="30"/>
      <c r="H788" s="30"/>
      <c r="I788" s="30"/>
      <c r="J788" s="30"/>
      <c r="K788" s="30"/>
      <c r="L788" s="6"/>
      <c r="M788" s="6"/>
      <c r="N788" s="6"/>
      <c r="O788" s="6"/>
      <c r="P788" s="156"/>
      <c r="W788" s="156"/>
      <c r="X788" s="156"/>
      <c r="Y788" s="156"/>
      <c r="Z788" s="156"/>
    </row>
    <row r="789" spans="1:26" ht="20.100000000000001" customHeight="1">
      <c r="A789" s="2654"/>
      <c r="B789" s="2655"/>
      <c r="C789" s="2673" t="s">
        <v>561</v>
      </c>
      <c r="D789" s="2674"/>
      <c r="E789" s="2674"/>
      <c r="F789" s="2674"/>
      <c r="G789" s="2674"/>
      <c r="H789" s="2675"/>
      <c r="I789" s="2673" t="s">
        <v>560</v>
      </c>
      <c r="J789" s="2674"/>
      <c r="K789" s="2674"/>
      <c r="L789" s="2674"/>
      <c r="M789" s="2674"/>
      <c r="N789" s="2674"/>
      <c r="O789" s="2675"/>
      <c r="P789" s="156"/>
      <c r="W789" s="156"/>
      <c r="X789" s="156"/>
      <c r="Y789" s="156"/>
      <c r="Z789" s="156"/>
    </row>
    <row r="790" spans="1:26" ht="22.15" customHeight="1">
      <c r="A790" s="3253" t="s">
        <v>122</v>
      </c>
      <c r="B790" s="3254"/>
      <c r="C790" s="3255" t="str">
        <f ca="1">参照元個別!E36</f>
        <v/>
      </c>
      <c r="D790" s="3256"/>
      <c r="E790" s="3256"/>
      <c r="F790" s="3256"/>
      <c r="G790" s="3047" t="s">
        <v>1265</v>
      </c>
      <c r="H790" s="2959"/>
      <c r="I790" s="3260" t="str">
        <f>報7!I790</f>
        <v/>
      </c>
      <c r="J790" s="3261"/>
      <c r="K790" s="3261"/>
      <c r="L790" s="3261"/>
      <c r="M790" s="3047" t="s">
        <v>4308</v>
      </c>
      <c r="N790" s="3047"/>
      <c r="O790" s="3264" t="str">
        <f>報7!N790</f>
        <v/>
      </c>
      <c r="P790" s="165"/>
      <c r="Q790" s="1244"/>
      <c r="W790" s="156"/>
      <c r="X790" s="156"/>
      <c r="Y790" s="156"/>
      <c r="Z790" s="156"/>
    </row>
    <row r="791" spans="1:26" ht="22.15" customHeight="1">
      <c r="A791" s="3097">
        <f>IF(計1!$D$28="","",計1!$D$28-1)</f>
        <v>2023</v>
      </c>
      <c r="B791" s="2655"/>
      <c r="C791" s="3257"/>
      <c r="D791" s="3258"/>
      <c r="E791" s="3258"/>
      <c r="F791" s="3258"/>
      <c r="G791" s="3076"/>
      <c r="H791" s="3259"/>
      <c r="I791" s="3262"/>
      <c r="J791" s="3263"/>
      <c r="K791" s="3263"/>
      <c r="L791" s="3263"/>
      <c r="M791" s="3048"/>
      <c r="N791" s="3048"/>
      <c r="O791" s="3265"/>
      <c r="P791" s="165"/>
      <c r="Q791" s="1244"/>
      <c r="W791" s="156"/>
      <c r="X791" s="156"/>
      <c r="Y791" s="156"/>
      <c r="Z791" s="156"/>
    </row>
    <row r="792" spans="1:26" ht="22.15" customHeight="1">
      <c r="A792" s="2633" t="s">
        <v>558</v>
      </c>
      <c r="B792" s="3065"/>
      <c r="C792" s="3216"/>
      <c r="D792" s="3217"/>
      <c r="E792" s="3217"/>
      <c r="F792" s="3217"/>
      <c r="G792" s="3047" t="s">
        <v>414</v>
      </c>
      <c r="H792" s="2959"/>
      <c r="I792" s="3221"/>
      <c r="J792" s="3222"/>
      <c r="K792" s="3222"/>
      <c r="L792" s="3222"/>
      <c r="M792" s="3047" t="s">
        <v>415</v>
      </c>
      <c r="N792" s="3047"/>
      <c r="O792" s="3225" t="str">
        <f>IF(O790="","",O790)</f>
        <v/>
      </c>
      <c r="P792" s="3229"/>
      <c r="Q792" s="3229"/>
      <c r="W792" s="156"/>
      <c r="X792" s="156"/>
      <c r="Y792" s="156"/>
      <c r="Z792" s="156"/>
    </row>
    <row r="793" spans="1:26" ht="22.15" customHeight="1">
      <c r="A793" s="3080">
        <f>IF(計1!$D$28="","",計1!$G$28)</f>
        <v>2026</v>
      </c>
      <c r="B793" s="3059"/>
      <c r="C793" s="3218"/>
      <c r="D793" s="3219"/>
      <c r="E793" s="3219"/>
      <c r="F793" s="3219"/>
      <c r="G793" s="3048"/>
      <c r="H793" s="3220"/>
      <c r="I793" s="3223"/>
      <c r="J793" s="3224"/>
      <c r="K793" s="3224"/>
      <c r="L793" s="3224"/>
      <c r="M793" s="3048"/>
      <c r="N793" s="3048"/>
      <c r="O793" s="3226"/>
      <c r="P793" s="3230"/>
      <c r="Q793" s="3231"/>
      <c r="W793" s="156"/>
      <c r="X793" s="357"/>
      <c r="Y793" s="156"/>
      <c r="Z793" s="156"/>
    </row>
    <row r="794" spans="1:26" ht="24.95" customHeight="1">
      <c r="A794" s="145"/>
      <c r="B794" s="146" t="s">
        <v>577</v>
      </c>
      <c r="C794" s="147"/>
      <c r="D794" s="3232" t="str">
        <f ca="1">IF(OR(C790=0,C792=""),"",INT((C790-C792)/C790*10000)/100)</f>
        <v/>
      </c>
      <c r="E794" s="3232"/>
      <c r="F794" s="3232"/>
      <c r="G794" s="3233" t="s">
        <v>134</v>
      </c>
      <c r="H794" s="3234"/>
      <c r="I794" s="148"/>
      <c r="J794" s="3235" t="str">
        <f>IF(OR(I790=0,I792=""),"",INT((I790-I792)/I790*10000)/100)</f>
        <v/>
      </c>
      <c r="K794" s="3235"/>
      <c r="L794" s="3235"/>
      <c r="M794" s="3232" t="s">
        <v>501</v>
      </c>
      <c r="N794" s="3232"/>
      <c r="O794" s="3236"/>
      <c r="P794" s="335"/>
      <c r="Q794" s="1245"/>
      <c r="W794" s="359"/>
      <c r="X794" s="359"/>
      <c r="Y794" s="359"/>
      <c r="Z794" s="156"/>
    </row>
    <row r="795" spans="1:26" ht="27.75" customHeight="1">
      <c r="A795" s="2672" t="s">
        <v>559</v>
      </c>
      <c r="B795" s="2635"/>
      <c r="C795" s="3240"/>
      <c r="D795" s="3241"/>
      <c r="E795" s="3241"/>
      <c r="F795" s="3241"/>
      <c r="G795" s="3241"/>
      <c r="H795" s="3241"/>
      <c r="I795" s="3241"/>
      <c r="J795" s="3241"/>
      <c r="K795" s="3241"/>
      <c r="L795" s="3241"/>
      <c r="M795" s="3241"/>
      <c r="N795" s="3241"/>
      <c r="O795" s="3242"/>
      <c r="P795" s="335"/>
      <c r="Q795" s="1245"/>
      <c r="R795" s="1246"/>
      <c r="W795" s="359"/>
      <c r="X795" s="359" t="s">
        <v>586</v>
      </c>
      <c r="Y795" s="359"/>
      <c r="Z795" s="156"/>
    </row>
    <row r="796" spans="1:26" ht="35.1" customHeight="1">
      <c r="A796" s="3237"/>
      <c r="B796" s="2648"/>
      <c r="C796" s="3243"/>
      <c r="D796" s="2941"/>
      <c r="E796" s="2941"/>
      <c r="F796" s="2941"/>
      <c r="G796" s="2941"/>
      <c r="H796" s="2941"/>
      <c r="I796" s="2941"/>
      <c r="J796" s="2941"/>
      <c r="K796" s="2941"/>
      <c r="L796" s="2941"/>
      <c r="M796" s="2941"/>
      <c r="N796" s="2941"/>
      <c r="O796" s="2942"/>
      <c r="P796" s="358"/>
      <c r="Q796" s="1247"/>
      <c r="R796" s="1248">
        <v>0</v>
      </c>
      <c r="W796" s="359"/>
      <c r="X796" s="360" t="s">
        <v>587</v>
      </c>
      <c r="Y796" s="359"/>
      <c r="Z796" s="156"/>
    </row>
    <row r="797" spans="1:26" ht="93" customHeight="1">
      <c r="A797" s="3238"/>
      <c r="B797" s="3239"/>
      <c r="C797" s="3244"/>
      <c r="D797" s="2943"/>
      <c r="E797" s="2943"/>
      <c r="F797" s="2943"/>
      <c r="G797" s="2943"/>
      <c r="H797" s="2943"/>
      <c r="I797" s="2943"/>
      <c r="J797" s="2943"/>
      <c r="K797" s="2943"/>
      <c r="L797" s="2943"/>
      <c r="M797" s="2943"/>
      <c r="N797" s="2943"/>
      <c r="O797" s="2944"/>
      <c r="P797" s="336"/>
      <c r="Q797" s="1249"/>
      <c r="W797" s="156"/>
      <c r="X797" s="156"/>
      <c r="Y797" s="156"/>
      <c r="Z797" s="156"/>
    </row>
    <row r="798" spans="1:26" ht="18" customHeight="1">
      <c r="A798" s="2831" t="s">
        <v>583</v>
      </c>
      <c r="B798" s="2831"/>
      <c r="C798" s="2831"/>
      <c r="D798" s="2831"/>
      <c r="E798" s="2831"/>
      <c r="F798" s="2831"/>
      <c r="G798" s="2831"/>
      <c r="H798" s="2831"/>
      <c r="I798" s="2831"/>
      <c r="J798" s="2831"/>
      <c r="K798" s="2831"/>
      <c r="L798" s="2831"/>
      <c r="M798" s="2831"/>
      <c r="N798" s="2831"/>
      <c r="O798" s="2831"/>
      <c r="P798" s="3227"/>
      <c r="Q798" s="3227"/>
      <c r="W798" s="156"/>
      <c r="X798" s="156"/>
      <c r="Y798" s="156"/>
      <c r="Z798" s="156"/>
    </row>
    <row r="799" spans="1:26" ht="9.75" customHeight="1">
      <c r="A799" s="89"/>
      <c r="B799" s="89"/>
      <c r="C799" s="106"/>
      <c r="D799" s="106"/>
      <c r="E799" s="106"/>
      <c r="F799" s="106"/>
      <c r="G799" s="106"/>
      <c r="H799" s="106"/>
      <c r="I799" s="106"/>
      <c r="J799" s="106"/>
      <c r="K799" s="106"/>
      <c r="L799" s="106"/>
      <c r="M799" s="106"/>
      <c r="N799" s="3228"/>
      <c r="O799" s="3228"/>
      <c r="P799" s="156"/>
      <c r="W799" s="156"/>
      <c r="X799" s="156"/>
      <c r="Y799" s="156"/>
      <c r="Z799" s="156"/>
    </row>
    <row r="800" spans="1:26">
      <c r="A800" s="156"/>
      <c r="B800" s="156"/>
      <c r="C800" s="156"/>
      <c r="D800" s="156"/>
      <c r="E800" s="156"/>
      <c r="F800" s="156"/>
      <c r="G800" s="156"/>
      <c r="H800" s="156"/>
      <c r="I800" s="156"/>
      <c r="J800" s="156"/>
      <c r="K800" s="156"/>
      <c r="L800" s="156"/>
      <c r="M800" s="156"/>
      <c r="N800" s="156"/>
      <c r="O800" s="156"/>
      <c r="P800" s="156"/>
      <c r="W800" s="156"/>
      <c r="X800" s="156"/>
      <c r="Y800" s="156"/>
      <c r="Z800" s="156"/>
    </row>
    <row r="801" spans="1:26">
      <c r="A801" s="1" t="s">
        <v>520</v>
      </c>
      <c r="B801" s="2"/>
      <c r="C801" s="2"/>
      <c r="D801" s="2"/>
      <c r="E801" s="2"/>
      <c r="F801" s="2"/>
      <c r="G801" s="2"/>
      <c r="H801" s="2"/>
      <c r="I801" s="2"/>
      <c r="J801" s="2"/>
      <c r="K801" s="2"/>
      <c r="L801" s="2"/>
      <c r="M801" s="2"/>
      <c r="N801" s="2"/>
      <c r="O801" s="2"/>
      <c r="P801" s="156" t="str">
        <f>"個別票"&amp;Q801</f>
        <v>個別票33</v>
      </c>
      <c r="Q801" s="1242">
        <f>Q776+1</f>
        <v>33</v>
      </c>
      <c r="W801" s="156"/>
      <c r="X801" s="156"/>
      <c r="Y801" s="156"/>
      <c r="Z801" s="156"/>
    </row>
    <row r="802" spans="1:26">
      <c r="A802" s="2" t="s">
        <v>557</v>
      </c>
      <c r="B802" s="4"/>
      <c r="C802" s="4"/>
      <c r="D802" s="4"/>
      <c r="E802" s="4"/>
      <c r="F802" s="4"/>
      <c r="G802" s="4"/>
      <c r="H802" s="4"/>
      <c r="I802" s="4"/>
      <c r="J802" s="4"/>
      <c r="K802" s="4"/>
      <c r="L802" s="4"/>
      <c r="M802" s="4"/>
      <c r="N802" s="2"/>
      <c r="O802" s="2"/>
      <c r="P802" s="156"/>
      <c r="W802" s="156"/>
      <c r="X802" s="156"/>
      <c r="Y802" s="156"/>
      <c r="Z802" s="156"/>
    </row>
    <row r="803" spans="1:26" ht="17.25">
      <c r="A803" s="2612" t="s">
        <v>556</v>
      </c>
      <c r="B803" s="2612"/>
      <c r="C803" s="2612"/>
      <c r="D803" s="2612"/>
      <c r="E803" s="2612"/>
      <c r="F803" s="2612"/>
      <c r="G803" s="2612"/>
      <c r="H803" s="2612"/>
      <c r="I803" s="2612"/>
      <c r="J803" s="2612"/>
      <c r="K803" s="2612"/>
      <c r="L803" s="2612"/>
      <c r="M803" s="2612"/>
      <c r="N803" s="2612"/>
      <c r="O803" s="2612"/>
      <c r="P803" s="156"/>
      <c r="W803" s="156"/>
      <c r="X803" s="156"/>
      <c r="Y803" s="156"/>
      <c r="Z803" s="156"/>
    </row>
    <row r="804" spans="1:26" ht="17.25">
      <c r="A804" s="38"/>
      <c r="B804" s="38"/>
      <c r="C804" s="38"/>
      <c r="D804" s="38"/>
      <c r="E804" s="38"/>
      <c r="F804" s="38"/>
      <c r="G804" s="38"/>
      <c r="H804" s="38"/>
      <c r="I804" s="38"/>
      <c r="J804" s="38"/>
      <c r="K804" s="38"/>
      <c r="L804" s="38"/>
      <c r="M804" s="38"/>
      <c r="N804" s="38"/>
      <c r="O804" s="38"/>
      <c r="P804" s="156"/>
      <c r="W804" s="156"/>
      <c r="X804" s="156"/>
      <c r="Y804" s="156"/>
      <c r="Z804" s="156"/>
    </row>
    <row r="805" spans="1:26" ht="18" customHeight="1">
      <c r="A805" s="48" t="s">
        <v>151</v>
      </c>
      <c r="B805" s="4"/>
      <c r="C805" s="4"/>
      <c r="D805" s="4"/>
      <c r="E805" s="4"/>
      <c r="F805" s="4"/>
      <c r="G805" s="4"/>
      <c r="H805" s="4"/>
      <c r="I805" s="4"/>
      <c r="J805" s="4"/>
      <c r="K805" s="4"/>
      <c r="L805" s="4"/>
      <c r="M805" s="4"/>
      <c r="N805" s="2"/>
      <c r="O805" s="2"/>
      <c r="P805" s="156"/>
      <c r="W805" s="156"/>
      <c r="X805" s="156"/>
      <c r="Y805" s="156"/>
      <c r="Z805" s="156"/>
    </row>
    <row r="806" spans="1:26" ht="39.950000000000003" customHeight="1">
      <c r="A806" s="2984" t="s">
        <v>152</v>
      </c>
      <c r="B806" s="2985"/>
      <c r="C806" s="2986"/>
      <c r="D806" s="2987" t="str">
        <f>報7!D806</f>
        <v>事業所名を入力33</v>
      </c>
      <c r="E806" s="2988"/>
      <c r="F806" s="2988"/>
      <c r="G806" s="2988"/>
      <c r="H806" s="2988"/>
      <c r="I806" s="2988"/>
      <c r="J806" s="2988"/>
      <c r="K806" s="2988"/>
      <c r="L806" s="2988"/>
      <c r="M806" s="2988"/>
      <c r="N806" s="2988"/>
      <c r="O806" s="2989"/>
      <c r="P806" s="156"/>
      <c r="W806" s="156"/>
      <c r="X806" s="156"/>
      <c r="Y806" s="156"/>
      <c r="Z806" s="156"/>
    </row>
    <row r="807" spans="1:26" ht="39.950000000000003" customHeight="1">
      <c r="A807" s="2570" t="s">
        <v>153</v>
      </c>
      <c r="B807" s="2571"/>
      <c r="C807" s="2990"/>
      <c r="D807" s="2573">
        <f>報7!D807</f>
        <v>0</v>
      </c>
      <c r="E807" s="2574"/>
      <c r="F807" s="2574"/>
      <c r="G807" s="2574"/>
      <c r="H807" s="2574"/>
      <c r="I807" s="2574"/>
      <c r="J807" s="2574"/>
      <c r="K807" s="2574"/>
      <c r="L807" s="2574"/>
      <c r="M807" s="2574"/>
      <c r="N807" s="2574"/>
      <c r="O807" s="2575"/>
      <c r="P807" s="156"/>
      <c r="W807" s="156"/>
      <c r="X807" s="156"/>
      <c r="Y807" s="156"/>
      <c r="Z807" s="156"/>
    </row>
    <row r="808" spans="1:26" ht="39.950000000000003" customHeight="1">
      <c r="A808" s="2536" t="s">
        <v>154</v>
      </c>
      <c r="B808" s="2978"/>
      <c r="C808" s="3245">
        <f>報7!C808</f>
        <v>0</v>
      </c>
      <c r="D808" s="3246"/>
      <c r="E808" s="101" t="s">
        <v>180</v>
      </c>
      <c r="F808" s="2974" t="s">
        <v>404</v>
      </c>
      <c r="G808" s="2975"/>
      <c r="H808" s="2981" t="str">
        <f ca="1">報7!H808</f>
        <v/>
      </c>
      <c r="I808" s="2982"/>
      <c r="J808" s="58" t="s">
        <v>176</v>
      </c>
      <c r="K808" s="2974" t="s">
        <v>405</v>
      </c>
      <c r="L808" s="2975"/>
      <c r="M808" s="3247">
        <f>報7!M808</f>
        <v>0</v>
      </c>
      <c r="N808" s="3248"/>
      <c r="O808" s="3249"/>
      <c r="P808" s="156" t="str">
        <f>IFERROR(VLOOKUP(M808,$U$6:$V$22,2,0),"")</f>
        <v/>
      </c>
      <c r="W808" s="156"/>
      <c r="X808" s="156"/>
      <c r="Y808" s="156"/>
      <c r="Z808" s="156"/>
    </row>
    <row r="809" spans="1:26" ht="39.950000000000003" customHeight="1">
      <c r="A809" s="2974" t="s">
        <v>406</v>
      </c>
      <c r="B809" s="2975"/>
      <c r="C809" s="3250">
        <f>報7!C809</f>
        <v>0</v>
      </c>
      <c r="D809" s="2507"/>
      <c r="E809" s="2508"/>
      <c r="F809" s="2974" t="s">
        <v>158</v>
      </c>
      <c r="G809" s="2975"/>
      <c r="H809" s="3250">
        <f>報7!H809</f>
        <v>0</v>
      </c>
      <c r="I809" s="2507"/>
      <c r="J809" s="2508"/>
      <c r="K809" s="2580"/>
      <c r="L809" s="2977"/>
      <c r="M809" s="2977"/>
      <c r="N809" s="2977"/>
      <c r="O809" s="2977"/>
      <c r="P809" s="156"/>
      <c r="W809" s="156"/>
      <c r="X809" s="156"/>
      <c r="Y809" s="156"/>
      <c r="Z809" s="156"/>
    </row>
    <row r="810" spans="1:26" ht="49.9" customHeight="1">
      <c r="A810" s="39"/>
      <c r="B810" s="39"/>
      <c r="C810" s="40"/>
      <c r="D810" s="41"/>
      <c r="E810" s="40"/>
      <c r="F810" s="42"/>
      <c r="P810" s="156"/>
      <c r="W810" s="156"/>
      <c r="X810" s="156"/>
      <c r="Y810" s="156"/>
      <c r="Z810" s="156"/>
    </row>
    <row r="811" spans="1:26" s="103" customFormat="1" ht="19.5" customHeight="1">
      <c r="A811" s="3251" t="s">
        <v>555</v>
      </c>
      <c r="B811" s="3252"/>
      <c r="C811" s="3252"/>
      <c r="D811" s="3252"/>
      <c r="E811" s="3252"/>
      <c r="F811" s="3252"/>
      <c r="G811" s="3252"/>
      <c r="H811" s="3252"/>
      <c r="I811" s="3252"/>
      <c r="J811" s="3252"/>
      <c r="K811" s="3252"/>
      <c r="L811" s="3252"/>
      <c r="M811" s="3252"/>
      <c r="N811" s="3252"/>
      <c r="O811" s="3252"/>
      <c r="P811" s="334"/>
      <c r="Q811" s="1243"/>
      <c r="R811" s="1243"/>
      <c r="S811" s="1243"/>
      <c r="T811" s="1243"/>
      <c r="U811" s="1243"/>
      <c r="V811" s="1243"/>
      <c r="W811" s="334"/>
      <c r="X811" s="334"/>
      <c r="Y811" s="334"/>
      <c r="Z811" s="334"/>
    </row>
    <row r="812" spans="1:26" ht="49.9" customHeight="1">
      <c r="A812" s="104"/>
      <c r="B812" s="39"/>
      <c r="E812" s="105"/>
      <c r="F812" s="105"/>
      <c r="G812" s="105"/>
      <c r="H812" s="105"/>
      <c r="I812" s="105"/>
      <c r="J812" s="105"/>
      <c r="K812" s="105"/>
      <c r="L812" s="105"/>
      <c r="M812" s="105"/>
      <c r="N812" s="105"/>
      <c r="O812" s="105"/>
      <c r="P812" s="156"/>
      <c r="W812" s="156"/>
      <c r="X812" s="156"/>
      <c r="Y812" s="156"/>
      <c r="Z812" s="156"/>
    </row>
    <row r="813" spans="1:26" ht="20.25" customHeight="1">
      <c r="A813" s="50" t="s">
        <v>554</v>
      </c>
      <c r="B813" s="30"/>
      <c r="C813" s="30"/>
      <c r="D813" s="30"/>
      <c r="E813" s="30"/>
      <c r="F813" s="30"/>
      <c r="G813" s="30"/>
      <c r="H813" s="30"/>
      <c r="I813" s="30"/>
      <c r="J813" s="30"/>
      <c r="K813" s="30"/>
      <c r="L813" s="6"/>
      <c r="M813" s="6"/>
      <c r="N813" s="6"/>
      <c r="O813" s="6"/>
      <c r="P813" s="156"/>
      <c r="W813" s="156"/>
      <c r="X813" s="156"/>
      <c r="Y813" s="156"/>
      <c r="Z813" s="156"/>
    </row>
    <row r="814" spans="1:26" ht="20.100000000000001" customHeight="1">
      <c r="A814" s="2654"/>
      <c r="B814" s="2655"/>
      <c r="C814" s="2673" t="s">
        <v>561</v>
      </c>
      <c r="D814" s="2674"/>
      <c r="E814" s="2674"/>
      <c r="F814" s="2674"/>
      <c r="G814" s="2674"/>
      <c r="H814" s="2675"/>
      <c r="I814" s="2673" t="s">
        <v>560</v>
      </c>
      <c r="J814" s="2674"/>
      <c r="K814" s="2674"/>
      <c r="L814" s="2674"/>
      <c r="M814" s="2674"/>
      <c r="N814" s="2674"/>
      <c r="O814" s="2675"/>
      <c r="P814" s="156"/>
      <c r="W814" s="156"/>
      <c r="X814" s="156"/>
      <c r="Y814" s="156"/>
      <c r="Z814" s="156"/>
    </row>
    <row r="815" spans="1:26" ht="22.15" customHeight="1">
      <c r="A815" s="3253" t="s">
        <v>122</v>
      </c>
      <c r="B815" s="3254"/>
      <c r="C815" s="3255" t="str">
        <f ca="1">参照元個別!E37</f>
        <v/>
      </c>
      <c r="D815" s="3256"/>
      <c r="E815" s="3256"/>
      <c r="F815" s="3256"/>
      <c r="G815" s="3047" t="s">
        <v>1265</v>
      </c>
      <c r="H815" s="2959"/>
      <c r="I815" s="3260" t="str">
        <f>報7!I815</f>
        <v/>
      </c>
      <c r="J815" s="3261"/>
      <c r="K815" s="3261"/>
      <c r="L815" s="3261"/>
      <c r="M815" s="3047" t="s">
        <v>4308</v>
      </c>
      <c r="N815" s="3047"/>
      <c r="O815" s="3264" t="str">
        <f>報7!N815</f>
        <v/>
      </c>
      <c r="P815" s="165"/>
      <c r="Q815" s="1244"/>
      <c r="W815" s="156"/>
      <c r="X815" s="156"/>
      <c r="Y815" s="156"/>
      <c r="Z815" s="156"/>
    </row>
    <row r="816" spans="1:26" ht="22.15" customHeight="1">
      <c r="A816" s="3097">
        <f>IF(計1!$D$28="","",計1!$D$28-1)</f>
        <v>2023</v>
      </c>
      <c r="B816" s="2655"/>
      <c r="C816" s="3257"/>
      <c r="D816" s="3258"/>
      <c r="E816" s="3258"/>
      <c r="F816" s="3258"/>
      <c r="G816" s="3076"/>
      <c r="H816" s="3259"/>
      <c r="I816" s="3262"/>
      <c r="J816" s="3263"/>
      <c r="K816" s="3263"/>
      <c r="L816" s="3263"/>
      <c r="M816" s="3048"/>
      <c r="N816" s="3048"/>
      <c r="O816" s="3265"/>
      <c r="P816" s="165"/>
      <c r="Q816" s="1244"/>
      <c r="W816" s="156"/>
      <c r="X816" s="156"/>
      <c r="Y816" s="156"/>
      <c r="Z816" s="156"/>
    </row>
    <row r="817" spans="1:26" ht="22.15" customHeight="1">
      <c r="A817" s="2633" t="s">
        <v>558</v>
      </c>
      <c r="B817" s="3065"/>
      <c r="C817" s="3216"/>
      <c r="D817" s="3217"/>
      <c r="E817" s="3217"/>
      <c r="F817" s="3217"/>
      <c r="G817" s="3047" t="s">
        <v>414</v>
      </c>
      <c r="H817" s="2959"/>
      <c r="I817" s="3221"/>
      <c r="J817" s="3222"/>
      <c r="K817" s="3222"/>
      <c r="L817" s="3222"/>
      <c r="M817" s="3047" t="s">
        <v>415</v>
      </c>
      <c r="N817" s="3047"/>
      <c r="O817" s="3225" t="str">
        <f>IF(O815="","",O815)</f>
        <v/>
      </c>
      <c r="P817" s="3229"/>
      <c r="Q817" s="3229"/>
      <c r="W817" s="156"/>
      <c r="X817" s="156"/>
      <c r="Y817" s="156"/>
      <c r="Z817" s="156"/>
    </row>
    <row r="818" spans="1:26" ht="22.15" customHeight="1">
      <c r="A818" s="3080">
        <f>IF(計1!$D$28="","",計1!$G$28)</f>
        <v>2026</v>
      </c>
      <c r="B818" s="3059"/>
      <c r="C818" s="3218"/>
      <c r="D818" s="3219"/>
      <c r="E818" s="3219"/>
      <c r="F818" s="3219"/>
      <c r="G818" s="3048"/>
      <c r="H818" s="3220"/>
      <c r="I818" s="3223"/>
      <c r="J818" s="3224"/>
      <c r="K818" s="3224"/>
      <c r="L818" s="3224"/>
      <c r="M818" s="3048"/>
      <c r="N818" s="3048"/>
      <c r="O818" s="3226"/>
      <c r="P818" s="3230"/>
      <c r="Q818" s="3231"/>
      <c r="W818" s="156"/>
      <c r="X818" s="357"/>
      <c r="Y818" s="156"/>
      <c r="Z818" s="156"/>
    </row>
    <row r="819" spans="1:26" ht="24.95" customHeight="1">
      <c r="A819" s="145"/>
      <c r="B819" s="146" t="s">
        <v>577</v>
      </c>
      <c r="C819" s="147"/>
      <c r="D819" s="3232" t="str">
        <f ca="1">IF(OR(C815=0,C817=""),"",INT((C815-C817)/C815*10000)/100)</f>
        <v/>
      </c>
      <c r="E819" s="3232"/>
      <c r="F819" s="3232"/>
      <c r="G819" s="3233" t="s">
        <v>134</v>
      </c>
      <c r="H819" s="3234"/>
      <c r="I819" s="148"/>
      <c r="J819" s="3235" t="str">
        <f>IF(OR(I815=0,I817=""),"",INT((I815-I817)/I815*10000)/100)</f>
        <v/>
      </c>
      <c r="K819" s="3235"/>
      <c r="L819" s="3235"/>
      <c r="M819" s="3232" t="s">
        <v>501</v>
      </c>
      <c r="N819" s="3232"/>
      <c r="O819" s="3236"/>
      <c r="P819" s="335"/>
      <c r="Q819" s="1245"/>
      <c r="W819" s="359"/>
      <c r="X819" s="359"/>
      <c r="Y819" s="359"/>
      <c r="Z819" s="156"/>
    </row>
    <row r="820" spans="1:26" ht="27.75" customHeight="1">
      <c r="A820" s="2672" t="s">
        <v>559</v>
      </c>
      <c r="B820" s="2635"/>
      <c r="C820" s="3240"/>
      <c r="D820" s="3241"/>
      <c r="E820" s="3241"/>
      <c r="F820" s="3241"/>
      <c r="G820" s="3241"/>
      <c r="H820" s="3241"/>
      <c r="I820" s="3241"/>
      <c r="J820" s="3241"/>
      <c r="K820" s="3241"/>
      <c r="L820" s="3241"/>
      <c r="M820" s="3241"/>
      <c r="N820" s="3241"/>
      <c r="O820" s="3242"/>
      <c r="P820" s="335"/>
      <c r="Q820" s="1245"/>
      <c r="R820" s="1246"/>
      <c r="W820" s="359"/>
      <c r="X820" s="359" t="s">
        <v>586</v>
      </c>
      <c r="Y820" s="359"/>
      <c r="Z820" s="156"/>
    </row>
    <row r="821" spans="1:26" ht="35.1" customHeight="1">
      <c r="A821" s="3237"/>
      <c r="B821" s="2648"/>
      <c r="C821" s="3243"/>
      <c r="D821" s="2941"/>
      <c r="E821" s="2941"/>
      <c r="F821" s="2941"/>
      <c r="G821" s="2941"/>
      <c r="H821" s="2941"/>
      <c r="I821" s="2941"/>
      <c r="J821" s="2941"/>
      <c r="K821" s="2941"/>
      <c r="L821" s="2941"/>
      <c r="M821" s="2941"/>
      <c r="N821" s="2941"/>
      <c r="O821" s="2942"/>
      <c r="P821" s="358"/>
      <c r="Q821" s="1247"/>
      <c r="R821" s="1248">
        <v>0</v>
      </c>
      <c r="W821" s="359"/>
      <c r="X821" s="360" t="s">
        <v>587</v>
      </c>
      <c r="Y821" s="359"/>
      <c r="Z821" s="156"/>
    </row>
    <row r="822" spans="1:26" ht="93" customHeight="1">
      <c r="A822" s="3238"/>
      <c r="B822" s="3239"/>
      <c r="C822" s="3244"/>
      <c r="D822" s="2943"/>
      <c r="E822" s="2943"/>
      <c r="F822" s="2943"/>
      <c r="G822" s="2943"/>
      <c r="H822" s="2943"/>
      <c r="I822" s="2943"/>
      <c r="J822" s="2943"/>
      <c r="K822" s="2943"/>
      <c r="L822" s="2943"/>
      <c r="M822" s="2943"/>
      <c r="N822" s="2943"/>
      <c r="O822" s="2944"/>
      <c r="P822" s="336"/>
      <c r="Q822" s="1249"/>
      <c r="W822" s="156"/>
      <c r="X822" s="156"/>
      <c r="Y822" s="156"/>
      <c r="Z822" s="156"/>
    </row>
    <row r="823" spans="1:26" ht="18" customHeight="1">
      <c r="A823" s="2831" t="s">
        <v>583</v>
      </c>
      <c r="B823" s="2831"/>
      <c r="C823" s="2831"/>
      <c r="D823" s="2831"/>
      <c r="E823" s="2831"/>
      <c r="F823" s="2831"/>
      <c r="G823" s="2831"/>
      <c r="H823" s="2831"/>
      <c r="I823" s="2831"/>
      <c r="J823" s="2831"/>
      <c r="K823" s="2831"/>
      <c r="L823" s="2831"/>
      <c r="M823" s="2831"/>
      <c r="N823" s="2831"/>
      <c r="O823" s="2831"/>
      <c r="P823" s="3227"/>
      <c r="Q823" s="3227"/>
      <c r="W823" s="156"/>
      <c r="X823" s="156"/>
      <c r="Y823" s="156"/>
      <c r="Z823" s="156"/>
    </row>
    <row r="824" spans="1:26" ht="9.75" customHeight="1">
      <c r="A824" s="89"/>
      <c r="B824" s="89"/>
      <c r="C824" s="106"/>
      <c r="D824" s="106"/>
      <c r="E824" s="106"/>
      <c r="F824" s="106"/>
      <c r="G824" s="106"/>
      <c r="H824" s="106"/>
      <c r="I824" s="106"/>
      <c r="J824" s="106"/>
      <c r="K824" s="106"/>
      <c r="L824" s="106"/>
      <c r="M824" s="106"/>
      <c r="N824" s="3228"/>
      <c r="O824" s="3228"/>
      <c r="P824" s="156"/>
      <c r="W824" s="156"/>
      <c r="X824" s="156"/>
      <c r="Y824" s="156"/>
      <c r="Z824" s="156"/>
    </row>
    <row r="825" spans="1:26">
      <c r="A825" s="156"/>
      <c r="B825" s="156"/>
      <c r="C825" s="156"/>
      <c r="D825" s="156"/>
      <c r="E825" s="156"/>
      <c r="F825" s="156"/>
      <c r="G825" s="156"/>
      <c r="H825" s="156"/>
      <c r="I825" s="156"/>
      <c r="J825" s="156"/>
      <c r="K825" s="156"/>
      <c r="L825" s="156"/>
      <c r="M825" s="156"/>
      <c r="N825" s="156"/>
      <c r="O825" s="156"/>
      <c r="P825" s="156"/>
      <c r="W825" s="156"/>
      <c r="X825" s="156"/>
      <c r="Y825" s="156"/>
      <c r="Z825" s="156"/>
    </row>
    <row r="826" spans="1:26">
      <c r="A826" s="1" t="s">
        <v>520</v>
      </c>
      <c r="B826" s="2"/>
      <c r="C826" s="2"/>
      <c r="D826" s="2"/>
      <c r="E826" s="2"/>
      <c r="F826" s="2"/>
      <c r="G826" s="2"/>
      <c r="H826" s="2"/>
      <c r="I826" s="2"/>
      <c r="J826" s="2"/>
      <c r="K826" s="2"/>
      <c r="L826" s="2"/>
      <c r="M826" s="2"/>
      <c r="N826" s="2"/>
      <c r="O826" s="2"/>
      <c r="P826" s="156" t="str">
        <f>"個別票"&amp;Q826</f>
        <v>個別票34</v>
      </c>
      <c r="Q826" s="1242">
        <f>Q801+1</f>
        <v>34</v>
      </c>
      <c r="W826" s="156"/>
      <c r="X826" s="156"/>
      <c r="Y826" s="156"/>
      <c r="Z826" s="156"/>
    </row>
    <row r="827" spans="1:26">
      <c r="A827" s="2" t="s">
        <v>557</v>
      </c>
      <c r="B827" s="4"/>
      <c r="C827" s="4"/>
      <c r="D827" s="4"/>
      <c r="E827" s="4"/>
      <c r="F827" s="4"/>
      <c r="G827" s="4"/>
      <c r="H827" s="4"/>
      <c r="I827" s="4"/>
      <c r="J827" s="4"/>
      <c r="K827" s="4"/>
      <c r="L827" s="4"/>
      <c r="M827" s="4"/>
      <c r="N827" s="2"/>
      <c r="O827" s="2"/>
      <c r="P827" s="156"/>
      <c r="W827" s="156"/>
      <c r="X827" s="156"/>
      <c r="Y827" s="156"/>
      <c r="Z827" s="156"/>
    </row>
    <row r="828" spans="1:26" ht="17.25">
      <c r="A828" s="2612" t="s">
        <v>556</v>
      </c>
      <c r="B828" s="2612"/>
      <c r="C828" s="2612"/>
      <c r="D828" s="2612"/>
      <c r="E828" s="2612"/>
      <c r="F828" s="2612"/>
      <c r="G828" s="2612"/>
      <c r="H828" s="2612"/>
      <c r="I828" s="2612"/>
      <c r="J828" s="2612"/>
      <c r="K828" s="2612"/>
      <c r="L828" s="2612"/>
      <c r="M828" s="2612"/>
      <c r="N828" s="2612"/>
      <c r="O828" s="2612"/>
      <c r="P828" s="156"/>
      <c r="W828" s="156"/>
      <c r="X828" s="156"/>
      <c r="Y828" s="156"/>
      <c r="Z828" s="156"/>
    </row>
    <row r="829" spans="1:26" ht="17.25">
      <c r="A829" s="38"/>
      <c r="B829" s="38"/>
      <c r="C829" s="38"/>
      <c r="D829" s="38"/>
      <c r="E829" s="38"/>
      <c r="F829" s="38"/>
      <c r="G829" s="38"/>
      <c r="H829" s="38"/>
      <c r="I829" s="38"/>
      <c r="J829" s="38"/>
      <c r="K829" s="38"/>
      <c r="L829" s="38"/>
      <c r="M829" s="38"/>
      <c r="N829" s="38"/>
      <c r="O829" s="38"/>
      <c r="P829" s="156"/>
      <c r="W829" s="156"/>
      <c r="X829" s="156"/>
      <c r="Y829" s="156"/>
      <c r="Z829" s="156"/>
    </row>
    <row r="830" spans="1:26" ht="18" customHeight="1">
      <c r="A830" s="48" t="s">
        <v>151</v>
      </c>
      <c r="B830" s="4"/>
      <c r="C830" s="4"/>
      <c r="D830" s="4"/>
      <c r="E830" s="4"/>
      <c r="F830" s="4"/>
      <c r="G830" s="4"/>
      <c r="H830" s="4"/>
      <c r="I830" s="4"/>
      <c r="J830" s="4"/>
      <c r="K830" s="4"/>
      <c r="L830" s="4"/>
      <c r="M830" s="4"/>
      <c r="N830" s="2"/>
      <c r="O830" s="2"/>
      <c r="P830" s="156"/>
      <c r="W830" s="156"/>
      <c r="X830" s="156"/>
      <c r="Y830" s="156"/>
      <c r="Z830" s="156"/>
    </row>
    <row r="831" spans="1:26" ht="39.950000000000003" customHeight="1">
      <c r="A831" s="2984" t="s">
        <v>152</v>
      </c>
      <c r="B831" s="2985"/>
      <c r="C831" s="2986"/>
      <c r="D831" s="2987" t="str">
        <f>報7!D831</f>
        <v>事業所名を入力34</v>
      </c>
      <c r="E831" s="2988"/>
      <c r="F831" s="2988"/>
      <c r="G831" s="2988"/>
      <c r="H831" s="2988"/>
      <c r="I831" s="2988"/>
      <c r="J831" s="2988"/>
      <c r="K831" s="2988"/>
      <c r="L831" s="2988"/>
      <c r="M831" s="2988"/>
      <c r="N831" s="2988"/>
      <c r="O831" s="2989"/>
      <c r="P831" s="156"/>
      <c r="W831" s="156"/>
      <c r="X831" s="156"/>
      <c r="Y831" s="156"/>
      <c r="Z831" s="156"/>
    </row>
    <row r="832" spans="1:26" ht="39.950000000000003" customHeight="1">
      <c r="A832" s="2570" t="s">
        <v>153</v>
      </c>
      <c r="B832" s="2571"/>
      <c r="C832" s="2990"/>
      <c r="D832" s="2573">
        <f>報7!D832</f>
        <v>0</v>
      </c>
      <c r="E832" s="2574"/>
      <c r="F832" s="2574"/>
      <c r="G832" s="2574"/>
      <c r="H832" s="2574"/>
      <c r="I832" s="2574"/>
      <c r="J832" s="2574"/>
      <c r="K832" s="2574"/>
      <c r="L832" s="2574"/>
      <c r="M832" s="2574"/>
      <c r="N832" s="2574"/>
      <c r="O832" s="2575"/>
      <c r="P832" s="156"/>
      <c r="W832" s="156"/>
      <c r="X832" s="156"/>
      <c r="Y832" s="156"/>
      <c r="Z832" s="156"/>
    </row>
    <row r="833" spans="1:26" ht="39.950000000000003" customHeight="1">
      <c r="A833" s="2536" t="s">
        <v>154</v>
      </c>
      <c r="B833" s="2978"/>
      <c r="C833" s="3245">
        <f>報7!C833</f>
        <v>0</v>
      </c>
      <c r="D833" s="3246"/>
      <c r="E833" s="101" t="s">
        <v>180</v>
      </c>
      <c r="F833" s="2974" t="s">
        <v>404</v>
      </c>
      <c r="G833" s="2975"/>
      <c r="H833" s="2981" t="str">
        <f ca="1">報7!H833</f>
        <v/>
      </c>
      <c r="I833" s="2982"/>
      <c r="J833" s="58" t="s">
        <v>176</v>
      </c>
      <c r="K833" s="2974" t="s">
        <v>405</v>
      </c>
      <c r="L833" s="2975"/>
      <c r="M833" s="3247">
        <f>報7!M833</f>
        <v>0</v>
      </c>
      <c r="N833" s="3248"/>
      <c r="O833" s="3249"/>
      <c r="P833" s="156" t="str">
        <f>IFERROR(VLOOKUP(M833,$U$6:$V$22,2,0),"")</f>
        <v/>
      </c>
      <c r="W833" s="156"/>
      <c r="X833" s="156"/>
      <c r="Y833" s="156"/>
      <c r="Z833" s="156"/>
    </row>
    <row r="834" spans="1:26" ht="39.950000000000003" customHeight="1">
      <c r="A834" s="2974" t="s">
        <v>406</v>
      </c>
      <c r="B834" s="2975"/>
      <c r="C834" s="3250">
        <f>報7!C834</f>
        <v>0</v>
      </c>
      <c r="D834" s="2507"/>
      <c r="E834" s="2508"/>
      <c r="F834" s="2974" t="s">
        <v>158</v>
      </c>
      <c r="G834" s="2975"/>
      <c r="H834" s="3250">
        <f>報7!H834</f>
        <v>0</v>
      </c>
      <c r="I834" s="2507"/>
      <c r="J834" s="2508"/>
      <c r="K834" s="2580"/>
      <c r="L834" s="2977"/>
      <c r="M834" s="2977"/>
      <c r="N834" s="2977"/>
      <c r="O834" s="2977"/>
      <c r="P834" s="156"/>
      <c r="W834" s="156"/>
      <c r="X834" s="156"/>
      <c r="Y834" s="156"/>
      <c r="Z834" s="156"/>
    </row>
    <row r="835" spans="1:26" ht="49.9" customHeight="1">
      <c r="A835" s="39"/>
      <c r="B835" s="39"/>
      <c r="C835" s="40"/>
      <c r="D835" s="41"/>
      <c r="E835" s="40"/>
      <c r="F835" s="42"/>
      <c r="P835" s="156"/>
      <c r="W835" s="156"/>
      <c r="X835" s="156"/>
      <c r="Y835" s="156"/>
      <c r="Z835" s="156"/>
    </row>
    <row r="836" spans="1:26" s="103" customFormat="1" ht="19.5" customHeight="1">
      <c r="A836" s="3251" t="s">
        <v>555</v>
      </c>
      <c r="B836" s="3252"/>
      <c r="C836" s="3252"/>
      <c r="D836" s="3252"/>
      <c r="E836" s="3252"/>
      <c r="F836" s="3252"/>
      <c r="G836" s="3252"/>
      <c r="H836" s="3252"/>
      <c r="I836" s="3252"/>
      <c r="J836" s="3252"/>
      <c r="K836" s="3252"/>
      <c r="L836" s="3252"/>
      <c r="M836" s="3252"/>
      <c r="N836" s="3252"/>
      <c r="O836" s="3252"/>
      <c r="P836" s="334"/>
      <c r="Q836" s="1243"/>
      <c r="R836" s="1243"/>
      <c r="S836" s="1243"/>
      <c r="T836" s="1243"/>
      <c r="U836" s="1243"/>
      <c r="V836" s="1243"/>
      <c r="W836" s="334"/>
      <c r="X836" s="334"/>
      <c r="Y836" s="334"/>
      <c r="Z836" s="334"/>
    </row>
    <row r="837" spans="1:26" ht="49.9" customHeight="1">
      <c r="A837" s="104"/>
      <c r="B837" s="39"/>
      <c r="E837" s="105"/>
      <c r="F837" s="105"/>
      <c r="G837" s="105"/>
      <c r="H837" s="105"/>
      <c r="I837" s="105"/>
      <c r="J837" s="105"/>
      <c r="K837" s="105"/>
      <c r="L837" s="105"/>
      <c r="M837" s="105"/>
      <c r="N837" s="105"/>
      <c r="O837" s="105"/>
      <c r="P837" s="156"/>
      <c r="W837" s="156"/>
      <c r="X837" s="156"/>
      <c r="Y837" s="156"/>
      <c r="Z837" s="156"/>
    </row>
    <row r="838" spans="1:26" ht="20.25" customHeight="1">
      <c r="A838" s="50" t="s">
        <v>554</v>
      </c>
      <c r="B838" s="30"/>
      <c r="C838" s="30"/>
      <c r="D838" s="30"/>
      <c r="E838" s="30"/>
      <c r="F838" s="30"/>
      <c r="G838" s="30"/>
      <c r="H838" s="30"/>
      <c r="I838" s="30"/>
      <c r="J838" s="30"/>
      <c r="K838" s="30"/>
      <c r="L838" s="6"/>
      <c r="M838" s="6"/>
      <c r="N838" s="6"/>
      <c r="O838" s="6"/>
      <c r="P838" s="156"/>
      <c r="W838" s="156"/>
      <c r="X838" s="156"/>
      <c r="Y838" s="156"/>
      <c r="Z838" s="156"/>
    </row>
    <row r="839" spans="1:26" ht="20.100000000000001" customHeight="1">
      <c r="A839" s="2654"/>
      <c r="B839" s="2655"/>
      <c r="C839" s="2673" t="s">
        <v>561</v>
      </c>
      <c r="D839" s="2674"/>
      <c r="E839" s="2674"/>
      <c r="F839" s="2674"/>
      <c r="G839" s="2674"/>
      <c r="H839" s="2675"/>
      <c r="I839" s="2673" t="s">
        <v>560</v>
      </c>
      <c r="J839" s="2674"/>
      <c r="K839" s="2674"/>
      <c r="L839" s="2674"/>
      <c r="M839" s="2674"/>
      <c r="N839" s="2674"/>
      <c r="O839" s="2675"/>
      <c r="P839" s="156"/>
      <c r="W839" s="156"/>
      <c r="X839" s="156"/>
      <c r="Y839" s="156"/>
      <c r="Z839" s="156"/>
    </row>
    <row r="840" spans="1:26" ht="22.15" customHeight="1">
      <c r="A840" s="3253" t="s">
        <v>122</v>
      </c>
      <c r="B840" s="3254"/>
      <c r="C840" s="3255" t="str">
        <f ca="1">参照元個別!E38</f>
        <v/>
      </c>
      <c r="D840" s="3256"/>
      <c r="E840" s="3256"/>
      <c r="F840" s="3256"/>
      <c r="G840" s="3047" t="s">
        <v>1265</v>
      </c>
      <c r="H840" s="2959"/>
      <c r="I840" s="3260" t="str">
        <f>報7!I840</f>
        <v/>
      </c>
      <c r="J840" s="3261"/>
      <c r="K840" s="3261"/>
      <c r="L840" s="3261"/>
      <c r="M840" s="3047" t="s">
        <v>4308</v>
      </c>
      <c r="N840" s="3047"/>
      <c r="O840" s="3264" t="str">
        <f>報7!N840</f>
        <v/>
      </c>
      <c r="P840" s="165"/>
      <c r="Q840" s="1244"/>
      <c r="W840" s="156"/>
      <c r="X840" s="156"/>
      <c r="Y840" s="156"/>
      <c r="Z840" s="156"/>
    </row>
    <row r="841" spans="1:26" ht="22.15" customHeight="1">
      <c r="A841" s="3097">
        <f>IF(計1!$D$28="","",計1!$D$28-1)</f>
        <v>2023</v>
      </c>
      <c r="B841" s="2655"/>
      <c r="C841" s="3257"/>
      <c r="D841" s="3258"/>
      <c r="E841" s="3258"/>
      <c r="F841" s="3258"/>
      <c r="G841" s="3076"/>
      <c r="H841" s="3259"/>
      <c r="I841" s="3262"/>
      <c r="J841" s="3263"/>
      <c r="K841" s="3263"/>
      <c r="L841" s="3263"/>
      <c r="M841" s="3048"/>
      <c r="N841" s="3048"/>
      <c r="O841" s="3265"/>
      <c r="P841" s="165"/>
      <c r="Q841" s="1244"/>
      <c r="W841" s="156"/>
      <c r="X841" s="156"/>
      <c r="Y841" s="156"/>
      <c r="Z841" s="156"/>
    </row>
    <row r="842" spans="1:26" ht="22.15" customHeight="1">
      <c r="A842" s="2633" t="s">
        <v>558</v>
      </c>
      <c r="B842" s="3065"/>
      <c r="C842" s="3216"/>
      <c r="D842" s="3217"/>
      <c r="E842" s="3217"/>
      <c r="F842" s="3217"/>
      <c r="G842" s="3047" t="s">
        <v>414</v>
      </c>
      <c r="H842" s="2959"/>
      <c r="I842" s="3221"/>
      <c r="J842" s="3222"/>
      <c r="K842" s="3222"/>
      <c r="L842" s="3222"/>
      <c r="M842" s="3047" t="s">
        <v>415</v>
      </c>
      <c r="N842" s="3047"/>
      <c r="O842" s="3225" t="str">
        <f>IF(O840="","",O840)</f>
        <v/>
      </c>
      <c r="P842" s="3229"/>
      <c r="Q842" s="3229"/>
      <c r="W842" s="156"/>
      <c r="X842" s="156"/>
      <c r="Y842" s="156"/>
      <c r="Z842" s="156"/>
    </row>
    <row r="843" spans="1:26" ht="22.15" customHeight="1">
      <c r="A843" s="3080">
        <f>IF(計1!$D$28="","",計1!$G$28)</f>
        <v>2026</v>
      </c>
      <c r="B843" s="3059"/>
      <c r="C843" s="3218"/>
      <c r="D843" s="3219"/>
      <c r="E843" s="3219"/>
      <c r="F843" s="3219"/>
      <c r="G843" s="3048"/>
      <c r="H843" s="3220"/>
      <c r="I843" s="3223"/>
      <c r="J843" s="3224"/>
      <c r="K843" s="3224"/>
      <c r="L843" s="3224"/>
      <c r="M843" s="3048"/>
      <c r="N843" s="3048"/>
      <c r="O843" s="3226"/>
      <c r="P843" s="3230"/>
      <c r="Q843" s="3231"/>
      <c r="W843" s="156"/>
      <c r="X843" s="357"/>
      <c r="Y843" s="156"/>
      <c r="Z843" s="156"/>
    </row>
    <row r="844" spans="1:26" ht="24.95" customHeight="1">
      <c r="A844" s="145"/>
      <c r="B844" s="146" t="s">
        <v>577</v>
      </c>
      <c r="C844" s="147"/>
      <c r="D844" s="3232" t="str">
        <f ca="1">IF(OR(C840=0,C842=""),"",INT((C840-C842)/C840*10000)/100)</f>
        <v/>
      </c>
      <c r="E844" s="3232"/>
      <c r="F844" s="3232"/>
      <c r="G844" s="3233" t="s">
        <v>134</v>
      </c>
      <c r="H844" s="3234"/>
      <c r="I844" s="148"/>
      <c r="J844" s="3235" t="str">
        <f>IF(OR(I840=0,I842=""),"",INT((I840-I842)/I840*10000)/100)</f>
        <v/>
      </c>
      <c r="K844" s="3235"/>
      <c r="L844" s="3235"/>
      <c r="M844" s="3232" t="s">
        <v>501</v>
      </c>
      <c r="N844" s="3232"/>
      <c r="O844" s="3236"/>
      <c r="P844" s="335"/>
      <c r="Q844" s="1245"/>
      <c r="W844" s="359"/>
      <c r="X844" s="359"/>
      <c r="Y844" s="359"/>
      <c r="Z844" s="156"/>
    </row>
    <row r="845" spans="1:26" ht="27.75" customHeight="1">
      <c r="A845" s="2672" t="s">
        <v>559</v>
      </c>
      <c r="B845" s="2635"/>
      <c r="C845" s="3240"/>
      <c r="D845" s="3241"/>
      <c r="E845" s="3241"/>
      <c r="F845" s="3241"/>
      <c r="G845" s="3241"/>
      <c r="H845" s="3241"/>
      <c r="I845" s="3241"/>
      <c r="J845" s="3241"/>
      <c r="K845" s="3241"/>
      <c r="L845" s="3241"/>
      <c r="M845" s="3241"/>
      <c r="N845" s="3241"/>
      <c r="O845" s="3242"/>
      <c r="P845" s="335"/>
      <c r="Q845" s="1245"/>
      <c r="R845" s="1246"/>
      <c r="W845" s="359"/>
      <c r="X845" s="359" t="s">
        <v>586</v>
      </c>
      <c r="Y845" s="359"/>
      <c r="Z845" s="156"/>
    </row>
    <row r="846" spans="1:26" ht="35.1" customHeight="1">
      <c r="A846" s="3237"/>
      <c r="B846" s="2648"/>
      <c r="C846" s="3243"/>
      <c r="D846" s="2941"/>
      <c r="E846" s="2941"/>
      <c r="F846" s="2941"/>
      <c r="G846" s="2941"/>
      <c r="H846" s="2941"/>
      <c r="I846" s="2941"/>
      <c r="J846" s="2941"/>
      <c r="K846" s="2941"/>
      <c r="L846" s="2941"/>
      <c r="M846" s="2941"/>
      <c r="N846" s="2941"/>
      <c r="O846" s="2942"/>
      <c r="P846" s="358"/>
      <c r="Q846" s="1247"/>
      <c r="R846" s="1248">
        <v>0</v>
      </c>
      <c r="W846" s="359"/>
      <c r="X846" s="360" t="s">
        <v>587</v>
      </c>
      <c r="Y846" s="359"/>
      <c r="Z846" s="156"/>
    </row>
    <row r="847" spans="1:26" ht="93" customHeight="1">
      <c r="A847" s="3238"/>
      <c r="B847" s="3239"/>
      <c r="C847" s="3244"/>
      <c r="D847" s="2943"/>
      <c r="E847" s="2943"/>
      <c r="F847" s="2943"/>
      <c r="G847" s="2943"/>
      <c r="H847" s="2943"/>
      <c r="I847" s="2943"/>
      <c r="J847" s="2943"/>
      <c r="K847" s="2943"/>
      <c r="L847" s="2943"/>
      <c r="M847" s="2943"/>
      <c r="N847" s="2943"/>
      <c r="O847" s="2944"/>
      <c r="P847" s="336"/>
      <c r="Q847" s="1249"/>
      <c r="W847" s="156"/>
      <c r="X847" s="156"/>
      <c r="Y847" s="156"/>
      <c r="Z847" s="156"/>
    </row>
    <row r="848" spans="1:26" ht="18" customHeight="1">
      <c r="A848" s="2831" t="s">
        <v>583</v>
      </c>
      <c r="B848" s="2831"/>
      <c r="C848" s="2831"/>
      <c r="D848" s="2831"/>
      <c r="E848" s="2831"/>
      <c r="F848" s="2831"/>
      <c r="G848" s="2831"/>
      <c r="H848" s="2831"/>
      <c r="I848" s="2831"/>
      <c r="J848" s="2831"/>
      <c r="K848" s="2831"/>
      <c r="L848" s="2831"/>
      <c r="M848" s="2831"/>
      <c r="N848" s="2831"/>
      <c r="O848" s="2831"/>
      <c r="P848" s="3227"/>
      <c r="Q848" s="3227"/>
      <c r="W848" s="156"/>
      <c r="X848" s="156"/>
      <c r="Y848" s="156"/>
      <c r="Z848" s="156"/>
    </row>
    <row r="849" spans="1:26" ht="9.75" customHeight="1">
      <c r="A849" s="89"/>
      <c r="B849" s="89"/>
      <c r="C849" s="106"/>
      <c r="D849" s="106"/>
      <c r="E849" s="106"/>
      <c r="F849" s="106"/>
      <c r="G849" s="106"/>
      <c r="H849" s="106"/>
      <c r="I849" s="106"/>
      <c r="J849" s="106"/>
      <c r="K849" s="106"/>
      <c r="L849" s="106"/>
      <c r="M849" s="106"/>
      <c r="N849" s="3228"/>
      <c r="O849" s="3228"/>
      <c r="P849" s="156"/>
      <c r="W849" s="156"/>
      <c r="X849" s="156"/>
      <c r="Y849" s="156"/>
      <c r="Z849" s="156"/>
    </row>
    <row r="850" spans="1:26">
      <c r="A850" s="156"/>
      <c r="B850" s="156"/>
      <c r="C850" s="156"/>
      <c r="D850" s="156"/>
      <c r="E850" s="156"/>
      <c r="F850" s="156"/>
      <c r="G850" s="156"/>
      <c r="H850" s="156"/>
      <c r="I850" s="156"/>
      <c r="J850" s="156"/>
      <c r="K850" s="156"/>
      <c r="L850" s="156"/>
      <c r="M850" s="156"/>
      <c r="N850" s="156"/>
      <c r="O850" s="156"/>
      <c r="P850" s="156"/>
      <c r="W850" s="156"/>
      <c r="X850" s="156"/>
      <c r="Y850" s="156"/>
      <c r="Z850" s="156"/>
    </row>
    <row r="851" spans="1:26">
      <c r="A851" s="1" t="s">
        <v>520</v>
      </c>
      <c r="B851" s="2"/>
      <c r="C851" s="2"/>
      <c r="D851" s="2"/>
      <c r="E851" s="2"/>
      <c r="F851" s="2"/>
      <c r="G851" s="2"/>
      <c r="H851" s="2"/>
      <c r="I851" s="2"/>
      <c r="J851" s="2"/>
      <c r="K851" s="2"/>
      <c r="L851" s="2"/>
      <c r="M851" s="2"/>
      <c r="N851" s="2"/>
      <c r="O851" s="2"/>
      <c r="P851" s="156" t="str">
        <f>"個別票"&amp;Q851</f>
        <v>個別票35</v>
      </c>
      <c r="Q851" s="1242">
        <f>Q826+1</f>
        <v>35</v>
      </c>
      <c r="W851" s="156"/>
      <c r="X851" s="156"/>
      <c r="Y851" s="156"/>
      <c r="Z851" s="156"/>
    </row>
    <row r="852" spans="1:26">
      <c r="A852" s="2" t="s">
        <v>557</v>
      </c>
      <c r="B852" s="4"/>
      <c r="C852" s="4"/>
      <c r="D852" s="4"/>
      <c r="E852" s="4"/>
      <c r="F852" s="4"/>
      <c r="G852" s="4"/>
      <c r="H852" s="4"/>
      <c r="I852" s="4"/>
      <c r="J852" s="4"/>
      <c r="K852" s="4"/>
      <c r="L852" s="4"/>
      <c r="M852" s="4"/>
      <c r="N852" s="2"/>
      <c r="O852" s="2"/>
      <c r="P852" s="156"/>
      <c r="W852" s="156"/>
      <c r="X852" s="156"/>
      <c r="Y852" s="156"/>
      <c r="Z852" s="156"/>
    </row>
    <row r="853" spans="1:26" ht="17.25">
      <c r="A853" s="2612" t="s">
        <v>556</v>
      </c>
      <c r="B853" s="2612"/>
      <c r="C853" s="2612"/>
      <c r="D853" s="2612"/>
      <c r="E853" s="2612"/>
      <c r="F853" s="2612"/>
      <c r="G853" s="2612"/>
      <c r="H853" s="2612"/>
      <c r="I853" s="2612"/>
      <c r="J853" s="2612"/>
      <c r="K853" s="2612"/>
      <c r="L853" s="2612"/>
      <c r="M853" s="2612"/>
      <c r="N853" s="2612"/>
      <c r="O853" s="2612"/>
      <c r="P853" s="156"/>
      <c r="W853" s="156"/>
      <c r="X853" s="156"/>
      <c r="Y853" s="156"/>
      <c r="Z853" s="156"/>
    </row>
    <row r="854" spans="1:26" ht="17.25">
      <c r="A854" s="38"/>
      <c r="B854" s="38"/>
      <c r="C854" s="38"/>
      <c r="D854" s="38"/>
      <c r="E854" s="38"/>
      <c r="F854" s="38"/>
      <c r="G854" s="38"/>
      <c r="H854" s="38"/>
      <c r="I854" s="38"/>
      <c r="J854" s="38"/>
      <c r="K854" s="38"/>
      <c r="L854" s="38"/>
      <c r="M854" s="38"/>
      <c r="N854" s="38"/>
      <c r="O854" s="38"/>
      <c r="P854" s="156"/>
      <c r="W854" s="156"/>
      <c r="X854" s="156"/>
      <c r="Y854" s="156"/>
      <c r="Z854" s="156"/>
    </row>
    <row r="855" spans="1:26" ht="18" customHeight="1">
      <c r="A855" s="48" t="s">
        <v>151</v>
      </c>
      <c r="B855" s="4"/>
      <c r="C855" s="4"/>
      <c r="D855" s="4"/>
      <c r="E855" s="4"/>
      <c r="F855" s="4"/>
      <c r="G855" s="4"/>
      <c r="H855" s="4"/>
      <c r="I855" s="4"/>
      <c r="J855" s="4"/>
      <c r="K855" s="4"/>
      <c r="L855" s="4"/>
      <c r="M855" s="4"/>
      <c r="N855" s="2"/>
      <c r="O855" s="2"/>
      <c r="P855" s="156"/>
      <c r="W855" s="156"/>
      <c r="X855" s="156"/>
      <c r="Y855" s="156"/>
      <c r="Z855" s="156"/>
    </row>
    <row r="856" spans="1:26" ht="39.950000000000003" customHeight="1">
      <c r="A856" s="2984" t="s">
        <v>152</v>
      </c>
      <c r="B856" s="2985"/>
      <c r="C856" s="2986"/>
      <c r="D856" s="2987" t="str">
        <f>報7!D856</f>
        <v>事業所名を入力35</v>
      </c>
      <c r="E856" s="2988"/>
      <c r="F856" s="2988"/>
      <c r="G856" s="2988"/>
      <c r="H856" s="2988"/>
      <c r="I856" s="2988"/>
      <c r="J856" s="2988"/>
      <c r="K856" s="2988"/>
      <c r="L856" s="2988"/>
      <c r="M856" s="2988"/>
      <c r="N856" s="2988"/>
      <c r="O856" s="2989"/>
      <c r="P856" s="156"/>
      <c r="W856" s="156"/>
      <c r="X856" s="156"/>
      <c r="Y856" s="156"/>
      <c r="Z856" s="156"/>
    </row>
    <row r="857" spans="1:26" ht="39.950000000000003" customHeight="1">
      <c r="A857" s="2570" t="s">
        <v>153</v>
      </c>
      <c r="B857" s="2571"/>
      <c r="C857" s="2990"/>
      <c r="D857" s="2573">
        <f>報7!D857</f>
        <v>0</v>
      </c>
      <c r="E857" s="2574"/>
      <c r="F857" s="2574"/>
      <c r="G857" s="2574"/>
      <c r="H857" s="2574"/>
      <c r="I857" s="2574"/>
      <c r="J857" s="2574"/>
      <c r="K857" s="2574"/>
      <c r="L857" s="2574"/>
      <c r="M857" s="2574"/>
      <c r="N857" s="2574"/>
      <c r="O857" s="2575"/>
      <c r="P857" s="156"/>
      <c r="W857" s="156"/>
      <c r="X857" s="156"/>
      <c r="Y857" s="156"/>
      <c r="Z857" s="156"/>
    </row>
    <row r="858" spans="1:26" ht="39.950000000000003" customHeight="1">
      <c r="A858" s="2536" t="s">
        <v>154</v>
      </c>
      <c r="B858" s="2978"/>
      <c r="C858" s="3245">
        <f>報7!C858</f>
        <v>0</v>
      </c>
      <c r="D858" s="3246"/>
      <c r="E858" s="101" t="s">
        <v>180</v>
      </c>
      <c r="F858" s="2974" t="s">
        <v>404</v>
      </c>
      <c r="G858" s="2975"/>
      <c r="H858" s="2981" t="str">
        <f ca="1">報7!H858</f>
        <v/>
      </c>
      <c r="I858" s="2982"/>
      <c r="J858" s="58" t="s">
        <v>176</v>
      </c>
      <c r="K858" s="2974" t="s">
        <v>405</v>
      </c>
      <c r="L858" s="2975"/>
      <c r="M858" s="3247">
        <f>報7!M858</f>
        <v>0</v>
      </c>
      <c r="N858" s="3248"/>
      <c r="O858" s="3249"/>
      <c r="P858" s="156" t="str">
        <f>IFERROR(VLOOKUP(M858,$U$6:$V$22,2,0),"")</f>
        <v/>
      </c>
      <c r="W858" s="156"/>
      <c r="X858" s="156"/>
      <c r="Y858" s="156"/>
      <c r="Z858" s="156"/>
    </row>
    <row r="859" spans="1:26" ht="39.950000000000003" customHeight="1">
      <c r="A859" s="2974" t="s">
        <v>406</v>
      </c>
      <c r="B859" s="2975"/>
      <c r="C859" s="3250">
        <f>報7!C859</f>
        <v>0</v>
      </c>
      <c r="D859" s="2507"/>
      <c r="E859" s="2508"/>
      <c r="F859" s="2974" t="s">
        <v>158</v>
      </c>
      <c r="G859" s="2975"/>
      <c r="H859" s="3250">
        <f>報7!H859</f>
        <v>0</v>
      </c>
      <c r="I859" s="2507"/>
      <c r="J859" s="2508"/>
      <c r="K859" s="2580"/>
      <c r="L859" s="2977"/>
      <c r="M859" s="2977"/>
      <c r="N859" s="2977"/>
      <c r="O859" s="2977"/>
      <c r="P859" s="156"/>
      <c r="W859" s="156"/>
      <c r="X859" s="156"/>
      <c r="Y859" s="156"/>
      <c r="Z859" s="156"/>
    </row>
    <row r="860" spans="1:26" ht="49.9" customHeight="1">
      <c r="A860" s="39"/>
      <c r="B860" s="39"/>
      <c r="C860" s="40"/>
      <c r="D860" s="41"/>
      <c r="E860" s="40"/>
      <c r="F860" s="42"/>
      <c r="P860" s="156"/>
      <c r="W860" s="156"/>
      <c r="X860" s="156"/>
      <c r="Y860" s="156"/>
      <c r="Z860" s="156"/>
    </row>
    <row r="861" spans="1:26" s="103" customFormat="1" ht="19.5" customHeight="1">
      <c r="A861" s="3251" t="s">
        <v>555</v>
      </c>
      <c r="B861" s="3252"/>
      <c r="C861" s="3252"/>
      <c r="D861" s="3252"/>
      <c r="E861" s="3252"/>
      <c r="F861" s="3252"/>
      <c r="G861" s="3252"/>
      <c r="H861" s="3252"/>
      <c r="I861" s="3252"/>
      <c r="J861" s="3252"/>
      <c r="K861" s="3252"/>
      <c r="L861" s="3252"/>
      <c r="M861" s="3252"/>
      <c r="N861" s="3252"/>
      <c r="O861" s="3252"/>
      <c r="P861" s="334"/>
      <c r="Q861" s="1243"/>
      <c r="R861" s="1243"/>
      <c r="S861" s="1243"/>
      <c r="T861" s="1243"/>
      <c r="U861" s="1243"/>
      <c r="V861" s="1243"/>
      <c r="W861" s="334"/>
      <c r="X861" s="334"/>
      <c r="Y861" s="334"/>
      <c r="Z861" s="334"/>
    </row>
    <row r="862" spans="1:26" ht="49.9" customHeight="1">
      <c r="A862" s="104"/>
      <c r="B862" s="39"/>
      <c r="E862" s="105"/>
      <c r="F862" s="105"/>
      <c r="G862" s="105"/>
      <c r="H862" s="105"/>
      <c r="I862" s="105"/>
      <c r="J862" s="105"/>
      <c r="K862" s="105"/>
      <c r="L862" s="105"/>
      <c r="M862" s="105"/>
      <c r="N862" s="105"/>
      <c r="O862" s="105"/>
      <c r="P862" s="156"/>
      <c r="W862" s="156"/>
      <c r="X862" s="156"/>
      <c r="Y862" s="156"/>
      <c r="Z862" s="156"/>
    </row>
    <row r="863" spans="1:26" ht="20.25" customHeight="1">
      <c r="A863" s="50" t="s">
        <v>554</v>
      </c>
      <c r="B863" s="30"/>
      <c r="C863" s="30"/>
      <c r="D863" s="30"/>
      <c r="E863" s="30"/>
      <c r="F863" s="30"/>
      <c r="G863" s="30"/>
      <c r="H863" s="30"/>
      <c r="I863" s="30"/>
      <c r="J863" s="30"/>
      <c r="K863" s="30"/>
      <c r="L863" s="6"/>
      <c r="M863" s="6"/>
      <c r="N863" s="6"/>
      <c r="O863" s="6"/>
      <c r="P863" s="156"/>
      <c r="W863" s="156"/>
      <c r="X863" s="156"/>
      <c r="Y863" s="156"/>
      <c r="Z863" s="156"/>
    </row>
    <row r="864" spans="1:26" ht="20.100000000000001" customHeight="1">
      <c r="A864" s="2654"/>
      <c r="B864" s="2655"/>
      <c r="C864" s="2673" t="s">
        <v>561</v>
      </c>
      <c r="D864" s="2674"/>
      <c r="E864" s="2674"/>
      <c r="F864" s="2674"/>
      <c r="G864" s="2674"/>
      <c r="H864" s="2675"/>
      <c r="I864" s="2673" t="s">
        <v>560</v>
      </c>
      <c r="J864" s="2674"/>
      <c r="K864" s="2674"/>
      <c r="L864" s="2674"/>
      <c r="M864" s="2674"/>
      <c r="N864" s="2674"/>
      <c r="O864" s="2675"/>
      <c r="P864" s="156"/>
      <c r="W864" s="156"/>
      <c r="X864" s="156"/>
      <c r="Y864" s="156"/>
      <c r="Z864" s="156"/>
    </row>
    <row r="865" spans="1:26" ht="22.15" customHeight="1">
      <c r="A865" s="3253" t="s">
        <v>122</v>
      </c>
      <c r="B865" s="3254"/>
      <c r="C865" s="3255" t="str">
        <f ca="1">参照元個別!E39</f>
        <v/>
      </c>
      <c r="D865" s="3256"/>
      <c r="E865" s="3256"/>
      <c r="F865" s="3256"/>
      <c r="G865" s="3047" t="s">
        <v>1265</v>
      </c>
      <c r="H865" s="2959"/>
      <c r="I865" s="3260" t="str">
        <f>報7!I865</f>
        <v/>
      </c>
      <c r="J865" s="3261"/>
      <c r="K865" s="3261"/>
      <c r="L865" s="3261"/>
      <c r="M865" s="3047" t="s">
        <v>4308</v>
      </c>
      <c r="N865" s="3047"/>
      <c r="O865" s="3264" t="str">
        <f>報7!N865</f>
        <v/>
      </c>
      <c r="P865" s="165"/>
      <c r="Q865" s="1244"/>
      <c r="W865" s="156"/>
      <c r="X865" s="156"/>
      <c r="Y865" s="156"/>
      <c r="Z865" s="156"/>
    </row>
    <row r="866" spans="1:26" ht="22.15" customHeight="1">
      <c r="A866" s="3097">
        <f>IF(計1!$D$28="","",計1!$D$28-1)</f>
        <v>2023</v>
      </c>
      <c r="B866" s="2655"/>
      <c r="C866" s="3257"/>
      <c r="D866" s="3258"/>
      <c r="E866" s="3258"/>
      <c r="F866" s="3258"/>
      <c r="G866" s="3076"/>
      <c r="H866" s="3259"/>
      <c r="I866" s="3262"/>
      <c r="J866" s="3263"/>
      <c r="K866" s="3263"/>
      <c r="L866" s="3263"/>
      <c r="M866" s="3048"/>
      <c r="N866" s="3048"/>
      <c r="O866" s="3265"/>
      <c r="P866" s="165"/>
      <c r="Q866" s="1244"/>
      <c r="W866" s="156"/>
      <c r="X866" s="156"/>
      <c r="Y866" s="156"/>
      <c r="Z866" s="156"/>
    </row>
    <row r="867" spans="1:26" ht="22.15" customHeight="1">
      <c r="A867" s="2633" t="s">
        <v>558</v>
      </c>
      <c r="B867" s="3065"/>
      <c r="C867" s="3216"/>
      <c r="D867" s="3217"/>
      <c r="E867" s="3217"/>
      <c r="F867" s="3217"/>
      <c r="G867" s="3047" t="s">
        <v>414</v>
      </c>
      <c r="H867" s="2959"/>
      <c r="I867" s="3221"/>
      <c r="J867" s="3222"/>
      <c r="K867" s="3222"/>
      <c r="L867" s="3222"/>
      <c r="M867" s="3047" t="s">
        <v>415</v>
      </c>
      <c r="N867" s="3047"/>
      <c r="O867" s="3225" t="str">
        <f>IF(O865="","",O865)</f>
        <v/>
      </c>
      <c r="P867" s="3229"/>
      <c r="Q867" s="3229"/>
      <c r="W867" s="156"/>
      <c r="X867" s="156"/>
      <c r="Y867" s="156"/>
      <c r="Z867" s="156"/>
    </row>
    <row r="868" spans="1:26" ht="22.15" customHeight="1">
      <c r="A868" s="3080">
        <f>IF(計1!$D$28="","",計1!$G$28)</f>
        <v>2026</v>
      </c>
      <c r="B868" s="3059"/>
      <c r="C868" s="3218"/>
      <c r="D868" s="3219"/>
      <c r="E868" s="3219"/>
      <c r="F868" s="3219"/>
      <c r="G868" s="3048"/>
      <c r="H868" s="3220"/>
      <c r="I868" s="3223"/>
      <c r="J868" s="3224"/>
      <c r="K868" s="3224"/>
      <c r="L868" s="3224"/>
      <c r="M868" s="3048"/>
      <c r="N868" s="3048"/>
      <c r="O868" s="3226"/>
      <c r="P868" s="3230"/>
      <c r="Q868" s="3231"/>
      <c r="W868" s="156"/>
      <c r="X868" s="357"/>
      <c r="Y868" s="156"/>
      <c r="Z868" s="156"/>
    </row>
    <row r="869" spans="1:26" ht="24.95" customHeight="1">
      <c r="A869" s="145"/>
      <c r="B869" s="146" t="s">
        <v>577</v>
      </c>
      <c r="C869" s="147"/>
      <c r="D869" s="3232" t="str">
        <f ca="1">IF(OR(C865=0,C867=""),"",INT((C865-C867)/C865*10000)/100)</f>
        <v/>
      </c>
      <c r="E869" s="3232"/>
      <c r="F869" s="3232"/>
      <c r="G869" s="3233" t="s">
        <v>134</v>
      </c>
      <c r="H869" s="3234"/>
      <c r="I869" s="148"/>
      <c r="J869" s="3235" t="str">
        <f>IF(OR(I865=0,I867=""),"",INT((I865-I867)/I865*10000)/100)</f>
        <v/>
      </c>
      <c r="K869" s="3235"/>
      <c r="L869" s="3235"/>
      <c r="M869" s="3232" t="s">
        <v>501</v>
      </c>
      <c r="N869" s="3232"/>
      <c r="O869" s="3236"/>
      <c r="P869" s="335"/>
      <c r="Q869" s="1245"/>
      <c r="W869" s="359"/>
      <c r="X869" s="359"/>
      <c r="Y869" s="359"/>
      <c r="Z869" s="156"/>
    </row>
    <row r="870" spans="1:26" ht="27.75" customHeight="1">
      <c r="A870" s="2672" t="s">
        <v>559</v>
      </c>
      <c r="B870" s="2635"/>
      <c r="C870" s="3240"/>
      <c r="D870" s="3241"/>
      <c r="E870" s="3241"/>
      <c r="F870" s="3241"/>
      <c r="G870" s="3241"/>
      <c r="H870" s="3241"/>
      <c r="I870" s="3241"/>
      <c r="J870" s="3241"/>
      <c r="K870" s="3241"/>
      <c r="L870" s="3241"/>
      <c r="M870" s="3241"/>
      <c r="N870" s="3241"/>
      <c r="O870" s="3242"/>
      <c r="P870" s="335"/>
      <c r="Q870" s="1245"/>
      <c r="R870" s="1246"/>
      <c r="W870" s="359"/>
      <c r="X870" s="359" t="s">
        <v>586</v>
      </c>
      <c r="Y870" s="359"/>
      <c r="Z870" s="156"/>
    </row>
    <row r="871" spans="1:26" ht="35.1" customHeight="1">
      <c r="A871" s="3237"/>
      <c r="B871" s="2648"/>
      <c r="C871" s="3243"/>
      <c r="D871" s="2941"/>
      <c r="E871" s="2941"/>
      <c r="F871" s="2941"/>
      <c r="G871" s="2941"/>
      <c r="H871" s="2941"/>
      <c r="I871" s="2941"/>
      <c r="J871" s="2941"/>
      <c r="K871" s="2941"/>
      <c r="L871" s="2941"/>
      <c r="M871" s="2941"/>
      <c r="N871" s="2941"/>
      <c r="O871" s="2942"/>
      <c r="P871" s="358"/>
      <c r="Q871" s="1247"/>
      <c r="R871" s="1248">
        <v>0</v>
      </c>
      <c r="W871" s="359"/>
      <c r="X871" s="360" t="s">
        <v>587</v>
      </c>
      <c r="Y871" s="359"/>
      <c r="Z871" s="156"/>
    </row>
    <row r="872" spans="1:26" ht="93" customHeight="1">
      <c r="A872" s="3238"/>
      <c r="B872" s="3239"/>
      <c r="C872" s="3244"/>
      <c r="D872" s="2943"/>
      <c r="E872" s="2943"/>
      <c r="F872" s="2943"/>
      <c r="G872" s="2943"/>
      <c r="H872" s="2943"/>
      <c r="I872" s="2943"/>
      <c r="J872" s="2943"/>
      <c r="K872" s="2943"/>
      <c r="L872" s="2943"/>
      <c r="M872" s="2943"/>
      <c r="N872" s="2943"/>
      <c r="O872" s="2944"/>
      <c r="P872" s="336"/>
      <c r="Q872" s="1249"/>
      <c r="W872" s="156"/>
      <c r="X872" s="156"/>
      <c r="Y872" s="156"/>
      <c r="Z872" s="156"/>
    </row>
    <row r="873" spans="1:26" ht="18" customHeight="1">
      <c r="A873" s="2831" t="s">
        <v>583</v>
      </c>
      <c r="B873" s="2831"/>
      <c r="C873" s="2831"/>
      <c r="D873" s="2831"/>
      <c r="E873" s="2831"/>
      <c r="F873" s="2831"/>
      <c r="G873" s="2831"/>
      <c r="H873" s="2831"/>
      <c r="I873" s="2831"/>
      <c r="J873" s="2831"/>
      <c r="K873" s="2831"/>
      <c r="L873" s="2831"/>
      <c r="M873" s="2831"/>
      <c r="N873" s="2831"/>
      <c r="O873" s="2831"/>
      <c r="P873" s="3227"/>
      <c r="Q873" s="3227"/>
      <c r="W873" s="156"/>
      <c r="X873" s="156"/>
      <c r="Y873" s="156"/>
      <c r="Z873" s="156"/>
    </row>
    <row r="874" spans="1:26" ht="9.75" customHeight="1">
      <c r="A874" s="89"/>
      <c r="B874" s="89"/>
      <c r="C874" s="106"/>
      <c r="D874" s="106"/>
      <c r="E874" s="106"/>
      <c r="F874" s="106"/>
      <c r="G874" s="106"/>
      <c r="H874" s="106"/>
      <c r="I874" s="106"/>
      <c r="J874" s="106"/>
      <c r="K874" s="106"/>
      <c r="L874" s="106"/>
      <c r="M874" s="106"/>
      <c r="N874" s="3228"/>
      <c r="O874" s="3228"/>
      <c r="P874" s="156"/>
      <c r="W874" s="156"/>
      <c r="X874" s="156"/>
      <c r="Y874" s="156"/>
      <c r="Z874" s="156"/>
    </row>
    <row r="875" spans="1:26">
      <c r="A875" s="156"/>
      <c r="B875" s="156"/>
      <c r="C875" s="156"/>
      <c r="D875" s="156"/>
      <c r="E875" s="156"/>
      <c r="F875" s="156"/>
      <c r="G875" s="156"/>
      <c r="H875" s="156"/>
      <c r="I875" s="156"/>
      <c r="J875" s="156"/>
      <c r="K875" s="156"/>
      <c r="L875" s="156"/>
      <c r="M875" s="156"/>
      <c r="N875" s="156"/>
      <c r="O875" s="156"/>
      <c r="P875" s="156"/>
      <c r="W875" s="156"/>
      <c r="X875" s="156"/>
      <c r="Y875" s="156"/>
      <c r="Z875" s="156"/>
    </row>
    <row r="876" spans="1:26">
      <c r="A876" s="1" t="s">
        <v>520</v>
      </c>
      <c r="B876" s="2"/>
      <c r="C876" s="2"/>
      <c r="D876" s="2"/>
      <c r="E876" s="2"/>
      <c r="F876" s="2"/>
      <c r="G876" s="2"/>
      <c r="H876" s="2"/>
      <c r="I876" s="2"/>
      <c r="J876" s="2"/>
      <c r="K876" s="2"/>
      <c r="L876" s="2"/>
      <c r="M876" s="2"/>
      <c r="N876" s="2"/>
      <c r="O876" s="2"/>
      <c r="P876" s="156" t="str">
        <f>"個別票"&amp;Q876</f>
        <v>個別票36</v>
      </c>
      <c r="Q876" s="1242">
        <f>Q851+1</f>
        <v>36</v>
      </c>
      <c r="W876" s="156"/>
      <c r="X876" s="156"/>
      <c r="Y876" s="156"/>
      <c r="Z876" s="156"/>
    </row>
    <row r="877" spans="1:26">
      <c r="A877" s="2" t="s">
        <v>557</v>
      </c>
      <c r="B877" s="4"/>
      <c r="C877" s="4"/>
      <c r="D877" s="4"/>
      <c r="E877" s="4"/>
      <c r="F877" s="4"/>
      <c r="G877" s="4"/>
      <c r="H877" s="4"/>
      <c r="I877" s="4"/>
      <c r="J877" s="4"/>
      <c r="K877" s="4"/>
      <c r="L877" s="4"/>
      <c r="M877" s="4"/>
      <c r="N877" s="2"/>
      <c r="O877" s="2"/>
      <c r="P877" s="156"/>
      <c r="W877" s="156"/>
      <c r="X877" s="156"/>
      <c r="Y877" s="156"/>
      <c r="Z877" s="156"/>
    </row>
    <row r="878" spans="1:26" ht="17.25">
      <c r="A878" s="2612" t="s">
        <v>556</v>
      </c>
      <c r="B878" s="2612"/>
      <c r="C878" s="2612"/>
      <c r="D878" s="2612"/>
      <c r="E878" s="2612"/>
      <c r="F878" s="2612"/>
      <c r="G878" s="2612"/>
      <c r="H878" s="2612"/>
      <c r="I878" s="2612"/>
      <c r="J878" s="2612"/>
      <c r="K878" s="2612"/>
      <c r="L878" s="2612"/>
      <c r="M878" s="2612"/>
      <c r="N878" s="2612"/>
      <c r="O878" s="2612"/>
      <c r="P878" s="156"/>
      <c r="W878" s="156"/>
      <c r="X878" s="156"/>
      <c r="Y878" s="156"/>
      <c r="Z878" s="156"/>
    </row>
    <row r="879" spans="1:26" ht="17.25">
      <c r="A879" s="38"/>
      <c r="B879" s="38"/>
      <c r="C879" s="38"/>
      <c r="D879" s="38"/>
      <c r="E879" s="38"/>
      <c r="F879" s="38"/>
      <c r="G879" s="38"/>
      <c r="H879" s="38"/>
      <c r="I879" s="38"/>
      <c r="J879" s="38"/>
      <c r="K879" s="38"/>
      <c r="L879" s="38"/>
      <c r="M879" s="38"/>
      <c r="N879" s="38"/>
      <c r="O879" s="38"/>
      <c r="P879" s="156"/>
      <c r="W879" s="156"/>
      <c r="X879" s="156"/>
      <c r="Y879" s="156"/>
      <c r="Z879" s="156"/>
    </row>
    <row r="880" spans="1:26" ht="18" customHeight="1">
      <c r="A880" s="48" t="s">
        <v>151</v>
      </c>
      <c r="B880" s="4"/>
      <c r="C880" s="4"/>
      <c r="D880" s="4"/>
      <c r="E880" s="4"/>
      <c r="F880" s="4"/>
      <c r="G880" s="4"/>
      <c r="H880" s="4"/>
      <c r="I880" s="4"/>
      <c r="J880" s="4"/>
      <c r="K880" s="4"/>
      <c r="L880" s="4"/>
      <c r="M880" s="4"/>
      <c r="N880" s="2"/>
      <c r="O880" s="2"/>
      <c r="P880" s="156"/>
      <c r="W880" s="156"/>
      <c r="X880" s="156"/>
      <c r="Y880" s="156"/>
      <c r="Z880" s="156"/>
    </row>
    <row r="881" spans="1:26" ht="39.950000000000003" customHeight="1">
      <c r="A881" s="2984" t="s">
        <v>152</v>
      </c>
      <c r="B881" s="2985"/>
      <c r="C881" s="2986"/>
      <c r="D881" s="2987" t="str">
        <f>報7!D881</f>
        <v>事業所名を入力36</v>
      </c>
      <c r="E881" s="2988"/>
      <c r="F881" s="2988"/>
      <c r="G881" s="2988"/>
      <c r="H881" s="2988"/>
      <c r="I881" s="2988"/>
      <c r="J881" s="2988"/>
      <c r="K881" s="2988"/>
      <c r="L881" s="2988"/>
      <c r="M881" s="2988"/>
      <c r="N881" s="2988"/>
      <c r="O881" s="2989"/>
      <c r="P881" s="156"/>
      <c r="W881" s="156"/>
      <c r="X881" s="156"/>
      <c r="Y881" s="156"/>
      <c r="Z881" s="156"/>
    </row>
    <row r="882" spans="1:26" ht="39.950000000000003" customHeight="1">
      <c r="A882" s="2570" t="s">
        <v>153</v>
      </c>
      <c r="B882" s="2571"/>
      <c r="C882" s="2990"/>
      <c r="D882" s="2573">
        <f>報7!D882</f>
        <v>0</v>
      </c>
      <c r="E882" s="2574"/>
      <c r="F882" s="2574"/>
      <c r="G882" s="2574"/>
      <c r="H882" s="2574"/>
      <c r="I882" s="2574"/>
      <c r="J882" s="2574"/>
      <c r="K882" s="2574"/>
      <c r="L882" s="2574"/>
      <c r="M882" s="2574"/>
      <c r="N882" s="2574"/>
      <c r="O882" s="2575"/>
      <c r="P882" s="156"/>
      <c r="W882" s="156"/>
      <c r="X882" s="156"/>
      <c r="Y882" s="156"/>
      <c r="Z882" s="156"/>
    </row>
    <row r="883" spans="1:26" ht="39.950000000000003" customHeight="1">
      <c r="A883" s="2536" t="s">
        <v>154</v>
      </c>
      <c r="B883" s="2978"/>
      <c r="C883" s="3245">
        <f>報7!C883</f>
        <v>0</v>
      </c>
      <c r="D883" s="3246"/>
      <c r="E883" s="101" t="s">
        <v>180</v>
      </c>
      <c r="F883" s="2974" t="s">
        <v>404</v>
      </c>
      <c r="G883" s="2975"/>
      <c r="H883" s="2981" t="str">
        <f ca="1">報7!H883</f>
        <v/>
      </c>
      <c r="I883" s="2982"/>
      <c r="J883" s="58" t="s">
        <v>176</v>
      </c>
      <c r="K883" s="2974" t="s">
        <v>405</v>
      </c>
      <c r="L883" s="2975"/>
      <c r="M883" s="3247">
        <f>報7!M883</f>
        <v>0</v>
      </c>
      <c r="N883" s="3248"/>
      <c r="O883" s="3249"/>
      <c r="P883" s="156" t="str">
        <f>IFERROR(VLOOKUP(M883,$U$6:$V$22,2,0),"")</f>
        <v/>
      </c>
      <c r="W883" s="156"/>
      <c r="X883" s="156"/>
      <c r="Y883" s="156"/>
      <c r="Z883" s="156"/>
    </row>
    <row r="884" spans="1:26" ht="39.950000000000003" customHeight="1">
      <c r="A884" s="2974" t="s">
        <v>406</v>
      </c>
      <c r="B884" s="2975"/>
      <c r="C884" s="3250">
        <f>報7!C884</f>
        <v>0</v>
      </c>
      <c r="D884" s="2507"/>
      <c r="E884" s="2508"/>
      <c r="F884" s="2974" t="s">
        <v>158</v>
      </c>
      <c r="G884" s="2975"/>
      <c r="H884" s="3250">
        <f>報7!H884</f>
        <v>0</v>
      </c>
      <c r="I884" s="2507"/>
      <c r="J884" s="2508"/>
      <c r="K884" s="2580"/>
      <c r="L884" s="2977"/>
      <c r="M884" s="2977"/>
      <c r="N884" s="2977"/>
      <c r="O884" s="2977"/>
      <c r="P884" s="156"/>
      <c r="W884" s="156"/>
      <c r="X884" s="156"/>
      <c r="Y884" s="156"/>
      <c r="Z884" s="156"/>
    </row>
    <row r="885" spans="1:26" ht="49.9" customHeight="1">
      <c r="A885" s="39"/>
      <c r="B885" s="39"/>
      <c r="C885" s="40"/>
      <c r="D885" s="41"/>
      <c r="E885" s="40"/>
      <c r="F885" s="42"/>
      <c r="P885" s="156"/>
      <c r="W885" s="156"/>
      <c r="X885" s="156"/>
      <c r="Y885" s="156"/>
      <c r="Z885" s="156"/>
    </row>
    <row r="886" spans="1:26" s="103" customFormat="1" ht="19.5" customHeight="1">
      <c r="A886" s="3251" t="s">
        <v>555</v>
      </c>
      <c r="B886" s="3252"/>
      <c r="C886" s="3252"/>
      <c r="D886" s="3252"/>
      <c r="E886" s="3252"/>
      <c r="F886" s="3252"/>
      <c r="G886" s="3252"/>
      <c r="H886" s="3252"/>
      <c r="I886" s="3252"/>
      <c r="J886" s="3252"/>
      <c r="K886" s="3252"/>
      <c r="L886" s="3252"/>
      <c r="M886" s="3252"/>
      <c r="N886" s="3252"/>
      <c r="O886" s="3252"/>
      <c r="P886" s="334"/>
      <c r="Q886" s="1243"/>
      <c r="R886" s="1243"/>
      <c r="S886" s="1243"/>
      <c r="T886" s="1243"/>
      <c r="U886" s="1243"/>
      <c r="V886" s="1243"/>
      <c r="W886" s="334"/>
      <c r="X886" s="334"/>
      <c r="Y886" s="334"/>
      <c r="Z886" s="334"/>
    </row>
    <row r="887" spans="1:26" ht="49.9" customHeight="1">
      <c r="A887" s="104"/>
      <c r="B887" s="39"/>
      <c r="E887" s="105"/>
      <c r="F887" s="105"/>
      <c r="G887" s="105"/>
      <c r="H887" s="105"/>
      <c r="I887" s="105"/>
      <c r="J887" s="105"/>
      <c r="K887" s="105"/>
      <c r="L887" s="105"/>
      <c r="M887" s="105"/>
      <c r="N887" s="105"/>
      <c r="O887" s="105"/>
      <c r="P887" s="156"/>
      <c r="W887" s="156"/>
      <c r="X887" s="156"/>
      <c r="Y887" s="156"/>
      <c r="Z887" s="156"/>
    </row>
    <row r="888" spans="1:26" ht="20.25" customHeight="1">
      <c r="A888" s="50" t="s">
        <v>554</v>
      </c>
      <c r="B888" s="30"/>
      <c r="C888" s="30"/>
      <c r="D888" s="30"/>
      <c r="E888" s="30"/>
      <c r="F888" s="30"/>
      <c r="G888" s="30"/>
      <c r="H888" s="30"/>
      <c r="I888" s="30"/>
      <c r="J888" s="30"/>
      <c r="K888" s="30"/>
      <c r="L888" s="6"/>
      <c r="M888" s="6"/>
      <c r="N888" s="6"/>
      <c r="O888" s="6"/>
      <c r="P888" s="156"/>
      <c r="W888" s="156"/>
      <c r="X888" s="156"/>
      <c r="Y888" s="156"/>
      <c r="Z888" s="156"/>
    </row>
    <row r="889" spans="1:26" ht="20.100000000000001" customHeight="1">
      <c r="A889" s="2654"/>
      <c r="B889" s="2655"/>
      <c r="C889" s="2673" t="s">
        <v>561</v>
      </c>
      <c r="D889" s="2674"/>
      <c r="E889" s="2674"/>
      <c r="F889" s="2674"/>
      <c r="G889" s="2674"/>
      <c r="H889" s="2675"/>
      <c r="I889" s="2673" t="s">
        <v>560</v>
      </c>
      <c r="J889" s="2674"/>
      <c r="K889" s="2674"/>
      <c r="L889" s="2674"/>
      <c r="M889" s="2674"/>
      <c r="N889" s="2674"/>
      <c r="O889" s="2675"/>
      <c r="P889" s="156"/>
      <c r="W889" s="156"/>
      <c r="X889" s="156"/>
      <c r="Y889" s="156"/>
      <c r="Z889" s="156"/>
    </row>
    <row r="890" spans="1:26" ht="22.15" customHeight="1">
      <c r="A890" s="3253" t="s">
        <v>122</v>
      </c>
      <c r="B890" s="3254"/>
      <c r="C890" s="3255" t="str">
        <f ca="1">参照元個別!E40</f>
        <v/>
      </c>
      <c r="D890" s="3256"/>
      <c r="E890" s="3256"/>
      <c r="F890" s="3256"/>
      <c r="G890" s="3047" t="s">
        <v>1265</v>
      </c>
      <c r="H890" s="2959"/>
      <c r="I890" s="3260" t="str">
        <f>報7!I890</f>
        <v/>
      </c>
      <c r="J890" s="3261"/>
      <c r="K890" s="3261"/>
      <c r="L890" s="3261"/>
      <c r="M890" s="3047" t="s">
        <v>4308</v>
      </c>
      <c r="N890" s="3047"/>
      <c r="O890" s="3264" t="str">
        <f>報7!N890</f>
        <v/>
      </c>
      <c r="P890" s="165"/>
      <c r="Q890" s="1244"/>
      <c r="W890" s="156"/>
      <c r="X890" s="156"/>
      <c r="Y890" s="156"/>
      <c r="Z890" s="156"/>
    </row>
    <row r="891" spans="1:26" ht="22.15" customHeight="1">
      <c r="A891" s="3097">
        <f>IF(計1!$D$28="","",計1!$D$28-1)</f>
        <v>2023</v>
      </c>
      <c r="B891" s="2655"/>
      <c r="C891" s="3257"/>
      <c r="D891" s="3258"/>
      <c r="E891" s="3258"/>
      <c r="F891" s="3258"/>
      <c r="G891" s="3076"/>
      <c r="H891" s="3259"/>
      <c r="I891" s="3262"/>
      <c r="J891" s="3263"/>
      <c r="K891" s="3263"/>
      <c r="L891" s="3263"/>
      <c r="M891" s="3048"/>
      <c r="N891" s="3048"/>
      <c r="O891" s="3265"/>
      <c r="P891" s="165"/>
      <c r="Q891" s="1244"/>
      <c r="W891" s="156"/>
      <c r="X891" s="156"/>
      <c r="Y891" s="156"/>
      <c r="Z891" s="156"/>
    </row>
    <row r="892" spans="1:26" ht="22.15" customHeight="1">
      <c r="A892" s="2633" t="s">
        <v>558</v>
      </c>
      <c r="B892" s="3065"/>
      <c r="C892" s="3216"/>
      <c r="D892" s="3217"/>
      <c r="E892" s="3217"/>
      <c r="F892" s="3217"/>
      <c r="G892" s="3047" t="s">
        <v>414</v>
      </c>
      <c r="H892" s="2959"/>
      <c r="I892" s="3221"/>
      <c r="J892" s="3222"/>
      <c r="K892" s="3222"/>
      <c r="L892" s="3222"/>
      <c r="M892" s="3047" t="s">
        <v>415</v>
      </c>
      <c r="N892" s="3047"/>
      <c r="O892" s="3225" t="str">
        <f>IF(O890="","",O890)</f>
        <v/>
      </c>
      <c r="P892" s="3229"/>
      <c r="Q892" s="3229"/>
      <c r="W892" s="156"/>
      <c r="X892" s="156"/>
      <c r="Y892" s="156"/>
      <c r="Z892" s="156"/>
    </row>
    <row r="893" spans="1:26" ht="22.15" customHeight="1">
      <c r="A893" s="3080">
        <f>IF(計1!$D$28="","",計1!$G$28)</f>
        <v>2026</v>
      </c>
      <c r="B893" s="3059"/>
      <c r="C893" s="3218"/>
      <c r="D893" s="3219"/>
      <c r="E893" s="3219"/>
      <c r="F893" s="3219"/>
      <c r="G893" s="3048"/>
      <c r="H893" s="3220"/>
      <c r="I893" s="3223"/>
      <c r="J893" s="3224"/>
      <c r="K893" s="3224"/>
      <c r="L893" s="3224"/>
      <c r="M893" s="3048"/>
      <c r="N893" s="3048"/>
      <c r="O893" s="3226"/>
      <c r="P893" s="3230"/>
      <c r="Q893" s="3231"/>
      <c r="W893" s="156"/>
      <c r="X893" s="357"/>
      <c r="Y893" s="156"/>
      <c r="Z893" s="156"/>
    </row>
    <row r="894" spans="1:26" ht="24.95" customHeight="1">
      <c r="A894" s="145"/>
      <c r="B894" s="146" t="s">
        <v>577</v>
      </c>
      <c r="C894" s="147"/>
      <c r="D894" s="3232" t="str">
        <f ca="1">IF(OR(C890=0,C892=""),"",INT((C890-C892)/C890*10000)/100)</f>
        <v/>
      </c>
      <c r="E894" s="3232"/>
      <c r="F894" s="3232"/>
      <c r="G894" s="3233" t="s">
        <v>134</v>
      </c>
      <c r="H894" s="3234"/>
      <c r="I894" s="148"/>
      <c r="J894" s="3235" t="str">
        <f>IF(OR(I890=0,I892=""),"",INT((I890-I892)/I890*10000)/100)</f>
        <v/>
      </c>
      <c r="K894" s="3235"/>
      <c r="L894" s="3235"/>
      <c r="M894" s="3232" t="s">
        <v>501</v>
      </c>
      <c r="N894" s="3232"/>
      <c r="O894" s="3236"/>
      <c r="P894" s="335"/>
      <c r="Q894" s="1245"/>
      <c r="W894" s="359"/>
      <c r="X894" s="359"/>
      <c r="Y894" s="359"/>
      <c r="Z894" s="156"/>
    </row>
    <row r="895" spans="1:26" ht="27.75" customHeight="1">
      <c r="A895" s="2672" t="s">
        <v>559</v>
      </c>
      <c r="B895" s="2635"/>
      <c r="C895" s="3240"/>
      <c r="D895" s="3241"/>
      <c r="E895" s="3241"/>
      <c r="F895" s="3241"/>
      <c r="G895" s="3241"/>
      <c r="H895" s="3241"/>
      <c r="I895" s="3241"/>
      <c r="J895" s="3241"/>
      <c r="K895" s="3241"/>
      <c r="L895" s="3241"/>
      <c r="M895" s="3241"/>
      <c r="N895" s="3241"/>
      <c r="O895" s="3242"/>
      <c r="P895" s="335"/>
      <c r="Q895" s="1245"/>
      <c r="R895" s="1246"/>
      <c r="W895" s="359"/>
      <c r="X895" s="359" t="s">
        <v>586</v>
      </c>
      <c r="Y895" s="359"/>
      <c r="Z895" s="156"/>
    </row>
    <row r="896" spans="1:26" ht="35.1" customHeight="1">
      <c r="A896" s="3237"/>
      <c r="B896" s="2648"/>
      <c r="C896" s="3243"/>
      <c r="D896" s="2941"/>
      <c r="E896" s="2941"/>
      <c r="F896" s="2941"/>
      <c r="G896" s="2941"/>
      <c r="H896" s="2941"/>
      <c r="I896" s="2941"/>
      <c r="J896" s="2941"/>
      <c r="K896" s="2941"/>
      <c r="L896" s="2941"/>
      <c r="M896" s="2941"/>
      <c r="N896" s="2941"/>
      <c r="O896" s="2942"/>
      <c r="P896" s="358"/>
      <c r="Q896" s="1247"/>
      <c r="R896" s="1248">
        <v>0</v>
      </c>
      <c r="W896" s="359"/>
      <c r="X896" s="360" t="s">
        <v>587</v>
      </c>
      <c r="Y896" s="359"/>
      <c r="Z896" s="156"/>
    </row>
    <row r="897" spans="1:26" ht="93" customHeight="1">
      <c r="A897" s="3238"/>
      <c r="B897" s="3239"/>
      <c r="C897" s="3244"/>
      <c r="D897" s="2943"/>
      <c r="E897" s="2943"/>
      <c r="F897" s="2943"/>
      <c r="G897" s="2943"/>
      <c r="H897" s="2943"/>
      <c r="I897" s="2943"/>
      <c r="J897" s="2943"/>
      <c r="K897" s="2943"/>
      <c r="L897" s="2943"/>
      <c r="M897" s="2943"/>
      <c r="N897" s="2943"/>
      <c r="O897" s="2944"/>
      <c r="P897" s="336"/>
      <c r="Q897" s="1249"/>
      <c r="W897" s="156"/>
      <c r="X897" s="156"/>
      <c r="Y897" s="156"/>
      <c r="Z897" s="156"/>
    </row>
    <row r="898" spans="1:26" ht="18" customHeight="1">
      <c r="A898" s="2831" t="s">
        <v>583</v>
      </c>
      <c r="B898" s="2831"/>
      <c r="C898" s="2831"/>
      <c r="D898" s="2831"/>
      <c r="E898" s="2831"/>
      <c r="F898" s="2831"/>
      <c r="G898" s="2831"/>
      <c r="H898" s="2831"/>
      <c r="I898" s="2831"/>
      <c r="J898" s="2831"/>
      <c r="K898" s="2831"/>
      <c r="L898" s="2831"/>
      <c r="M898" s="2831"/>
      <c r="N898" s="2831"/>
      <c r="O898" s="2831"/>
      <c r="P898" s="3227"/>
      <c r="Q898" s="3227"/>
      <c r="W898" s="156"/>
      <c r="X898" s="156"/>
      <c r="Y898" s="156"/>
      <c r="Z898" s="156"/>
    </row>
    <row r="899" spans="1:26" ht="9.75" customHeight="1">
      <c r="A899" s="89"/>
      <c r="B899" s="89"/>
      <c r="C899" s="106"/>
      <c r="D899" s="106"/>
      <c r="E899" s="106"/>
      <c r="F899" s="106"/>
      <c r="G899" s="106"/>
      <c r="H899" s="106"/>
      <c r="I899" s="106"/>
      <c r="J899" s="106"/>
      <c r="K899" s="106"/>
      <c r="L899" s="106"/>
      <c r="M899" s="106"/>
      <c r="N899" s="3228"/>
      <c r="O899" s="3228"/>
      <c r="P899" s="156"/>
      <c r="W899" s="156"/>
      <c r="X899" s="156"/>
      <c r="Y899" s="156"/>
      <c r="Z899" s="156"/>
    </row>
    <row r="900" spans="1:26">
      <c r="A900" s="156"/>
      <c r="B900" s="156"/>
      <c r="C900" s="156"/>
      <c r="D900" s="156"/>
      <c r="E900" s="156"/>
      <c r="F900" s="156"/>
      <c r="G900" s="156"/>
      <c r="H900" s="156"/>
      <c r="I900" s="156"/>
      <c r="J900" s="156"/>
      <c r="K900" s="156"/>
      <c r="L900" s="156"/>
      <c r="M900" s="156"/>
      <c r="N900" s="156"/>
      <c r="O900" s="156"/>
      <c r="P900" s="156"/>
      <c r="W900" s="156"/>
      <c r="X900" s="156"/>
      <c r="Y900" s="156"/>
      <c r="Z900" s="156"/>
    </row>
    <row r="901" spans="1:26">
      <c r="A901" s="1" t="s">
        <v>520</v>
      </c>
      <c r="B901" s="2"/>
      <c r="C901" s="2"/>
      <c r="D901" s="2"/>
      <c r="E901" s="2"/>
      <c r="F901" s="2"/>
      <c r="G901" s="2"/>
      <c r="H901" s="2"/>
      <c r="I901" s="2"/>
      <c r="J901" s="2"/>
      <c r="K901" s="2"/>
      <c r="L901" s="2"/>
      <c r="M901" s="2"/>
      <c r="N901" s="2"/>
      <c r="O901" s="2"/>
      <c r="P901" s="156" t="str">
        <f>"個別票"&amp;Q901</f>
        <v>個別票37</v>
      </c>
      <c r="Q901" s="1242">
        <f>Q876+1</f>
        <v>37</v>
      </c>
      <c r="W901" s="156"/>
      <c r="X901" s="156"/>
      <c r="Y901" s="156"/>
      <c r="Z901" s="156"/>
    </row>
    <row r="902" spans="1:26">
      <c r="A902" s="2" t="s">
        <v>557</v>
      </c>
      <c r="B902" s="4"/>
      <c r="C902" s="4"/>
      <c r="D902" s="4"/>
      <c r="E902" s="4"/>
      <c r="F902" s="4"/>
      <c r="G902" s="4"/>
      <c r="H902" s="4"/>
      <c r="I902" s="4"/>
      <c r="J902" s="4"/>
      <c r="K902" s="4"/>
      <c r="L902" s="4"/>
      <c r="M902" s="4"/>
      <c r="N902" s="2"/>
      <c r="O902" s="2"/>
      <c r="P902" s="156"/>
      <c r="W902" s="156"/>
      <c r="X902" s="156"/>
      <c r="Y902" s="156"/>
      <c r="Z902" s="156"/>
    </row>
    <row r="903" spans="1:26" ht="17.25">
      <c r="A903" s="2612" t="s">
        <v>556</v>
      </c>
      <c r="B903" s="2612"/>
      <c r="C903" s="2612"/>
      <c r="D903" s="2612"/>
      <c r="E903" s="2612"/>
      <c r="F903" s="2612"/>
      <c r="G903" s="2612"/>
      <c r="H903" s="2612"/>
      <c r="I903" s="2612"/>
      <c r="J903" s="2612"/>
      <c r="K903" s="2612"/>
      <c r="L903" s="2612"/>
      <c r="M903" s="2612"/>
      <c r="N903" s="2612"/>
      <c r="O903" s="2612"/>
      <c r="P903" s="156"/>
      <c r="W903" s="156"/>
      <c r="X903" s="156"/>
      <c r="Y903" s="156"/>
      <c r="Z903" s="156"/>
    </row>
    <row r="904" spans="1:26" ht="17.25">
      <c r="A904" s="38"/>
      <c r="B904" s="38"/>
      <c r="C904" s="38"/>
      <c r="D904" s="38"/>
      <c r="E904" s="38"/>
      <c r="F904" s="38"/>
      <c r="G904" s="38"/>
      <c r="H904" s="38"/>
      <c r="I904" s="38"/>
      <c r="J904" s="38"/>
      <c r="K904" s="38"/>
      <c r="L904" s="38"/>
      <c r="M904" s="38"/>
      <c r="N904" s="38"/>
      <c r="O904" s="38"/>
      <c r="P904" s="156"/>
      <c r="W904" s="156"/>
      <c r="X904" s="156"/>
      <c r="Y904" s="156"/>
      <c r="Z904" s="156"/>
    </row>
    <row r="905" spans="1:26" ht="18" customHeight="1">
      <c r="A905" s="48" t="s">
        <v>151</v>
      </c>
      <c r="B905" s="4"/>
      <c r="C905" s="4"/>
      <c r="D905" s="4"/>
      <c r="E905" s="4"/>
      <c r="F905" s="4"/>
      <c r="G905" s="4"/>
      <c r="H905" s="4"/>
      <c r="I905" s="4"/>
      <c r="J905" s="4"/>
      <c r="K905" s="4"/>
      <c r="L905" s="4"/>
      <c r="M905" s="4"/>
      <c r="N905" s="2"/>
      <c r="O905" s="2"/>
      <c r="P905" s="156"/>
      <c r="W905" s="156"/>
      <c r="X905" s="156"/>
      <c r="Y905" s="156"/>
      <c r="Z905" s="156"/>
    </row>
    <row r="906" spans="1:26" ht="39.950000000000003" customHeight="1">
      <c r="A906" s="2984" t="s">
        <v>152</v>
      </c>
      <c r="B906" s="2985"/>
      <c r="C906" s="2986"/>
      <c r="D906" s="2987" t="str">
        <f>報7!D906</f>
        <v>事業所名を入力37</v>
      </c>
      <c r="E906" s="2988"/>
      <c r="F906" s="2988"/>
      <c r="G906" s="2988"/>
      <c r="H906" s="2988"/>
      <c r="I906" s="2988"/>
      <c r="J906" s="2988"/>
      <c r="K906" s="2988"/>
      <c r="L906" s="2988"/>
      <c r="M906" s="2988"/>
      <c r="N906" s="2988"/>
      <c r="O906" s="2989"/>
      <c r="P906" s="156"/>
      <c r="W906" s="156"/>
      <c r="X906" s="156"/>
      <c r="Y906" s="156"/>
      <c r="Z906" s="156"/>
    </row>
    <row r="907" spans="1:26" ht="39.950000000000003" customHeight="1">
      <c r="A907" s="2570" t="s">
        <v>153</v>
      </c>
      <c r="B907" s="2571"/>
      <c r="C907" s="2990"/>
      <c r="D907" s="2573">
        <f>報7!D907</f>
        <v>0</v>
      </c>
      <c r="E907" s="2574"/>
      <c r="F907" s="2574"/>
      <c r="G907" s="2574"/>
      <c r="H907" s="2574"/>
      <c r="I907" s="2574"/>
      <c r="J907" s="2574"/>
      <c r="K907" s="2574"/>
      <c r="L907" s="2574"/>
      <c r="M907" s="2574"/>
      <c r="N907" s="2574"/>
      <c r="O907" s="2575"/>
      <c r="P907" s="156"/>
      <c r="W907" s="156"/>
      <c r="X907" s="156"/>
      <c r="Y907" s="156"/>
      <c r="Z907" s="156"/>
    </row>
    <row r="908" spans="1:26" ht="39.950000000000003" customHeight="1">
      <c r="A908" s="2536" t="s">
        <v>154</v>
      </c>
      <c r="B908" s="2978"/>
      <c r="C908" s="3245">
        <f>報7!C908</f>
        <v>0</v>
      </c>
      <c r="D908" s="3246"/>
      <c r="E908" s="101" t="s">
        <v>180</v>
      </c>
      <c r="F908" s="2974" t="s">
        <v>404</v>
      </c>
      <c r="G908" s="2975"/>
      <c r="H908" s="2981" t="str">
        <f ca="1">報7!H908</f>
        <v/>
      </c>
      <c r="I908" s="2982"/>
      <c r="J908" s="58" t="s">
        <v>176</v>
      </c>
      <c r="K908" s="2974" t="s">
        <v>405</v>
      </c>
      <c r="L908" s="2975"/>
      <c r="M908" s="3247">
        <f>報7!M908</f>
        <v>0</v>
      </c>
      <c r="N908" s="3248"/>
      <c r="O908" s="3249"/>
      <c r="P908" s="156" t="str">
        <f>IFERROR(VLOOKUP(M908,$U$6:$V$22,2,0),"")</f>
        <v/>
      </c>
      <c r="W908" s="156"/>
      <c r="X908" s="156"/>
      <c r="Y908" s="156"/>
      <c r="Z908" s="156"/>
    </row>
    <row r="909" spans="1:26" ht="39.950000000000003" customHeight="1">
      <c r="A909" s="2974" t="s">
        <v>406</v>
      </c>
      <c r="B909" s="2975"/>
      <c r="C909" s="3250">
        <f>報7!C909</f>
        <v>0</v>
      </c>
      <c r="D909" s="2507"/>
      <c r="E909" s="2508"/>
      <c r="F909" s="2974" t="s">
        <v>158</v>
      </c>
      <c r="G909" s="2975"/>
      <c r="H909" s="3250">
        <f>報7!H909</f>
        <v>0</v>
      </c>
      <c r="I909" s="2507"/>
      <c r="J909" s="2508"/>
      <c r="K909" s="2580"/>
      <c r="L909" s="2977"/>
      <c r="M909" s="2977"/>
      <c r="N909" s="2977"/>
      <c r="O909" s="2977"/>
      <c r="P909" s="156"/>
      <c r="W909" s="156"/>
      <c r="X909" s="156"/>
      <c r="Y909" s="156"/>
      <c r="Z909" s="156"/>
    </row>
    <row r="910" spans="1:26" ht="49.9" customHeight="1">
      <c r="A910" s="39"/>
      <c r="B910" s="39"/>
      <c r="C910" s="40"/>
      <c r="D910" s="41"/>
      <c r="E910" s="40"/>
      <c r="F910" s="42"/>
      <c r="P910" s="156"/>
      <c r="W910" s="156"/>
      <c r="X910" s="156"/>
      <c r="Y910" s="156"/>
      <c r="Z910" s="156"/>
    </row>
    <row r="911" spans="1:26" s="103" customFormat="1" ht="19.5" customHeight="1">
      <c r="A911" s="3251" t="s">
        <v>555</v>
      </c>
      <c r="B911" s="3252"/>
      <c r="C911" s="3252"/>
      <c r="D911" s="3252"/>
      <c r="E911" s="3252"/>
      <c r="F911" s="3252"/>
      <c r="G911" s="3252"/>
      <c r="H911" s="3252"/>
      <c r="I911" s="3252"/>
      <c r="J911" s="3252"/>
      <c r="K911" s="3252"/>
      <c r="L911" s="3252"/>
      <c r="M911" s="3252"/>
      <c r="N911" s="3252"/>
      <c r="O911" s="3252"/>
      <c r="P911" s="334"/>
      <c r="Q911" s="1243"/>
      <c r="R911" s="1243"/>
      <c r="S911" s="1243"/>
      <c r="T911" s="1243"/>
      <c r="U911" s="1243"/>
      <c r="V911" s="1243"/>
      <c r="W911" s="334"/>
      <c r="X911" s="334"/>
      <c r="Y911" s="334"/>
      <c r="Z911" s="334"/>
    </row>
    <row r="912" spans="1:26" ht="49.9" customHeight="1">
      <c r="A912" s="104"/>
      <c r="B912" s="39"/>
      <c r="E912" s="105"/>
      <c r="F912" s="105"/>
      <c r="G912" s="105"/>
      <c r="H912" s="105"/>
      <c r="I912" s="105"/>
      <c r="J912" s="105"/>
      <c r="K912" s="105"/>
      <c r="L912" s="105"/>
      <c r="M912" s="105"/>
      <c r="N912" s="105"/>
      <c r="O912" s="105"/>
      <c r="P912" s="156"/>
      <c r="W912" s="156"/>
      <c r="X912" s="156"/>
      <c r="Y912" s="156"/>
      <c r="Z912" s="156"/>
    </row>
    <row r="913" spans="1:26" ht="20.25" customHeight="1">
      <c r="A913" s="50" t="s">
        <v>554</v>
      </c>
      <c r="B913" s="30"/>
      <c r="C913" s="30"/>
      <c r="D913" s="30"/>
      <c r="E913" s="30"/>
      <c r="F913" s="30"/>
      <c r="G913" s="30"/>
      <c r="H913" s="30"/>
      <c r="I913" s="30"/>
      <c r="J913" s="30"/>
      <c r="K913" s="30"/>
      <c r="L913" s="6"/>
      <c r="M913" s="6"/>
      <c r="N913" s="6"/>
      <c r="O913" s="6"/>
      <c r="P913" s="156"/>
      <c r="W913" s="156"/>
      <c r="X913" s="156"/>
      <c r="Y913" s="156"/>
      <c r="Z913" s="156"/>
    </row>
    <row r="914" spans="1:26" ht="20.100000000000001" customHeight="1">
      <c r="A914" s="2654"/>
      <c r="B914" s="2655"/>
      <c r="C914" s="2673" t="s">
        <v>561</v>
      </c>
      <c r="D914" s="2674"/>
      <c r="E914" s="2674"/>
      <c r="F914" s="2674"/>
      <c r="G914" s="2674"/>
      <c r="H914" s="2675"/>
      <c r="I914" s="2673" t="s">
        <v>560</v>
      </c>
      <c r="J914" s="2674"/>
      <c r="K914" s="2674"/>
      <c r="L914" s="2674"/>
      <c r="M914" s="2674"/>
      <c r="N914" s="2674"/>
      <c r="O914" s="2675"/>
      <c r="P914" s="156"/>
      <c r="W914" s="156"/>
      <c r="X914" s="156"/>
      <c r="Y914" s="156"/>
      <c r="Z914" s="156"/>
    </row>
    <row r="915" spans="1:26" ht="22.15" customHeight="1">
      <c r="A915" s="3253" t="s">
        <v>122</v>
      </c>
      <c r="B915" s="3254"/>
      <c r="C915" s="3255" t="str">
        <f ca="1">参照元個別!E41</f>
        <v/>
      </c>
      <c r="D915" s="3256"/>
      <c r="E915" s="3256"/>
      <c r="F915" s="3256"/>
      <c r="G915" s="3047" t="s">
        <v>1265</v>
      </c>
      <c r="H915" s="2959"/>
      <c r="I915" s="3260" t="str">
        <f>報7!I915</f>
        <v/>
      </c>
      <c r="J915" s="3261"/>
      <c r="K915" s="3261"/>
      <c r="L915" s="3261"/>
      <c r="M915" s="3047" t="s">
        <v>4308</v>
      </c>
      <c r="N915" s="3047"/>
      <c r="O915" s="3264" t="str">
        <f>報7!N915</f>
        <v/>
      </c>
      <c r="P915" s="165"/>
      <c r="Q915" s="1244"/>
      <c r="W915" s="156"/>
      <c r="X915" s="156"/>
      <c r="Y915" s="156"/>
      <c r="Z915" s="156"/>
    </row>
    <row r="916" spans="1:26" ht="22.15" customHeight="1">
      <c r="A916" s="3097">
        <f>IF(計1!$D$28="","",計1!$D$28-1)</f>
        <v>2023</v>
      </c>
      <c r="B916" s="2655"/>
      <c r="C916" s="3257"/>
      <c r="D916" s="3258"/>
      <c r="E916" s="3258"/>
      <c r="F916" s="3258"/>
      <c r="G916" s="3076"/>
      <c r="H916" s="3259"/>
      <c r="I916" s="3262"/>
      <c r="J916" s="3263"/>
      <c r="K916" s="3263"/>
      <c r="L916" s="3263"/>
      <c r="M916" s="3048"/>
      <c r="N916" s="3048"/>
      <c r="O916" s="3265"/>
      <c r="P916" s="165"/>
      <c r="Q916" s="1244"/>
      <c r="W916" s="156"/>
      <c r="X916" s="156"/>
      <c r="Y916" s="156"/>
      <c r="Z916" s="156"/>
    </row>
    <row r="917" spans="1:26" ht="22.15" customHeight="1">
      <c r="A917" s="2633" t="s">
        <v>558</v>
      </c>
      <c r="B917" s="3065"/>
      <c r="C917" s="3216"/>
      <c r="D917" s="3217"/>
      <c r="E917" s="3217"/>
      <c r="F917" s="3217"/>
      <c r="G917" s="3047" t="s">
        <v>414</v>
      </c>
      <c r="H917" s="2959"/>
      <c r="I917" s="3221"/>
      <c r="J917" s="3222"/>
      <c r="K917" s="3222"/>
      <c r="L917" s="3222"/>
      <c r="M917" s="3047" t="s">
        <v>415</v>
      </c>
      <c r="N917" s="3047"/>
      <c r="O917" s="3225" t="str">
        <f>IF(O915="","",O915)</f>
        <v/>
      </c>
      <c r="P917" s="3229"/>
      <c r="Q917" s="3229"/>
      <c r="W917" s="156"/>
      <c r="X917" s="156"/>
      <c r="Y917" s="156"/>
      <c r="Z917" s="156"/>
    </row>
    <row r="918" spans="1:26" ht="22.15" customHeight="1">
      <c r="A918" s="3080">
        <f>IF(計1!$D$28="","",計1!$G$28)</f>
        <v>2026</v>
      </c>
      <c r="B918" s="3059"/>
      <c r="C918" s="3218"/>
      <c r="D918" s="3219"/>
      <c r="E918" s="3219"/>
      <c r="F918" s="3219"/>
      <c r="G918" s="3048"/>
      <c r="H918" s="3220"/>
      <c r="I918" s="3223"/>
      <c r="J918" s="3224"/>
      <c r="K918" s="3224"/>
      <c r="L918" s="3224"/>
      <c r="M918" s="3048"/>
      <c r="N918" s="3048"/>
      <c r="O918" s="3226"/>
      <c r="P918" s="3230"/>
      <c r="Q918" s="3231"/>
      <c r="W918" s="156"/>
      <c r="X918" s="357"/>
      <c r="Y918" s="156"/>
      <c r="Z918" s="156"/>
    </row>
    <row r="919" spans="1:26" ht="24.95" customHeight="1">
      <c r="A919" s="145"/>
      <c r="B919" s="146" t="s">
        <v>577</v>
      </c>
      <c r="C919" s="147"/>
      <c r="D919" s="3232" t="str">
        <f ca="1">IF(OR(C915=0,C917=""),"",INT((C915-C917)/C915*10000)/100)</f>
        <v/>
      </c>
      <c r="E919" s="3232"/>
      <c r="F919" s="3232"/>
      <c r="G919" s="3233" t="s">
        <v>134</v>
      </c>
      <c r="H919" s="3234"/>
      <c r="I919" s="148"/>
      <c r="J919" s="3235" t="str">
        <f>IF(OR(I915=0,I917=""),"",INT((I915-I917)/I915*10000)/100)</f>
        <v/>
      </c>
      <c r="K919" s="3235"/>
      <c r="L919" s="3235"/>
      <c r="M919" s="3232" t="s">
        <v>501</v>
      </c>
      <c r="N919" s="3232"/>
      <c r="O919" s="3236"/>
      <c r="P919" s="335"/>
      <c r="Q919" s="1245"/>
      <c r="W919" s="359"/>
      <c r="X919" s="359"/>
      <c r="Y919" s="359"/>
      <c r="Z919" s="156"/>
    </row>
    <row r="920" spans="1:26" ht="27.75" customHeight="1">
      <c r="A920" s="2672" t="s">
        <v>559</v>
      </c>
      <c r="B920" s="2635"/>
      <c r="C920" s="3240"/>
      <c r="D920" s="3241"/>
      <c r="E920" s="3241"/>
      <c r="F920" s="3241"/>
      <c r="G920" s="3241"/>
      <c r="H920" s="3241"/>
      <c r="I920" s="3241"/>
      <c r="J920" s="3241"/>
      <c r="K920" s="3241"/>
      <c r="L920" s="3241"/>
      <c r="M920" s="3241"/>
      <c r="N920" s="3241"/>
      <c r="O920" s="3242"/>
      <c r="P920" s="335"/>
      <c r="Q920" s="1245"/>
      <c r="R920" s="1246"/>
      <c r="W920" s="359"/>
      <c r="X920" s="359" t="s">
        <v>586</v>
      </c>
      <c r="Y920" s="359"/>
      <c r="Z920" s="156"/>
    </row>
    <row r="921" spans="1:26" ht="35.1" customHeight="1">
      <c r="A921" s="3237"/>
      <c r="B921" s="2648"/>
      <c r="C921" s="3243"/>
      <c r="D921" s="2941"/>
      <c r="E921" s="2941"/>
      <c r="F921" s="2941"/>
      <c r="G921" s="2941"/>
      <c r="H921" s="2941"/>
      <c r="I921" s="2941"/>
      <c r="J921" s="2941"/>
      <c r="K921" s="2941"/>
      <c r="L921" s="2941"/>
      <c r="M921" s="2941"/>
      <c r="N921" s="2941"/>
      <c r="O921" s="2942"/>
      <c r="P921" s="358"/>
      <c r="Q921" s="1247"/>
      <c r="R921" s="1248">
        <v>0</v>
      </c>
      <c r="W921" s="359"/>
      <c r="X921" s="360" t="s">
        <v>587</v>
      </c>
      <c r="Y921" s="359"/>
      <c r="Z921" s="156"/>
    </row>
    <row r="922" spans="1:26" ht="93" customHeight="1">
      <c r="A922" s="3238"/>
      <c r="B922" s="3239"/>
      <c r="C922" s="3244"/>
      <c r="D922" s="2943"/>
      <c r="E922" s="2943"/>
      <c r="F922" s="2943"/>
      <c r="G922" s="2943"/>
      <c r="H922" s="2943"/>
      <c r="I922" s="2943"/>
      <c r="J922" s="2943"/>
      <c r="K922" s="2943"/>
      <c r="L922" s="2943"/>
      <c r="M922" s="2943"/>
      <c r="N922" s="2943"/>
      <c r="O922" s="2944"/>
      <c r="P922" s="336"/>
      <c r="Q922" s="1249"/>
      <c r="W922" s="156"/>
      <c r="X922" s="156"/>
      <c r="Y922" s="156"/>
      <c r="Z922" s="156"/>
    </row>
    <row r="923" spans="1:26" ht="18" customHeight="1">
      <c r="A923" s="2831" t="s">
        <v>583</v>
      </c>
      <c r="B923" s="2831"/>
      <c r="C923" s="2831"/>
      <c r="D923" s="2831"/>
      <c r="E923" s="2831"/>
      <c r="F923" s="2831"/>
      <c r="G923" s="2831"/>
      <c r="H923" s="2831"/>
      <c r="I923" s="2831"/>
      <c r="J923" s="2831"/>
      <c r="K923" s="2831"/>
      <c r="L923" s="2831"/>
      <c r="M923" s="2831"/>
      <c r="N923" s="2831"/>
      <c r="O923" s="2831"/>
      <c r="P923" s="3227"/>
      <c r="Q923" s="3227"/>
      <c r="W923" s="156"/>
      <c r="X923" s="156"/>
      <c r="Y923" s="156"/>
      <c r="Z923" s="156"/>
    </row>
    <row r="924" spans="1:26" ht="9.75" customHeight="1">
      <c r="A924" s="89"/>
      <c r="B924" s="89"/>
      <c r="C924" s="106"/>
      <c r="D924" s="106"/>
      <c r="E924" s="106"/>
      <c r="F924" s="106"/>
      <c r="G924" s="106"/>
      <c r="H924" s="106"/>
      <c r="I924" s="106"/>
      <c r="J924" s="106"/>
      <c r="K924" s="106"/>
      <c r="L924" s="106"/>
      <c r="M924" s="106"/>
      <c r="N924" s="3228"/>
      <c r="O924" s="3228"/>
      <c r="P924" s="156"/>
      <c r="W924" s="156"/>
      <c r="X924" s="156"/>
      <c r="Y924" s="156"/>
      <c r="Z924" s="156"/>
    </row>
    <row r="925" spans="1:26">
      <c r="A925" s="156"/>
      <c r="B925" s="156"/>
      <c r="C925" s="156"/>
      <c r="D925" s="156"/>
      <c r="E925" s="156"/>
      <c r="F925" s="156"/>
      <c r="G925" s="156"/>
      <c r="H925" s="156"/>
      <c r="I925" s="156"/>
      <c r="J925" s="156"/>
      <c r="K925" s="156"/>
      <c r="L925" s="156"/>
      <c r="M925" s="156"/>
      <c r="N925" s="156"/>
      <c r="O925" s="156"/>
      <c r="P925" s="156"/>
      <c r="W925" s="156"/>
      <c r="X925" s="156"/>
      <c r="Y925" s="156"/>
      <c r="Z925" s="156"/>
    </row>
    <row r="926" spans="1:26">
      <c r="A926" s="1" t="s">
        <v>520</v>
      </c>
      <c r="B926" s="2"/>
      <c r="C926" s="2"/>
      <c r="D926" s="2"/>
      <c r="E926" s="2"/>
      <c r="F926" s="2"/>
      <c r="G926" s="2"/>
      <c r="H926" s="2"/>
      <c r="I926" s="2"/>
      <c r="J926" s="2"/>
      <c r="K926" s="2"/>
      <c r="L926" s="2"/>
      <c r="M926" s="2"/>
      <c r="N926" s="2"/>
      <c r="O926" s="2"/>
      <c r="P926" s="156" t="str">
        <f>"個別票"&amp;Q926</f>
        <v>個別票38</v>
      </c>
      <c r="Q926" s="1242">
        <f>Q901+1</f>
        <v>38</v>
      </c>
      <c r="W926" s="156"/>
      <c r="X926" s="156"/>
      <c r="Y926" s="156"/>
      <c r="Z926" s="156"/>
    </row>
    <row r="927" spans="1:26">
      <c r="A927" s="2" t="s">
        <v>557</v>
      </c>
      <c r="B927" s="4"/>
      <c r="C927" s="4"/>
      <c r="D927" s="4"/>
      <c r="E927" s="4"/>
      <c r="F927" s="4"/>
      <c r="G927" s="4"/>
      <c r="H927" s="4"/>
      <c r="I927" s="4"/>
      <c r="J927" s="4"/>
      <c r="K927" s="4"/>
      <c r="L927" s="4"/>
      <c r="M927" s="4"/>
      <c r="N927" s="2"/>
      <c r="O927" s="2"/>
      <c r="P927" s="156"/>
      <c r="W927" s="156"/>
      <c r="X927" s="156"/>
      <c r="Y927" s="156"/>
      <c r="Z927" s="156"/>
    </row>
    <row r="928" spans="1:26" ht="17.25">
      <c r="A928" s="2612" t="s">
        <v>556</v>
      </c>
      <c r="B928" s="2612"/>
      <c r="C928" s="2612"/>
      <c r="D928" s="2612"/>
      <c r="E928" s="2612"/>
      <c r="F928" s="2612"/>
      <c r="G928" s="2612"/>
      <c r="H928" s="2612"/>
      <c r="I928" s="2612"/>
      <c r="J928" s="2612"/>
      <c r="K928" s="2612"/>
      <c r="L928" s="2612"/>
      <c r="M928" s="2612"/>
      <c r="N928" s="2612"/>
      <c r="O928" s="2612"/>
      <c r="P928" s="156"/>
      <c r="W928" s="156"/>
      <c r="X928" s="156"/>
      <c r="Y928" s="156"/>
      <c r="Z928" s="156"/>
    </row>
    <row r="929" spans="1:26" ht="17.25">
      <c r="A929" s="38"/>
      <c r="B929" s="38"/>
      <c r="C929" s="38"/>
      <c r="D929" s="38"/>
      <c r="E929" s="38"/>
      <c r="F929" s="38"/>
      <c r="G929" s="38"/>
      <c r="H929" s="38"/>
      <c r="I929" s="38"/>
      <c r="J929" s="38"/>
      <c r="K929" s="38"/>
      <c r="L929" s="38"/>
      <c r="M929" s="38"/>
      <c r="N929" s="38"/>
      <c r="O929" s="38"/>
      <c r="P929" s="156"/>
      <c r="W929" s="156"/>
      <c r="X929" s="156"/>
      <c r="Y929" s="156"/>
      <c r="Z929" s="156"/>
    </row>
    <row r="930" spans="1:26" ht="18" customHeight="1">
      <c r="A930" s="48" t="s">
        <v>151</v>
      </c>
      <c r="B930" s="4"/>
      <c r="C930" s="4"/>
      <c r="D930" s="4"/>
      <c r="E930" s="4"/>
      <c r="F930" s="4"/>
      <c r="G930" s="4"/>
      <c r="H930" s="4"/>
      <c r="I930" s="4"/>
      <c r="J930" s="4"/>
      <c r="K930" s="4"/>
      <c r="L930" s="4"/>
      <c r="M930" s="4"/>
      <c r="N930" s="2"/>
      <c r="O930" s="2"/>
      <c r="P930" s="156"/>
      <c r="W930" s="156"/>
      <c r="X930" s="156"/>
      <c r="Y930" s="156"/>
      <c r="Z930" s="156"/>
    </row>
    <row r="931" spans="1:26" ht="39.950000000000003" customHeight="1">
      <c r="A931" s="2984" t="s">
        <v>152</v>
      </c>
      <c r="B931" s="2985"/>
      <c r="C931" s="2986"/>
      <c r="D931" s="2987" t="str">
        <f>報7!D931</f>
        <v>事業所名を入力38</v>
      </c>
      <c r="E931" s="2988"/>
      <c r="F931" s="2988"/>
      <c r="G931" s="2988"/>
      <c r="H931" s="2988"/>
      <c r="I931" s="2988"/>
      <c r="J931" s="2988"/>
      <c r="K931" s="2988"/>
      <c r="L931" s="2988"/>
      <c r="M931" s="2988"/>
      <c r="N931" s="2988"/>
      <c r="O931" s="2989"/>
      <c r="P931" s="156"/>
      <c r="W931" s="156"/>
      <c r="X931" s="156"/>
      <c r="Y931" s="156"/>
      <c r="Z931" s="156"/>
    </row>
    <row r="932" spans="1:26" ht="39.950000000000003" customHeight="1">
      <c r="A932" s="2570" t="s">
        <v>153</v>
      </c>
      <c r="B932" s="2571"/>
      <c r="C932" s="2990"/>
      <c r="D932" s="2573">
        <f>報7!D932</f>
        <v>0</v>
      </c>
      <c r="E932" s="2574"/>
      <c r="F932" s="2574"/>
      <c r="G932" s="2574"/>
      <c r="H932" s="2574"/>
      <c r="I932" s="2574"/>
      <c r="J932" s="2574"/>
      <c r="K932" s="2574"/>
      <c r="L932" s="2574"/>
      <c r="M932" s="2574"/>
      <c r="N932" s="2574"/>
      <c r="O932" s="2575"/>
      <c r="P932" s="156"/>
      <c r="W932" s="156"/>
      <c r="X932" s="156"/>
      <c r="Y932" s="156"/>
      <c r="Z932" s="156"/>
    </row>
    <row r="933" spans="1:26" ht="39.950000000000003" customHeight="1">
      <c r="A933" s="2536" t="s">
        <v>154</v>
      </c>
      <c r="B933" s="2978"/>
      <c r="C933" s="3245">
        <f>報7!C933</f>
        <v>0</v>
      </c>
      <c r="D933" s="3246"/>
      <c r="E933" s="101" t="s">
        <v>180</v>
      </c>
      <c r="F933" s="2974" t="s">
        <v>404</v>
      </c>
      <c r="G933" s="2975"/>
      <c r="H933" s="2981" t="str">
        <f ca="1">報7!H933</f>
        <v/>
      </c>
      <c r="I933" s="2982"/>
      <c r="J933" s="58" t="s">
        <v>176</v>
      </c>
      <c r="K933" s="2974" t="s">
        <v>405</v>
      </c>
      <c r="L933" s="2975"/>
      <c r="M933" s="3247">
        <f>報7!M933</f>
        <v>0</v>
      </c>
      <c r="N933" s="3248"/>
      <c r="O933" s="3249"/>
      <c r="P933" s="156" t="str">
        <f>IFERROR(VLOOKUP(M933,$U$6:$V$22,2,0),"")</f>
        <v/>
      </c>
      <c r="W933" s="156"/>
      <c r="X933" s="156"/>
      <c r="Y933" s="156"/>
      <c r="Z933" s="156"/>
    </row>
    <row r="934" spans="1:26" ht="39.950000000000003" customHeight="1">
      <c r="A934" s="2974" t="s">
        <v>406</v>
      </c>
      <c r="B934" s="2975"/>
      <c r="C934" s="3250">
        <f>報7!C934</f>
        <v>0</v>
      </c>
      <c r="D934" s="2507"/>
      <c r="E934" s="2508"/>
      <c r="F934" s="2974" t="s">
        <v>158</v>
      </c>
      <c r="G934" s="2975"/>
      <c r="H934" s="3250">
        <f>報7!H934</f>
        <v>0</v>
      </c>
      <c r="I934" s="2507"/>
      <c r="J934" s="2508"/>
      <c r="K934" s="2580"/>
      <c r="L934" s="2977"/>
      <c r="M934" s="2977"/>
      <c r="N934" s="2977"/>
      <c r="O934" s="2977"/>
      <c r="P934" s="156"/>
      <c r="W934" s="156"/>
      <c r="X934" s="156"/>
      <c r="Y934" s="156"/>
      <c r="Z934" s="156"/>
    </row>
    <row r="935" spans="1:26" ht="49.9" customHeight="1">
      <c r="A935" s="39"/>
      <c r="B935" s="39"/>
      <c r="C935" s="40"/>
      <c r="D935" s="41"/>
      <c r="E935" s="40"/>
      <c r="F935" s="42"/>
      <c r="P935" s="156"/>
      <c r="W935" s="156"/>
      <c r="X935" s="156"/>
      <c r="Y935" s="156"/>
      <c r="Z935" s="156"/>
    </row>
    <row r="936" spans="1:26" s="103" customFormat="1" ht="19.5" customHeight="1">
      <c r="A936" s="3251" t="s">
        <v>555</v>
      </c>
      <c r="B936" s="3252"/>
      <c r="C936" s="3252"/>
      <c r="D936" s="3252"/>
      <c r="E936" s="3252"/>
      <c r="F936" s="3252"/>
      <c r="G936" s="3252"/>
      <c r="H936" s="3252"/>
      <c r="I936" s="3252"/>
      <c r="J936" s="3252"/>
      <c r="K936" s="3252"/>
      <c r="L936" s="3252"/>
      <c r="M936" s="3252"/>
      <c r="N936" s="3252"/>
      <c r="O936" s="3252"/>
      <c r="P936" s="334"/>
      <c r="Q936" s="1243"/>
      <c r="R936" s="1243"/>
      <c r="S936" s="1243"/>
      <c r="T936" s="1243"/>
      <c r="U936" s="1243"/>
      <c r="V936" s="1243"/>
      <c r="W936" s="334"/>
      <c r="X936" s="334"/>
      <c r="Y936" s="334"/>
      <c r="Z936" s="334"/>
    </row>
    <row r="937" spans="1:26" ht="49.9" customHeight="1">
      <c r="A937" s="104"/>
      <c r="B937" s="39"/>
      <c r="E937" s="105"/>
      <c r="F937" s="105"/>
      <c r="G937" s="105"/>
      <c r="H937" s="105"/>
      <c r="I937" s="105"/>
      <c r="J937" s="105"/>
      <c r="K937" s="105"/>
      <c r="L937" s="105"/>
      <c r="M937" s="105"/>
      <c r="N937" s="105"/>
      <c r="O937" s="105"/>
      <c r="P937" s="156"/>
      <c r="W937" s="156"/>
      <c r="X937" s="156"/>
      <c r="Y937" s="156"/>
      <c r="Z937" s="156"/>
    </row>
    <row r="938" spans="1:26" ht="20.25" customHeight="1">
      <c r="A938" s="50" t="s">
        <v>554</v>
      </c>
      <c r="B938" s="30"/>
      <c r="C938" s="30"/>
      <c r="D938" s="30"/>
      <c r="E938" s="30"/>
      <c r="F938" s="30"/>
      <c r="G938" s="30"/>
      <c r="H938" s="30"/>
      <c r="I938" s="30"/>
      <c r="J938" s="30"/>
      <c r="K938" s="30"/>
      <c r="L938" s="6"/>
      <c r="M938" s="6"/>
      <c r="N938" s="6"/>
      <c r="O938" s="6"/>
      <c r="P938" s="156"/>
      <c r="W938" s="156"/>
      <c r="X938" s="156"/>
      <c r="Y938" s="156"/>
      <c r="Z938" s="156"/>
    </row>
    <row r="939" spans="1:26" ht="20.100000000000001" customHeight="1">
      <c r="A939" s="2654"/>
      <c r="B939" s="2655"/>
      <c r="C939" s="2673" t="s">
        <v>561</v>
      </c>
      <c r="D939" s="2674"/>
      <c r="E939" s="2674"/>
      <c r="F939" s="2674"/>
      <c r="G939" s="2674"/>
      <c r="H939" s="2675"/>
      <c r="I939" s="2673" t="s">
        <v>560</v>
      </c>
      <c r="J939" s="2674"/>
      <c r="K939" s="2674"/>
      <c r="L939" s="2674"/>
      <c r="M939" s="2674"/>
      <c r="N939" s="2674"/>
      <c r="O939" s="2675"/>
      <c r="P939" s="156"/>
      <c r="W939" s="156"/>
      <c r="X939" s="156"/>
      <c r="Y939" s="156"/>
      <c r="Z939" s="156"/>
    </row>
    <row r="940" spans="1:26" ht="22.15" customHeight="1">
      <c r="A940" s="3253" t="s">
        <v>122</v>
      </c>
      <c r="B940" s="3254"/>
      <c r="C940" s="3255" t="str">
        <f ca="1">参照元個別!E42</f>
        <v/>
      </c>
      <c r="D940" s="3256"/>
      <c r="E940" s="3256"/>
      <c r="F940" s="3256"/>
      <c r="G940" s="3047" t="s">
        <v>1265</v>
      </c>
      <c r="H940" s="2959"/>
      <c r="I940" s="3260" t="str">
        <f>報7!I940</f>
        <v/>
      </c>
      <c r="J940" s="3261"/>
      <c r="K940" s="3261"/>
      <c r="L940" s="3261"/>
      <c r="M940" s="3047" t="s">
        <v>4308</v>
      </c>
      <c r="N940" s="3047"/>
      <c r="O940" s="3264" t="str">
        <f>報7!N940</f>
        <v/>
      </c>
      <c r="P940" s="165"/>
      <c r="Q940" s="1244"/>
      <c r="W940" s="156"/>
      <c r="X940" s="156"/>
      <c r="Y940" s="156"/>
      <c r="Z940" s="156"/>
    </row>
    <row r="941" spans="1:26" ht="22.15" customHeight="1">
      <c r="A941" s="3097">
        <f>IF(計1!$D$28="","",計1!$D$28-1)</f>
        <v>2023</v>
      </c>
      <c r="B941" s="2655"/>
      <c r="C941" s="3257"/>
      <c r="D941" s="3258"/>
      <c r="E941" s="3258"/>
      <c r="F941" s="3258"/>
      <c r="G941" s="3076"/>
      <c r="H941" s="3259"/>
      <c r="I941" s="3262"/>
      <c r="J941" s="3263"/>
      <c r="K941" s="3263"/>
      <c r="L941" s="3263"/>
      <c r="M941" s="3048"/>
      <c r="N941" s="3048"/>
      <c r="O941" s="3265"/>
      <c r="P941" s="165"/>
      <c r="Q941" s="1244"/>
      <c r="W941" s="156"/>
      <c r="X941" s="156"/>
      <c r="Y941" s="156"/>
      <c r="Z941" s="156"/>
    </row>
    <row r="942" spans="1:26" ht="22.15" customHeight="1">
      <c r="A942" s="2633" t="s">
        <v>558</v>
      </c>
      <c r="B942" s="3065"/>
      <c r="C942" s="3216"/>
      <c r="D942" s="3217"/>
      <c r="E942" s="3217"/>
      <c r="F942" s="3217"/>
      <c r="G942" s="3047" t="s">
        <v>414</v>
      </c>
      <c r="H942" s="2959"/>
      <c r="I942" s="3221"/>
      <c r="J942" s="3222"/>
      <c r="K942" s="3222"/>
      <c r="L942" s="3222"/>
      <c r="M942" s="3047" t="s">
        <v>415</v>
      </c>
      <c r="N942" s="3047"/>
      <c r="O942" s="3225" t="str">
        <f>IF(O940="","",O940)</f>
        <v/>
      </c>
      <c r="P942" s="3229"/>
      <c r="Q942" s="3229"/>
      <c r="W942" s="156"/>
      <c r="X942" s="156"/>
      <c r="Y942" s="156"/>
      <c r="Z942" s="156"/>
    </row>
    <row r="943" spans="1:26" ht="22.15" customHeight="1">
      <c r="A943" s="3080">
        <f>IF(計1!$D$28="","",計1!$G$28)</f>
        <v>2026</v>
      </c>
      <c r="B943" s="3059"/>
      <c r="C943" s="3218"/>
      <c r="D943" s="3219"/>
      <c r="E943" s="3219"/>
      <c r="F943" s="3219"/>
      <c r="G943" s="3048"/>
      <c r="H943" s="3220"/>
      <c r="I943" s="3223"/>
      <c r="J943" s="3224"/>
      <c r="K943" s="3224"/>
      <c r="L943" s="3224"/>
      <c r="M943" s="3048"/>
      <c r="N943" s="3048"/>
      <c r="O943" s="3226"/>
      <c r="P943" s="3230"/>
      <c r="Q943" s="3231"/>
      <c r="W943" s="156"/>
      <c r="X943" s="357"/>
      <c r="Y943" s="156"/>
      <c r="Z943" s="156"/>
    </row>
    <row r="944" spans="1:26" ht="24.95" customHeight="1">
      <c r="A944" s="145"/>
      <c r="B944" s="146" t="s">
        <v>577</v>
      </c>
      <c r="C944" s="147"/>
      <c r="D944" s="3232" t="str">
        <f ca="1">IF(OR(C940=0,C942=""),"",INT((C940-C942)/C940*10000)/100)</f>
        <v/>
      </c>
      <c r="E944" s="3232"/>
      <c r="F944" s="3232"/>
      <c r="G944" s="3233" t="s">
        <v>134</v>
      </c>
      <c r="H944" s="3234"/>
      <c r="I944" s="148"/>
      <c r="J944" s="3235" t="str">
        <f>IF(OR(I940=0,I942=""),"",INT((I940-I942)/I940*10000)/100)</f>
        <v/>
      </c>
      <c r="K944" s="3235"/>
      <c r="L944" s="3235"/>
      <c r="M944" s="3232" t="s">
        <v>501</v>
      </c>
      <c r="N944" s="3232"/>
      <c r="O944" s="3236"/>
      <c r="P944" s="335"/>
      <c r="Q944" s="1245"/>
      <c r="W944" s="359"/>
      <c r="X944" s="359"/>
      <c r="Y944" s="359"/>
      <c r="Z944" s="156"/>
    </row>
    <row r="945" spans="1:26" ht="27.75" customHeight="1">
      <c r="A945" s="2672" t="s">
        <v>559</v>
      </c>
      <c r="B945" s="2635"/>
      <c r="C945" s="3240"/>
      <c r="D945" s="3241"/>
      <c r="E945" s="3241"/>
      <c r="F945" s="3241"/>
      <c r="G945" s="3241"/>
      <c r="H945" s="3241"/>
      <c r="I945" s="3241"/>
      <c r="J945" s="3241"/>
      <c r="K945" s="3241"/>
      <c r="L945" s="3241"/>
      <c r="M945" s="3241"/>
      <c r="N945" s="3241"/>
      <c r="O945" s="3242"/>
      <c r="P945" s="335"/>
      <c r="Q945" s="1245"/>
      <c r="R945" s="1246"/>
      <c r="W945" s="359"/>
      <c r="X945" s="359" t="s">
        <v>586</v>
      </c>
      <c r="Y945" s="359"/>
      <c r="Z945" s="156"/>
    </row>
    <row r="946" spans="1:26" ht="35.1" customHeight="1">
      <c r="A946" s="3237"/>
      <c r="B946" s="2648"/>
      <c r="C946" s="3243"/>
      <c r="D946" s="2941"/>
      <c r="E946" s="2941"/>
      <c r="F946" s="2941"/>
      <c r="G946" s="2941"/>
      <c r="H946" s="2941"/>
      <c r="I946" s="2941"/>
      <c r="J946" s="2941"/>
      <c r="K946" s="2941"/>
      <c r="L946" s="2941"/>
      <c r="M946" s="2941"/>
      <c r="N946" s="2941"/>
      <c r="O946" s="2942"/>
      <c r="P946" s="358"/>
      <c r="Q946" s="1247"/>
      <c r="R946" s="1248">
        <v>0</v>
      </c>
      <c r="W946" s="359"/>
      <c r="X946" s="360" t="s">
        <v>587</v>
      </c>
      <c r="Y946" s="359"/>
      <c r="Z946" s="156"/>
    </row>
    <row r="947" spans="1:26" ht="93" customHeight="1">
      <c r="A947" s="3238"/>
      <c r="B947" s="3239"/>
      <c r="C947" s="3244"/>
      <c r="D947" s="2943"/>
      <c r="E947" s="2943"/>
      <c r="F947" s="2943"/>
      <c r="G947" s="2943"/>
      <c r="H947" s="2943"/>
      <c r="I947" s="2943"/>
      <c r="J947" s="2943"/>
      <c r="K947" s="2943"/>
      <c r="L947" s="2943"/>
      <c r="M947" s="2943"/>
      <c r="N947" s="2943"/>
      <c r="O947" s="2944"/>
      <c r="P947" s="336"/>
      <c r="Q947" s="1249"/>
      <c r="W947" s="156"/>
      <c r="X947" s="156"/>
      <c r="Y947" s="156"/>
      <c r="Z947" s="156"/>
    </row>
    <row r="948" spans="1:26" ht="18" customHeight="1">
      <c r="A948" s="2831" t="s">
        <v>583</v>
      </c>
      <c r="B948" s="2831"/>
      <c r="C948" s="2831"/>
      <c r="D948" s="2831"/>
      <c r="E948" s="2831"/>
      <c r="F948" s="2831"/>
      <c r="G948" s="2831"/>
      <c r="H948" s="2831"/>
      <c r="I948" s="2831"/>
      <c r="J948" s="2831"/>
      <c r="K948" s="2831"/>
      <c r="L948" s="2831"/>
      <c r="M948" s="2831"/>
      <c r="N948" s="2831"/>
      <c r="O948" s="2831"/>
      <c r="P948" s="3227"/>
      <c r="Q948" s="3227"/>
      <c r="W948" s="156"/>
      <c r="X948" s="156"/>
      <c r="Y948" s="156"/>
      <c r="Z948" s="156"/>
    </row>
    <row r="949" spans="1:26" ht="9.75" customHeight="1">
      <c r="A949" s="89"/>
      <c r="B949" s="89"/>
      <c r="C949" s="106"/>
      <c r="D949" s="106"/>
      <c r="E949" s="106"/>
      <c r="F949" s="106"/>
      <c r="G949" s="106"/>
      <c r="H949" s="106"/>
      <c r="I949" s="106"/>
      <c r="J949" s="106"/>
      <c r="K949" s="106"/>
      <c r="L949" s="106"/>
      <c r="M949" s="106"/>
      <c r="N949" s="3228"/>
      <c r="O949" s="3228"/>
      <c r="P949" s="156"/>
      <c r="W949" s="156"/>
      <c r="X949" s="156"/>
      <c r="Y949" s="156"/>
      <c r="Z949" s="156"/>
    </row>
    <row r="950" spans="1:26">
      <c r="A950" s="156"/>
      <c r="B950" s="156"/>
      <c r="C950" s="156"/>
      <c r="D950" s="156"/>
      <c r="E950" s="156"/>
      <c r="F950" s="156"/>
      <c r="G950" s="156"/>
      <c r="H950" s="156"/>
      <c r="I950" s="156"/>
      <c r="J950" s="156"/>
      <c r="K950" s="156"/>
      <c r="L950" s="156"/>
      <c r="M950" s="156"/>
      <c r="N950" s="156"/>
      <c r="O950" s="156"/>
      <c r="P950" s="156"/>
      <c r="W950" s="156"/>
      <c r="X950" s="156"/>
      <c r="Y950" s="156"/>
      <c r="Z950" s="156"/>
    </row>
    <row r="951" spans="1:26">
      <c r="A951" s="1" t="s">
        <v>520</v>
      </c>
      <c r="B951" s="2"/>
      <c r="C951" s="2"/>
      <c r="D951" s="2"/>
      <c r="E951" s="2"/>
      <c r="F951" s="2"/>
      <c r="G951" s="2"/>
      <c r="H951" s="2"/>
      <c r="I951" s="2"/>
      <c r="J951" s="2"/>
      <c r="K951" s="2"/>
      <c r="L951" s="2"/>
      <c r="M951" s="2"/>
      <c r="N951" s="2"/>
      <c r="O951" s="2"/>
      <c r="P951" s="156" t="str">
        <f>"個別票"&amp;Q951</f>
        <v>個別票39</v>
      </c>
      <c r="Q951" s="1242">
        <f>Q926+1</f>
        <v>39</v>
      </c>
      <c r="W951" s="156"/>
      <c r="X951" s="156"/>
      <c r="Y951" s="156"/>
      <c r="Z951" s="156"/>
    </row>
    <row r="952" spans="1:26">
      <c r="A952" s="2" t="s">
        <v>557</v>
      </c>
      <c r="B952" s="4"/>
      <c r="C952" s="4"/>
      <c r="D952" s="4"/>
      <c r="E952" s="4"/>
      <c r="F952" s="4"/>
      <c r="G952" s="4"/>
      <c r="H952" s="4"/>
      <c r="I952" s="4"/>
      <c r="J952" s="4"/>
      <c r="K952" s="4"/>
      <c r="L952" s="4"/>
      <c r="M952" s="4"/>
      <c r="N952" s="2"/>
      <c r="O952" s="2"/>
      <c r="P952" s="156"/>
      <c r="W952" s="156"/>
      <c r="X952" s="156"/>
      <c r="Y952" s="156"/>
      <c r="Z952" s="156"/>
    </row>
    <row r="953" spans="1:26" ht="17.25">
      <c r="A953" s="2612" t="s">
        <v>556</v>
      </c>
      <c r="B953" s="2612"/>
      <c r="C953" s="2612"/>
      <c r="D953" s="2612"/>
      <c r="E953" s="2612"/>
      <c r="F953" s="2612"/>
      <c r="G953" s="2612"/>
      <c r="H953" s="2612"/>
      <c r="I953" s="2612"/>
      <c r="J953" s="2612"/>
      <c r="K953" s="2612"/>
      <c r="L953" s="2612"/>
      <c r="M953" s="2612"/>
      <c r="N953" s="2612"/>
      <c r="O953" s="2612"/>
      <c r="P953" s="156"/>
      <c r="W953" s="156"/>
      <c r="X953" s="156"/>
      <c r="Y953" s="156"/>
      <c r="Z953" s="156"/>
    </row>
    <row r="954" spans="1:26" ht="17.25">
      <c r="A954" s="38"/>
      <c r="B954" s="38"/>
      <c r="C954" s="38"/>
      <c r="D954" s="38"/>
      <c r="E954" s="38"/>
      <c r="F954" s="38"/>
      <c r="G954" s="38"/>
      <c r="H954" s="38"/>
      <c r="I954" s="38"/>
      <c r="J954" s="38"/>
      <c r="K954" s="38"/>
      <c r="L954" s="38"/>
      <c r="M954" s="38"/>
      <c r="N954" s="38"/>
      <c r="O954" s="38"/>
      <c r="P954" s="156"/>
      <c r="W954" s="156"/>
      <c r="X954" s="156"/>
      <c r="Y954" s="156"/>
      <c r="Z954" s="156"/>
    </row>
    <row r="955" spans="1:26" ht="18" customHeight="1">
      <c r="A955" s="48" t="s">
        <v>151</v>
      </c>
      <c r="B955" s="4"/>
      <c r="C955" s="4"/>
      <c r="D955" s="4"/>
      <c r="E955" s="4"/>
      <c r="F955" s="4"/>
      <c r="G955" s="4"/>
      <c r="H955" s="4"/>
      <c r="I955" s="4"/>
      <c r="J955" s="4"/>
      <c r="K955" s="4"/>
      <c r="L955" s="4"/>
      <c r="M955" s="4"/>
      <c r="N955" s="2"/>
      <c r="O955" s="2"/>
      <c r="P955" s="156"/>
      <c r="W955" s="156"/>
      <c r="X955" s="156"/>
      <c r="Y955" s="156"/>
      <c r="Z955" s="156"/>
    </row>
    <row r="956" spans="1:26" ht="39.950000000000003" customHeight="1">
      <c r="A956" s="2984" t="s">
        <v>152</v>
      </c>
      <c r="B956" s="2985"/>
      <c r="C956" s="2986"/>
      <c r="D956" s="2987" t="str">
        <f>報7!D956</f>
        <v>事業所名を入力39</v>
      </c>
      <c r="E956" s="2988"/>
      <c r="F956" s="2988"/>
      <c r="G956" s="2988"/>
      <c r="H956" s="2988"/>
      <c r="I956" s="2988"/>
      <c r="J956" s="2988"/>
      <c r="K956" s="2988"/>
      <c r="L956" s="2988"/>
      <c r="M956" s="2988"/>
      <c r="N956" s="2988"/>
      <c r="O956" s="2989"/>
      <c r="P956" s="156"/>
      <c r="W956" s="156"/>
      <c r="X956" s="156"/>
      <c r="Y956" s="156"/>
      <c r="Z956" s="156"/>
    </row>
    <row r="957" spans="1:26" ht="39.950000000000003" customHeight="1">
      <c r="A957" s="2570" t="s">
        <v>153</v>
      </c>
      <c r="B957" s="2571"/>
      <c r="C957" s="2990"/>
      <c r="D957" s="2573">
        <f>報7!D957</f>
        <v>0</v>
      </c>
      <c r="E957" s="2574"/>
      <c r="F957" s="2574"/>
      <c r="G957" s="2574"/>
      <c r="H957" s="2574"/>
      <c r="I957" s="2574"/>
      <c r="J957" s="2574"/>
      <c r="K957" s="2574"/>
      <c r="L957" s="2574"/>
      <c r="M957" s="2574"/>
      <c r="N957" s="2574"/>
      <c r="O957" s="2575"/>
      <c r="P957" s="156"/>
      <c r="W957" s="156"/>
      <c r="X957" s="156"/>
      <c r="Y957" s="156"/>
      <c r="Z957" s="156"/>
    </row>
    <row r="958" spans="1:26" ht="39.950000000000003" customHeight="1">
      <c r="A958" s="2536" t="s">
        <v>154</v>
      </c>
      <c r="B958" s="2978"/>
      <c r="C958" s="3245">
        <f>報7!C958</f>
        <v>0</v>
      </c>
      <c r="D958" s="3246"/>
      <c r="E958" s="101" t="s">
        <v>180</v>
      </c>
      <c r="F958" s="2974" t="s">
        <v>404</v>
      </c>
      <c r="G958" s="2975"/>
      <c r="H958" s="2981" t="str">
        <f ca="1">報7!H958</f>
        <v/>
      </c>
      <c r="I958" s="2982"/>
      <c r="J958" s="58" t="s">
        <v>176</v>
      </c>
      <c r="K958" s="2974" t="s">
        <v>405</v>
      </c>
      <c r="L958" s="2975"/>
      <c r="M958" s="3247">
        <f>報7!M958</f>
        <v>0</v>
      </c>
      <c r="N958" s="3248"/>
      <c r="O958" s="3249"/>
      <c r="P958" s="156" t="str">
        <f>IFERROR(VLOOKUP(M958,$U$6:$V$22,2,0),"")</f>
        <v/>
      </c>
      <c r="W958" s="156"/>
      <c r="X958" s="156"/>
      <c r="Y958" s="156"/>
      <c r="Z958" s="156"/>
    </row>
    <row r="959" spans="1:26" ht="39.950000000000003" customHeight="1">
      <c r="A959" s="2974" t="s">
        <v>406</v>
      </c>
      <c r="B959" s="2975"/>
      <c r="C959" s="3250">
        <f>報7!C959</f>
        <v>0</v>
      </c>
      <c r="D959" s="2507"/>
      <c r="E959" s="2508"/>
      <c r="F959" s="2974" t="s">
        <v>158</v>
      </c>
      <c r="G959" s="2975"/>
      <c r="H959" s="3250">
        <f>報7!H959</f>
        <v>0</v>
      </c>
      <c r="I959" s="2507"/>
      <c r="J959" s="2508"/>
      <c r="K959" s="2580"/>
      <c r="L959" s="2977"/>
      <c r="M959" s="2977"/>
      <c r="N959" s="2977"/>
      <c r="O959" s="2977"/>
      <c r="P959" s="156"/>
      <c r="W959" s="156"/>
      <c r="X959" s="156"/>
      <c r="Y959" s="156"/>
      <c r="Z959" s="156"/>
    </row>
    <row r="960" spans="1:26" ht="49.9" customHeight="1">
      <c r="A960" s="39"/>
      <c r="B960" s="39"/>
      <c r="C960" s="40"/>
      <c r="D960" s="41"/>
      <c r="E960" s="40"/>
      <c r="F960" s="42"/>
      <c r="P960" s="156"/>
      <c r="W960" s="156"/>
      <c r="X960" s="156"/>
      <c r="Y960" s="156"/>
      <c r="Z960" s="156"/>
    </row>
    <row r="961" spans="1:26" s="103" customFormat="1" ht="19.5" customHeight="1">
      <c r="A961" s="3251" t="s">
        <v>555</v>
      </c>
      <c r="B961" s="3252"/>
      <c r="C961" s="3252"/>
      <c r="D961" s="3252"/>
      <c r="E961" s="3252"/>
      <c r="F961" s="3252"/>
      <c r="G961" s="3252"/>
      <c r="H961" s="3252"/>
      <c r="I961" s="3252"/>
      <c r="J961" s="3252"/>
      <c r="K961" s="3252"/>
      <c r="L961" s="3252"/>
      <c r="M961" s="3252"/>
      <c r="N961" s="3252"/>
      <c r="O961" s="3252"/>
      <c r="P961" s="334"/>
      <c r="Q961" s="1243"/>
      <c r="R961" s="1243"/>
      <c r="S961" s="1243"/>
      <c r="T961" s="1243"/>
      <c r="U961" s="1243"/>
      <c r="V961" s="1243"/>
      <c r="W961" s="334"/>
      <c r="X961" s="334"/>
      <c r="Y961" s="334"/>
      <c r="Z961" s="334"/>
    </row>
    <row r="962" spans="1:26" ht="49.9" customHeight="1">
      <c r="A962" s="104"/>
      <c r="B962" s="39"/>
      <c r="E962" s="105"/>
      <c r="F962" s="105"/>
      <c r="G962" s="105"/>
      <c r="H962" s="105"/>
      <c r="I962" s="105"/>
      <c r="J962" s="105"/>
      <c r="K962" s="105"/>
      <c r="L962" s="105"/>
      <c r="M962" s="105"/>
      <c r="N962" s="105"/>
      <c r="O962" s="105"/>
      <c r="P962" s="156"/>
      <c r="W962" s="156"/>
      <c r="X962" s="156"/>
      <c r="Y962" s="156"/>
      <c r="Z962" s="156"/>
    </row>
    <row r="963" spans="1:26" ht="20.25" customHeight="1">
      <c r="A963" s="50" t="s">
        <v>554</v>
      </c>
      <c r="B963" s="30"/>
      <c r="C963" s="30"/>
      <c r="D963" s="30"/>
      <c r="E963" s="30"/>
      <c r="F963" s="30"/>
      <c r="G963" s="30"/>
      <c r="H963" s="30"/>
      <c r="I963" s="30"/>
      <c r="J963" s="30"/>
      <c r="K963" s="30"/>
      <c r="L963" s="6"/>
      <c r="M963" s="6"/>
      <c r="N963" s="6"/>
      <c r="O963" s="6"/>
      <c r="P963" s="156"/>
      <c r="W963" s="156"/>
      <c r="X963" s="156"/>
      <c r="Y963" s="156"/>
      <c r="Z963" s="156"/>
    </row>
    <row r="964" spans="1:26" ht="20.100000000000001" customHeight="1">
      <c r="A964" s="2654"/>
      <c r="B964" s="2655"/>
      <c r="C964" s="2673" t="s">
        <v>561</v>
      </c>
      <c r="D964" s="2674"/>
      <c r="E964" s="2674"/>
      <c r="F964" s="2674"/>
      <c r="G964" s="2674"/>
      <c r="H964" s="2675"/>
      <c r="I964" s="2673" t="s">
        <v>560</v>
      </c>
      <c r="J964" s="2674"/>
      <c r="K964" s="2674"/>
      <c r="L964" s="2674"/>
      <c r="M964" s="2674"/>
      <c r="N964" s="2674"/>
      <c r="O964" s="2675"/>
      <c r="P964" s="156"/>
      <c r="W964" s="156"/>
      <c r="X964" s="156"/>
      <c r="Y964" s="156"/>
      <c r="Z964" s="156"/>
    </row>
    <row r="965" spans="1:26" ht="22.15" customHeight="1">
      <c r="A965" s="3253" t="s">
        <v>122</v>
      </c>
      <c r="B965" s="3254"/>
      <c r="C965" s="3255" t="str">
        <f ca="1">参照元個別!E43</f>
        <v/>
      </c>
      <c r="D965" s="3256"/>
      <c r="E965" s="3256"/>
      <c r="F965" s="3256"/>
      <c r="G965" s="3047" t="s">
        <v>1265</v>
      </c>
      <c r="H965" s="2959"/>
      <c r="I965" s="3260" t="str">
        <f>報7!I965</f>
        <v/>
      </c>
      <c r="J965" s="3261"/>
      <c r="K965" s="3261"/>
      <c r="L965" s="3261"/>
      <c r="M965" s="3047" t="s">
        <v>4308</v>
      </c>
      <c r="N965" s="3047"/>
      <c r="O965" s="3264" t="str">
        <f>報7!N965</f>
        <v/>
      </c>
      <c r="P965" s="165"/>
      <c r="Q965" s="1244"/>
      <c r="W965" s="156"/>
      <c r="X965" s="156"/>
      <c r="Y965" s="156"/>
      <c r="Z965" s="156"/>
    </row>
    <row r="966" spans="1:26" ht="22.15" customHeight="1">
      <c r="A966" s="3097">
        <f>IF(計1!$D$28="","",計1!$D$28-1)</f>
        <v>2023</v>
      </c>
      <c r="B966" s="2655"/>
      <c r="C966" s="3257"/>
      <c r="D966" s="3258"/>
      <c r="E966" s="3258"/>
      <c r="F966" s="3258"/>
      <c r="G966" s="3076"/>
      <c r="H966" s="3259"/>
      <c r="I966" s="3262"/>
      <c r="J966" s="3263"/>
      <c r="K966" s="3263"/>
      <c r="L966" s="3263"/>
      <c r="M966" s="3048"/>
      <c r="N966" s="3048"/>
      <c r="O966" s="3265"/>
      <c r="P966" s="165"/>
      <c r="Q966" s="1244"/>
      <c r="W966" s="156"/>
      <c r="X966" s="156"/>
      <c r="Y966" s="156"/>
      <c r="Z966" s="156"/>
    </row>
    <row r="967" spans="1:26" ht="22.15" customHeight="1">
      <c r="A967" s="2633" t="s">
        <v>558</v>
      </c>
      <c r="B967" s="3065"/>
      <c r="C967" s="3216"/>
      <c r="D967" s="3217"/>
      <c r="E967" s="3217"/>
      <c r="F967" s="3217"/>
      <c r="G967" s="3047" t="s">
        <v>414</v>
      </c>
      <c r="H967" s="2959"/>
      <c r="I967" s="3221"/>
      <c r="J967" s="3222"/>
      <c r="K967" s="3222"/>
      <c r="L967" s="3222"/>
      <c r="M967" s="3047" t="s">
        <v>415</v>
      </c>
      <c r="N967" s="3047"/>
      <c r="O967" s="3225" t="str">
        <f>IF(O965="","",O965)</f>
        <v/>
      </c>
      <c r="P967" s="3229"/>
      <c r="Q967" s="3229"/>
      <c r="W967" s="156"/>
      <c r="X967" s="156"/>
      <c r="Y967" s="156"/>
      <c r="Z967" s="156"/>
    </row>
    <row r="968" spans="1:26" ht="22.15" customHeight="1">
      <c r="A968" s="3080">
        <f>IF(計1!$D$28="","",計1!$G$28)</f>
        <v>2026</v>
      </c>
      <c r="B968" s="3059"/>
      <c r="C968" s="3218"/>
      <c r="D968" s="3219"/>
      <c r="E968" s="3219"/>
      <c r="F968" s="3219"/>
      <c r="G968" s="3048"/>
      <c r="H968" s="3220"/>
      <c r="I968" s="3223"/>
      <c r="J968" s="3224"/>
      <c r="K968" s="3224"/>
      <c r="L968" s="3224"/>
      <c r="M968" s="3048"/>
      <c r="N968" s="3048"/>
      <c r="O968" s="3226"/>
      <c r="P968" s="3230"/>
      <c r="Q968" s="3231"/>
      <c r="W968" s="156"/>
      <c r="X968" s="357"/>
      <c r="Y968" s="156"/>
      <c r="Z968" s="156"/>
    </row>
    <row r="969" spans="1:26" ht="24.95" customHeight="1">
      <c r="A969" s="145"/>
      <c r="B969" s="146" t="s">
        <v>577</v>
      </c>
      <c r="C969" s="147"/>
      <c r="D969" s="3232" t="str">
        <f ca="1">IF(OR(C965=0,C967=""),"",INT((C965-C967)/C965*10000)/100)</f>
        <v/>
      </c>
      <c r="E969" s="3232"/>
      <c r="F969" s="3232"/>
      <c r="G969" s="3233" t="s">
        <v>134</v>
      </c>
      <c r="H969" s="3234"/>
      <c r="I969" s="148"/>
      <c r="J969" s="3235" t="str">
        <f>IF(OR(I965=0,I967=""),"",INT((I965-I967)/I965*10000)/100)</f>
        <v/>
      </c>
      <c r="K969" s="3235"/>
      <c r="L969" s="3235"/>
      <c r="M969" s="3232" t="s">
        <v>501</v>
      </c>
      <c r="N969" s="3232"/>
      <c r="O969" s="3236"/>
      <c r="P969" s="335"/>
      <c r="Q969" s="1245"/>
      <c r="W969" s="359"/>
      <c r="X969" s="359"/>
      <c r="Y969" s="359"/>
      <c r="Z969" s="156"/>
    </row>
    <row r="970" spans="1:26" ht="27.75" customHeight="1">
      <c r="A970" s="2672" t="s">
        <v>559</v>
      </c>
      <c r="B970" s="2635"/>
      <c r="C970" s="3240"/>
      <c r="D970" s="3241"/>
      <c r="E970" s="3241"/>
      <c r="F970" s="3241"/>
      <c r="G970" s="3241"/>
      <c r="H970" s="3241"/>
      <c r="I970" s="3241"/>
      <c r="J970" s="3241"/>
      <c r="K970" s="3241"/>
      <c r="L970" s="3241"/>
      <c r="M970" s="3241"/>
      <c r="N970" s="3241"/>
      <c r="O970" s="3242"/>
      <c r="P970" s="335"/>
      <c r="Q970" s="1245"/>
      <c r="R970" s="1246"/>
      <c r="W970" s="359"/>
      <c r="X970" s="359" t="s">
        <v>586</v>
      </c>
      <c r="Y970" s="359"/>
      <c r="Z970" s="156"/>
    </row>
    <row r="971" spans="1:26" ht="35.1" customHeight="1">
      <c r="A971" s="3237"/>
      <c r="B971" s="2648"/>
      <c r="C971" s="3243"/>
      <c r="D971" s="2941"/>
      <c r="E971" s="2941"/>
      <c r="F971" s="2941"/>
      <c r="G971" s="2941"/>
      <c r="H971" s="2941"/>
      <c r="I971" s="2941"/>
      <c r="J971" s="2941"/>
      <c r="K971" s="2941"/>
      <c r="L971" s="2941"/>
      <c r="M971" s="2941"/>
      <c r="N971" s="2941"/>
      <c r="O971" s="2942"/>
      <c r="P971" s="358"/>
      <c r="Q971" s="1247"/>
      <c r="R971" s="1248">
        <v>0</v>
      </c>
      <c r="W971" s="359"/>
      <c r="X971" s="360" t="s">
        <v>587</v>
      </c>
      <c r="Y971" s="359"/>
      <c r="Z971" s="156"/>
    </row>
    <row r="972" spans="1:26" ht="93" customHeight="1">
      <c r="A972" s="3238"/>
      <c r="B972" s="3239"/>
      <c r="C972" s="3244"/>
      <c r="D972" s="2943"/>
      <c r="E972" s="2943"/>
      <c r="F972" s="2943"/>
      <c r="G972" s="2943"/>
      <c r="H972" s="2943"/>
      <c r="I972" s="2943"/>
      <c r="J972" s="2943"/>
      <c r="K972" s="2943"/>
      <c r="L972" s="2943"/>
      <c r="M972" s="2943"/>
      <c r="N972" s="2943"/>
      <c r="O972" s="2944"/>
      <c r="P972" s="336"/>
      <c r="Q972" s="1249"/>
      <c r="W972" s="156"/>
      <c r="X972" s="156"/>
      <c r="Y972" s="156"/>
      <c r="Z972" s="156"/>
    </row>
    <row r="973" spans="1:26" ht="18" customHeight="1">
      <c r="A973" s="2831" t="s">
        <v>583</v>
      </c>
      <c r="B973" s="2831"/>
      <c r="C973" s="2831"/>
      <c r="D973" s="2831"/>
      <c r="E973" s="2831"/>
      <c r="F973" s="2831"/>
      <c r="G973" s="2831"/>
      <c r="H973" s="2831"/>
      <c r="I973" s="2831"/>
      <c r="J973" s="2831"/>
      <c r="K973" s="2831"/>
      <c r="L973" s="2831"/>
      <c r="M973" s="2831"/>
      <c r="N973" s="2831"/>
      <c r="O973" s="2831"/>
      <c r="P973" s="3227"/>
      <c r="Q973" s="3227"/>
      <c r="W973" s="156"/>
      <c r="X973" s="156"/>
      <c r="Y973" s="156"/>
      <c r="Z973" s="156"/>
    </row>
    <row r="974" spans="1:26" ht="9.75" customHeight="1">
      <c r="A974" s="89"/>
      <c r="B974" s="89"/>
      <c r="C974" s="106"/>
      <c r="D974" s="106"/>
      <c r="E974" s="106"/>
      <c r="F974" s="106"/>
      <c r="G974" s="106"/>
      <c r="H974" s="106"/>
      <c r="I974" s="106"/>
      <c r="J974" s="106"/>
      <c r="K974" s="106"/>
      <c r="L974" s="106"/>
      <c r="M974" s="106"/>
      <c r="N974" s="3228"/>
      <c r="O974" s="3228"/>
      <c r="P974" s="156"/>
      <c r="W974" s="156"/>
      <c r="X974" s="156"/>
      <c r="Y974" s="156"/>
      <c r="Z974" s="156"/>
    </row>
    <row r="975" spans="1:26">
      <c r="A975" s="156"/>
      <c r="B975" s="156"/>
      <c r="C975" s="156"/>
      <c r="D975" s="156"/>
      <c r="E975" s="156"/>
      <c r="F975" s="156"/>
      <c r="G975" s="156"/>
      <c r="H975" s="156"/>
      <c r="I975" s="156"/>
      <c r="J975" s="156"/>
      <c r="K975" s="156"/>
      <c r="L975" s="156"/>
      <c r="M975" s="156"/>
      <c r="N975" s="156"/>
      <c r="O975" s="156"/>
      <c r="P975" s="156"/>
      <c r="W975" s="156"/>
      <c r="X975" s="156"/>
      <c r="Y975" s="156"/>
      <c r="Z975" s="156"/>
    </row>
    <row r="976" spans="1:26">
      <c r="A976" s="1" t="s">
        <v>520</v>
      </c>
      <c r="B976" s="2"/>
      <c r="C976" s="2"/>
      <c r="D976" s="2"/>
      <c r="E976" s="2"/>
      <c r="F976" s="2"/>
      <c r="G976" s="2"/>
      <c r="H976" s="2"/>
      <c r="I976" s="2"/>
      <c r="J976" s="2"/>
      <c r="K976" s="2"/>
      <c r="L976" s="2"/>
      <c r="M976" s="2"/>
      <c r="N976" s="2"/>
      <c r="O976" s="2"/>
      <c r="P976" s="156" t="str">
        <f>"個別票"&amp;Q976</f>
        <v>個別票40</v>
      </c>
      <c r="Q976" s="1242">
        <f>Q951+1</f>
        <v>40</v>
      </c>
      <c r="W976" s="156"/>
      <c r="X976" s="156"/>
      <c r="Y976" s="156"/>
      <c r="Z976" s="156"/>
    </row>
    <row r="977" spans="1:26">
      <c r="A977" s="2" t="s">
        <v>557</v>
      </c>
      <c r="B977" s="4"/>
      <c r="C977" s="4"/>
      <c r="D977" s="4"/>
      <c r="E977" s="4"/>
      <c r="F977" s="4"/>
      <c r="G977" s="4"/>
      <c r="H977" s="4"/>
      <c r="I977" s="4"/>
      <c r="J977" s="4"/>
      <c r="K977" s="4"/>
      <c r="L977" s="4"/>
      <c r="M977" s="4"/>
      <c r="N977" s="2"/>
      <c r="O977" s="2"/>
      <c r="P977" s="156"/>
      <c r="W977" s="156"/>
      <c r="X977" s="156"/>
      <c r="Y977" s="156"/>
      <c r="Z977" s="156"/>
    </row>
    <row r="978" spans="1:26" ht="17.25">
      <c r="A978" s="2612" t="s">
        <v>556</v>
      </c>
      <c r="B978" s="2612"/>
      <c r="C978" s="2612"/>
      <c r="D978" s="2612"/>
      <c r="E978" s="2612"/>
      <c r="F978" s="2612"/>
      <c r="G978" s="2612"/>
      <c r="H978" s="2612"/>
      <c r="I978" s="2612"/>
      <c r="J978" s="2612"/>
      <c r="K978" s="2612"/>
      <c r="L978" s="2612"/>
      <c r="M978" s="2612"/>
      <c r="N978" s="2612"/>
      <c r="O978" s="2612"/>
      <c r="P978" s="156"/>
      <c r="W978" s="156"/>
      <c r="X978" s="156"/>
      <c r="Y978" s="156"/>
      <c r="Z978" s="156"/>
    </row>
    <row r="979" spans="1:26" ht="17.25">
      <c r="A979" s="38"/>
      <c r="B979" s="38"/>
      <c r="C979" s="38"/>
      <c r="D979" s="38"/>
      <c r="E979" s="38"/>
      <c r="F979" s="38"/>
      <c r="G979" s="38"/>
      <c r="H979" s="38"/>
      <c r="I979" s="38"/>
      <c r="J979" s="38"/>
      <c r="K979" s="38"/>
      <c r="L979" s="38"/>
      <c r="M979" s="38"/>
      <c r="N979" s="38"/>
      <c r="O979" s="38"/>
      <c r="P979" s="156"/>
      <c r="W979" s="156"/>
      <c r="X979" s="156"/>
      <c r="Y979" s="156"/>
      <c r="Z979" s="156"/>
    </row>
    <row r="980" spans="1:26" ht="18" customHeight="1">
      <c r="A980" s="48" t="s">
        <v>151</v>
      </c>
      <c r="B980" s="4"/>
      <c r="C980" s="4"/>
      <c r="D980" s="4"/>
      <c r="E980" s="4"/>
      <c r="F980" s="4"/>
      <c r="G980" s="4"/>
      <c r="H980" s="4"/>
      <c r="I980" s="4"/>
      <c r="J980" s="4"/>
      <c r="K980" s="4"/>
      <c r="L980" s="4"/>
      <c r="M980" s="4"/>
      <c r="N980" s="2"/>
      <c r="O980" s="2"/>
      <c r="P980" s="156"/>
      <c r="W980" s="156"/>
      <c r="X980" s="156"/>
      <c r="Y980" s="156"/>
      <c r="Z980" s="156"/>
    </row>
    <row r="981" spans="1:26" ht="39.950000000000003" customHeight="1">
      <c r="A981" s="2984" t="s">
        <v>152</v>
      </c>
      <c r="B981" s="2985"/>
      <c r="C981" s="2986"/>
      <c r="D981" s="2987" t="str">
        <f>報7!D981</f>
        <v>事業所名を入力40</v>
      </c>
      <c r="E981" s="2988"/>
      <c r="F981" s="2988"/>
      <c r="G981" s="2988"/>
      <c r="H981" s="2988"/>
      <c r="I981" s="2988"/>
      <c r="J981" s="2988"/>
      <c r="K981" s="2988"/>
      <c r="L981" s="2988"/>
      <c r="M981" s="2988"/>
      <c r="N981" s="2988"/>
      <c r="O981" s="2989"/>
      <c r="P981" s="156"/>
      <c r="W981" s="156"/>
      <c r="X981" s="156"/>
      <c r="Y981" s="156"/>
      <c r="Z981" s="156"/>
    </row>
    <row r="982" spans="1:26" ht="39.950000000000003" customHeight="1">
      <c r="A982" s="2570" t="s">
        <v>153</v>
      </c>
      <c r="B982" s="2571"/>
      <c r="C982" s="2990"/>
      <c r="D982" s="2573" t="str">
        <f>報7!D982&amp;""</f>
        <v/>
      </c>
      <c r="E982" s="2574"/>
      <c r="F982" s="2574"/>
      <c r="G982" s="2574"/>
      <c r="H982" s="2574"/>
      <c r="I982" s="2574"/>
      <c r="J982" s="2574"/>
      <c r="K982" s="2574"/>
      <c r="L982" s="2574"/>
      <c r="M982" s="2574"/>
      <c r="N982" s="2574"/>
      <c r="O982" s="2575"/>
      <c r="P982" s="156"/>
      <c r="W982" s="156"/>
      <c r="X982" s="156"/>
      <c r="Y982" s="156"/>
      <c r="Z982" s="156"/>
    </row>
    <row r="983" spans="1:26" ht="39.950000000000003" customHeight="1">
      <c r="A983" s="2536" t="s">
        <v>154</v>
      </c>
      <c r="B983" s="2978"/>
      <c r="C983" s="3245">
        <f>報7!C983</f>
        <v>0</v>
      </c>
      <c r="D983" s="3246"/>
      <c r="E983" s="101" t="s">
        <v>180</v>
      </c>
      <c r="F983" s="2974" t="s">
        <v>404</v>
      </c>
      <c r="G983" s="2975"/>
      <c r="H983" s="2981" t="str">
        <f ca="1">報7!H983</f>
        <v/>
      </c>
      <c r="I983" s="2982"/>
      <c r="J983" s="58" t="s">
        <v>176</v>
      </c>
      <c r="K983" s="2974" t="s">
        <v>405</v>
      </c>
      <c r="L983" s="2975"/>
      <c r="M983" s="3247">
        <f>報7!M983</f>
        <v>0</v>
      </c>
      <c r="N983" s="3248"/>
      <c r="O983" s="3249"/>
      <c r="P983" s="156" t="str">
        <f>IFERROR(VLOOKUP(M983,$U$6:$V$22,2,0),"")</f>
        <v/>
      </c>
      <c r="W983" s="156"/>
      <c r="X983" s="156"/>
      <c r="Y983" s="156"/>
      <c r="Z983" s="156"/>
    </row>
    <row r="984" spans="1:26" ht="39.950000000000003" customHeight="1">
      <c r="A984" s="2974" t="s">
        <v>406</v>
      </c>
      <c r="B984" s="2975"/>
      <c r="C984" s="3250">
        <f>報7!C984</f>
        <v>0</v>
      </c>
      <c r="D984" s="2507"/>
      <c r="E984" s="2508"/>
      <c r="F984" s="2974" t="s">
        <v>158</v>
      </c>
      <c r="G984" s="2975"/>
      <c r="H984" s="3250">
        <f>報7!H984</f>
        <v>0</v>
      </c>
      <c r="I984" s="2507"/>
      <c r="J984" s="2508"/>
      <c r="K984" s="2580"/>
      <c r="L984" s="2977"/>
      <c r="M984" s="2977"/>
      <c r="N984" s="2977"/>
      <c r="O984" s="2977"/>
      <c r="P984" s="156"/>
      <c r="W984" s="156"/>
      <c r="X984" s="156"/>
      <c r="Y984" s="156"/>
      <c r="Z984" s="156"/>
    </row>
    <row r="985" spans="1:26" ht="49.9" customHeight="1">
      <c r="A985" s="39"/>
      <c r="B985" s="39"/>
      <c r="C985" s="40"/>
      <c r="D985" s="41"/>
      <c r="E985" s="40"/>
      <c r="F985" s="42"/>
      <c r="P985" s="156"/>
      <c r="W985" s="156"/>
      <c r="X985" s="156"/>
      <c r="Y985" s="156"/>
      <c r="Z985" s="156"/>
    </row>
    <row r="986" spans="1:26" s="103" customFormat="1" ht="19.5" customHeight="1">
      <c r="A986" s="3251" t="s">
        <v>555</v>
      </c>
      <c r="B986" s="3252"/>
      <c r="C986" s="3252"/>
      <c r="D986" s="3252"/>
      <c r="E986" s="3252"/>
      <c r="F986" s="3252"/>
      <c r="G986" s="3252"/>
      <c r="H986" s="3252"/>
      <c r="I986" s="3252"/>
      <c r="J986" s="3252"/>
      <c r="K986" s="3252"/>
      <c r="L986" s="3252"/>
      <c r="M986" s="3252"/>
      <c r="N986" s="3252"/>
      <c r="O986" s="3252"/>
      <c r="P986" s="334"/>
      <c r="Q986" s="1243"/>
      <c r="R986" s="1243"/>
      <c r="S986" s="1243"/>
      <c r="T986" s="1243"/>
      <c r="U986" s="1243"/>
      <c r="V986" s="1243"/>
      <c r="W986" s="334"/>
      <c r="X986" s="334"/>
      <c r="Y986" s="334"/>
      <c r="Z986" s="334"/>
    </row>
    <row r="987" spans="1:26" ht="49.9" customHeight="1">
      <c r="A987" s="104"/>
      <c r="B987" s="39"/>
      <c r="E987" s="105"/>
      <c r="F987" s="105"/>
      <c r="G987" s="105"/>
      <c r="H987" s="105"/>
      <c r="I987" s="105"/>
      <c r="J987" s="105"/>
      <c r="K987" s="105"/>
      <c r="L987" s="105"/>
      <c r="M987" s="105"/>
      <c r="N987" s="105"/>
      <c r="O987" s="105"/>
      <c r="P987" s="156"/>
      <c r="W987" s="156"/>
      <c r="X987" s="156"/>
      <c r="Y987" s="156"/>
      <c r="Z987" s="156"/>
    </row>
    <row r="988" spans="1:26" ht="20.25" customHeight="1">
      <c r="A988" s="50" t="s">
        <v>554</v>
      </c>
      <c r="B988" s="30"/>
      <c r="C988" s="30"/>
      <c r="D988" s="30"/>
      <c r="E988" s="30"/>
      <c r="F988" s="30"/>
      <c r="G988" s="30"/>
      <c r="H988" s="30"/>
      <c r="I988" s="30"/>
      <c r="J988" s="30"/>
      <c r="K988" s="30"/>
      <c r="L988" s="6"/>
      <c r="M988" s="6"/>
      <c r="N988" s="6"/>
      <c r="O988" s="6"/>
      <c r="P988" s="156"/>
      <c r="W988" s="156"/>
      <c r="X988" s="156"/>
      <c r="Y988" s="156"/>
      <c r="Z988" s="156"/>
    </row>
    <row r="989" spans="1:26" ht="20.100000000000001" customHeight="1">
      <c r="A989" s="2654"/>
      <c r="B989" s="2655"/>
      <c r="C989" s="2673" t="s">
        <v>561</v>
      </c>
      <c r="D989" s="2674"/>
      <c r="E989" s="2674"/>
      <c r="F989" s="2674"/>
      <c r="G989" s="2674"/>
      <c r="H989" s="2675"/>
      <c r="I989" s="2673" t="s">
        <v>560</v>
      </c>
      <c r="J989" s="2674"/>
      <c r="K989" s="2674"/>
      <c r="L989" s="2674"/>
      <c r="M989" s="2674"/>
      <c r="N989" s="2674"/>
      <c r="O989" s="2675"/>
      <c r="P989" s="156"/>
      <c r="W989" s="156"/>
      <c r="X989" s="156"/>
      <c r="Y989" s="156"/>
      <c r="Z989" s="156"/>
    </row>
    <row r="990" spans="1:26" ht="22.15" customHeight="1">
      <c r="A990" s="3253" t="s">
        <v>122</v>
      </c>
      <c r="B990" s="3254"/>
      <c r="C990" s="3255" t="str">
        <f ca="1">参照元個別!E44</f>
        <v/>
      </c>
      <c r="D990" s="3256"/>
      <c r="E990" s="3256"/>
      <c r="F990" s="3256"/>
      <c r="G990" s="3047" t="s">
        <v>1265</v>
      </c>
      <c r="H990" s="2959"/>
      <c r="I990" s="3260" t="str">
        <f>報7!I990</f>
        <v/>
      </c>
      <c r="J990" s="3261"/>
      <c r="K990" s="3261"/>
      <c r="L990" s="3261"/>
      <c r="M990" s="3047" t="s">
        <v>4308</v>
      </c>
      <c r="N990" s="3047"/>
      <c r="O990" s="3264" t="str">
        <f>報7!N990</f>
        <v/>
      </c>
      <c r="P990" s="165"/>
      <c r="Q990" s="1244"/>
      <c r="W990" s="156"/>
      <c r="X990" s="156"/>
      <c r="Y990" s="156"/>
      <c r="Z990" s="156"/>
    </row>
    <row r="991" spans="1:26" ht="22.15" customHeight="1">
      <c r="A991" s="3097">
        <f>IF(計1!$D$28="","",計1!$D$28-1)</f>
        <v>2023</v>
      </c>
      <c r="B991" s="2655"/>
      <c r="C991" s="3257"/>
      <c r="D991" s="3258"/>
      <c r="E991" s="3258"/>
      <c r="F991" s="3258"/>
      <c r="G991" s="3076"/>
      <c r="H991" s="3259"/>
      <c r="I991" s="3262"/>
      <c r="J991" s="3263"/>
      <c r="K991" s="3263"/>
      <c r="L991" s="3263"/>
      <c r="M991" s="3048"/>
      <c r="N991" s="3048"/>
      <c r="O991" s="3265"/>
      <c r="P991" s="165"/>
      <c r="Q991" s="1244"/>
      <c r="W991" s="156"/>
      <c r="X991" s="156"/>
      <c r="Y991" s="156"/>
      <c r="Z991" s="156"/>
    </row>
    <row r="992" spans="1:26" ht="22.15" customHeight="1">
      <c r="A992" s="2633" t="s">
        <v>558</v>
      </c>
      <c r="B992" s="3065"/>
      <c r="C992" s="3216"/>
      <c r="D992" s="3217"/>
      <c r="E992" s="3217"/>
      <c r="F992" s="3217"/>
      <c r="G992" s="3047" t="s">
        <v>414</v>
      </c>
      <c r="H992" s="2959"/>
      <c r="I992" s="3221"/>
      <c r="J992" s="3222"/>
      <c r="K992" s="3222"/>
      <c r="L992" s="3222"/>
      <c r="M992" s="3047" t="s">
        <v>415</v>
      </c>
      <c r="N992" s="3047"/>
      <c r="O992" s="3225" t="str">
        <f>IF(O990="","",O990)</f>
        <v/>
      </c>
      <c r="P992" s="3229"/>
      <c r="Q992" s="3229"/>
      <c r="W992" s="156"/>
      <c r="X992" s="156"/>
      <c r="Y992" s="156"/>
      <c r="Z992" s="156"/>
    </row>
    <row r="993" spans="1:26" ht="22.15" customHeight="1">
      <c r="A993" s="3080">
        <f>IF(計1!$D$28="","",計1!$G$28)</f>
        <v>2026</v>
      </c>
      <c r="B993" s="3059"/>
      <c r="C993" s="3218"/>
      <c r="D993" s="3219"/>
      <c r="E993" s="3219"/>
      <c r="F993" s="3219"/>
      <c r="G993" s="3048"/>
      <c r="H993" s="3220"/>
      <c r="I993" s="3223"/>
      <c r="J993" s="3224"/>
      <c r="K993" s="3224"/>
      <c r="L993" s="3224"/>
      <c r="M993" s="3048"/>
      <c r="N993" s="3048"/>
      <c r="O993" s="3226"/>
      <c r="P993" s="3230"/>
      <c r="Q993" s="3231"/>
      <c r="W993" s="156"/>
      <c r="X993" s="357"/>
      <c r="Y993" s="156"/>
      <c r="Z993" s="156"/>
    </row>
    <row r="994" spans="1:26" ht="24.95" customHeight="1">
      <c r="A994" s="145"/>
      <c r="B994" s="146" t="s">
        <v>577</v>
      </c>
      <c r="C994" s="147"/>
      <c r="D994" s="3232" t="str">
        <f ca="1">IF(OR(C990=0,C992=""),"",INT((C990-C992)/C990*10000)/100)</f>
        <v/>
      </c>
      <c r="E994" s="3232"/>
      <c r="F994" s="3232"/>
      <c r="G994" s="3233" t="s">
        <v>134</v>
      </c>
      <c r="H994" s="3234"/>
      <c r="I994" s="148"/>
      <c r="J994" s="3235" t="str">
        <f>IF(OR(I990=0,I992=""),"",INT((I990-I992)/I990*10000)/100)</f>
        <v/>
      </c>
      <c r="K994" s="3235"/>
      <c r="L994" s="3235"/>
      <c r="M994" s="3232" t="s">
        <v>501</v>
      </c>
      <c r="N994" s="3232"/>
      <c r="O994" s="3236"/>
      <c r="P994" s="335"/>
      <c r="Q994" s="1245"/>
      <c r="W994" s="359"/>
      <c r="X994" s="359"/>
      <c r="Y994" s="359"/>
      <c r="Z994" s="156"/>
    </row>
    <row r="995" spans="1:26" ht="27.75" customHeight="1">
      <c r="A995" s="2672" t="s">
        <v>559</v>
      </c>
      <c r="B995" s="2635"/>
      <c r="C995" s="3240"/>
      <c r="D995" s="3241"/>
      <c r="E995" s="3241"/>
      <c r="F995" s="3241"/>
      <c r="G995" s="3241"/>
      <c r="H995" s="3241"/>
      <c r="I995" s="3241"/>
      <c r="J995" s="3241"/>
      <c r="K995" s="3241"/>
      <c r="L995" s="3241"/>
      <c r="M995" s="3241"/>
      <c r="N995" s="3241"/>
      <c r="O995" s="3242"/>
      <c r="P995" s="335"/>
      <c r="Q995" s="1245"/>
      <c r="R995" s="1246"/>
      <c r="W995" s="359"/>
      <c r="X995" s="359" t="s">
        <v>586</v>
      </c>
      <c r="Y995" s="359"/>
      <c r="Z995" s="156"/>
    </row>
    <row r="996" spans="1:26" ht="35.1" customHeight="1">
      <c r="A996" s="3237"/>
      <c r="B996" s="2648"/>
      <c r="C996" s="3243"/>
      <c r="D996" s="2941"/>
      <c r="E996" s="2941"/>
      <c r="F996" s="2941"/>
      <c r="G996" s="2941"/>
      <c r="H996" s="2941"/>
      <c r="I996" s="2941"/>
      <c r="J996" s="2941"/>
      <c r="K996" s="2941"/>
      <c r="L996" s="2941"/>
      <c r="M996" s="2941"/>
      <c r="N996" s="2941"/>
      <c r="O996" s="2942"/>
      <c r="P996" s="358"/>
      <c r="Q996" s="1247"/>
      <c r="R996" s="1248">
        <v>0</v>
      </c>
      <c r="W996" s="359"/>
      <c r="X996" s="360" t="s">
        <v>587</v>
      </c>
      <c r="Y996" s="359"/>
      <c r="Z996" s="156"/>
    </row>
    <row r="997" spans="1:26" ht="93" customHeight="1">
      <c r="A997" s="3238"/>
      <c r="B997" s="3239"/>
      <c r="C997" s="3244"/>
      <c r="D997" s="2943"/>
      <c r="E997" s="2943"/>
      <c r="F997" s="2943"/>
      <c r="G997" s="2943"/>
      <c r="H997" s="2943"/>
      <c r="I997" s="2943"/>
      <c r="J997" s="2943"/>
      <c r="K997" s="2943"/>
      <c r="L997" s="2943"/>
      <c r="M997" s="2943"/>
      <c r="N997" s="2943"/>
      <c r="O997" s="2944"/>
      <c r="P997" s="336"/>
      <c r="Q997" s="1249"/>
      <c r="W997" s="156"/>
      <c r="X997" s="156"/>
      <c r="Y997" s="156"/>
      <c r="Z997" s="156"/>
    </row>
    <row r="998" spans="1:26" ht="18" customHeight="1">
      <c r="A998" s="2831" t="s">
        <v>583</v>
      </c>
      <c r="B998" s="2831"/>
      <c r="C998" s="2831"/>
      <c r="D998" s="2831"/>
      <c r="E998" s="2831"/>
      <c r="F998" s="2831"/>
      <c r="G998" s="2831"/>
      <c r="H998" s="2831"/>
      <c r="I998" s="2831"/>
      <c r="J998" s="2831"/>
      <c r="K998" s="2831"/>
      <c r="L998" s="2831"/>
      <c r="M998" s="2831"/>
      <c r="N998" s="2831"/>
      <c r="O998" s="2831"/>
      <c r="P998" s="3227"/>
      <c r="Q998" s="3227"/>
      <c r="W998" s="156"/>
      <c r="X998" s="156"/>
      <c r="Y998" s="156"/>
      <c r="Z998" s="156"/>
    </row>
    <row r="999" spans="1:26" ht="9.75" customHeight="1">
      <c r="A999" s="89"/>
      <c r="B999" s="89"/>
      <c r="C999" s="106"/>
      <c r="D999" s="106"/>
      <c r="E999" s="106"/>
      <c r="F999" s="106"/>
      <c r="G999" s="106"/>
      <c r="H999" s="106"/>
      <c r="I999" s="106"/>
      <c r="J999" s="106"/>
      <c r="K999" s="106"/>
      <c r="L999" s="106"/>
      <c r="M999" s="106"/>
      <c r="N999" s="3228"/>
      <c r="O999" s="3228"/>
      <c r="P999" s="156"/>
      <c r="W999" s="156"/>
      <c r="X999" s="156"/>
      <c r="Y999" s="156"/>
      <c r="Z999" s="156"/>
    </row>
    <row r="1000" spans="1:26">
      <c r="A1000" s="156"/>
      <c r="B1000" s="156"/>
      <c r="C1000" s="156"/>
      <c r="D1000" s="156"/>
      <c r="E1000" s="156"/>
      <c r="F1000" s="156"/>
      <c r="G1000" s="156"/>
      <c r="H1000" s="156"/>
      <c r="I1000" s="156"/>
      <c r="J1000" s="156"/>
      <c r="K1000" s="156"/>
      <c r="L1000" s="156"/>
      <c r="M1000" s="156"/>
      <c r="N1000" s="156"/>
      <c r="O1000" s="156"/>
      <c r="P1000" s="156"/>
      <c r="W1000" s="156"/>
      <c r="X1000" s="156"/>
      <c r="Y1000" s="156"/>
      <c r="Z1000" s="156"/>
    </row>
  </sheetData>
  <sheetProtection algorithmName="SHA-512" hashValue="5GTByXeHV2q3qopMiNFvoQ31ND16kJH3b+TeqiX9F6kH0YKwlAnz8YcNOi5F5ILLJ35i1yyMvPPtjuKr/E8oRQ==" saltValue="Z7mNYOq8XZGJIFIseK2cbQ==" spinCount="100000" sheet="1" objects="1" scenarios="1"/>
  <mergeCells count="1800">
    <mergeCell ref="A998:O998"/>
    <mergeCell ref="P998:Q998"/>
    <mergeCell ref="N999:O999"/>
    <mergeCell ref="P992:Q992"/>
    <mergeCell ref="A993:B993"/>
    <mergeCell ref="P993:Q993"/>
    <mergeCell ref="D994:F994"/>
    <mergeCell ref="G994:H994"/>
    <mergeCell ref="J994:L994"/>
    <mergeCell ref="M994:O994"/>
    <mergeCell ref="A995:B997"/>
    <mergeCell ref="C995:O997"/>
    <mergeCell ref="A990:B990"/>
    <mergeCell ref="C990:F991"/>
    <mergeCell ref="G990:H991"/>
    <mergeCell ref="I990:L991"/>
    <mergeCell ref="M990:N991"/>
    <mergeCell ref="O990:O991"/>
    <mergeCell ref="A991:B991"/>
    <mergeCell ref="A992:B992"/>
    <mergeCell ref="C992:F993"/>
    <mergeCell ref="G992:H993"/>
    <mergeCell ref="I992:L993"/>
    <mergeCell ref="M992:N993"/>
    <mergeCell ref="O992:O993"/>
    <mergeCell ref="A984:B984"/>
    <mergeCell ref="C984:E984"/>
    <mergeCell ref="F984:G984"/>
    <mergeCell ref="H984:J984"/>
    <mergeCell ref="K984:O984"/>
    <mergeCell ref="A986:O986"/>
    <mergeCell ref="A989:B989"/>
    <mergeCell ref="C989:H989"/>
    <mergeCell ref="I989:O989"/>
    <mergeCell ref="A973:O973"/>
    <mergeCell ref="P973:Q973"/>
    <mergeCell ref="N974:O974"/>
    <mergeCell ref="A978:O978"/>
    <mergeCell ref="A981:C981"/>
    <mergeCell ref="D981:O981"/>
    <mergeCell ref="A982:C982"/>
    <mergeCell ref="D982:O982"/>
    <mergeCell ref="A983:B983"/>
    <mergeCell ref="C983:D983"/>
    <mergeCell ref="F983:G983"/>
    <mergeCell ref="H983:I983"/>
    <mergeCell ref="K983:L983"/>
    <mergeCell ref="M983:O983"/>
    <mergeCell ref="P967:Q967"/>
    <mergeCell ref="A968:B968"/>
    <mergeCell ref="P968:Q968"/>
    <mergeCell ref="D969:F969"/>
    <mergeCell ref="G969:H969"/>
    <mergeCell ref="J969:L969"/>
    <mergeCell ref="M969:O969"/>
    <mergeCell ref="A970:B972"/>
    <mergeCell ref="C970:O972"/>
    <mergeCell ref="A965:B965"/>
    <mergeCell ref="C965:F966"/>
    <mergeCell ref="G965:H966"/>
    <mergeCell ref="I965:L966"/>
    <mergeCell ref="M965:N966"/>
    <mergeCell ref="O965:O966"/>
    <mergeCell ref="A966:B966"/>
    <mergeCell ref="A967:B967"/>
    <mergeCell ref="C967:F968"/>
    <mergeCell ref="G967:H968"/>
    <mergeCell ref="I967:L968"/>
    <mergeCell ref="M967:N968"/>
    <mergeCell ref="O967:O968"/>
    <mergeCell ref="A959:B959"/>
    <mergeCell ref="C959:E959"/>
    <mergeCell ref="F959:G959"/>
    <mergeCell ref="H959:J959"/>
    <mergeCell ref="K959:O959"/>
    <mergeCell ref="A961:O961"/>
    <mergeCell ref="A964:B964"/>
    <mergeCell ref="C964:H964"/>
    <mergeCell ref="I964:O964"/>
    <mergeCell ref="A948:O948"/>
    <mergeCell ref="P948:Q948"/>
    <mergeCell ref="N949:O949"/>
    <mergeCell ref="A953:O953"/>
    <mergeCell ref="A956:C956"/>
    <mergeCell ref="D956:O956"/>
    <mergeCell ref="A957:C957"/>
    <mergeCell ref="D957:O957"/>
    <mergeCell ref="A958:B958"/>
    <mergeCell ref="C958:D958"/>
    <mergeCell ref="F958:G958"/>
    <mergeCell ref="H958:I958"/>
    <mergeCell ref="K958:L958"/>
    <mergeCell ref="M958:O958"/>
    <mergeCell ref="P942:Q942"/>
    <mergeCell ref="A943:B943"/>
    <mergeCell ref="P943:Q943"/>
    <mergeCell ref="D944:F944"/>
    <mergeCell ref="G944:H944"/>
    <mergeCell ref="J944:L944"/>
    <mergeCell ref="M944:O944"/>
    <mergeCell ref="A945:B947"/>
    <mergeCell ref="C945:O947"/>
    <mergeCell ref="A940:B940"/>
    <mergeCell ref="C940:F941"/>
    <mergeCell ref="G940:H941"/>
    <mergeCell ref="I940:L941"/>
    <mergeCell ref="M940:N941"/>
    <mergeCell ref="O940:O941"/>
    <mergeCell ref="A941:B941"/>
    <mergeCell ref="A942:B942"/>
    <mergeCell ref="C942:F943"/>
    <mergeCell ref="G942:H943"/>
    <mergeCell ref="I942:L943"/>
    <mergeCell ref="M942:N943"/>
    <mergeCell ref="O942:O943"/>
    <mergeCell ref="A934:B934"/>
    <mergeCell ref="C934:E934"/>
    <mergeCell ref="F934:G934"/>
    <mergeCell ref="H934:J934"/>
    <mergeCell ref="K934:O934"/>
    <mergeCell ref="A936:O936"/>
    <mergeCell ref="A939:B939"/>
    <mergeCell ref="C939:H939"/>
    <mergeCell ref="I939:O939"/>
    <mergeCell ref="A923:O923"/>
    <mergeCell ref="P923:Q923"/>
    <mergeCell ref="N924:O924"/>
    <mergeCell ref="A928:O928"/>
    <mergeCell ref="A931:C931"/>
    <mergeCell ref="D931:O931"/>
    <mergeCell ref="A932:C932"/>
    <mergeCell ref="D932:O932"/>
    <mergeCell ref="A933:B933"/>
    <mergeCell ref="C933:D933"/>
    <mergeCell ref="F933:G933"/>
    <mergeCell ref="H933:I933"/>
    <mergeCell ref="K933:L933"/>
    <mergeCell ref="M933:O933"/>
    <mergeCell ref="P917:Q917"/>
    <mergeCell ref="A918:B918"/>
    <mergeCell ref="P918:Q918"/>
    <mergeCell ref="D919:F919"/>
    <mergeCell ref="G919:H919"/>
    <mergeCell ref="J919:L919"/>
    <mergeCell ref="M919:O919"/>
    <mergeCell ref="A920:B922"/>
    <mergeCell ref="C920:O922"/>
    <mergeCell ref="A915:B915"/>
    <mergeCell ref="C915:F916"/>
    <mergeCell ref="G915:H916"/>
    <mergeCell ref="I915:L916"/>
    <mergeCell ref="M915:N916"/>
    <mergeCell ref="O915:O916"/>
    <mergeCell ref="A916:B916"/>
    <mergeCell ref="A917:B917"/>
    <mergeCell ref="C917:F918"/>
    <mergeCell ref="G917:H918"/>
    <mergeCell ref="I917:L918"/>
    <mergeCell ref="M917:N918"/>
    <mergeCell ref="O917:O918"/>
    <mergeCell ref="A909:B909"/>
    <mergeCell ref="C909:E909"/>
    <mergeCell ref="F909:G909"/>
    <mergeCell ref="H909:J909"/>
    <mergeCell ref="K909:O909"/>
    <mergeCell ref="A911:O911"/>
    <mergeCell ref="A914:B914"/>
    <mergeCell ref="C914:H914"/>
    <mergeCell ref="I914:O914"/>
    <mergeCell ref="A898:O898"/>
    <mergeCell ref="P898:Q898"/>
    <mergeCell ref="N899:O899"/>
    <mergeCell ref="A903:O903"/>
    <mergeCell ref="A906:C906"/>
    <mergeCell ref="D906:O906"/>
    <mergeCell ref="A907:C907"/>
    <mergeCell ref="D907:O907"/>
    <mergeCell ref="A908:B908"/>
    <mergeCell ref="C908:D908"/>
    <mergeCell ref="F908:G908"/>
    <mergeCell ref="H908:I908"/>
    <mergeCell ref="K908:L908"/>
    <mergeCell ref="M908:O908"/>
    <mergeCell ref="P892:Q892"/>
    <mergeCell ref="A893:B893"/>
    <mergeCell ref="P893:Q893"/>
    <mergeCell ref="D894:F894"/>
    <mergeCell ref="G894:H894"/>
    <mergeCell ref="J894:L894"/>
    <mergeCell ref="M894:O894"/>
    <mergeCell ref="A895:B897"/>
    <mergeCell ref="C895:O897"/>
    <mergeCell ref="A890:B890"/>
    <mergeCell ref="C890:F891"/>
    <mergeCell ref="G890:H891"/>
    <mergeCell ref="I890:L891"/>
    <mergeCell ref="M890:N891"/>
    <mergeCell ref="O890:O891"/>
    <mergeCell ref="A891:B891"/>
    <mergeCell ref="A892:B892"/>
    <mergeCell ref="C892:F893"/>
    <mergeCell ref="G892:H893"/>
    <mergeCell ref="I892:L893"/>
    <mergeCell ref="M892:N893"/>
    <mergeCell ref="O892:O893"/>
    <mergeCell ref="A884:B884"/>
    <mergeCell ref="C884:E884"/>
    <mergeCell ref="F884:G884"/>
    <mergeCell ref="H884:J884"/>
    <mergeCell ref="K884:O884"/>
    <mergeCell ref="A886:O886"/>
    <mergeCell ref="A889:B889"/>
    <mergeCell ref="C889:H889"/>
    <mergeCell ref="I889:O889"/>
    <mergeCell ref="A873:O873"/>
    <mergeCell ref="P873:Q873"/>
    <mergeCell ref="N874:O874"/>
    <mergeCell ref="A878:O878"/>
    <mergeCell ref="A881:C881"/>
    <mergeCell ref="D881:O881"/>
    <mergeCell ref="A882:C882"/>
    <mergeCell ref="D882:O882"/>
    <mergeCell ref="A883:B883"/>
    <mergeCell ref="C883:D883"/>
    <mergeCell ref="F883:G883"/>
    <mergeCell ref="H883:I883"/>
    <mergeCell ref="K883:L883"/>
    <mergeCell ref="M883:O883"/>
    <mergeCell ref="P867:Q867"/>
    <mergeCell ref="A868:B868"/>
    <mergeCell ref="P868:Q868"/>
    <mergeCell ref="D869:F869"/>
    <mergeCell ref="G869:H869"/>
    <mergeCell ref="J869:L869"/>
    <mergeCell ref="M869:O869"/>
    <mergeCell ref="A870:B872"/>
    <mergeCell ref="C870:O872"/>
    <mergeCell ref="A865:B865"/>
    <mergeCell ref="C865:F866"/>
    <mergeCell ref="G865:H866"/>
    <mergeCell ref="I865:L866"/>
    <mergeCell ref="M865:N866"/>
    <mergeCell ref="O865:O866"/>
    <mergeCell ref="A866:B866"/>
    <mergeCell ref="A867:B867"/>
    <mergeCell ref="C867:F868"/>
    <mergeCell ref="G867:H868"/>
    <mergeCell ref="I867:L868"/>
    <mergeCell ref="M867:N868"/>
    <mergeCell ref="O867:O868"/>
    <mergeCell ref="A859:B859"/>
    <mergeCell ref="C859:E859"/>
    <mergeCell ref="F859:G859"/>
    <mergeCell ref="H859:J859"/>
    <mergeCell ref="K859:O859"/>
    <mergeCell ref="A861:O861"/>
    <mergeCell ref="A864:B864"/>
    <mergeCell ref="C864:H864"/>
    <mergeCell ref="I864:O864"/>
    <mergeCell ref="A848:O848"/>
    <mergeCell ref="P848:Q848"/>
    <mergeCell ref="N849:O849"/>
    <mergeCell ref="A853:O853"/>
    <mergeCell ref="A856:C856"/>
    <mergeCell ref="D856:O856"/>
    <mergeCell ref="A857:C857"/>
    <mergeCell ref="D857:O857"/>
    <mergeCell ref="A858:B858"/>
    <mergeCell ref="C858:D858"/>
    <mergeCell ref="F858:G858"/>
    <mergeCell ref="H858:I858"/>
    <mergeCell ref="K858:L858"/>
    <mergeCell ref="M858:O858"/>
    <mergeCell ref="P842:Q842"/>
    <mergeCell ref="A843:B843"/>
    <mergeCell ref="P843:Q843"/>
    <mergeCell ref="D844:F844"/>
    <mergeCell ref="G844:H844"/>
    <mergeCell ref="J844:L844"/>
    <mergeCell ref="M844:O844"/>
    <mergeCell ref="A845:B847"/>
    <mergeCell ref="C845:O847"/>
    <mergeCell ref="A840:B840"/>
    <mergeCell ref="C840:F841"/>
    <mergeCell ref="G840:H841"/>
    <mergeCell ref="I840:L841"/>
    <mergeCell ref="M840:N841"/>
    <mergeCell ref="O840:O841"/>
    <mergeCell ref="A841:B841"/>
    <mergeCell ref="A842:B842"/>
    <mergeCell ref="C842:F843"/>
    <mergeCell ref="G842:H843"/>
    <mergeCell ref="I842:L843"/>
    <mergeCell ref="M842:N843"/>
    <mergeCell ref="O842:O843"/>
    <mergeCell ref="A834:B834"/>
    <mergeCell ref="C834:E834"/>
    <mergeCell ref="F834:G834"/>
    <mergeCell ref="H834:J834"/>
    <mergeCell ref="K834:O834"/>
    <mergeCell ref="A836:O836"/>
    <mergeCell ref="A839:B839"/>
    <mergeCell ref="C839:H839"/>
    <mergeCell ref="I839:O839"/>
    <mergeCell ref="A823:O823"/>
    <mergeCell ref="P823:Q823"/>
    <mergeCell ref="N824:O824"/>
    <mergeCell ref="A828:O828"/>
    <mergeCell ref="A831:C831"/>
    <mergeCell ref="D831:O831"/>
    <mergeCell ref="A832:C832"/>
    <mergeCell ref="D832:O832"/>
    <mergeCell ref="A833:B833"/>
    <mergeCell ref="C833:D833"/>
    <mergeCell ref="F833:G833"/>
    <mergeCell ref="H833:I833"/>
    <mergeCell ref="K833:L833"/>
    <mergeCell ref="M833:O833"/>
    <mergeCell ref="P817:Q817"/>
    <mergeCell ref="A818:B818"/>
    <mergeCell ref="P818:Q818"/>
    <mergeCell ref="D819:F819"/>
    <mergeCell ref="G819:H819"/>
    <mergeCell ref="J819:L819"/>
    <mergeCell ref="M819:O819"/>
    <mergeCell ref="A820:B822"/>
    <mergeCell ref="C820:O822"/>
    <mergeCell ref="A815:B815"/>
    <mergeCell ref="C815:F816"/>
    <mergeCell ref="G815:H816"/>
    <mergeCell ref="I815:L816"/>
    <mergeCell ref="M815:N816"/>
    <mergeCell ref="O815:O816"/>
    <mergeCell ref="A816:B816"/>
    <mergeCell ref="A817:B817"/>
    <mergeCell ref="C817:F818"/>
    <mergeCell ref="G817:H818"/>
    <mergeCell ref="I817:L818"/>
    <mergeCell ref="M817:N818"/>
    <mergeCell ref="O817:O818"/>
    <mergeCell ref="A809:B809"/>
    <mergeCell ref="C809:E809"/>
    <mergeCell ref="F809:G809"/>
    <mergeCell ref="H809:J809"/>
    <mergeCell ref="K809:O809"/>
    <mergeCell ref="A811:O811"/>
    <mergeCell ref="A814:B814"/>
    <mergeCell ref="C814:H814"/>
    <mergeCell ref="I814:O814"/>
    <mergeCell ref="A798:O798"/>
    <mergeCell ref="P798:Q798"/>
    <mergeCell ref="N799:O799"/>
    <mergeCell ref="A803:O803"/>
    <mergeCell ref="A806:C806"/>
    <mergeCell ref="D806:O806"/>
    <mergeCell ref="A807:C807"/>
    <mergeCell ref="D807:O807"/>
    <mergeCell ref="A808:B808"/>
    <mergeCell ref="C808:D808"/>
    <mergeCell ref="F808:G808"/>
    <mergeCell ref="H808:I808"/>
    <mergeCell ref="K808:L808"/>
    <mergeCell ref="M808:O808"/>
    <mergeCell ref="P792:Q792"/>
    <mergeCell ref="A793:B793"/>
    <mergeCell ref="P793:Q793"/>
    <mergeCell ref="D794:F794"/>
    <mergeCell ref="G794:H794"/>
    <mergeCell ref="J794:L794"/>
    <mergeCell ref="M794:O794"/>
    <mergeCell ref="A795:B797"/>
    <mergeCell ref="C795:O797"/>
    <mergeCell ref="A790:B790"/>
    <mergeCell ref="C790:F791"/>
    <mergeCell ref="G790:H791"/>
    <mergeCell ref="I790:L791"/>
    <mergeCell ref="M790:N791"/>
    <mergeCell ref="O790:O791"/>
    <mergeCell ref="A791:B791"/>
    <mergeCell ref="A792:B792"/>
    <mergeCell ref="C792:F793"/>
    <mergeCell ref="G792:H793"/>
    <mergeCell ref="I792:L793"/>
    <mergeCell ref="M792:N793"/>
    <mergeCell ref="O792:O793"/>
    <mergeCell ref="A784:B784"/>
    <mergeCell ref="C784:E784"/>
    <mergeCell ref="F784:G784"/>
    <mergeCell ref="H784:J784"/>
    <mergeCell ref="K784:O784"/>
    <mergeCell ref="A786:O786"/>
    <mergeCell ref="A789:B789"/>
    <mergeCell ref="C789:H789"/>
    <mergeCell ref="I789:O789"/>
    <mergeCell ref="A773:O773"/>
    <mergeCell ref="P773:Q773"/>
    <mergeCell ref="N774:O774"/>
    <mergeCell ref="A778:O778"/>
    <mergeCell ref="A781:C781"/>
    <mergeCell ref="D781:O781"/>
    <mergeCell ref="A782:C782"/>
    <mergeCell ref="D782:O782"/>
    <mergeCell ref="A783:B783"/>
    <mergeCell ref="C783:D783"/>
    <mergeCell ref="F783:G783"/>
    <mergeCell ref="H783:I783"/>
    <mergeCell ref="K783:L783"/>
    <mergeCell ref="M783:O783"/>
    <mergeCell ref="P767:Q767"/>
    <mergeCell ref="A768:B768"/>
    <mergeCell ref="P768:Q768"/>
    <mergeCell ref="D769:F769"/>
    <mergeCell ref="G769:H769"/>
    <mergeCell ref="J769:L769"/>
    <mergeCell ref="M769:O769"/>
    <mergeCell ref="A770:B772"/>
    <mergeCell ref="C770:O772"/>
    <mergeCell ref="A765:B765"/>
    <mergeCell ref="C765:F766"/>
    <mergeCell ref="G765:H766"/>
    <mergeCell ref="I765:L766"/>
    <mergeCell ref="M765:N766"/>
    <mergeCell ref="O765:O766"/>
    <mergeCell ref="A766:B766"/>
    <mergeCell ref="A767:B767"/>
    <mergeCell ref="C767:F768"/>
    <mergeCell ref="G767:H768"/>
    <mergeCell ref="I767:L768"/>
    <mergeCell ref="M767:N768"/>
    <mergeCell ref="O767:O768"/>
    <mergeCell ref="A759:B759"/>
    <mergeCell ref="C759:E759"/>
    <mergeCell ref="F759:G759"/>
    <mergeCell ref="H759:J759"/>
    <mergeCell ref="K759:O759"/>
    <mergeCell ref="A761:O761"/>
    <mergeCell ref="A764:B764"/>
    <mergeCell ref="C764:H764"/>
    <mergeCell ref="I764:O764"/>
    <mergeCell ref="A748:O748"/>
    <mergeCell ref="P748:Q748"/>
    <mergeCell ref="N749:O749"/>
    <mergeCell ref="A753:O753"/>
    <mergeCell ref="A756:C756"/>
    <mergeCell ref="D756:O756"/>
    <mergeCell ref="A757:C757"/>
    <mergeCell ref="D757:O757"/>
    <mergeCell ref="A758:B758"/>
    <mergeCell ref="C758:D758"/>
    <mergeCell ref="F758:G758"/>
    <mergeCell ref="H758:I758"/>
    <mergeCell ref="K758:L758"/>
    <mergeCell ref="M758:O758"/>
    <mergeCell ref="P742:Q742"/>
    <mergeCell ref="A743:B743"/>
    <mergeCell ref="P743:Q743"/>
    <mergeCell ref="D744:F744"/>
    <mergeCell ref="G744:H744"/>
    <mergeCell ref="J744:L744"/>
    <mergeCell ref="M744:O744"/>
    <mergeCell ref="A745:B747"/>
    <mergeCell ref="C745:O747"/>
    <mergeCell ref="A740:B740"/>
    <mergeCell ref="C740:F741"/>
    <mergeCell ref="G740:H741"/>
    <mergeCell ref="I740:L741"/>
    <mergeCell ref="M740:N741"/>
    <mergeCell ref="O740:O741"/>
    <mergeCell ref="A741:B741"/>
    <mergeCell ref="A742:B742"/>
    <mergeCell ref="C742:F743"/>
    <mergeCell ref="G742:H743"/>
    <mergeCell ref="I742:L743"/>
    <mergeCell ref="M742:N743"/>
    <mergeCell ref="O742:O743"/>
    <mergeCell ref="A734:B734"/>
    <mergeCell ref="C734:E734"/>
    <mergeCell ref="F734:G734"/>
    <mergeCell ref="H734:J734"/>
    <mergeCell ref="K734:O734"/>
    <mergeCell ref="A736:O736"/>
    <mergeCell ref="A739:B739"/>
    <mergeCell ref="C739:H739"/>
    <mergeCell ref="I739:O739"/>
    <mergeCell ref="A723:O723"/>
    <mergeCell ref="P723:Q723"/>
    <mergeCell ref="N724:O724"/>
    <mergeCell ref="A728:O728"/>
    <mergeCell ref="A731:C731"/>
    <mergeCell ref="D731:O731"/>
    <mergeCell ref="A732:C732"/>
    <mergeCell ref="D732:O732"/>
    <mergeCell ref="A733:B733"/>
    <mergeCell ref="C733:D733"/>
    <mergeCell ref="F733:G733"/>
    <mergeCell ref="H733:I733"/>
    <mergeCell ref="K733:L733"/>
    <mergeCell ref="M733:O733"/>
    <mergeCell ref="P717:Q717"/>
    <mergeCell ref="A718:B718"/>
    <mergeCell ref="P718:Q718"/>
    <mergeCell ref="D719:F719"/>
    <mergeCell ref="G719:H719"/>
    <mergeCell ref="J719:L719"/>
    <mergeCell ref="M719:O719"/>
    <mergeCell ref="A720:B722"/>
    <mergeCell ref="C720:O722"/>
    <mergeCell ref="A715:B715"/>
    <mergeCell ref="C715:F716"/>
    <mergeCell ref="G715:H716"/>
    <mergeCell ref="I715:L716"/>
    <mergeCell ref="M715:N716"/>
    <mergeCell ref="O715:O716"/>
    <mergeCell ref="A716:B716"/>
    <mergeCell ref="A717:B717"/>
    <mergeCell ref="C717:F718"/>
    <mergeCell ref="G717:H718"/>
    <mergeCell ref="I717:L718"/>
    <mergeCell ref="M717:N718"/>
    <mergeCell ref="O717:O718"/>
    <mergeCell ref="A709:B709"/>
    <mergeCell ref="C709:E709"/>
    <mergeCell ref="F709:G709"/>
    <mergeCell ref="H709:J709"/>
    <mergeCell ref="K709:O709"/>
    <mergeCell ref="A711:O711"/>
    <mergeCell ref="A714:B714"/>
    <mergeCell ref="C714:H714"/>
    <mergeCell ref="I714:O714"/>
    <mergeCell ref="A698:O698"/>
    <mergeCell ref="P698:Q698"/>
    <mergeCell ref="N699:O699"/>
    <mergeCell ref="A703:O703"/>
    <mergeCell ref="A706:C706"/>
    <mergeCell ref="D706:O706"/>
    <mergeCell ref="A707:C707"/>
    <mergeCell ref="D707:O707"/>
    <mergeCell ref="A708:B708"/>
    <mergeCell ref="C708:D708"/>
    <mergeCell ref="F708:G708"/>
    <mergeCell ref="H708:I708"/>
    <mergeCell ref="K708:L708"/>
    <mergeCell ref="M708:O708"/>
    <mergeCell ref="P692:Q692"/>
    <mergeCell ref="A693:B693"/>
    <mergeCell ref="P693:Q693"/>
    <mergeCell ref="D694:F694"/>
    <mergeCell ref="G694:H694"/>
    <mergeCell ref="J694:L694"/>
    <mergeCell ref="M694:O694"/>
    <mergeCell ref="A695:B697"/>
    <mergeCell ref="C695:O697"/>
    <mergeCell ref="A690:B690"/>
    <mergeCell ref="C690:F691"/>
    <mergeCell ref="G690:H691"/>
    <mergeCell ref="I690:L691"/>
    <mergeCell ref="M690:N691"/>
    <mergeCell ref="O690:O691"/>
    <mergeCell ref="A691:B691"/>
    <mergeCell ref="A692:B692"/>
    <mergeCell ref="C692:F693"/>
    <mergeCell ref="G692:H693"/>
    <mergeCell ref="I692:L693"/>
    <mergeCell ref="M692:N693"/>
    <mergeCell ref="O692:O693"/>
    <mergeCell ref="A684:B684"/>
    <mergeCell ref="C684:E684"/>
    <mergeCell ref="F684:G684"/>
    <mergeCell ref="H684:J684"/>
    <mergeCell ref="K684:O684"/>
    <mergeCell ref="A686:O686"/>
    <mergeCell ref="A689:B689"/>
    <mergeCell ref="C689:H689"/>
    <mergeCell ref="I689:O689"/>
    <mergeCell ref="A673:O673"/>
    <mergeCell ref="P673:Q673"/>
    <mergeCell ref="N674:O674"/>
    <mergeCell ref="A678:O678"/>
    <mergeCell ref="A681:C681"/>
    <mergeCell ref="D681:O681"/>
    <mergeCell ref="A682:C682"/>
    <mergeCell ref="D682:O682"/>
    <mergeCell ref="A683:B683"/>
    <mergeCell ref="C683:D683"/>
    <mergeCell ref="F683:G683"/>
    <mergeCell ref="H683:I683"/>
    <mergeCell ref="K683:L683"/>
    <mergeCell ref="M683:O683"/>
    <mergeCell ref="P667:Q667"/>
    <mergeCell ref="A668:B668"/>
    <mergeCell ref="P668:Q668"/>
    <mergeCell ref="D669:F669"/>
    <mergeCell ref="G669:H669"/>
    <mergeCell ref="J669:L669"/>
    <mergeCell ref="M669:O669"/>
    <mergeCell ref="A670:B672"/>
    <mergeCell ref="C670:O672"/>
    <mergeCell ref="A665:B665"/>
    <mergeCell ref="C665:F666"/>
    <mergeCell ref="G665:H666"/>
    <mergeCell ref="I665:L666"/>
    <mergeCell ref="M665:N666"/>
    <mergeCell ref="O665:O666"/>
    <mergeCell ref="A666:B666"/>
    <mergeCell ref="A667:B667"/>
    <mergeCell ref="C667:F668"/>
    <mergeCell ref="G667:H668"/>
    <mergeCell ref="I667:L668"/>
    <mergeCell ref="M667:N668"/>
    <mergeCell ref="O667:O668"/>
    <mergeCell ref="A659:B659"/>
    <mergeCell ref="C659:E659"/>
    <mergeCell ref="F659:G659"/>
    <mergeCell ref="H659:J659"/>
    <mergeCell ref="K659:O659"/>
    <mergeCell ref="A661:O661"/>
    <mergeCell ref="A664:B664"/>
    <mergeCell ref="C664:H664"/>
    <mergeCell ref="I664:O664"/>
    <mergeCell ref="A648:O648"/>
    <mergeCell ref="P648:Q648"/>
    <mergeCell ref="N649:O649"/>
    <mergeCell ref="A653:O653"/>
    <mergeCell ref="A656:C656"/>
    <mergeCell ref="D656:O656"/>
    <mergeCell ref="A657:C657"/>
    <mergeCell ref="D657:O657"/>
    <mergeCell ref="A658:B658"/>
    <mergeCell ref="C658:D658"/>
    <mergeCell ref="F658:G658"/>
    <mergeCell ref="H658:I658"/>
    <mergeCell ref="K658:L658"/>
    <mergeCell ref="M658:O658"/>
    <mergeCell ref="P642:Q642"/>
    <mergeCell ref="A643:B643"/>
    <mergeCell ref="P643:Q643"/>
    <mergeCell ref="D644:F644"/>
    <mergeCell ref="G644:H644"/>
    <mergeCell ref="J644:L644"/>
    <mergeCell ref="M644:O644"/>
    <mergeCell ref="A645:B647"/>
    <mergeCell ref="C645:O647"/>
    <mergeCell ref="A640:B640"/>
    <mergeCell ref="C640:F641"/>
    <mergeCell ref="G640:H641"/>
    <mergeCell ref="I640:L641"/>
    <mergeCell ref="M640:N641"/>
    <mergeCell ref="O640:O641"/>
    <mergeCell ref="A641:B641"/>
    <mergeCell ref="A642:B642"/>
    <mergeCell ref="C642:F643"/>
    <mergeCell ref="G642:H643"/>
    <mergeCell ref="I642:L643"/>
    <mergeCell ref="M642:N643"/>
    <mergeCell ref="O642:O643"/>
    <mergeCell ref="A634:B634"/>
    <mergeCell ref="C634:E634"/>
    <mergeCell ref="F634:G634"/>
    <mergeCell ref="H634:J634"/>
    <mergeCell ref="K634:O634"/>
    <mergeCell ref="A636:O636"/>
    <mergeCell ref="A639:B639"/>
    <mergeCell ref="C639:H639"/>
    <mergeCell ref="I639:O639"/>
    <mergeCell ref="A623:O623"/>
    <mergeCell ref="P623:Q623"/>
    <mergeCell ref="N624:O624"/>
    <mergeCell ref="A628:O628"/>
    <mergeCell ref="A631:C631"/>
    <mergeCell ref="D631:O631"/>
    <mergeCell ref="A632:C632"/>
    <mergeCell ref="D632:O632"/>
    <mergeCell ref="A633:B633"/>
    <mergeCell ref="C633:D633"/>
    <mergeCell ref="F633:G633"/>
    <mergeCell ref="H633:I633"/>
    <mergeCell ref="K633:L633"/>
    <mergeCell ref="M633:O633"/>
    <mergeCell ref="P617:Q617"/>
    <mergeCell ref="A618:B618"/>
    <mergeCell ref="P618:Q618"/>
    <mergeCell ref="D619:F619"/>
    <mergeCell ref="G619:H619"/>
    <mergeCell ref="J619:L619"/>
    <mergeCell ref="M619:O619"/>
    <mergeCell ref="A620:B622"/>
    <mergeCell ref="C620:O622"/>
    <mergeCell ref="A615:B615"/>
    <mergeCell ref="C615:F616"/>
    <mergeCell ref="G615:H616"/>
    <mergeCell ref="I615:L616"/>
    <mergeCell ref="M615:N616"/>
    <mergeCell ref="O615:O616"/>
    <mergeCell ref="A616:B616"/>
    <mergeCell ref="A617:B617"/>
    <mergeCell ref="C617:F618"/>
    <mergeCell ref="G617:H618"/>
    <mergeCell ref="I617:L618"/>
    <mergeCell ref="M617:N618"/>
    <mergeCell ref="O617:O618"/>
    <mergeCell ref="A609:B609"/>
    <mergeCell ref="C609:E609"/>
    <mergeCell ref="F609:G609"/>
    <mergeCell ref="H609:J609"/>
    <mergeCell ref="K609:O609"/>
    <mergeCell ref="A611:O611"/>
    <mergeCell ref="A614:B614"/>
    <mergeCell ref="C614:H614"/>
    <mergeCell ref="I614:O614"/>
    <mergeCell ref="A598:O598"/>
    <mergeCell ref="P598:Q598"/>
    <mergeCell ref="N599:O599"/>
    <mergeCell ref="A603:O603"/>
    <mergeCell ref="A606:C606"/>
    <mergeCell ref="D606:O606"/>
    <mergeCell ref="A607:C607"/>
    <mergeCell ref="D607:O607"/>
    <mergeCell ref="A608:B608"/>
    <mergeCell ref="C608:D608"/>
    <mergeCell ref="F608:G608"/>
    <mergeCell ref="H608:I608"/>
    <mergeCell ref="K608:L608"/>
    <mergeCell ref="M608:O608"/>
    <mergeCell ref="P592:Q592"/>
    <mergeCell ref="A593:B593"/>
    <mergeCell ref="P593:Q593"/>
    <mergeCell ref="D594:F594"/>
    <mergeCell ref="G594:H594"/>
    <mergeCell ref="J594:L594"/>
    <mergeCell ref="M594:O594"/>
    <mergeCell ref="A595:B597"/>
    <mergeCell ref="C595:O597"/>
    <mergeCell ref="A590:B590"/>
    <mergeCell ref="C590:F591"/>
    <mergeCell ref="G590:H591"/>
    <mergeCell ref="I590:L591"/>
    <mergeCell ref="M590:N591"/>
    <mergeCell ref="O590:O591"/>
    <mergeCell ref="A591:B591"/>
    <mergeCell ref="A592:B592"/>
    <mergeCell ref="C592:F593"/>
    <mergeCell ref="G592:H593"/>
    <mergeCell ref="I592:L593"/>
    <mergeCell ref="M592:N593"/>
    <mergeCell ref="O592:O593"/>
    <mergeCell ref="A584:B584"/>
    <mergeCell ref="C584:E584"/>
    <mergeCell ref="F584:G584"/>
    <mergeCell ref="H584:J584"/>
    <mergeCell ref="K584:O584"/>
    <mergeCell ref="A586:O586"/>
    <mergeCell ref="A589:B589"/>
    <mergeCell ref="C589:H589"/>
    <mergeCell ref="I589:O589"/>
    <mergeCell ref="A573:O573"/>
    <mergeCell ref="P573:Q573"/>
    <mergeCell ref="N574:O574"/>
    <mergeCell ref="A578:O578"/>
    <mergeCell ref="A581:C581"/>
    <mergeCell ref="D581:O581"/>
    <mergeCell ref="A582:C582"/>
    <mergeCell ref="D582:O582"/>
    <mergeCell ref="A583:B583"/>
    <mergeCell ref="C583:D583"/>
    <mergeCell ref="F583:G583"/>
    <mergeCell ref="H583:I583"/>
    <mergeCell ref="K583:L583"/>
    <mergeCell ref="M583:O583"/>
    <mergeCell ref="P567:Q567"/>
    <mergeCell ref="A568:B568"/>
    <mergeCell ref="P568:Q568"/>
    <mergeCell ref="D569:F569"/>
    <mergeCell ref="G569:H569"/>
    <mergeCell ref="J569:L569"/>
    <mergeCell ref="M569:O569"/>
    <mergeCell ref="A570:B572"/>
    <mergeCell ref="C570:O572"/>
    <mergeCell ref="A565:B565"/>
    <mergeCell ref="C565:F566"/>
    <mergeCell ref="G565:H566"/>
    <mergeCell ref="I565:L566"/>
    <mergeCell ref="M565:N566"/>
    <mergeCell ref="O565:O566"/>
    <mergeCell ref="A566:B566"/>
    <mergeCell ref="A567:B567"/>
    <mergeCell ref="C567:F568"/>
    <mergeCell ref="G567:H568"/>
    <mergeCell ref="I567:L568"/>
    <mergeCell ref="M567:N568"/>
    <mergeCell ref="O567:O568"/>
    <mergeCell ref="A559:B559"/>
    <mergeCell ref="C559:E559"/>
    <mergeCell ref="F559:G559"/>
    <mergeCell ref="H559:J559"/>
    <mergeCell ref="K559:O559"/>
    <mergeCell ref="A561:O561"/>
    <mergeCell ref="A564:B564"/>
    <mergeCell ref="C564:H564"/>
    <mergeCell ref="I564:O564"/>
    <mergeCell ref="A548:O548"/>
    <mergeCell ref="P548:Q548"/>
    <mergeCell ref="N549:O549"/>
    <mergeCell ref="A553:O553"/>
    <mergeCell ref="A556:C556"/>
    <mergeCell ref="D556:O556"/>
    <mergeCell ref="A557:C557"/>
    <mergeCell ref="D557:O557"/>
    <mergeCell ref="A558:B558"/>
    <mergeCell ref="C558:D558"/>
    <mergeCell ref="F558:G558"/>
    <mergeCell ref="H558:I558"/>
    <mergeCell ref="K558:L558"/>
    <mergeCell ref="M558:O558"/>
    <mergeCell ref="P542:Q542"/>
    <mergeCell ref="A543:B543"/>
    <mergeCell ref="P543:Q543"/>
    <mergeCell ref="D544:F544"/>
    <mergeCell ref="G544:H544"/>
    <mergeCell ref="J544:L544"/>
    <mergeCell ref="M544:O544"/>
    <mergeCell ref="A545:B547"/>
    <mergeCell ref="C545:O547"/>
    <mergeCell ref="A540:B540"/>
    <mergeCell ref="C540:F541"/>
    <mergeCell ref="G540:H541"/>
    <mergeCell ref="I540:L541"/>
    <mergeCell ref="M540:N541"/>
    <mergeCell ref="O540:O541"/>
    <mergeCell ref="A541:B541"/>
    <mergeCell ref="A542:B542"/>
    <mergeCell ref="C542:F543"/>
    <mergeCell ref="G542:H543"/>
    <mergeCell ref="I542:L543"/>
    <mergeCell ref="M542:N543"/>
    <mergeCell ref="O542:O543"/>
    <mergeCell ref="A534:B534"/>
    <mergeCell ref="C534:E534"/>
    <mergeCell ref="F534:G534"/>
    <mergeCell ref="H534:J534"/>
    <mergeCell ref="K534:O534"/>
    <mergeCell ref="A536:O536"/>
    <mergeCell ref="A539:B539"/>
    <mergeCell ref="C539:H539"/>
    <mergeCell ref="I539:O539"/>
    <mergeCell ref="A523:O523"/>
    <mergeCell ref="P523:Q523"/>
    <mergeCell ref="N524:O524"/>
    <mergeCell ref="A528:O528"/>
    <mergeCell ref="A531:C531"/>
    <mergeCell ref="D531:O531"/>
    <mergeCell ref="A532:C532"/>
    <mergeCell ref="D532:O532"/>
    <mergeCell ref="A533:B533"/>
    <mergeCell ref="C533:D533"/>
    <mergeCell ref="F533:G533"/>
    <mergeCell ref="H533:I533"/>
    <mergeCell ref="K533:L533"/>
    <mergeCell ref="M533:O533"/>
    <mergeCell ref="P517:Q517"/>
    <mergeCell ref="A518:B518"/>
    <mergeCell ref="P518:Q518"/>
    <mergeCell ref="D519:F519"/>
    <mergeCell ref="G519:H519"/>
    <mergeCell ref="J519:L519"/>
    <mergeCell ref="M519:O519"/>
    <mergeCell ref="A520:B522"/>
    <mergeCell ref="C520:O522"/>
    <mergeCell ref="A515:B515"/>
    <mergeCell ref="C515:F516"/>
    <mergeCell ref="G515:H516"/>
    <mergeCell ref="I515:L516"/>
    <mergeCell ref="M515:N516"/>
    <mergeCell ref="O515:O516"/>
    <mergeCell ref="A516:B516"/>
    <mergeCell ref="A517:B517"/>
    <mergeCell ref="C517:F518"/>
    <mergeCell ref="G517:H518"/>
    <mergeCell ref="I517:L518"/>
    <mergeCell ref="M517:N518"/>
    <mergeCell ref="O517:O518"/>
    <mergeCell ref="A509:B509"/>
    <mergeCell ref="C509:E509"/>
    <mergeCell ref="F509:G509"/>
    <mergeCell ref="H509:J509"/>
    <mergeCell ref="K509:O509"/>
    <mergeCell ref="A511:O511"/>
    <mergeCell ref="A514:B514"/>
    <mergeCell ref="C514:H514"/>
    <mergeCell ref="I514:O514"/>
    <mergeCell ref="A498:O498"/>
    <mergeCell ref="P498:Q498"/>
    <mergeCell ref="N499:O499"/>
    <mergeCell ref="A503:O503"/>
    <mergeCell ref="A506:C506"/>
    <mergeCell ref="D506:O506"/>
    <mergeCell ref="A507:C507"/>
    <mergeCell ref="D507:O507"/>
    <mergeCell ref="A508:B508"/>
    <mergeCell ref="C508:D508"/>
    <mergeCell ref="F508:G508"/>
    <mergeCell ref="H508:I508"/>
    <mergeCell ref="K508:L508"/>
    <mergeCell ref="M508:O508"/>
    <mergeCell ref="P492:Q492"/>
    <mergeCell ref="A493:B493"/>
    <mergeCell ref="P493:Q493"/>
    <mergeCell ref="D494:F494"/>
    <mergeCell ref="G494:H494"/>
    <mergeCell ref="J494:L494"/>
    <mergeCell ref="M494:O494"/>
    <mergeCell ref="A495:B497"/>
    <mergeCell ref="C495:O497"/>
    <mergeCell ref="A490:B490"/>
    <mergeCell ref="C490:F491"/>
    <mergeCell ref="G490:H491"/>
    <mergeCell ref="I490:L491"/>
    <mergeCell ref="M490:N491"/>
    <mergeCell ref="O490:O491"/>
    <mergeCell ref="A491:B491"/>
    <mergeCell ref="A492:B492"/>
    <mergeCell ref="C492:F493"/>
    <mergeCell ref="G492:H493"/>
    <mergeCell ref="I492:L493"/>
    <mergeCell ref="M492:N493"/>
    <mergeCell ref="O492:O493"/>
    <mergeCell ref="A484:B484"/>
    <mergeCell ref="C484:E484"/>
    <mergeCell ref="F484:G484"/>
    <mergeCell ref="H484:J484"/>
    <mergeCell ref="K484:O484"/>
    <mergeCell ref="A486:O486"/>
    <mergeCell ref="A489:B489"/>
    <mergeCell ref="C489:H489"/>
    <mergeCell ref="I489:O489"/>
    <mergeCell ref="A473:O473"/>
    <mergeCell ref="P473:Q473"/>
    <mergeCell ref="N474:O474"/>
    <mergeCell ref="A478:O478"/>
    <mergeCell ref="A481:C481"/>
    <mergeCell ref="D481:O481"/>
    <mergeCell ref="A482:C482"/>
    <mergeCell ref="D482:O482"/>
    <mergeCell ref="A483:B483"/>
    <mergeCell ref="C483:D483"/>
    <mergeCell ref="F483:G483"/>
    <mergeCell ref="H483:I483"/>
    <mergeCell ref="K483:L483"/>
    <mergeCell ref="M483:O483"/>
    <mergeCell ref="P467:Q467"/>
    <mergeCell ref="A468:B468"/>
    <mergeCell ref="P468:Q468"/>
    <mergeCell ref="D469:F469"/>
    <mergeCell ref="G469:H469"/>
    <mergeCell ref="J469:L469"/>
    <mergeCell ref="M469:O469"/>
    <mergeCell ref="A470:B472"/>
    <mergeCell ref="C470:O472"/>
    <mergeCell ref="A465:B465"/>
    <mergeCell ref="C465:F466"/>
    <mergeCell ref="G465:H466"/>
    <mergeCell ref="I465:L466"/>
    <mergeCell ref="M465:N466"/>
    <mergeCell ref="O465:O466"/>
    <mergeCell ref="A466:B466"/>
    <mergeCell ref="A467:B467"/>
    <mergeCell ref="C467:F468"/>
    <mergeCell ref="G467:H468"/>
    <mergeCell ref="I467:L468"/>
    <mergeCell ref="M467:N468"/>
    <mergeCell ref="O467:O468"/>
    <mergeCell ref="A459:B459"/>
    <mergeCell ref="C459:E459"/>
    <mergeCell ref="F459:G459"/>
    <mergeCell ref="H459:J459"/>
    <mergeCell ref="K459:O459"/>
    <mergeCell ref="A461:O461"/>
    <mergeCell ref="A464:B464"/>
    <mergeCell ref="C464:H464"/>
    <mergeCell ref="I464:O464"/>
    <mergeCell ref="A448:O448"/>
    <mergeCell ref="P448:Q448"/>
    <mergeCell ref="N449:O449"/>
    <mergeCell ref="A453:O453"/>
    <mergeCell ref="A456:C456"/>
    <mergeCell ref="D456:O456"/>
    <mergeCell ref="A457:C457"/>
    <mergeCell ref="D457:O457"/>
    <mergeCell ref="A458:B458"/>
    <mergeCell ref="C458:D458"/>
    <mergeCell ref="F458:G458"/>
    <mergeCell ref="H458:I458"/>
    <mergeCell ref="K458:L458"/>
    <mergeCell ref="M458:O458"/>
    <mergeCell ref="P442:Q442"/>
    <mergeCell ref="A443:B443"/>
    <mergeCell ref="P443:Q443"/>
    <mergeCell ref="D444:F444"/>
    <mergeCell ref="G444:H444"/>
    <mergeCell ref="J444:L444"/>
    <mergeCell ref="M444:O444"/>
    <mergeCell ref="A445:B447"/>
    <mergeCell ref="C445:O447"/>
    <mergeCell ref="A440:B440"/>
    <mergeCell ref="C440:F441"/>
    <mergeCell ref="G440:H441"/>
    <mergeCell ref="I440:L441"/>
    <mergeCell ref="M440:N441"/>
    <mergeCell ref="O440:O441"/>
    <mergeCell ref="A441:B441"/>
    <mergeCell ref="A442:B442"/>
    <mergeCell ref="C442:F443"/>
    <mergeCell ref="G442:H443"/>
    <mergeCell ref="I442:L443"/>
    <mergeCell ref="M442:N443"/>
    <mergeCell ref="O442:O443"/>
    <mergeCell ref="A434:B434"/>
    <mergeCell ref="C434:E434"/>
    <mergeCell ref="F434:G434"/>
    <mergeCell ref="H434:J434"/>
    <mergeCell ref="K434:O434"/>
    <mergeCell ref="A436:O436"/>
    <mergeCell ref="A439:B439"/>
    <mergeCell ref="C439:H439"/>
    <mergeCell ref="I439:O439"/>
    <mergeCell ref="A423:O423"/>
    <mergeCell ref="P423:Q423"/>
    <mergeCell ref="N424:O424"/>
    <mergeCell ref="A428:O428"/>
    <mergeCell ref="A431:C431"/>
    <mergeCell ref="D431:O431"/>
    <mergeCell ref="A432:C432"/>
    <mergeCell ref="D432:O432"/>
    <mergeCell ref="A433:B433"/>
    <mergeCell ref="C433:D433"/>
    <mergeCell ref="F433:G433"/>
    <mergeCell ref="H433:I433"/>
    <mergeCell ref="K433:L433"/>
    <mergeCell ref="M433:O433"/>
    <mergeCell ref="P417:Q417"/>
    <mergeCell ref="A418:B418"/>
    <mergeCell ref="P418:Q418"/>
    <mergeCell ref="D419:F419"/>
    <mergeCell ref="G419:H419"/>
    <mergeCell ref="J419:L419"/>
    <mergeCell ref="M419:O419"/>
    <mergeCell ref="A420:B422"/>
    <mergeCell ref="C420:O422"/>
    <mergeCell ref="A415:B415"/>
    <mergeCell ref="C415:F416"/>
    <mergeCell ref="G415:H416"/>
    <mergeCell ref="I415:L416"/>
    <mergeCell ref="M415:N416"/>
    <mergeCell ref="O415:O416"/>
    <mergeCell ref="A416:B416"/>
    <mergeCell ref="A417:B417"/>
    <mergeCell ref="C417:F418"/>
    <mergeCell ref="G417:H418"/>
    <mergeCell ref="I417:L418"/>
    <mergeCell ref="M417:N418"/>
    <mergeCell ref="O417:O418"/>
    <mergeCell ref="A409:B409"/>
    <mergeCell ref="C409:E409"/>
    <mergeCell ref="F409:G409"/>
    <mergeCell ref="H409:J409"/>
    <mergeCell ref="K409:O409"/>
    <mergeCell ref="A411:O411"/>
    <mergeCell ref="A414:B414"/>
    <mergeCell ref="C414:H414"/>
    <mergeCell ref="I414:O414"/>
    <mergeCell ref="A398:O398"/>
    <mergeCell ref="P398:Q398"/>
    <mergeCell ref="N399:O399"/>
    <mergeCell ref="A403:O403"/>
    <mergeCell ref="A406:C406"/>
    <mergeCell ref="D406:O406"/>
    <mergeCell ref="A407:C407"/>
    <mergeCell ref="D407:O407"/>
    <mergeCell ref="A408:B408"/>
    <mergeCell ref="C408:D408"/>
    <mergeCell ref="F408:G408"/>
    <mergeCell ref="H408:I408"/>
    <mergeCell ref="K408:L408"/>
    <mergeCell ref="M408:O408"/>
    <mergeCell ref="P392:Q392"/>
    <mergeCell ref="A393:B393"/>
    <mergeCell ref="P393:Q393"/>
    <mergeCell ref="D394:F394"/>
    <mergeCell ref="G394:H394"/>
    <mergeCell ref="J394:L394"/>
    <mergeCell ref="M394:O394"/>
    <mergeCell ref="A395:B397"/>
    <mergeCell ref="C395:O397"/>
    <mergeCell ref="A390:B390"/>
    <mergeCell ref="C390:F391"/>
    <mergeCell ref="G390:H391"/>
    <mergeCell ref="I390:L391"/>
    <mergeCell ref="M390:N391"/>
    <mergeCell ref="O390:O391"/>
    <mergeCell ref="A391:B391"/>
    <mergeCell ref="A392:B392"/>
    <mergeCell ref="C392:F393"/>
    <mergeCell ref="G392:H393"/>
    <mergeCell ref="I392:L393"/>
    <mergeCell ref="M392:N393"/>
    <mergeCell ref="O392:O393"/>
    <mergeCell ref="A384:B384"/>
    <mergeCell ref="C384:E384"/>
    <mergeCell ref="F384:G384"/>
    <mergeCell ref="H384:J384"/>
    <mergeCell ref="K384:O384"/>
    <mergeCell ref="A386:O386"/>
    <mergeCell ref="A389:B389"/>
    <mergeCell ref="C389:H389"/>
    <mergeCell ref="I389:O389"/>
    <mergeCell ref="A373:O373"/>
    <mergeCell ref="P373:Q373"/>
    <mergeCell ref="N374:O374"/>
    <mergeCell ref="A378:O378"/>
    <mergeCell ref="A381:C381"/>
    <mergeCell ref="D381:O381"/>
    <mergeCell ref="A382:C382"/>
    <mergeCell ref="D382:O382"/>
    <mergeCell ref="A383:B383"/>
    <mergeCell ref="C383:D383"/>
    <mergeCell ref="F383:G383"/>
    <mergeCell ref="H383:I383"/>
    <mergeCell ref="K383:L383"/>
    <mergeCell ref="M383:O383"/>
    <mergeCell ref="P367:Q367"/>
    <mergeCell ref="A368:B368"/>
    <mergeCell ref="P368:Q368"/>
    <mergeCell ref="D369:F369"/>
    <mergeCell ref="G369:H369"/>
    <mergeCell ref="J369:L369"/>
    <mergeCell ref="M369:O369"/>
    <mergeCell ref="A370:B372"/>
    <mergeCell ref="C370:O372"/>
    <mergeCell ref="A365:B365"/>
    <mergeCell ref="C365:F366"/>
    <mergeCell ref="G365:H366"/>
    <mergeCell ref="I365:L366"/>
    <mergeCell ref="M365:N366"/>
    <mergeCell ref="O365:O366"/>
    <mergeCell ref="A366:B366"/>
    <mergeCell ref="A367:B367"/>
    <mergeCell ref="C367:F368"/>
    <mergeCell ref="G367:H368"/>
    <mergeCell ref="I367:L368"/>
    <mergeCell ref="M367:N368"/>
    <mergeCell ref="O367:O368"/>
    <mergeCell ref="A359:B359"/>
    <mergeCell ref="C359:E359"/>
    <mergeCell ref="F359:G359"/>
    <mergeCell ref="H359:J359"/>
    <mergeCell ref="K359:O359"/>
    <mergeCell ref="A361:O361"/>
    <mergeCell ref="A364:B364"/>
    <mergeCell ref="C364:H364"/>
    <mergeCell ref="I364:O364"/>
    <mergeCell ref="A348:O348"/>
    <mergeCell ref="P348:Q348"/>
    <mergeCell ref="N349:O349"/>
    <mergeCell ref="A353:O353"/>
    <mergeCell ref="A356:C356"/>
    <mergeCell ref="D356:O356"/>
    <mergeCell ref="A357:C357"/>
    <mergeCell ref="D357:O357"/>
    <mergeCell ref="A358:B358"/>
    <mergeCell ref="C358:D358"/>
    <mergeCell ref="F358:G358"/>
    <mergeCell ref="H358:I358"/>
    <mergeCell ref="K358:L358"/>
    <mergeCell ref="M358:O358"/>
    <mergeCell ref="P342:Q342"/>
    <mergeCell ref="A343:B343"/>
    <mergeCell ref="P343:Q343"/>
    <mergeCell ref="D344:F344"/>
    <mergeCell ref="G344:H344"/>
    <mergeCell ref="J344:L344"/>
    <mergeCell ref="M344:O344"/>
    <mergeCell ref="A345:B347"/>
    <mergeCell ref="C345:O347"/>
    <mergeCell ref="A340:B340"/>
    <mergeCell ref="C340:F341"/>
    <mergeCell ref="G340:H341"/>
    <mergeCell ref="I340:L341"/>
    <mergeCell ref="M340:N341"/>
    <mergeCell ref="O340:O341"/>
    <mergeCell ref="A341:B341"/>
    <mergeCell ref="A342:B342"/>
    <mergeCell ref="C342:F343"/>
    <mergeCell ref="G342:H343"/>
    <mergeCell ref="I342:L343"/>
    <mergeCell ref="M342:N343"/>
    <mergeCell ref="O342:O343"/>
    <mergeCell ref="A334:B334"/>
    <mergeCell ref="C334:E334"/>
    <mergeCell ref="F334:G334"/>
    <mergeCell ref="H334:J334"/>
    <mergeCell ref="K334:O334"/>
    <mergeCell ref="A336:O336"/>
    <mergeCell ref="A339:B339"/>
    <mergeCell ref="C339:H339"/>
    <mergeCell ref="I339:O339"/>
    <mergeCell ref="A328:O328"/>
    <mergeCell ref="A331:C331"/>
    <mergeCell ref="D331:O331"/>
    <mergeCell ref="A332:C332"/>
    <mergeCell ref="D332:O332"/>
    <mergeCell ref="A333:B333"/>
    <mergeCell ref="C333:D333"/>
    <mergeCell ref="F333:G333"/>
    <mergeCell ref="H333:I333"/>
    <mergeCell ref="K333:L333"/>
    <mergeCell ref="M333:O333"/>
    <mergeCell ref="A248:O248"/>
    <mergeCell ref="P248:Q248"/>
    <mergeCell ref="N249:O249"/>
    <mergeCell ref="P242:Q242"/>
    <mergeCell ref="A243:B243"/>
    <mergeCell ref="P243:Q243"/>
    <mergeCell ref="D244:F244"/>
    <mergeCell ref="G244:H244"/>
    <mergeCell ref="J244:L244"/>
    <mergeCell ref="M244:O244"/>
    <mergeCell ref="A245:B247"/>
    <mergeCell ref="C245:O247"/>
    <mergeCell ref="A240:B240"/>
    <mergeCell ref="C240:F241"/>
    <mergeCell ref="G240:H241"/>
    <mergeCell ref="I240:L241"/>
    <mergeCell ref="M240:N241"/>
    <mergeCell ref="O240:O241"/>
    <mergeCell ref="A241:B241"/>
    <mergeCell ref="A242:B242"/>
    <mergeCell ref="C242:F243"/>
    <mergeCell ref="G242:H243"/>
    <mergeCell ref="I242:L243"/>
    <mergeCell ref="M242:N243"/>
    <mergeCell ref="O242:O243"/>
    <mergeCell ref="A234:B234"/>
    <mergeCell ref="C234:E234"/>
    <mergeCell ref="F234:G234"/>
    <mergeCell ref="H234:J234"/>
    <mergeCell ref="K234:O234"/>
    <mergeCell ref="A236:O236"/>
    <mergeCell ref="A239:B239"/>
    <mergeCell ref="C239:H239"/>
    <mergeCell ref="I239:O239"/>
    <mergeCell ref="A223:O223"/>
    <mergeCell ref="P223:Q223"/>
    <mergeCell ref="N224:O224"/>
    <mergeCell ref="A228:O228"/>
    <mergeCell ref="A231:C231"/>
    <mergeCell ref="D231:O231"/>
    <mergeCell ref="A232:C232"/>
    <mergeCell ref="D232:O232"/>
    <mergeCell ref="A233:B233"/>
    <mergeCell ref="C233:D233"/>
    <mergeCell ref="F233:G233"/>
    <mergeCell ref="H233:I233"/>
    <mergeCell ref="K233:L233"/>
    <mergeCell ref="M233:O233"/>
    <mergeCell ref="P217:Q217"/>
    <mergeCell ref="A218:B218"/>
    <mergeCell ref="P218:Q218"/>
    <mergeCell ref="D219:F219"/>
    <mergeCell ref="G219:H219"/>
    <mergeCell ref="J219:L219"/>
    <mergeCell ref="M219:O219"/>
    <mergeCell ref="A220:B222"/>
    <mergeCell ref="C220:O222"/>
    <mergeCell ref="A215:B215"/>
    <mergeCell ref="C215:F216"/>
    <mergeCell ref="G215:H216"/>
    <mergeCell ref="I215:L216"/>
    <mergeCell ref="M215:N216"/>
    <mergeCell ref="O215:O216"/>
    <mergeCell ref="A216:B216"/>
    <mergeCell ref="A217:B217"/>
    <mergeCell ref="C217:F218"/>
    <mergeCell ref="G217:H218"/>
    <mergeCell ref="I217:L218"/>
    <mergeCell ref="M217:N218"/>
    <mergeCell ref="O217:O218"/>
    <mergeCell ref="A209:B209"/>
    <mergeCell ref="C209:E209"/>
    <mergeCell ref="F209:G209"/>
    <mergeCell ref="H209:J209"/>
    <mergeCell ref="K209:O209"/>
    <mergeCell ref="A211:O211"/>
    <mergeCell ref="A214:B214"/>
    <mergeCell ref="C214:H214"/>
    <mergeCell ref="I214:O214"/>
    <mergeCell ref="A198:O198"/>
    <mergeCell ref="P198:Q198"/>
    <mergeCell ref="N199:O199"/>
    <mergeCell ref="A203:O203"/>
    <mergeCell ref="A206:C206"/>
    <mergeCell ref="D206:O206"/>
    <mergeCell ref="A207:C207"/>
    <mergeCell ref="D207:O207"/>
    <mergeCell ref="A208:B208"/>
    <mergeCell ref="C208:D208"/>
    <mergeCell ref="F208:G208"/>
    <mergeCell ref="H208:I208"/>
    <mergeCell ref="K208:L208"/>
    <mergeCell ref="M208:O208"/>
    <mergeCell ref="P192:Q192"/>
    <mergeCell ref="A193:B193"/>
    <mergeCell ref="P193:Q193"/>
    <mergeCell ref="D194:F194"/>
    <mergeCell ref="G194:H194"/>
    <mergeCell ref="J194:L194"/>
    <mergeCell ref="M194:O194"/>
    <mergeCell ref="A195:B197"/>
    <mergeCell ref="C195:O197"/>
    <mergeCell ref="A190:B190"/>
    <mergeCell ref="C190:F191"/>
    <mergeCell ref="G190:H191"/>
    <mergeCell ref="I190:L191"/>
    <mergeCell ref="M190:N191"/>
    <mergeCell ref="O190:O191"/>
    <mergeCell ref="A191:B191"/>
    <mergeCell ref="A192:B192"/>
    <mergeCell ref="C192:F193"/>
    <mergeCell ref="G192:H193"/>
    <mergeCell ref="I192:L193"/>
    <mergeCell ref="M192:N193"/>
    <mergeCell ref="O192:O193"/>
    <mergeCell ref="A184:B184"/>
    <mergeCell ref="C184:E184"/>
    <mergeCell ref="F184:G184"/>
    <mergeCell ref="H184:J184"/>
    <mergeCell ref="K184:O184"/>
    <mergeCell ref="A186:O186"/>
    <mergeCell ref="A189:B189"/>
    <mergeCell ref="C189:H189"/>
    <mergeCell ref="I189:O189"/>
    <mergeCell ref="A173:O173"/>
    <mergeCell ref="P173:Q173"/>
    <mergeCell ref="N174:O174"/>
    <mergeCell ref="A178:O178"/>
    <mergeCell ref="A181:C181"/>
    <mergeCell ref="D181:O181"/>
    <mergeCell ref="A182:C182"/>
    <mergeCell ref="D182:O182"/>
    <mergeCell ref="A183:B183"/>
    <mergeCell ref="C183:D183"/>
    <mergeCell ref="F183:G183"/>
    <mergeCell ref="H183:I183"/>
    <mergeCell ref="K183:L183"/>
    <mergeCell ref="M183:O183"/>
    <mergeCell ref="P167:Q167"/>
    <mergeCell ref="A168:B168"/>
    <mergeCell ref="P168:Q168"/>
    <mergeCell ref="D169:F169"/>
    <mergeCell ref="G169:H169"/>
    <mergeCell ref="J169:L169"/>
    <mergeCell ref="M169:O169"/>
    <mergeCell ref="A170:B172"/>
    <mergeCell ref="C170:O172"/>
    <mergeCell ref="A165:B165"/>
    <mergeCell ref="C165:F166"/>
    <mergeCell ref="G165:H166"/>
    <mergeCell ref="I165:L166"/>
    <mergeCell ref="M165:N166"/>
    <mergeCell ref="O165:O166"/>
    <mergeCell ref="A166:B166"/>
    <mergeCell ref="A167:B167"/>
    <mergeCell ref="C167:F168"/>
    <mergeCell ref="G167:H168"/>
    <mergeCell ref="I167:L168"/>
    <mergeCell ref="M167:N168"/>
    <mergeCell ref="O167:O168"/>
    <mergeCell ref="A159:B159"/>
    <mergeCell ref="C159:E159"/>
    <mergeCell ref="F159:G159"/>
    <mergeCell ref="H159:J159"/>
    <mergeCell ref="K159:O159"/>
    <mergeCell ref="A161:O161"/>
    <mergeCell ref="A164:B164"/>
    <mergeCell ref="C164:H164"/>
    <mergeCell ref="I164:O164"/>
    <mergeCell ref="A148:O148"/>
    <mergeCell ref="P148:Q148"/>
    <mergeCell ref="N149:O149"/>
    <mergeCell ref="A153:O153"/>
    <mergeCell ref="A156:C156"/>
    <mergeCell ref="D156:O156"/>
    <mergeCell ref="A157:C157"/>
    <mergeCell ref="D157:O157"/>
    <mergeCell ref="A158:B158"/>
    <mergeCell ref="C158:D158"/>
    <mergeCell ref="F158:G158"/>
    <mergeCell ref="H158:I158"/>
    <mergeCell ref="K158:L158"/>
    <mergeCell ref="M158:O158"/>
    <mergeCell ref="P142:Q142"/>
    <mergeCell ref="A143:B143"/>
    <mergeCell ref="P143:Q143"/>
    <mergeCell ref="D144:F144"/>
    <mergeCell ref="G144:H144"/>
    <mergeCell ref="J144:L144"/>
    <mergeCell ref="M144:O144"/>
    <mergeCell ref="A145:B147"/>
    <mergeCell ref="C145:O147"/>
    <mergeCell ref="A140:B140"/>
    <mergeCell ref="C140:F141"/>
    <mergeCell ref="G140:H141"/>
    <mergeCell ref="I140:L141"/>
    <mergeCell ref="M140:N141"/>
    <mergeCell ref="O140:O141"/>
    <mergeCell ref="A141:B141"/>
    <mergeCell ref="A142:B142"/>
    <mergeCell ref="C142:F143"/>
    <mergeCell ref="G142:H143"/>
    <mergeCell ref="I142:L143"/>
    <mergeCell ref="M142:N143"/>
    <mergeCell ref="O142:O143"/>
    <mergeCell ref="A134:B134"/>
    <mergeCell ref="C134:E134"/>
    <mergeCell ref="F134:G134"/>
    <mergeCell ref="H134:J134"/>
    <mergeCell ref="K134:O134"/>
    <mergeCell ref="A136:O136"/>
    <mergeCell ref="A139:B139"/>
    <mergeCell ref="C139:H139"/>
    <mergeCell ref="I139:O139"/>
    <mergeCell ref="A123:O123"/>
    <mergeCell ref="P123:Q123"/>
    <mergeCell ref="N124:O124"/>
    <mergeCell ref="A128:O128"/>
    <mergeCell ref="A131:C131"/>
    <mergeCell ref="D131:O131"/>
    <mergeCell ref="A132:C132"/>
    <mergeCell ref="D132:O132"/>
    <mergeCell ref="A133:B133"/>
    <mergeCell ref="C133:D133"/>
    <mergeCell ref="F133:G133"/>
    <mergeCell ref="H133:I133"/>
    <mergeCell ref="K133:L133"/>
    <mergeCell ref="M133:O133"/>
    <mergeCell ref="P117:Q117"/>
    <mergeCell ref="A118:B118"/>
    <mergeCell ref="P118:Q118"/>
    <mergeCell ref="D119:F119"/>
    <mergeCell ref="G119:H119"/>
    <mergeCell ref="J119:L119"/>
    <mergeCell ref="M119:O119"/>
    <mergeCell ref="A120:B122"/>
    <mergeCell ref="C120:O122"/>
    <mergeCell ref="A115:B115"/>
    <mergeCell ref="C115:F116"/>
    <mergeCell ref="G115:H116"/>
    <mergeCell ref="I115:L116"/>
    <mergeCell ref="M115:N116"/>
    <mergeCell ref="O115:O116"/>
    <mergeCell ref="A116:B116"/>
    <mergeCell ref="A117:B117"/>
    <mergeCell ref="C117:F118"/>
    <mergeCell ref="G117:H118"/>
    <mergeCell ref="I117:L118"/>
    <mergeCell ref="M117:N118"/>
    <mergeCell ref="O117:O118"/>
    <mergeCell ref="A109:B109"/>
    <mergeCell ref="C109:E109"/>
    <mergeCell ref="F109:G109"/>
    <mergeCell ref="H109:J109"/>
    <mergeCell ref="K109:O109"/>
    <mergeCell ref="A111:O111"/>
    <mergeCell ref="A114:B114"/>
    <mergeCell ref="C114:H114"/>
    <mergeCell ref="I114:O114"/>
    <mergeCell ref="A103:O103"/>
    <mergeCell ref="A106:C106"/>
    <mergeCell ref="D106:O106"/>
    <mergeCell ref="A107:C107"/>
    <mergeCell ref="D107:O107"/>
    <mergeCell ref="A108:B108"/>
    <mergeCell ref="C108:D108"/>
    <mergeCell ref="F108:G108"/>
    <mergeCell ref="H108:I108"/>
    <mergeCell ref="K108:L108"/>
    <mergeCell ref="M108:O108"/>
    <mergeCell ref="A95:B97"/>
    <mergeCell ref="C95:O97"/>
    <mergeCell ref="A98:O98"/>
    <mergeCell ref="P98:Q98"/>
    <mergeCell ref="N99:O99"/>
    <mergeCell ref="O92:O93"/>
    <mergeCell ref="P92:Q92"/>
    <mergeCell ref="A93:B93"/>
    <mergeCell ref="P93:Q93"/>
    <mergeCell ref="D94:F94"/>
    <mergeCell ref="G94:H94"/>
    <mergeCell ref="J94:L94"/>
    <mergeCell ref="M94:O94"/>
    <mergeCell ref="A92:B92"/>
    <mergeCell ref="C92:F93"/>
    <mergeCell ref="G92:H93"/>
    <mergeCell ref="I92:L93"/>
    <mergeCell ref="M92:N93"/>
    <mergeCell ref="A86:O86"/>
    <mergeCell ref="A89:B89"/>
    <mergeCell ref="C89:H89"/>
    <mergeCell ref="I89:O89"/>
    <mergeCell ref="A90:B90"/>
    <mergeCell ref="C90:F91"/>
    <mergeCell ref="G90:H91"/>
    <mergeCell ref="I90:L91"/>
    <mergeCell ref="M90:N91"/>
    <mergeCell ref="O90:O91"/>
    <mergeCell ref="A91:B91"/>
    <mergeCell ref="M83:O83"/>
    <mergeCell ref="A84:B84"/>
    <mergeCell ref="C84:E84"/>
    <mergeCell ref="F84:G84"/>
    <mergeCell ref="H84:J84"/>
    <mergeCell ref="K84:O84"/>
    <mergeCell ref="A83:B83"/>
    <mergeCell ref="C83:D83"/>
    <mergeCell ref="F83:G83"/>
    <mergeCell ref="H83:I83"/>
    <mergeCell ref="K83:L83"/>
    <mergeCell ref="A78:O78"/>
    <mergeCell ref="A81:C81"/>
    <mergeCell ref="D81:O81"/>
    <mergeCell ref="A82:C82"/>
    <mergeCell ref="D82:O82"/>
    <mergeCell ref="A70:B72"/>
    <mergeCell ref="C70:O72"/>
    <mergeCell ref="A73:O73"/>
    <mergeCell ref="P73:Q73"/>
    <mergeCell ref="N74:O74"/>
    <mergeCell ref="O67:O68"/>
    <mergeCell ref="P67:Q67"/>
    <mergeCell ref="A68:B68"/>
    <mergeCell ref="P68:Q68"/>
    <mergeCell ref="D69:F69"/>
    <mergeCell ref="G69:H69"/>
    <mergeCell ref="J69:L69"/>
    <mergeCell ref="M69:O69"/>
    <mergeCell ref="A67:B67"/>
    <mergeCell ref="C67:F68"/>
    <mergeCell ref="G67:H68"/>
    <mergeCell ref="I67:L68"/>
    <mergeCell ref="M67:N68"/>
    <mergeCell ref="A61:O61"/>
    <mergeCell ref="A64:B64"/>
    <mergeCell ref="C64:H64"/>
    <mergeCell ref="I64:O64"/>
    <mergeCell ref="A65:B65"/>
    <mergeCell ref="C65:F66"/>
    <mergeCell ref="G65:H66"/>
    <mergeCell ref="I65:L66"/>
    <mergeCell ref="M65:N66"/>
    <mergeCell ref="O65:O66"/>
    <mergeCell ref="A66:B66"/>
    <mergeCell ref="M58:O58"/>
    <mergeCell ref="A59:B59"/>
    <mergeCell ref="C59:E59"/>
    <mergeCell ref="F59:G59"/>
    <mergeCell ref="H59:J59"/>
    <mergeCell ref="K59:O59"/>
    <mergeCell ref="A58:B58"/>
    <mergeCell ref="C58:D58"/>
    <mergeCell ref="F58:G58"/>
    <mergeCell ref="H58:I58"/>
    <mergeCell ref="K58:L58"/>
    <mergeCell ref="A53:O53"/>
    <mergeCell ref="A56:C56"/>
    <mergeCell ref="D56:O56"/>
    <mergeCell ref="A57:C57"/>
    <mergeCell ref="D57:O57"/>
    <mergeCell ref="O15:O16"/>
    <mergeCell ref="A16:B16"/>
    <mergeCell ref="A15:B15"/>
    <mergeCell ref="C15:F16"/>
    <mergeCell ref="A20:B22"/>
    <mergeCell ref="I15:L16"/>
    <mergeCell ref="M15:N16"/>
    <mergeCell ref="G15:H16"/>
    <mergeCell ref="G17:H18"/>
    <mergeCell ref="G19:H19"/>
    <mergeCell ref="D19:F19"/>
    <mergeCell ref="J19:L19"/>
    <mergeCell ref="N24:O24"/>
    <mergeCell ref="A23:O23"/>
    <mergeCell ref="M33:O33"/>
    <mergeCell ref="A34:B34"/>
    <mergeCell ref="C34:E34"/>
    <mergeCell ref="F34:G34"/>
    <mergeCell ref="H34:J34"/>
    <mergeCell ref="I40:L41"/>
    <mergeCell ref="K34:O34"/>
    <mergeCell ref="A33:B33"/>
    <mergeCell ref="C33:D33"/>
    <mergeCell ref="F33:G33"/>
    <mergeCell ref="H33:I33"/>
    <mergeCell ref="K33:L33"/>
    <mergeCell ref="A36:O36"/>
    <mergeCell ref="P23:Q23"/>
    <mergeCell ref="M8:O8"/>
    <mergeCell ref="A14:B14"/>
    <mergeCell ref="F9:G9"/>
    <mergeCell ref="H9:J9"/>
    <mergeCell ref="K9:O9"/>
    <mergeCell ref="A11:O11"/>
    <mergeCell ref="I14:O14"/>
    <mergeCell ref="C14:H14"/>
    <mergeCell ref="H8:I8"/>
    <mergeCell ref="K8:L8"/>
    <mergeCell ref="A8:B8"/>
    <mergeCell ref="C8:D8"/>
    <mergeCell ref="F8:G8"/>
    <mergeCell ref="A9:B9"/>
    <mergeCell ref="C9:E9"/>
    <mergeCell ref="P17:Q17"/>
    <mergeCell ref="A18:B18"/>
    <mergeCell ref="P18:Q18"/>
    <mergeCell ref="A17:B17"/>
    <mergeCell ref="C17:F18"/>
    <mergeCell ref="C20:O22"/>
    <mergeCell ref="I17:L18"/>
    <mergeCell ref="A39:B39"/>
    <mergeCell ref="C39:H39"/>
    <mergeCell ref="I39:O39"/>
    <mergeCell ref="A3:O3"/>
    <mergeCell ref="A6:C6"/>
    <mergeCell ref="D6:O6"/>
    <mergeCell ref="A7:C7"/>
    <mergeCell ref="D7:O7"/>
    <mergeCell ref="A28:O28"/>
    <mergeCell ref="A31:C31"/>
    <mergeCell ref="D31:O31"/>
    <mergeCell ref="A32:C32"/>
    <mergeCell ref="D32:O32"/>
    <mergeCell ref="O17:O18"/>
    <mergeCell ref="M19:O19"/>
    <mergeCell ref="M17:N18"/>
    <mergeCell ref="M40:N41"/>
    <mergeCell ref="A45:B47"/>
    <mergeCell ref="C45:O47"/>
    <mergeCell ref="A48:O48"/>
    <mergeCell ref="P48:Q48"/>
    <mergeCell ref="N49:O49"/>
    <mergeCell ref="D44:F44"/>
    <mergeCell ref="G44:H44"/>
    <mergeCell ref="J44:L44"/>
    <mergeCell ref="M44:O44"/>
    <mergeCell ref="O40:O41"/>
    <mergeCell ref="A41:B41"/>
    <mergeCell ref="O42:O43"/>
    <mergeCell ref="P42:Q42"/>
    <mergeCell ref="A43:B43"/>
    <mergeCell ref="P43:Q43"/>
    <mergeCell ref="A42:B42"/>
    <mergeCell ref="C42:F43"/>
    <mergeCell ref="G42:H43"/>
    <mergeCell ref="I42:L43"/>
    <mergeCell ref="M42:N43"/>
    <mergeCell ref="A40:B40"/>
    <mergeCell ref="C40:F41"/>
    <mergeCell ref="G40:H41"/>
    <mergeCell ref="A253:O253"/>
    <mergeCell ref="A256:C256"/>
    <mergeCell ref="D256:O256"/>
    <mergeCell ref="A257:C257"/>
    <mergeCell ref="D257:O257"/>
    <mergeCell ref="A258:B258"/>
    <mergeCell ref="C258:D258"/>
    <mergeCell ref="F258:G258"/>
    <mergeCell ref="H258:I258"/>
    <mergeCell ref="K258:L258"/>
    <mergeCell ref="M258:O258"/>
    <mergeCell ref="A259:B259"/>
    <mergeCell ref="C259:E259"/>
    <mergeCell ref="F259:G259"/>
    <mergeCell ref="H259:J259"/>
    <mergeCell ref="K259:O259"/>
    <mergeCell ref="A261:O261"/>
    <mergeCell ref="A264:B264"/>
    <mergeCell ref="C264:H264"/>
    <mergeCell ref="I264:O264"/>
    <mergeCell ref="A265:B265"/>
    <mergeCell ref="C265:F266"/>
    <mergeCell ref="G265:H266"/>
    <mergeCell ref="I265:L266"/>
    <mergeCell ref="M265:N266"/>
    <mergeCell ref="O265:O266"/>
    <mergeCell ref="A266:B266"/>
    <mergeCell ref="A267:B267"/>
    <mergeCell ref="C267:F268"/>
    <mergeCell ref="G267:H268"/>
    <mergeCell ref="I267:L268"/>
    <mergeCell ref="M267:N268"/>
    <mergeCell ref="O267:O268"/>
    <mergeCell ref="P267:Q267"/>
    <mergeCell ref="A268:B268"/>
    <mergeCell ref="P268:Q268"/>
    <mergeCell ref="D269:F269"/>
    <mergeCell ref="G269:H269"/>
    <mergeCell ref="J269:L269"/>
    <mergeCell ref="M269:O269"/>
    <mergeCell ref="A270:B272"/>
    <mergeCell ref="C270:O272"/>
    <mergeCell ref="A273:O273"/>
    <mergeCell ref="P273:Q273"/>
    <mergeCell ref="N274:O274"/>
    <mergeCell ref="A278:O278"/>
    <mergeCell ref="A281:C281"/>
    <mergeCell ref="D281:O281"/>
    <mergeCell ref="A282:C282"/>
    <mergeCell ref="D282:O282"/>
    <mergeCell ref="A283:B283"/>
    <mergeCell ref="C283:D283"/>
    <mergeCell ref="F283:G283"/>
    <mergeCell ref="H283:I283"/>
    <mergeCell ref="K283:L283"/>
    <mergeCell ref="M283:O283"/>
    <mergeCell ref="A284:B284"/>
    <mergeCell ref="C284:E284"/>
    <mergeCell ref="F284:G284"/>
    <mergeCell ref="H284:J284"/>
    <mergeCell ref="K284:O284"/>
    <mergeCell ref="A286:O286"/>
    <mergeCell ref="A289:B289"/>
    <mergeCell ref="C289:H289"/>
    <mergeCell ref="I289:O289"/>
    <mergeCell ref="A290:B290"/>
    <mergeCell ref="C290:F291"/>
    <mergeCell ref="G290:H291"/>
    <mergeCell ref="I290:L291"/>
    <mergeCell ref="M290:N291"/>
    <mergeCell ref="O290:O291"/>
    <mergeCell ref="A291:B291"/>
    <mergeCell ref="A292:B292"/>
    <mergeCell ref="C292:F293"/>
    <mergeCell ref="G292:H293"/>
    <mergeCell ref="I292:L293"/>
    <mergeCell ref="M292:N293"/>
    <mergeCell ref="O292:O293"/>
    <mergeCell ref="P292:Q292"/>
    <mergeCell ref="A293:B293"/>
    <mergeCell ref="P293:Q293"/>
    <mergeCell ref="D294:F294"/>
    <mergeCell ref="G294:H294"/>
    <mergeCell ref="J294:L294"/>
    <mergeCell ref="M294:O294"/>
    <mergeCell ref="A295:B297"/>
    <mergeCell ref="C295:O297"/>
    <mergeCell ref="A298:O298"/>
    <mergeCell ref="P298:Q298"/>
    <mergeCell ref="N299:O299"/>
    <mergeCell ref="A303:O303"/>
    <mergeCell ref="A306:C306"/>
    <mergeCell ref="D306:O306"/>
    <mergeCell ref="A307:C307"/>
    <mergeCell ref="D307:O307"/>
    <mergeCell ref="A308:B308"/>
    <mergeCell ref="C308:D308"/>
    <mergeCell ref="F308:G308"/>
    <mergeCell ref="H308:I308"/>
    <mergeCell ref="K308:L308"/>
    <mergeCell ref="M308:O308"/>
    <mergeCell ref="A309:B309"/>
    <mergeCell ref="C309:E309"/>
    <mergeCell ref="F309:G309"/>
    <mergeCell ref="H309:J309"/>
    <mergeCell ref="K309:O309"/>
    <mergeCell ref="A311:O311"/>
    <mergeCell ref="A314:B314"/>
    <mergeCell ref="C314:H314"/>
    <mergeCell ref="I314:O314"/>
    <mergeCell ref="A315:B315"/>
    <mergeCell ref="C315:F316"/>
    <mergeCell ref="G315:H316"/>
    <mergeCell ref="I315:L316"/>
    <mergeCell ref="M315:N316"/>
    <mergeCell ref="O315:O316"/>
    <mergeCell ref="A316:B316"/>
    <mergeCell ref="A317:B317"/>
    <mergeCell ref="C317:F318"/>
    <mergeCell ref="G317:H318"/>
    <mergeCell ref="I317:L318"/>
    <mergeCell ref="M317:N318"/>
    <mergeCell ref="O317:O318"/>
    <mergeCell ref="A323:O323"/>
    <mergeCell ref="P323:Q323"/>
    <mergeCell ref="N324:O324"/>
    <mergeCell ref="P317:Q317"/>
    <mergeCell ref="A318:B318"/>
    <mergeCell ref="P318:Q318"/>
    <mergeCell ref="D319:F319"/>
    <mergeCell ref="G319:H319"/>
    <mergeCell ref="J319:L319"/>
    <mergeCell ref="M319:O319"/>
    <mergeCell ref="A320:B322"/>
    <mergeCell ref="C320:O322"/>
  </mergeCells>
  <phoneticPr fontId="15"/>
  <conditionalFormatting sqref="C17:F18 I17 D19 J19 C20 I15 O15">
    <cfRule type="expression" dxfId="128" priority="127">
      <formula>AND($H$8&lt;1500,$R$21&lt;&gt;1)</formula>
    </cfRule>
  </conditionalFormatting>
  <conditionalFormatting sqref="C42:F43 I42 O42 D44 J44 C45 I40 O40">
    <cfRule type="expression" dxfId="127" priority="120">
      <formula>AND($H$33&lt;1500,$R$46&lt;&gt;1)</formula>
    </cfRule>
  </conditionalFormatting>
  <conditionalFormatting sqref="C67:F68 I67 O67 D69 J69 C70 I65 O65">
    <cfRule type="expression" dxfId="126" priority="117">
      <formula>AND($H$58&lt;1500,$R$71&lt;&gt;1)</formula>
    </cfRule>
  </conditionalFormatting>
  <conditionalFormatting sqref="C92:F93 I92 O92 D94 J94 C95 I90 O90">
    <cfRule type="expression" dxfId="125" priority="114">
      <formula>AND($H$83&lt;1500,$R$96&lt;&gt;1)</formula>
    </cfRule>
  </conditionalFormatting>
  <conditionalFormatting sqref="C117:F118 I117 O117 D119 J119 C120 I115 O115">
    <cfRule type="expression" dxfId="124" priority="111">
      <formula>AND($H$108&lt;1500,$R$121&lt;&gt;1)</formula>
    </cfRule>
  </conditionalFormatting>
  <conditionalFormatting sqref="C142:F143 I142 O142 D144 J144 C145 I140 O140">
    <cfRule type="expression" dxfId="123" priority="108">
      <formula>AND($H$133&lt;1500,$R$146&lt;&gt;1)</formula>
    </cfRule>
  </conditionalFormatting>
  <conditionalFormatting sqref="C167:F168 I167 O167 D169 J169 C170 I165 O165">
    <cfRule type="expression" dxfId="122" priority="105">
      <formula>AND($H$158&lt;1500,$R$171&lt;&gt;1)</formula>
    </cfRule>
  </conditionalFormatting>
  <conditionalFormatting sqref="C192:F193 I192 O192 D194 J194 C195 I190 O190">
    <cfRule type="expression" dxfId="121" priority="102">
      <formula>AND($H$183&lt;1500,$R$196&lt;&gt;1)</formula>
    </cfRule>
  </conditionalFormatting>
  <conditionalFormatting sqref="C217:F218 I217 O217 D219 J219 C220 I215 O215">
    <cfRule type="expression" dxfId="120" priority="99">
      <formula>AND($H$208&lt;1500,$R$221&lt;&gt;1)</formula>
    </cfRule>
  </conditionalFormatting>
  <conditionalFormatting sqref="C242:F243 I242 O242 D244 J244 C245 I240 O240">
    <cfRule type="expression" dxfId="119" priority="96">
      <formula>AND($H$233&lt;1500,$R$246&lt;&gt;1)</formula>
    </cfRule>
  </conditionalFormatting>
  <conditionalFormatting sqref="C267:F268 I267 O267 D269 J269 C270 I265 O265">
    <cfRule type="expression" dxfId="118" priority="93">
      <formula>AND($H$259&lt;1500,$R$271&lt;&gt;1)</formula>
    </cfRule>
  </conditionalFormatting>
  <conditionalFormatting sqref="C292:F293 I292 O292 D294 J294 C295 I290 O290">
    <cfRule type="expression" dxfId="117" priority="90">
      <formula>AND($H$283&lt;1500,$R$296&lt;&gt;1)</formula>
    </cfRule>
  </conditionalFormatting>
  <conditionalFormatting sqref="C317:F318 I317 O317 D319 J319 C320 I315 O315">
    <cfRule type="expression" dxfId="116" priority="87">
      <formula>AND($H$308&lt;1500,$R$321&lt;&gt;1)</formula>
    </cfRule>
  </conditionalFormatting>
  <conditionalFormatting sqref="C342:F343 I342 O342 D344 J344 C345 I340 O340">
    <cfRule type="expression" dxfId="115" priority="84">
      <formula>AND($H$333&lt;1500,$R$346&lt;&gt;1)</formula>
    </cfRule>
  </conditionalFormatting>
  <conditionalFormatting sqref="C367:F368 I367 O367 D369 J369 C370 I365 O365">
    <cfRule type="expression" dxfId="114" priority="81">
      <formula>AND($H$358&lt;1500,$R$371&lt;&gt;1)</formula>
    </cfRule>
  </conditionalFormatting>
  <conditionalFormatting sqref="C392:F393 I392 O392 D394 J394 C395 I390 O390">
    <cfRule type="expression" dxfId="113" priority="78">
      <formula>AND($H$383&lt;1500,$R$396&lt;&gt;1)</formula>
    </cfRule>
  </conditionalFormatting>
  <conditionalFormatting sqref="C417:F418 I417 O417 D419 J419 C420 I415 O415">
    <cfRule type="expression" dxfId="112" priority="75">
      <formula>AND($H$408&lt;1500,$R$421&lt;&gt;1)</formula>
    </cfRule>
  </conditionalFormatting>
  <conditionalFormatting sqref="C442:F443 I442 O442 D444 J444 C445 I440 O440">
    <cfRule type="expression" dxfId="111" priority="72">
      <formula>AND($H$433&lt;1500,$R$446&lt;&gt;1)</formula>
    </cfRule>
  </conditionalFormatting>
  <conditionalFormatting sqref="C467:F468 I467 O467 D469 J469 C470 I465 O465">
    <cfRule type="expression" dxfId="110" priority="69">
      <formula>AND($H$458&lt;1500,$R$471&lt;&gt;1)</formula>
    </cfRule>
  </conditionalFormatting>
  <conditionalFormatting sqref="C492:F493 I492 O492 D494 J494 C495 I490 O490">
    <cfRule type="expression" dxfId="109" priority="66">
      <formula>AND($H$483&lt;1500,$R$496&lt;&gt;1)</formula>
    </cfRule>
  </conditionalFormatting>
  <conditionalFormatting sqref="C517:F518 I517 O517 D519 J519 C520 I515 O515">
    <cfRule type="expression" dxfId="108" priority="63">
      <formula>AND($H$508&lt;1500,$R$521&lt;&gt;1)</formula>
    </cfRule>
  </conditionalFormatting>
  <conditionalFormatting sqref="C542:F543 I542 O542 D544 J544 C545 I540 O540">
    <cfRule type="expression" dxfId="107" priority="60">
      <formula>AND($H$533&lt;1500,$R$546&lt;&gt;1)</formula>
    </cfRule>
  </conditionalFormatting>
  <conditionalFormatting sqref="C567:F568 I567 O567 D569 J569 C570 I565 O565">
    <cfRule type="expression" dxfId="106" priority="57">
      <formula>AND($H$558&lt;1500,$R$571&lt;&gt;1)</formula>
    </cfRule>
  </conditionalFormatting>
  <conditionalFormatting sqref="C592:F593 I592 O592 D594 J594 C595 I590 O590">
    <cfRule type="expression" dxfId="105" priority="54">
      <formula>AND($H$583&lt;1500,$R$596&lt;&gt;1)</formula>
    </cfRule>
  </conditionalFormatting>
  <conditionalFormatting sqref="C617:F618 I617 O617 D619 J619 C620 I615 O615">
    <cfRule type="expression" dxfId="104" priority="51">
      <formula>AND($H$608&lt;1500,$R$621&lt;&gt;1)</formula>
    </cfRule>
  </conditionalFormatting>
  <conditionalFormatting sqref="C642:F643 I642 O642 D644 J644 C645 I640 O640">
    <cfRule type="expression" dxfId="103" priority="48">
      <formula>AND($H$633&lt;1500,$R$646&lt;&gt;1)</formula>
    </cfRule>
  </conditionalFormatting>
  <conditionalFormatting sqref="C667:F668 I667 O667 D669 J669 C670 I665 O665">
    <cfRule type="expression" dxfId="102" priority="45">
      <formula>AND($H$658&lt;1500,$R$671&lt;&gt;1)</formula>
    </cfRule>
  </conditionalFormatting>
  <conditionalFormatting sqref="C692:F693 I692 O692 D694 J694 C695 I690 O690">
    <cfRule type="expression" dxfId="101" priority="42">
      <formula>AND($H$683&lt;1500,$R$696&lt;&gt;1)</formula>
    </cfRule>
  </conditionalFormatting>
  <conditionalFormatting sqref="C717:F718 I717 O717 D719 J719 C720 I715 O715">
    <cfRule type="expression" dxfId="100" priority="39">
      <formula>AND($H$708&lt;1500,$R$721&lt;&gt;1)</formula>
    </cfRule>
  </conditionalFormatting>
  <conditionalFormatting sqref="C742:F743 I742 O742 D744 J744 C745 I740 O740">
    <cfRule type="expression" dxfId="99" priority="36">
      <formula>AND($H$733&lt;1500,$R$746&lt;&gt;1)</formula>
    </cfRule>
  </conditionalFormatting>
  <conditionalFormatting sqref="C767:F768 I767 O767 D769 J769 C770 I765 O765">
    <cfRule type="expression" dxfId="98" priority="33">
      <formula>AND($H$758&lt;1500,$R$771&lt;&gt;1)</formula>
    </cfRule>
  </conditionalFormatting>
  <conditionalFormatting sqref="C792:F793 I792 O792 D794 J794 C795 I790 O790">
    <cfRule type="expression" dxfId="97" priority="30">
      <formula>AND($H$783&lt;1500,$R$796&lt;&gt;1)</formula>
    </cfRule>
  </conditionalFormatting>
  <conditionalFormatting sqref="C817:F818 I817 O817 D819 J819 C820 I815 O815">
    <cfRule type="expression" dxfId="96" priority="27">
      <formula>AND($H$808&lt;1500,$R$821&lt;&gt;1)</formula>
    </cfRule>
  </conditionalFormatting>
  <conditionalFormatting sqref="C842:F843 I842 O842 D844 J844 C845 I840 O840">
    <cfRule type="expression" dxfId="95" priority="24">
      <formula>AND($H$833&lt;1500,$R$846&lt;&gt;1)</formula>
    </cfRule>
  </conditionalFormatting>
  <conditionalFormatting sqref="C867:F868 I867 O867 D869 J869 C870 I865 O865">
    <cfRule type="expression" dxfId="94" priority="21">
      <formula>AND($H$858&lt;1500,$R$871&lt;&gt;1)</formula>
    </cfRule>
  </conditionalFormatting>
  <conditionalFormatting sqref="C892:F893 I892 O892 D894 J894 C895 I890 O890">
    <cfRule type="expression" dxfId="93" priority="18">
      <formula>AND($H$883&lt;1500,$R$896&lt;&gt;1)</formula>
    </cfRule>
  </conditionalFormatting>
  <conditionalFormatting sqref="C917:F918 I917 O917 D919 J919 C920 I915 O915">
    <cfRule type="expression" dxfId="92" priority="15">
      <formula>AND($H$908&lt;1500,$R$921&lt;&gt;1)</formula>
    </cfRule>
  </conditionalFormatting>
  <conditionalFormatting sqref="C942:F943 I942 O942 D944 J944 C945 I940 O940">
    <cfRule type="expression" dxfId="91" priority="12">
      <formula>AND($H$933&lt;1500,$R$946&lt;&gt;1)</formula>
    </cfRule>
  </conditionalFormatting>
  <conditionalFormatting sqref="C967:F968 I967 O967 D969 J969 C970 I965 O965">
    <cfRule type="expression" dxfId="90" priority="9">
      <formula>AND($H$958&lt;1500,$R$971&lt;&gt;1)</formula>
    </cfRule>
  </conditionalFormatting>
  <conditionalFormatting sqref="C992:F993 I992 O992 D994 J994 C995 I990 O990">
    <cfRule type="expression" dxfId="89" priority="6">
      <formula>AND($H$983&lt;1500,$R$996&lt;&gt;1)</formula>
    </cfRule>
  </conditionalFormatting>
  <dataValidations count="9">
    <dataValidation type="list" allowBlank="1" showInputMessage="1" showErrorMessage="1" sqref="C9:E9 C34:E34 C59:E59 C84:E84 C109:E109 C134:E134 C159:E159 C184:E184 C209:E209 C234:E234 C259:E259 C284:E284 C309:E309 C334:E334 C359:E359 C384:E384 C409:E409 C434:E434 C459:E459 C484:E484 C509:E509 C534:E534 C559:E559 C584:E584 C609:E609 C634:E634 C659:E659 C684:E684 C709:E709 C734:E734 C759:E759 C784:E784 C809:E809 C834:E834 C859:E859 C884:E884 C909:E909 C934:E934 C959:E959 C984:E984" xr:uid="{00000000-0002-0000-4600-000000000000}">
      <formula1>$T$8:$T$10</formula1>
    </dataValidation>
    <dataValidation type="list" allowBlank="1" showInputMessage="1" showErrorMessage="1" sqref="H9:J9 H34:J34 H59:J59 H84:J84 H109:J109 H134:J134 H159:J159 H184:J184 H209:J209 H234:J234 H259:J259 H284:J284 H309:J309 H334:J334 H359:J359 H384:J384 H409:J409 H434:J434 H459:J459 H484:J484 H509:J509 H534:J534 H559:J559 H584:J584 H609:J609 H634:J634 H659:J659 H684:J684 H709:J709 H734:J734 H759:J759 H784:J784 H809:J809 H834:J834 H859:J859 H884:J884 H909:J909 H934:J934 H959:J959 H984:J984" xr:uid="{00000000-0002-0000-4600-000001000000}">
      <formula1>$R$8:$R$10</formula1>
    </dataValidation>
    <dataValidation type="decimal" operator="greaterThan" allowBlank="1" showInputMessage="1" showErrorMessage="1" sqref="C967:F968 C17:F18 C42:F43 C67:F68 C92:F93 C117:F118 C142:F143 C167:F168 C192:F193 C217:F218 C242:F243 C267:F268 C292:F293 C317:F318 C342:F343 C367:F368 C392:F393 C417:F418 C442:F443 C467:F468 C492:F493 C517:F518 C542:F543 C567:F568 C592:F593 C617:F618 C642:F643 C667:F668 C692:F693 C717:F718 C742:F743 C767:F768 C792:F793 C817:F818 C842:F843 C867:F868 C892:F893 C917:F918 C942:F943 C992:F993" xr:uid="{00000000-0002-0000-4600-000002000000}">
      <formula1>0</formula1>
    </dataValidation>
    <dataValidation type="whole" operator="greaterThanOrEqual" allowBlank="1" showInputMessage="1" showErrorMessage="1" sqref="H8:I8 H33:I33 H58:I58 H83:I83 H108:I108 H133:I133 H158:I158 H183:I183 H208:I208 H233:I233 H258:I258 H283:I283 H308:I308 H333:I333 H358:I358 H383:I383 H408:I408 H433:I433 H458:I458 H483:I483 H508:I508 H533:I533 H558:I558 H583:I583 H608:I608 H633:I633 H658:I658 H683:I683 H708:I708 H733:I733 H758:I758 H783:I783 H808:I808 H833:I833 H858:I858 H883:I883 H908:I908 H933:I933 H958:I958 H983:I983" xr:uid="{00000000-0002-0000-4600-000003000000}">
      <formula1>0</formula1>
    </dataValidation>
    <dataValidation type="decimal" operator="greaterThanOrEqual" allowBlank="1" showInputMessage="1" showErrorMessage="1" sqref="C983:D983 C33:D33 C58:D58 C83:D83 C108:D108 C133:D133 C158:D158 C183:D183 C208:D208 C233:D233 C258:D258 C283:D283 C308:D308 C333:D333 C358:D358 C383:D383 C408:D408 C433:D433 C458:D458 C483:D483 C508:D508 C533:D533 C558:D558 C583:D583 C608:D608 C633:D633 C658:D658 C683:D683 C708:D708 C733:D733 C758:D758 C783:D783 C808:D808 C833:D833 C858:D858 C883:D883 C908:D908 C933:D933 C958:D958" xr:uid="{00000000-0002-0000-4600-000004000000}">
      <formula1>0</formula1>
    </dataValidation>
    <dataValidation type="list" allowBlank="1" showInputMessage="1" showErrorMessage="1" sqref="M983:O983 M8:O8 M58:O58 M83:O83 M108:O108 M133:O133 M158:O158 M183:O183 M208:O208 M233:O233 M258:O258 M283:O283 M308:O308 M333:O333 M358:O358 M383:O383 M408:O408 M433:O433 M458:O458 M483:O483 M508:O508 M533:O533 M558:O558 M583:O583 M608:O608 M633:O633 M658:O658 M683:O683 M708:O708 M733:O733 M758:O758 M783:O783 M808:O808 M833:O833 M858:O858 M883:O883 M908:O908 M933:O933 M958:O958 M33:O33" xr:uid="{00000000-0002-0000-4600-000005000000}">
      <formula1>$U$6:$U$22</formula1>
    </dataValidation>
    <dataValidation operator="greaterThan" allowBlank="1" showInputMessage="1" showErrorMessage="1" sqref="C19 C44 C69 C94 C119 C144 C169 C194 C219 C244 C269 C294 C319 C344 C369 C394 C419 C444 C469 C494 C519 C544 C569 C594 C619 C644 C669 C694 C719 C744 C769 C794 C819 C844 C869 C894 C919 C944 C969 C994 C15:F16 C65:F66 C90:F91 C115:F116 C140:F141 C165:F166 C190:F191 C215:F216 C240:F241 C265:F266 C290:F291 C315:F316 C340:F341 C365:F366 C390:F391 C415:F416 C440:F441 C465:F466 C490:F491 C515:F516 C540:F541 C565:F566 C590:F591 C615:F616 C640:F641 C665:F666 C690:F691 C715:F716 C740:F741 C765:F766 C790:F791 C815:F816 C840:F841 C865:F866 C890:F891 C915:F916 C940:F941 C965:F966 C990:F991" xr:uid="{00000000-0002-0000-4600-000006000000}"/>
    <dataValidation operator="greaterThanOrEqual" allowBlank="1" showInputMessage="1" showErrorMessage="1" sqref="C8:D8" xr:uid="{293D1487-26B2-4B13-AF7E-990AC942267A}"/>
    <dataValidation operator="greaterThan" showInputMessage="1" showErrorMessage="1" sqref="C40:F41" xr:uid="{1280D4E6-3839-43DE-B786-19EC36CB3155}"/>
  </dataValidations>
  <printOptions horizontalCentered="1"/>
  <pageMargins left="0.59055118110236227" right="0.59055118110236227" top="0.39370078740157483" bottom="0.59055118110236227" header="0.31496062992125984" footer="0.23622047244094491"/>
  <pageSetup paperSize="9" scale="9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29" r:id="rId4" name="Option Button 1する">
              <controlPr defaultSize="0" autoFill="0" autoLine="0" autoPict="0">
                <anchor moveWithCells="1">
                  <from>
                    <xdr:col>22</xdr:col>
                    <xdr:colOff>476250</xdr:colOff>
                    <xdr:row>19</xdr:row>
                    <xdr:rowOff>19050</xdr:rowOff>
                  </from>
                  <to>
                    <xdr:col>23</xdr:col>
                    <xdr:colOff>28575</xdr:colOff>
                    <xdr:row>19</xdr:row>
                    <xdr:rowOff>342900</xdr:rowOff>
                  </to>
                </anchor>
              </controlPr>
            </control>
          </mc:Choice>
        </mc:AlternateContent>
        <mc:AlternateContent xmlns:mc="http://schemas.openxmlformats.org/markup-compatibility/2006">
          <mc:Choice Requires="x14">
            <control shapeId="81930" r:id="rId5" name="Option Button 1しない">
              <controlPr defaultSize="0" autoFill="0" autoLine="0" autoPict="0">
                <anchor moveWithCells="1">
                  <from>
                    <xdr:col>22</xdr:col>
                    <xdr:colOff>476250</xdr:colOff>
                    <xdr:row>19</xdr:row>
                    <xdr:rowOff>285750</xdr:rowOff>
                  </from>
                  <to>
                    <xdr:col>23</xdr:col>
                    <xdr:colOff>28575</xdr:colOff>
                    <xdr:row>20</xdr:row>
                    <xdr:rowOff>257175</xdr:rowOff>
                  </to>
                </anchor>
              </controlPr>
            </control>
          </mc:Choice>
        </mc:AlternateContent>
        <mc:AlternateContent xmlns:mc="http://schemas.openxmlformats.org/markup-compatibility/2006">
          <mc:Choice Requires="x14">
            <control shapeId="81932" r:id="rId6" name="Group Box 1">
              <controlPr defaultSize="0" autoFill="0" autoPict="0">
                <anchor moveWithCells="1">
                  <from>
                    <xdr:col>22</xdr:col>
                    <xdr:colOff>285750</xdr:colOff>
                    <xdr:row>18</xdr:row>
                    <xdr:rowOff>304800</xdr:rowOff>
                  </from>
                  <to>
                    <xdr:col>24</xdr:col>
                    <xdr:colOff>666750</xdr:colOff>
                    <xdr:row>20</xdr:row>
                    <xdr:rowOff>333375</xdr:rowOff>
                  </to>
                </anchor>
              </controlPr>
            </control>
          </mc:Choice>
        </mc:AlternateContent>
        <mc:AlternateContent xmlns:mc="http://schemas.openxmlformats.org/markup-compatibility/2006">
          <mc:Choice Requires="x14">
            <control shapeId="81934" r:id="rId7" name="Option Button 14">
              <controlPr defaultSize="0" autoFill="0" autoLine="0" autoPict="0">
                <anchor moveWithCells="1">
                  <from>
                    <xdr:col>22</xdr:col>
                    <xdr:colOff>476250</xdr:colOff>
                    <xdr:row>44</xdr:row>
                    <xdr:rowOff>19050</xdr:rowOff>
                  </from>
                  <to>
                    <xdr:col>23</xdr:col>
                    <xdr:colOff>28575</xdr:colOff>
                    <xdr:row>44</xdr:row>
                    <xdr:rowOff>342900</xdr:rowOff>
                  </to>
                </anchor>
              </controlPr>
            </control>
          </mc:Choice>
        </mc:AlternateContent>
        <mc:AlternateContent xmlns:mc="http://schemas.openxmlformats.org/markup-compatibility/2006">
          <mc:Choice Requires="x14">
            <control shapeId="81935" r:id="rId8" name="Option Button 15">
              <controlPr defaultSize="0" autoFill="0" autoLine="0" autoPict="0">
                <anchor moveWithCells="1">
                  <from>
                    <xdr:col>22</xdr:col>
                    <xdr:colOff>476250</xdr:colOff>
                    <xdr:row>44</xdr:row>
                    <xdr:rowOff>285750</xdr:rowOff>
                  </from>
                  <to>
                    <xdr:col>23</xdr:col>
                    <xdr:colOff>28575</xdr:colOff>
                    <xdr:row>45</xdr:row>
                    <xdr:rowOff>257175</xdr:rowOff>
                  </to>
                </anchor>
              </controlPr>
            </control>
          </mc:Choice>
        </mc:AlternateContent>
        <mc:AlternateContent xmlns:mc="http://schemas.openxmlformats.org/markup-compatibility/2006">
          <mc:Choice Requires="x14">
            <control shapeId="81937" r:id="rId9" name="Group Box 17">
              <controlPr defaultSize="0" autoFill="0" autoPict="0">
                <anchor moveWithCells="1">
                  <from>
                    <xdr:col>22</xdr:col>
                    <xdr:colOff>295275</xdr:colOff>
                    <xdr:row>43</xdr:row>
                    <xdr:rowOff>276225</xdr:rowOff>
                  </from>
                  <to>
                    <xdr:col>24</xdr:col>
                    <xdr:colOff>762000</xdr:colOff>
                    <xdr:row>45</xdr:row>
                    <xdr:rowOff>390525</xdr:rowOff>
                  </to>
                </anchor>
              </controlPr>
            </control>
          </mc:Choice>
        </mc:AlternateContent>
        <mc:AlternateContent xmlns:mc="http://schemas.openxmlformats.org/markup-compatibility/2006">
          <mc:Choice Requires="x14">
            <control shapeId="81945" r:id="rId10" name="Option Button 25">
              <controlPr defaultSize="0" autoFill="0" autoLine="0" autoPict="0">
                <anchor moveWithCells="1">
                  <from>
                    <xdr:col>22</xdr:col>
                    <xdr:colOff>438150</xdr:colOff>
                    <xdr:row>69</xdr:row>
                    <xdr:rowOff>47625</xdr:rowOff>
                  </from>
                  <to>
                    <xdr:col>22</xdr:col>
                    <xdr:colOff>666750</xdr:colOff>
                    <xdr:row>70</xdr:row>
                    <xdr:rowOff>19050</xdr:rowOff>
                  </to>
                </anchor>
              </controlPr>
            </control>
          </mc:Choice>
        </mc:AlternateContent>
        <mc:AlternateContent xmlns:mc="http://schemas.openxmlformats.org/markup-compatibility/2006">
          <mc:Choice Requires="x14">
            <control shapeId="81946" r:id="rId11" name="Option Button 26">
              <controlPr defaultSize="0" autoFill="0" autoLine="0" autoPict="0">
                <anchor moveWithCells="1">
                  <from>
                    <xdr:col>22</xdr:col>
                    <xdr:colOff>438150</xdr:colOff>
                    <xdr:row>69</xdr:row>
                    <xdr:rowOff>314325</xdr:rowOff>
                  </from>
                  <to>
                    <xdr:col>22</xdr:col>
                    <xdr:colOff>666750</xdr:colOff>
                    <xdr:row>70</xdr:row>
                    <xdr:rowOff>285750</xdr:rowOff>
                  </to>
                </anchor>
              </controlPr>
            </control>
          </mc:Choice>
        </mc:AlternateContent>
        <mc:AlternateContent xmlns:mc="http://schemas.openxmlformats.org/markup-compatibility/2006">
          <mc:Choice Requires="x14">
            <control shapeId="81947" r:id="rId12" name="Group Box 27">
              <controlPr defaultSize="0" autoFill="0" autoPict="0">
                <anchor moveWithCells="1">
                  <from>
                    <xdr:col>22</xdr:col>
                    <xdr:colOff>247650</xdr:colOff>
                    <xdr:row>68</xdr:row>
                    <xdr:rowOff>295275</xdr:rowOff>
                  </from>
                  <to>
                    <xdr:col>24</xdr:col>
                    <xdr:colOff>714375</xdr:colOff>
                    <xdr:row>70</xdr:row>
                    <xdr:rowOff>409575</xdr:rowOff>
                  </to>
                </anchor>
              </controlPr>
            </control>
          </mc:Choice>
        </mc:AlternateContent>
        <mc:AlternateContent xmlns:mc="http://schemas.openxmlformats.org/markup-compatibility/2006">
          <mc:Choice Requires="x14">
            <control shapeId="81951" r:id="rId13" name="Option Button 31">
              <controlPr defaultSize="0" autoFill="0" autoLine="0" autoPict="0">
                <anchor moveWithCells="1">
                  <from>
                    <xdr:col>22</xdr:col>
                    <xdr:colOff>371475</xdr:colOff>
                    <xdr:row>94</xdr:row>
                    <xdr:rowOff>38100</xdr:rowOff>
                  </from>
                  <to>
                    <xdr:col>22</xdr:col>
                    <xdr:colOff>600075</xdr:colOff>
                    <xdr:row>95</xdr:row>
                    <xdr:rowOff>9525</xdr:rowOff>
                  </to>
                </anchor>
              </controlPr>
            </control>
          </mc:Choice>
        </mc:AlternateContent>
        <mc:AlternateContent xmlns:mc="http://schemas.openxmlformats.org/markup-compatibility/2006">
          <mc:Choice Requires="x14">
            <control shapeId="81952" r:id="rId14" name="Option Button 32">
              <controlPr defaultSize="0" autoFill="0" autoLine="0" autoPict="0">
                <anchor moveWithCells="1">
                  <from>
                    <xdr:col>22</xdr:col>
                    <xdr:colOff>371475</xdr:colOff>
                    <xdr:row>94</xdr:row>
                    <xdr:rowOff>304800</xdr:rowOff>
                  </from>
                  <to>
                    <xdr:col>22</xdr:col>
                    <xdr:colOff>600075</xdr:colOff>
                    <xdr:row>95</xdr:row>
                    <xdr:rowOff>276225</xdr:rowOff>
                  </to>
                </anchor>
              </controlPr>
            </control>
          </mc:Choice>
        </mc:AlternateContent>
        <mc:AlternateContent xmlns:mc="http://schemas.openxmlformats.org/markup-compatibility/2006">
          <mc:Choice Requires="x14">
            <control shapeId="81954" r:id="rId15" name="Option Button 34">
              <controlPr defaultSize="0" autoFill="0" autoLine="0" autoPict="0">
                <anchor moveWithCells="1">
                  <from>
                    <xdr:col>22</xdr:col>
                    <xdr:colOff>342900</xdr:colOff>
                    <xdr:row>119</xdr:row>
                    <xdr:rowOff>38100</xdr:rowOff>
                  </from>
                  <to>
                    <xdr:col>22</xdr:col>
                    <xdr:colOff>571500</xdr:colOff>
                    <xdr:row>120</xdr:row>
                    <xdr:rowOff>9525</xdr:rowOff>
                  </to>
                </anchor>
              </controlPr>
            </control>
          </mc:Choice>
        </mc:AlternateContent>
        <mc:AlternateContent xmlns:mc="http://schemas.openxmlformats.org/markup-compatibility/2006">
          <mc:Choice Requires="x14">
            <control shapeId="81957" r:id="rId16" name="Option Button 37">
              <controlPr defaultSize="0" autoFill="0" autoLine="0" autoPict="0">
                <anchor moveWithCells="1">
                  <from>
                    <xdr:col>22</xdr:col>
                    <xdr:colOff>371475</xdr:colOff>
                    <xdr:row>144</xdr:row>
                    <xdr:rowOff>38100</xdr:rowOff>
                  </from>
                  <to>
                    <xdr:col>22</xdr:col>
                    <xdr:colOff>600075</xdr:colOff>
                    <xdr:row>145</xdr:row>
                    <xdr:rowOff>9525</xdr:rowOff>
                  </to>
                </anchor>
              </controlPr>
            </control>
          </mc:Choice>
        </mc:AlternateContent>
        <mc:AlternateContent xmlns:mc="http://schemas.openxmlformats.org/markup-compatibility/2006">
          <mc:Choice Requires="x14">
            <control shapeId="81958" r:id="rId17" name="Option Button 38">
              <controlPr defaultSize="0" autoFill="0" autoLine="0" autoPict="0">
                <anchor moveWithCells="1">
                  <from>
                    <xdr:col>22</xdr:col>
                    <xdr:colOff>371475</xdr:colOff>
                    <xdr:row>144</xdr:row>
                    <xdr:rowOff>304800</xdr:rowOff>
                  </from>
                  <to>
                    <xdr:col>22</xdr:col>
                    <xdr:colOff>600075</xdr:colOff>
                    <xdr:row>145</xdr:row>
                    <xdr:rowOff>285750</xdr:rowOff>
                  </to>
                </anchor>
              </controlPr>
            </control>
          </mc:Choice>
        </mc:AlternateContent>
        <mc:AlternateContent xmlns:mc="http://schemas.openxmlformats.org/markup-compatibility/2006">
          <mc:Choice Requires="x14">
            <control shapeId="81959" r:id="rId18" name="Group Box 39">
              <controlPr defaultSize="0" autoFill="0" autoPict="0">
                <anchor moveWithCells="1">
                  <from>
                    <xdr:col>22</xdr:col>
                    <xdr:colOff>190500</xdr:colOff>
                    <xdr:row>143</xdr:row>
                    <xdr:rowOff>285750</xdr:rowOff>
                  </from>
                  <to>
                    <xdr:col>24</xdr:col>
                    <xdr:colOff>657225</xdr:colOff>
                    <xdr:row>145</xdr:row>
                    <xdr:rowOff>409575</xdr:rowOff>
                  </to>
                </anchor>
              </controlPr>
            </control>
          </mc:Choice>
        </mc:AlternateContent>
        <mc:AlternateContent xmlns:mc="http://schemas.openxmlformats.org/markup-compatibility/2006">
          <mc:Choice Requires="x14">
            <control shapeId="81960" r:id="rId19" name="Option Button 40">
              <controlPr defaultSize="0" autoFill="0" autoLine="0" autoPict="0">
                <anchor moveWithCells="1">
                  <from>
                    <xdr:col>22</xdr:col>
                    <xdr:colOff>371475</xdr:colOff>
                    <xdr:row>169</xdr:row>
                    <xdr:rowOff>38100</xdr:rowOff>
                  </from>
                  <to>
                    <xdr:col>22</xdr:col>
                    <xdr:colOff>600075</xdr:colOff>
                    <xdr:row>170</xdr:row>
                    <xdr:rowOff>9525</xdr:rowOff>
                  </to>
                </anchor>
              </controlPr>
            </control>
          </mc:Choice>
        </mc:AlternateContent>
        <mc:AlternateContent xmlns:mc="http://schemas.openxmlformats.org/markup-compatibility/2006">
          <mc:Choice Requires="x14">
            <control shapeId="81961" r:id="rId20" name="Option Button 41">
              <controlPr defaultSize="0" autoFill="0" autoLine="0" autoPict="0">
                <anchor moveWithCells="1">
                  <from>
                    <xdr:col>22</xdr:col>
                    <xdr:colOff>371475</xdr:colOff>
                    <xdr:row>169</xdr:row>
                    <xdr:rowOff>304800</xdr:rowOff>
                  </from>
                  <to>
                    <xdr:col>22</xdr:col>
                    <xdr:colOff>600075</xdr:colOff>
                    <xdr:row>170</xdr:row>
                    <xdr:rowOff>285750</xdr:rowOff>
                  </to>
                </anchor>
              </controlPr>
            </control>
          </mc:Choice>
        </mc:AlternateContent>
        <mc:AlternateContent xmlns:mc="http://schemas.openxmlformats.org/markup-compatibility/2006">
          <mc:Choice Requires="x14">
            <control shapeId="81962" r:id="rId21" name="Group Box 42">
              <controlPr defaultSize="0" autoFill="0" autoPict="0">
                <anchor moveWithCells="1">
                  <from>
                    <xdr:col>22</xdr:col>
                    <xdr:colOff>190500</xdr:colOff>
                    <xdr:row>168</xdr:row>
                    <xdr:rowOff>285750</xdr:rowOff>
                  </from>
                  <to>
                    <xdr:col>24</xdr:col>
                    <xdr:colOff>657225</xdr:colOff>
                    <xdr:row>170</xdr:row>
                    <xdr:rowOff>409575</xdr:rowOff>
                  </to>
                </anchor>
              </controlPr>
            </control>
          </mc:Choice>
        </mc:AlternateContent>
        <mc:AlternateContent xmlns:mc="http://schemas.openxmlformats.org/markup-compatibility/2006">
          <mc:Choice Requires="x14">
            <control shapeId="81963" r:id="rId22" name="Option Button 43">
              <controlPr defaultSize="0" autoFill="0" autoLine="0" autoPict="0">
                <anchor moveWithCells="1">
                  <from>
                    <xdr:col>22</xdr:col>
                    <xdr:colOff>371475</xdr:colOff>
                    <xdr:row>194</xdr:row>
                    <xdr:rowOff>38100</xdr:rowOff>
                  </from>
                  <to>
                    <xdr:col>22</xdr:col>
                    <xdr:colOff>600075</xdr:colOff>
                    <xdr:row>195</xdr:row>
                    <xdr:rowOff>9525</xdr:rowOff>
                  </to>
                </anchor>
              </controlPr>
            </control>
          </mc:Choice>
        </mc:AlternateContent>
        <mc:AlternateContent xmlns:mc="http://schemas.openxmlformats.org/markup-compatibility/2006">
          <mc:Choice Requires="x14">
            <control shapeId="81964" r:id="rId23" name="Option Button 44">
              <controlPr defaultSize="0" autoFill="0" autoLine="0" autoPict="0">
                <anchor moveWithCells="1">
                  <from>
                    <xdr:col>22</xdr:col>
                    <xdr:colOff>371475</xdr:colOff>
                    <xdr:row>194</xdr:row>
                    <xdr:rowOff>304800</xdr:rowOff>
                  </from>
                  <to>
                    <xdr:col>22</xdr:col>
                    <xdr:colOff>600075</xdr:colOff>
                    <xdr:row>195</xdr:row>
                    <xdr:rowOff>285750</xdr:rowOff>
                  </to>
                </anchor>
              </controlPr>
            </control>
          </mc:Choice>
        </mc:AlternateContent>
        <mc:AlternateContent xmlns:mc="http://schemas.openxmlformats.org/markup-compatibility/2006">
          <mc:Choice Requires="x14">
            <control shapeId="81965" r:id="rId24" name="Group Box 45">
              <controlPr defaultSize="0" autoFill="0" autoPict="0">
                <anchor moveWithCells="1">
                  <from>
                    <xdr:col>22</xdr:col>
                    <xdr:colOff>190500</xdr:colOff>
                    <xdr:row>193</xdr:row>
                    <xdr:rowOff>285750</xdr:rowOff>
                  </from>
                  <to>
                    <xdr:col>24</xdr:col>
                    <xdr:colOff>657225</xdr:colOff>
                    <xdr:row>195</xdr:row>
                    <xdr:rowOff>409575</xdr:rowOff>
                  </to>
                </anchor>
              </controlPr>
            </control>
          </mc:Choice>
        </mc:AlternateContent>
        <mc:AlternateContent xmlns:mc="http://schemas.openxmlformats.org/markup-compatibility/2006">
          <mc:Choice Requires="x14">
            <control shapeId="81966" r:id="rId25" name="Option Button 46">
              <controlPr defaultSize="0" autoFill="0" autoLine="0" autoPict="0">
                <anchor moveWithCells="1">
                  <from>
                    <xdr:col>22</xdr:col>
                    <xdr:colOff>371475</xdr:colOff>
                    <xdr:row>219</xdr:row>
                    <xdr:rowOff>57150</xdr:rowOff>
                  </from>
                  <to>
                    <xdr:col>22</xdr:col>
                    <xdr:colOff>600075</xdr:colOff>
                    <xdr:row>220</xdr:row>
                    <xdr:rowOff>19050</xdr:rowOff>
                  </to>
                </anchor>
              </controlPr>
            </control>
          </mc:Choice>
        </mc:AlternateContent>
        <mc:AlternateContent xmlns:mc="http://schemas.openxmlformats.org/markup-compatibility/2006">
          <mc:Choice Requires="x14">
            <control shapeId="81967" r:id="rId26" name="Option Button 47">
              <controlPr defaultSize="0" autoFill="0" autoLine="0" autoPict="0">
                <anchor moveWithCells="1">
                  <from>
                    <xdr:col>22</xdr:col>
                    <xdr:colOff>371475</xdr:colOff>
                    <xdr:row>219</xdr:row>
                    <xdr:rowOff>304800</xdr:rowOff>
                  </from>
                  <to>
                    <xdr:col>22</xdr:col>
                    <xdr:colOff>600075</xdr:colOff>
                    <xdr:row>220</xdr:row>
                    <xdr:rowOff>285750</xdr:rowOff>
                  </to>
                </anchor>
              </controlPr>
            </control>
          </mc:Choice>
        </mc:AlternateContent>
        <mc:AlternateContent xmlns:mc="http://schemas.openxmlformats.org/markup-compatibility/2006">
          <mc:Choice Requires="x14">
            <control shapeId="81968" r:id="rId27" name="Group Box 48">
              <controlPr defaultSize="0" autoFill="0" autoPict="0">
                <anchor moveWithCells="1">
                  <from>
                    <xdr:col>22</xdr:col>
                    <xdr:colOff>190500</xdr:colOff>
                    <xdr:row>218</xdr:row>
                    <xdr:rowOff>285750</xdr:rowOff>
                  </from>
                  <to>
                    <xdr:col>24</xdr:col>
                    <xdr:colOff>657225</xdr:colOff>
                    <xdr:row>220</xdr:row>
                    <xdr:rowOff>409575</xdr:rowOff>
                  </to>
                </anchor>
              </controlPr>
            </control>
          </mc:Choice>
        </mc:AlternateContent>
        <mc:AlternateContent xmlns:mc="http://schemas.openxmlformats.org/markup-compatibility/2006">
          <mc:Choice Requires="x14">
            <control shapeId="81969" r:id="rId28" name="Option Button 49">
              <controlPr defaultSize="0" autoFill="0" autoLine="0" autoPict="0">
                <anchor moveWithCells="1">
                  <from>
                    <xdr:col>22</xdr:col>
                    <xdr:colOff>371475</xdr:colOff>
                    <xdr:row>244</xdr:row>
                    <xdr:rowOff>38100</xdr:rowOff>
                  </from>
                  <to>
                    <xdr:col>22</xdr:col>
                    <xdr:colOff>600075</xdr:colOff>
                    <xdr:row>245</xdr:row>
                    <xdr:rowOff>9525</xdr:rowOff>
                  </to>
                </anchor>
              </controlPr>
            </control>
          </mc:Choice>
        </mc:AlternateContent>
        <mc:AlternateContent xmlns:mc="http://schemas.openxmlformats.org/markup-compatibility/2006">
          <mc:Choice Requires="x14">
            <control shapeId="81970" r:id="rId29" name="Option Button 50">
              <controlPr defaultSize="0" autoFill="0" autoLine="0" autoPict="0">
                <anchor moveWithCells="1">
                  <from>
                    <xdr:col>22</xdr:col>
                    <xdr:colOff>371475</xdr:colOff>
                    <xdr:row>244</xdr:row>
                    <xdr:rowOff>304800</xdr:rowOff>
                  </from>
                  <to>
                    <xdr:col>22</xdr:col>
                    <xdr:colOff>600075</xdr:colOff>
                    <xdr:row>245</xdr:row>
                    <xdr:rowOff>285750</xdr:rowOff>
                  </to>
                </anchor>
              </controlPr>
            </control>
          </mc:Choice>
        </mc:AlternateContent>
        <mc:AlternateContent xmlns:mc="http://schemas.openxmlformats.org/markup-compatibility/2006">
          <mc:Choice Requires="x14">
            <control shapeId="81971" r:id="rId30" name="Group Box 51">
              <controlPr defaultSize="0" autoFill="0" autoPict="0">
                <anchor moveWithCells="1">
                  <from>
                    <xdr:col>22</xdr:col>
                    <xdr:colOff>190500</xdr:colOff>
                    <xdr:row>243</xdr:row>
                    <xdr:rowOff>285750</xdr:rowOff>
                  </from>
                  <to>
                    <xdr:col>24</xdr:col>
                    <xdr:colOff>657225</xdr:colOff>
                    <xdr:row>245</xdr:row>
                    <xdr:rowOff>409575</xdr:rowOff>
                  </to>
                </anchor>
              </controlPr>
            </control>
          </mc:Choice>
        </mc:AlternateContent>
        <mc:AlternateContent xmlns:mc="http://schemas.openxmlformats.org/markup-compatibility/2006">
          <mc:Choice Requires="x14">
            <control shapeId="81972" r:id="rId31" name="Group Box 52">
              <controlPr defaultSize="0" autoFill="0" autoPict="0">
                <anchor moveWithCells="1">
                  <from>
                    <xdr:col>22</xdr:col>
                    <xdr:colOff>142875</xdr:colOff>
                    <xdr:row>93</xdr:row>
                    <xdr:rowOff>285750</xdr:rowOff>
                  </from>
                  <to>
                    <xdr:col>24</xdr:col>
                    <xdr:colOff>714375</xdr:colOff>
                    <xdr:row>95</xdr:row>
                    <xdr:rowOff>400050</xdr:rowOff>
                  </to>
                </anchor>
              </controlPr>
            </control>
          </mc:Choice>
        </mc:AlternateContent>
        <mc:AlternateContent xmlns:mc="http://schemas.openxmlformats.org/markup-compatibility/2006">
          <mc:Choice Requires="x14">
            <control shapeId="81973" r:id="rId32" name="Group Box 53">
              <controlPr defaultSize="0" autoFill="0" autoPict="0">
                <anchor moveWithCells="1">
                  <from>
                    <xdr:col>22</xdr:col>
                    <xdr:colOff>47625</xdr:colOff>
                    <xdr:row>118</xdr:row>
                    <xdr:rowOff>304800</xdr:rowOff>
                  </from>
                  <to>
                    <xdr:col>24</xdr:col>
                    <xdr:colOff>695325</xdr:colOff>
                    <xdr:row>120</xdr:row>
                    <xdr:rowOff>352425</xdr:rowOff>
                  </to>
                </anchor>
              </controlPr>
            </control>
          </mc:Choice>
        </mc:AlternateContent>
        <mc:AlternateContent xmlns:mc="http://schemas.openxmlformats.org/markup-compatibility/2006">
          <mc:Choice Requires="x14">
            <control shapeId="81975" r:id="rId33" name="Option Button 55">
              <controlPr defaultSize="0" autoFill="0" autoLine="0" autoPict="0">
                <anchor moveWithCells="1">
                  <from>
                    <xdr:col>22</xdr:col>
                    <xdr:colOff>352425</xdr:colOff>
                    <xdr:row>119</xdr:row>
                    <xdr:rowOff>276225</xdr:rowOff>
                  </from>
                  <to>
                    <xdr:col>22</xdr:col>
                    <xdr:colOff>581025</xdr:colOff>
                    <xdr:row>120</xdr:row>
                    <xdr:rowOff>247650</xdr:rowOff>
                  </to>
                </anchor>
              </controlPr>
            </control>
          </mc:Choice>
        </mc:AlternateContent>
        <mc:AlternateContent xmlns:mc="http://schemas.openxmlformats.org/markup-compatibility/2006">
          <mc:Choice Requires="x14">
            <control shapeId="81976" r:id="rId34" name="Option Button 56">
              <controlPr defaultSize="0" autoFill="0" autoLine="0" autoPict="0">
                <anchor moveWithCells="1">
                  <from>
                    <xdr:col>22</xdr:col>
                    <xdr:colOff>371475</xdr:colOff>
                    <xdr:row>269</xdr:row>
                    <xdr:rowOff>38100</xdr:rowOff>
                  </from>
                  <to>
                    <xdr:col>22</xdr:col>
                    <xdr:colOff>600075</xdr:colOff>
                    <xdr:row>270</xdr:row>
                    <xdr:rowOff>9525</xdr:rowOff>
                  </to>
                </anchor>
              </controlPr>
            </control>
          </mc:Choice>
        </mc:AlternateContent>
        <mc:AlternateContent xmlns:mc="http://schemas.openxmlformats.org/markup-compatibility/2006">
          <mc:Choice Requires="x14">
            <control shapeId="81977" r:id="rId35" name="Option Button 57">
              <controlPr defaultSize="0" autoFill="0" autoLine="0" autoPict="0">
                <anchor moveWithCells="1">
                  <from>
                    <xdr:col>22</xdr:col>
                    <xdr:colOff>371475</xdr:colOff>
                    <xdr:row>269</xdr:row>
                    <xdr:rowOff>304800</xdr:rowOff>
                  </from>
                  <to>
                    <xdr:col>22</xdr:col>
                    <xdr:colOff>600075</xdr:colOff>
                    <xdr:row>270</xdr:row>
                    <xdr:rowOff>285750</xdr:rowOff>
                  </to>
                </anchor>
              </controlPr>
            </control>
          </mc:Choice>
        </mc:AlternateContent>
        <mc:AlternateContent xmlns:mc="http://schemas.openxmlformats.org/markup-compatibility/2006">
          <mc:Choice Requires="x14">
            <control shapeId="81978" r:id="rId36" name="Group Box 58">
              <controlPr defaultSize="0" autoFill="0" autoPict="0">
                <anchor moveWithCells="1">
                  <from>
                    <xdr:col>22</xdr:col>
                    <xdr:colOff>190500</xdr:colOff>
                    <xdr:row>268</xdr:row>
                    <xdr:rowOff>285750</xdr:rowOff>
                  </from>
                  <to>
                    <xdr:col>24</xdr:col>
                    <xdr:colOff>657225</xdr:colOff>
                    <xdr:row>270</xdr:row>
                    <xdr:rowOff>428625</xdr:rowOff>
                  </to>
                </anchor>
              </controlPr>
            </control>
          </mc:Choice>
        </mc:AlternateContent>
        <mc:AlternateContent xmlns:mc="http://schemas.openxmlformats.org/markup-compatibility/2006">
          <mc:Choice Requires="x14">
            <control shapeId="81982" r:id="rId37" name="Option Button 62">
              <controlPr defaultSize="0" autoFill="0" autoLine="0" autoPict="0">
                <anchor moveWithCells="1">
                  <from>
                    <xdr:col>22</xdr:col>
                    <xdr:colOff>371475</xdr:colOff>
                    <xdr:row>319</xdr:row>
                    <xdr:rowOff>38100</xdr:rowOff>
                  </from>
                  <to>
                    <xdr:col>22</xdr:col>
                    <xdr:colOff>600075</xdr:colOff>
                    <xdr:row>320</xdr:row>
                    <xdr:rowOff>9525</xdr:rowOff>
                  </to>
                </anchor>
              </controlPr>
            </control>
          </mc:Choice>
        </mc:AlternateContent>
        <mc:AlternateContent xmlns:mc="http://schemas.openxmlformats.org/markup-compatibility/2006">
          <mc:Choice Requires="x14">
            <control shapeId="81983" r:id="rId38" name="Option Button 63">
              <controlPr defaultSize="0" autoFill="0" autoLine="0" autoPict="0">
                <anchor moveWithCells="1">
                  <from>
                    <xdr:col>22</xdr:col>
                    <xdr:colOff>371475</xdr:colOff>
                    <xdr:row>319</xdr:row>
                    <xdr:rowOff>304800</xdr:rowOff>
                  </from>
                  <to>
                    <xdr:col>22</xdr:col>
                    <xdr:colOff>600075</xdr:colOff>
                    <xdr:row>320</xdr:row>
                    <xdr:rowOff>285750</xdr:rowOff>
                  </to>
                </anchor>
              </controlPr>
            </control>
          </mc:Choice>
        </mc:AlternateContent>
        <mc:AlternateContent xmlns:mc="http://schemas.openxmlformats.org/markup-compatibility/2006">
          <mc:Choice Requires="x14">
            <control shapeId="81984" r:id="rId39" name="Group Box 64">
              <controlPr defaultSize="0" autoFill="0" autoPict="0">
                <anchor moveWithCells="1">
                  <from>
                    <xdr:col>22</xdr:col>
                    <xdr:colOff>190500</xdr:colOff>
                    <xdr:row>318</xdr:row>
                    <xdr:rowOff>285750</xdr:rowOff>
                  </from>
                  <to>
                    <xdr:col>24</xdr:col>
                    <xdr:colOff>657225</xdr:colOff>
                    <xdr:row>320</xdr:row>
                    <xdr:rowOff>428625</xdr:rowOff>
                  </to>
                </anchor>
              </controlPr>
            </control>
          </mc:Choice>
        </mc:AlternateContent>
        <mc:AlternateContent xmlns:mc="http://schemas.openxmlformats.org/markup-compatibility/2006">
          <mc:Choice Requires="x14">
            <control shapeId="81979" r:id="rId40" name="Option Button 59">
              <controlPr defaultSize="0" autoFill="0" autoLine="0" autoPict="0">
                <anchor moveWithCells="1">
                  <from>
                    <xdr:col>22</xdr:col>
                    <xdr:colOff>371475</xdr:colOff>
                    <xdr:row>294</xdr:row>
                    <xdr:rowOff>38100</xdr:rowOff>
                  </from>
                  <to>
                    <xdr:col>22</xdr:col>
                    <xdr:colOff>600075</xdr:colOff>
                    <xdr:row>295</xdr:row>
                    <xdr:rowOff>9525</xdr:rowOff>
                  </to>
                </anchor>
              </controlPr>
            </control>
          </mc:Choice>
        </mc:AlternateContent>
        <mc:AlternateContent xmlns:mc="http://schemas.openxmlformats.org/markup-compatibility/2006">
          <mc:Choice Requires="x14">
            <control shapeId="81980" r:id="rId41" name="Option Button 60">
              <controlPr defaultSize="0" autoFill="0" autoLine="0" autoPict="0">
                <anchor moveWithCells="1">
                  <from>
                    <xdr:col>22</xdr:col>
                    <xdr:colOff>371475</xdr:colOff>
                    <xdr:row>294</xdr:row>
                    <xdr:rowOff>304800</xdr:rowOff>
                  </from>
                  <to>
                    <xdr:col>22</xdr:col>
                    <xdr:colOff>600075</xdr:colOff>
                    <xdr:row>295</xdr:row>
                    <xdr:rowOff>285750</xdr:rowOff>
                  </to>
                </anchor>
              </controlPr>
            </control>
          </mc:Choice>
        </mc:AlternateContent>
        <mc:AlternateContent xmlns:mc="http://schemas.openxmlformats.org/markup-compatibility/2006">
          <mc:Choice Requires="x14">
            <control shapeId="81981" r:id="rId42" name="Group Box 61">
              <controlPr defaultSize="0" autoFill="0" autoPict="0">
                <anchor moveWithCells="1">
                  <from>
                    <xdr:col>22</xdr:col>
                    <xdr:colOff>190500</xdr:colOff>
                    <xdr:row>293</xdr:row>
                    <xdr:rowOff>285750</xdr:rowOff>
                  </from>
                  <to>
                    <xdr:col>24</xdr:col>
                    <xdr:colOff>657225</xdr:colOff>
                    <xdr:row>295</xdr:row>
                    <xdr:rowOff>428625</xdr:rowOff>
                  </to>
                </anchor>
              </controlPr>
            </control>
          </mc:Choice>
        </mc:AlternateContent>
        <mc:AlternateContent xmlns:mc="http://schemas.openxmlformats.org/markup-compatibility/2006">
          <mc:Choice Requires="x14">
            <control shapeId="81985" r:id="rId43" name="Option Button 65">
              <controlPr defaultSize="0" autoFill="0" autoLine="0" autoPict="0">
                <anchor moveWithCells="1">
                  <from>
                    <xdr:col>22</xdr:col>
                    <xdr:colOff>371475</xdr:colOff>
                    <xdr:row>344</xdr:row>
                    <xdr:rowOff>38100</xdr:rowOff>
                  </from>
                  <to>
                    <xdr:col>22</xdr:col>
                    <xdr:colOff>600075</xdr:colOff>
                    <xdr:row>345</xdr:row>
                    <xdr:rowOff>9525</xdr:rowOff>
                  </to>
                </anchor>
              </controlPr>
            </control>
          </mc:Choice>
        </mc:AlternateContent>
        <mc:AlternateContent xmlns:mc="http://schemas.openxmlformats.org/markup-compatibility/2006">
          <mc:Choice Requires="x14">
            <control shapeId="81986" r:id="rId44" name="Option Button 66">
              <controlPr defaultSize="0" autoFill="0" autoLine="0" autoPict="0">
                <anchor moveWithCells="1">
                  <from>
                    <xdr:col>22</xdr:col>
                    <xdr:colOff>371475</xdr:colOff>
                    <xdr:row>344</xdr:row>
                    <xdr:rowOff>304800</xdr:rowOff>
                  </from>
                  <to>
                    <xdr:col>22</xdr:col>
                    <xdr:colOff>600075</xdr:colOff>
                    <xdr:row>345</xdr:row>
                    <xdr:rowOff>285750</xdr:rowOff>
                  </to>
                </anchor>
              </controlPr>
            </control>
          </mc:Choice>
        </mc:AlternateContent>
        <mc:AlternateContent xmlns:mc="http://schemas.openxmlformats.org/markup-compatibility/2006">
          <mc:Choice Requires="x14">
            <control shapeId="81987" r:id="rId45" name="Group Box 67">
              <controlPr defaultSize="0" autoFill="0" autoPict="0">
                <anchor moveWithCells="1">
                  <from>
                    <xdr:col>22</xdr:col>
                    <xdr:colOff>190500</xdr:colOff>
                    <xdr:row>343</xdr:row>
                    <xdr:rowOff>285750</xdr:rowOff>
                  </from>
                  <to>
                    <xdr:col>24</xdr:col>
                    <xdr:colOff>657225</xdr:colOff>
                    <xdr:row>345</xdr:row>
                    <xdr:rowOff>438150</xdr:rowOff>
                  </to>
                </anchor>
              </controlPr>
            </control>
          </mc:Choice>
        </mc:AlternateContent>
        <mc:AlternateContent xmlns:mc="http://schemas.openxmlformats.org/markup-compatibility/2006">
          <mc:Choice Requires="x14">
            <control shapeId="81988" r:id="rId46" name="Option Button 68">
              <controlPr defaultSize="0" autoFill="0" autoLine="0" autoPict="0">
                <anchor moveWithCells="1">
                  <from>
                    <xdr:col>22</xdr:col>
                    <xdr:colOff>371475</xdr:colOff>
                    <xdr:row>369</xdr:row>
                    <xdr:rowOff>38100</xdr:rowOff>
                  </from>
                  <to>
                    <xdr:col>22</xdr:col>
                    <xdr:colOff>600075</xdr:colOff>
                    <xdr:row>370</xdr:row>
                    <xdr:rowOff>9525</xdr:rowOff>
                  </to>
                </anchor>
              </controlPr>
            </control>
          </mc:Choice>
        </mc:AlternateContent>
        <mc:AlternateContent xmlns:mc="http://schemas.openxmlformats.org/markup-compatibility/2006">
          <mc:Choice Requires="x14">
            <control shapeId="81989" r:id="rId47" name="Option Button 69">
              <controlPr defaultSize="0" autoFill="0" autoLine="0" autoPict="0">
                <anchor moveWithCells="1">
                  <from>
                    <xdr:col>22</xdr:col>
                    <xdr:colOff>371475</xdr:colOff>
                    <xdr:row>369</xdr:row>
                    <xdr:rowOff>304800</xdr:rowOff>
                  </from>
                  <to>
                    <xdr:col>22</xdr:col>
                    <xdr:colOff>600075</xdr:colOff>
                    <xdr:row>370</xdr:row>
                    <xdr:rowOff>285750</xdr:rowOff>
                  </to>
                </anchor>
              </controlPr>
            </control>
          </mc:Choice>
        </mc:AlternateContent>
        <mc:AlternateContent xmlns:mc="http://schemas.openxmlformats.org/markup-compatibility/2006">
          <mc:Choice Requires="x14">
            <control shapeId="81990" r:id="rId48" name="Group Box 70">
              <controlPr defaultSize="0" autoFill="0" autoPict="0">
                <anchor moveWithCells="1">
                  <from>
                    <xdr:col>22</xdr:col>
                    <xdr:colOff>190500</xdr:colOff>
                    <xdr:row>368</xdr:row>
                    <xdr:rowOff>285750</xdr:rowOff>
                  </from>
                  <to>
                    <xdr:col>24</xdr:col>
                    <xdr:colOff>657225</xdr:colOff>
                    <xdr:row>370</xdr:row>
                    <xdr:rowOff>438150</xdr:rowOff>
                  </to>
                </anchor>
              </controlPr>
            </control>
          </mc:Choice>
        </mc:AlternateContent>
        <mc:AlternateContent xmlns:mc="http://schemas.openxmlformats.org/markup-compatibility/2006">
          <mc:Choice Requires="x14">
            <control shapeId="81991" r:id="rId49" name="Option Button 71">
              <controlPr defaultSize="0" autoFill="0" autoLine="0" autoPict="0">
                <anchor moveWithCells="1">
                  <from>
                    <xdr:col>22</xdr:col>
                    <xdr:colOff>371475</xdr:colOff>
                    <xdr:row>394</xdr:row>
                    <xdr:rowOff>38100</xdr:rowOff>
                  </from>
                  <to>
                    <xdr:col>22</xdr:col>
                    <xdr:colOff>600075</xdr:colOff>
                    <xdr:row>395</xdr:row>
                    <xdr:rowOff>9525</xdr:rowOff>
                  </to>
                </anchor>
              </controlPr>
            </control>
          </mc:Choice>
        </mc:AlternateContent>
        <mc:AlternateContent xmlns:mc="http://schemas.openxmlformats.org/markup-compatibility/2006">
          <mc:Choice Requires="x14">
            <control shapeId="81992" r:id="rId50" name="Option Button 72">
              <controlPr defaultSize="0" autoFill="0" autoLine="0" autoPict="0">
                <anchor moveWithCells="1">
                  <from>
                    <xdr:col>22</xdr:col>
                    <xdr:colOff>371475</xdr:colOff>
                    <xdr:row>394</xdr:row>
                    <xdr:rowOff>304800</xdr:rowOff>
                  </from>
                  <to>
                    <xdr:col>22</xdr:col>
                    <xdr:colOff>600075</xdr:colOff>
                    <xdr:row>395</xdr:row>
                    <xdr:rowOff>285750</xdr:rowOff>
                  </to>
                </anchor>
              </controlPr>
            </control>
          </mc:Choice>
        </mc:AlternateContent>
        <mc:AlternateContent xmlns:mc="http://schemas.openxmlformats.org/markup-compatibility/2006">
          <mc:Choice Requires="x14">
            <control shapeId="81993" r:id="rId51" name="Group Box 73">
              <controlPr defaultSize="0" autoFill="0" autoPict="0">
                <anchor moveWithCells="1">
                  <from>
                    <xdr:col>22</xdr:col>
                    <xdr:colOff>190500</xdr:colOff>
                    <xdr:row>393</xdr:row>
                    <xdr:rowOff>285750</xdr:rowOff>
                  </from>
                  <to>
                    <xdr:col>24</xdr:col>
                    <xdr:colOff>657225</xdr:colOff>
                    <xdr:row>395</xdr:row>
                    <xdr:rowOff>438150</xdr:rowOff>
                  </to>
                </anchor>
              </controlPr>
            </control>
          </mc:Choice>
        </mc:AlternateContent>
        <mc:AlternateContent xmlns:mc="http://schemas.openxmlformats.org/markup-compatibility/2006">
          <mc:Choice Requires="x14">
            <control shapeId="81994" r:id="rId52" name="Option Button 74">
              <controlPr defaultSize="0" autoFill="0" autoLine="0" autoPict="0">
                <anchor moveWithCells="1">
                  <from>
                    <xdr:col>22</xdr:col>
                    <xdr:colOff>371475</xdr:colOff>
                    <xdr:row>419</xdr:row>
                    <xdr:rowOff>38100</xdr:rowOff>
                  </from>
                  <to>
                    <xdr:col>22</xdr:col>
                    <xdr:colOff>600075</xdr:colOff>
                    <xdr:row>420</xdr:row>
                    <xdr:rowOff>9525</xdr:rowOff>
                  </to>
                </anchor>
              </controlPr>
            </control>
          </mc:Choice>
        </mc:AlternateContent>
        <mc:AlternateContent xmlns:mc="http://schemas.openxmlformats.org/markup-compatibility/2006">
          <mc:Choice Requires="x14">
            <control shapeId="81995" r:id="rId53" name="Option Button 75">
              <controlPr defaultSize="0" autoFill="0" autoLine="0" autoPict="0">
                <anchor moveWithCells="1">
                  <from>
                    <xdr:col>22</xdr:col>
                    <xdr:colOff>371475</xdr:colOff>
                    <xdr:row>419</xdr:row>
                    <xdr:rowOff>304800</xdr:rowOff>
                  </from>
                  <to>
                    <xdr:col>22</xdr:col>
                    <xdr:colOff>600075</xdr:colOff>
                    <xdr:row>420</xdr:row>
                    <xdr:rowOff>285750</xdr:rowOff>
                  </to>
                </anchor>
              </controlPr>
            </control>
          </mc:Choice>
        </mc:AlternateContent>
        <mc:AlternateContent xmlns:mc="http://schemas.openxmlformats.org/markup-compatibility/2006">
          <mc:Choice Requires="x14">
            <control shapeId="81996" r:id="rId54" name="Group Box 76">
              <controlPr defaultSize="0" autoFill="0" autoPict="0">
                <anchor moveWithCells="1">
                  <from>
                    <xdr:col>22</xdr:col>
                    <xdr:colOff>190500</xdr:colOff>
                    <xdr:row>418</xdr:row>
                    <xdr:rowOff>285750</xdr:rowOff>
                  </from>
                  <to>
                    <xdr:col>24</xdr:col>
                    <xdr:colOff>657225</xdr:colOff>
                    <xdr:row>420</xdr:row>
                    <xdr:rowOff>438150</xdr:rowOff>
                  </to>
                </anchor>
              </controlPr>
            </control>
          </mc:Choice>
        </mc:AlternateContent>
        <mc:AlternateContent xmlns:mc="http://schemas.openxmlformats.org/markup-compatibility/2006">
          <mc:Choice Requires="x14">
            <control shapeId="81997" r:id="rId55" name="Option Button 77">
              <controlPr defaultSize="0" autoFill="0" autoLine="0" autoPict="0">
                <anchor moveWithCells="1">
                  <from>
                    <xdr:col>22</xdr:col>
                    <xdr:colOff>371475</xdr:colOff>
                    <xdr:row>444</xdr:row>
                    <xdr:rowOff>38100</xdr:rowOff>
                  </from>
                  <to>
                    <xdr:col>22</xdr:col>
                    <xdr:colOff>600075</xdr:colOff>
                    <xdr:row>445</xdr:row>
                    <xdr:rowOff>9525</xdr:rowOff>
                  </to>
                </anchor>
              </controlPr>
            </control>
          </mc:Choice>
        </mc:AlternateContent>
        <mc:AlternateContent xmlns:mc="http://schemas.openxmlformats.org/markup-compatibility/2006">
          <mc:Choice Requires="x14">
            <control shapeId="81998" r:id="rId56" name="Option Button 78">
              <controlPr defaultSize="0" autoFill="0" autoLine="0" autoPict="0">
                <anchor moveWithCells="1">
                  <from>
                    <xdr:col>22</xdr:col>
                    <xdr:colOff>371475</xdr:colOff>
                    <xdr:row>444</xdr:row>
                    <xdr:rowOff>304800</xdr:rowOff>
                  </from>
                  <to>
                    <xdr:col>22</xdr:col>
                    <xdr:colOff>600075</xdr:colOff>
                    <xdr:row>445</xdr:row>
                    <xdr:rowOff>285750</xdr:rowOff>
                  </to>
                </anchor>
              </controlPr>
            </control>
          </mc:Choice>
        </mc:AlternateContent>
        <mc:AlternateContent xmlns:mc="http://schemas.openxmlformats.org/markup-compatibility/2006">
          <mc:Choice Requires="x14">
            <control shapeId="81999" r:id="rId57" name="Group Box 79">
              <controlPr defaultSize="0" autoFill="0" autoPict="0">
                <anchor moveWithCells="1">
                  <from>
                    <xdr:col>22</xdr:col>
                    <xdr:colOff>190500</xdr:colOff>
                    <xdr:row>443</xdr:row>
                    <xdr:rowOff>285750</xdr:rowOff>
                  </from>
                  <to>
                    <xdr:col>24</xdr:col>
                    <xdr:colOff>657225</xdr:colOff>
                    <xdr:row>445</xdr:row>
                    <xdr:rowOff>438150</xdr:rowOff>
                  </to>
                </anchor>
              </controlPr>
            </control>
          </mc:Choice>
        </mc:AlternateContent>
        <mc:AlternateContent xmlns:mc="http://schemas.openxmlformats.org/markup-compatibility/2006">
          <mc:Choice Requires="x14">
            <control shapeId="82000" r:id="rId58" name="Option Button 80">
              <controlPr defaultSize="0" autoFill="0" autoLine="0" autoPict="0">
                <anchor moveWithCells="1">
                  <from>
                    <xdr:col>22</xdr:col>
                    <xdr:colOff>371475</xdr:colOff>
                    <xdr:row>469</xdr:row>
                    <xdr:rowOff>38100</xdr:rowOff>
                  </from>
                  <to>
                    <xdr:col>22</xdr:col>
                    <xdr:colOff>600075</xdr:colOff>
                    <xdr:row>470</xdr:row>
                    <xdr:rowOff>9525</xdr:rowOff>
                  </to>
                </anchor>
              </controlPr>
            </control>
          </mc:Choice>
        </mc:AlternateContent>
        <mc:AlternateContent xmlns:mc="http://schemas.openxmlformats.org/markup-compatibility/2006">
          <mc:Choice Requires="x14">
            <control shapeId="82001" r:id="rId59" name="Option Button 81">
              <controlPr defaultSize="0" autoFill="0" autoLine="0" autoPict="0">
                <anchor moveWithCells="1">
                  <from>
                    <xdr:col>22</xdr:col>
                    <xdr:colOff>371475</xdr:colOff>
                    <xdr:row>469</xdr:row>
                    <xdr:rowOff>304800</xdr:rowOff>
                  </from>
                  <to>
                    <xdr:col>22</xdr:col>
                    <xdr:colOff>600075</xdr:colOff>
                    <xdr:row>470</xdr:row>
                    <xdr:rowOff>285750</xdr:rowOff>
                  </to>
                </anchor>
              </controlPr>
            </control>
          </mc:Choice>
        </mc:AlternateContent>
        <mc:AlternateContent xmlns:mc="http://schemas.openxmlformats.org/markup-compatibility/2006">
          <mc:Choice Requires="x14">
            <control shapeId="82002" r:id="rId60" name="Group Box 82">
              <controlPr defaultSize="0" autoFill="0" autoPict="0">
                <anchor moveWithCells="1">
                  <from>
                    <xdr:col>22</xdr:col>
                    <xdr:colOff>190500</xdr:colOff>
                    <xdr:row>468</xdr:row>
                    <xdr:rowOff>285750</xdr:rowOff>
                  </from>
                  <to>
                    <xdr:col>24</xdr:col>
                    <xdr:colOff>657225</xdr:colOff>
                    <xdr:row>470</xdr:row>
                    <xdr:rowOff>438150</xdr:rowOff>
                  </to>
                </anchor>
              </controlPr>
            </control>
          </mc:Choice>
        </mc:AlternateContent>
        <mc:AlternateContent xmlns:mc="http://schemas.openxmlformats.org/markup-compatibility/2006">
          <mc:Choice Requires="x14">
            <control shapeId="82003" r:id="rId61" name="Option Button 83">
              <controlPr defaultSize="0" autoFill="0" autoLine="0" autoPict="0">
                <anchor moveWithCells="1">
                  <from>
                    <xdr:col>22</xdr:col>
                    <xdr:colOff>371475</xdr:colOff>
                    <xdr:row>494</xdr:row>
                    <xdr:rowOff>38100</xdr:rowOff>
                  </from>
                  <to>
                    <xdr:col>22</xdr:col>
                    <xdr:colOff>600075</xdr:colOff>
                    <xdr:row>495</xdr:row>
                    <xdr:rowOff>9525</xdr:rowOff>
                  </to>
                </anchor>
              </controlPr>
            </control>
          </mc:Choice>
        </mc:AlternateContent>
        <mc:AlternateContent xmlns:mc="http://schemas.openxmlformats.org/markup-compatibility/2006">
          <mc:Choice Requires="x14">
            <control shapeId="82004" r:id="rId62" name="Option Button 84">
              <controlPr defaultSize="0" autoFill="0" autoLine="0" autoPict="0">
                <anchor moveWithCells="1">
                  <from>
                    <xdr:col>22</xdr:col>
                    <xdr:colOff>371475</xdr:colOff>
                    <xdr:row>494</xdr:row>
                    <xdr:rowOff>304800</xdr:rowOff>
                  </from>
                  <to>
                    <xdr:col>22</xdr:col>
                    <xdr:colOff>600075</xdr:colOff>
                    <xdr:row>495</xdr:row>
                    <xdr:rowOff>285750</xdr:rowOff>
                  </to>
                </anchor>
              </controlPr>
            </control>
          </mc:Choice>
        </mc:AlternateContent>
        <mc:AlternateContent xmlns:mc="http://schemas.openxmlformats.org/markup-compatibility/2006">
          <mc:Choice Requires="x14">
            <control shapeId="82005" r:id="rId63" name="Group Box 85">
              <controlPr defaultSize="0" autoFill="0" autoPict="0">
                <anchor moveWithCells="1">
                  <from>
                    <xdr:col>22</xdr:col>
                    <xdr:colOff>190500</xdr:colOff>
                    <xdr:row>493</xdr:row>
                    <xdr:rowOff>285750</xdr:rowOff>
                  </from>
                  <to>
                    <xdr:col>24</xdr:col>
                    <xdr:colOff>657225</xdr:colOff>
                    <xdr:row>495</xdr:row>
                    <xdr:rowOff>438150</xdr:rowOff>
                  </to>
                </anchor>
              </controlPr>
            </control>
          </mc:Choice>
        </mc:AlternateContent>
        <mc:AlternateContent xmlns:mc="http://schemas.openxmlformats.org/markup-compatibility/2006">
          <mc:Choice Requires="x14">
            <control shapeId="82006" r:id="rId64" name="Option Button 86">
              <controlPr defaultSize="0" autoFill="0" autoLine="0" autoPict="0">
                <anchor moveWithCells="1">
                  <from>
                    <xdr:col>22</xdr:col>
                    <xdr:colOff>371475</xdr:colOff>
                    <xdr:row>519</xdr:row>
                    <xdr:rowOff>38100</xdr:rowOff>
                  </from>
                  <to>
                    <xdr:col>22</xdr:col>
                    <xdr:colOff>600075</xdr:colOff>
                    <xdr:row>520</xdr:row>
                    <xdr:rowOff>9525</xdr:rowOff>
                  </to>
                </anchor>
              </controlPr>
            </control>
          </mc:Choice>
        </mc:AlternateContent>
        <mc:AlternateContent xmlns:mc="http://schemas.openxmlformats.org/markup-compatibility/2006">
          <mc:Choice Requires="x14">
            <control shapeId="82007" r:id="rId65" name="Option Button 87">
              <controlPr defaultSize="0" autoFill="0" autoLine="0" autoPict="0">
                <anchor moveWithCells="1">
                  <from>
                    <xdr:col>22</xdr:col>
                    <xdr:colOff>371475</xdr:colOff>
                    <xdr:row>519</xdr:row>
                    <xdr:rowOff>304800</xdr:rowOff>
                  </from>
                  <to>
                    <xdr:col>22</xdr:col>
                    <xdr:colOff>600075</xdr:colOff>
                    <xdr:row>520</xdr:row>
                    <xdr:rowOff>285750</xdr:rowOff>
                  </to>
                </anchor>
              </controlPr>
            </control>
          </mc:Choice>
        </mc:AlternateContent>
        <mc:AlternateContent xmlns:mc="http://schemas.openxmlformats.org/markup-compatibility/2006">
          <mc:Choice Requires="x14">
            <control shapeId="82008" r:id="rId66" name="Group Box 88">
              <controlPr defaultSize="0" autoFill="0" autoPict="0">
                <anchor moveWithCells="1">
                  <from>
                    <xdr:col>22</xdr:col>
                    <xdr:colOff>190500</xdr:colOff>
                    <xdr:row>518</xdr:row>
                    <xdr:rowOff>285750</xdr:rowOff>
                  </from>
                  <to>
                    <xdr:col>24</xdr:col>
                    <xdr:colOff>657225</xdr:colOff>
                    <xdr:row>520</xdr:row>
                    <xdr:rowOff>438150</xdr:rowOff>
                  </to>
                </anchor>
              </controlPr>
            </control>
          </mc:Choice>
        </mc:AlternateContent>
        <mc:AlternateContent xmlns:mc="http://schemas.openxmlformats.org/markup-compatibility/2006">
          <mc:Choice Requires="x14">
            <control shapeId="82009" r:id="rId67" name="Option Button 89">
              <controlPr defaultSize="0" autoFill="0" autoLine="0" autoPict="0">
                <anchor moveWithCells="1">
                  <from>
                    <xdr:col>22</xdr:col>
                    <xdr:colOff>371475</xdr:colOff>
                    <xdr:row>544</xdr:row>
                    <xdr:rowOff>38100</xdr:rowOff>
                  </from>
                  <to>
                    <xdr:col>22</xdr:col>
                    <xdr:colOff>600075</xdr:colOff>
                    <xdr:row>545</xdr:row>
                    <xdr:rowOff>9525</xdr:rowOff>
                  </to>
                </anchor>
              </controlPr>
            </control>
          </mc:Choice>
        </mc:AlternateContent>
        <mc:AlternateContent xmlns:mc="http://schemas.openxmlformats.org/markup-compatibility/2006">
          <mc:Choice Requires="x14">
            <control shapeId="82010" r:id="rId68" name="Option Button 90">
              <controlPr defaultSize="0" autoFill="0" autoLine="0" autoPict="0">
                <anchor moveWithCells="1">
                  <from>
                    <xdr:col>22</xdr:col>
                    <xdr:colOff>371475</xdr:colOff>
                    <xdr:row>544</xdr:row>
                    <xdr:rowOff>304800</xdr:rowOff>
                  </from>
                  <to>
                    <xdr:col>22</xdr:col>
                    <xdr:colOff>600075</xdr:colOff>
                    <xdr:row>545</xdr:row>
                    <xdr:rowOff>285750</xdr:rowOff>
                  </to>
                </anchor>
              </controlPr>
            </control>
          </mc:Choice>
        </mc:AlternateContent>
        <mc:AlternateContent xmlns:mc="http://schemas.openxmlformats.org/markup-compatibility/2006">
          <mc:Choice Requires="x14">
            <control shapeId="82011" r:id="rId69" name="Group Box 91">
              <controlPr defaultSize="0" autoFill="0" autoPict="0">
                <anchor moveWithCells="1">
                  <from>
                    <xdr:col>22</xdr:col>
                    <xdr:colOff>190500</xdr:colOff>
                    <xdr:row>543</xdr:row>
                    <xdr:rowOff>285750</xdr:rowOff>
                  </from>
                  <to>
                    <xdr:col>24</xdr:col>
                    <xdr:colOff>657225</xdr:colOff>
                    <xdr:row>545</xdr:row>
                    <xdr:rowOff>438150</xdr:rowOff>
                  </to>
                </anchor>
              </controlPr>
            </control>
          </mc:Choice>
        </mc:AlternateContent>
        <mc:AlternateContent xmlns:mc="http://schemas.openxmlformats.org/markup-compatibility/2006">
          <mc:Choice Requires="x14">
            <control shapeId="82012" r:id="rId70" name="Option Button 92">
              <controlPr defaultSize="0" autoFill="0" autoLine="0" autoPict="0">
                <anchor moveWithCells="1">
                  <from>
                    <xdr:col>22</xdr:col>
                    <xdr:colOff>371475</xdr:colOff>
                    <xdr:row>569</xdr:row>
                    <xdr:rowOff>38100</xdr:rowOff>
                  </from>
                  <to>
                    <xdr:col>22</xdr:col>
                    <xdr:colOff>600075</xdr:colOff>
                    <xdr:row>570</xdr:row>
                    <xdr:rowOff>9525</xdr:rowOff>
                  </to>
                </anchor>
              </controlPr>
            </control>
          </mc:Choice>
        </mc:AlternateContent>
        <mc:AlternateContent xmlns:mc="http://schemas.openxmlformats.org/markup-compatibility/2006">
          <mc:Choice Requires="x14">
            <control shapeId="82013" r:id="rId71" name="Option Button 93">
              <controlPr defaultSize="0" autoFill="0" autoLine="0" autoPict="0">
                <anchor moveWithCells="1">
                  <from>
                    <xdr:col>22</xdr:col>
                    <xdr:colOff>371475</xdr:colOff>
                    <xdr:row>569</xdr:row>
                    <xdr:rowOff>304800</xdr:rowOff>
                  </from>
                  <to>
                    <xdr:col>22</xdr:col>
                    <xdr:colOff>600075</xdr:colOff>
                    <xdr:row>570</xdr:row>
                    <xdr:rowOff>285750</xdr:rowOff>
                  </to>
                </anchor>
              </controlPr>
            </control>
          </mc:Choice>
        </mc:AlternateContent>
        <mc:AlternateContent xmlns:mc="http://schemas.openxmlformats.org/markup-compatibility/2006">
          <mc:Choice Requires="x14">
            <control shapeId="82014" r:id="rId72" name="Group Box 94">
              <controlPr defaultSize="0" autoFill="0" autoPict="0">
                <anchor moveWithCells="1">
                  <from>
                    <xdr:col>22</xdr:col>
                    <xdr:colOff>190500</xdr:colOff>
                    <xdr:row>568</xdr:row>
                    <xdr:rowOff>285750</xdr:rowOff>
                  </from>
                  <to>
                    <xdr:col>24</xdr:col>
                    <xdr:colOff>657225</xdr:colOff>
                    <xdr:row>570</xdr:row>
                    <xdr:rowOff>438150</xdr:rowOff>
                  </to>
                </anchor>
              </controlPr>
            </control>
          </mc:Choice>
        </mc:AlternateContent>
        <mc:AlternateContent xmlns:mc="http://schemas.openxmlformats.org/markup-compatibility/2006">
          <mc:Choice Requires="x14">
            <control shapeId="82015" r:id="rId73" name="Option Button 95">
              <controlPr defaultSize="0" autoFill="0" autoLine="0" autoPict="0">
                <anchor moveWithCells="1">
                  <from>
                    <xdr:col>22</xdr:col>
                    <xdr:colOff>371475</xdr:colOff>
                    <xdr:row>594</xdr:row>
                    <xdr:rowOff>38100</xdr:rowOff>
                  </from>
                  <to>
                    <xdr:col>22</xdr:col>
                    <xdr:colOff>600075</xdr:colOff>
                    <xdr:row>595</xdr:row>
                    <xdr:rowOff>9525</xdr:rowOff>
                  </to>
                </anchor>
              </controlPr>
            </control>
          </mc:Choice>
        </mc:AlternateContent>
        <mc:AlternateContent xmlns:mc="http://schemas.openxmlformats.org/markup-compatibility/2006">
          <mc:Choice Requires="x14">
            <control shapeId="82016" r:id="rId74" name="Option Button 96">
              <controlPr defaultSize="0" autoFill="0" autoLine="0" autoPict="0">
                <anchor moveWithCells="1">
                  <from>
                    <xdr:col>22</xdr:col>
                    <xdr:colOff>371475</xdr:colOff>
                    <xdr:row>594</xdr:row>
                    <xdr:rowOff>304800</xdr:rowOff>
                  </from>
                  <to>
                    <xdr:col>22</xdr:col>
                    <xdr:colOff>600075</xdr:colOff>
                    <xdr:row>595</xdr:row>
                    <xdr:rowOff>285750</xdr:rowOff>
                  </to>
                </anchor>
              </controlPr>
            </control>
          </mc:Choice>
        </mc:AlternateContent>
        <mc:AlternateContent xmlns:mc="http://schemas.openxmlformats.org/markup-compatibility/2006">
          <mc:Choice Requires="x14">
            <control shapeId="82017" r:id="rId75" name="Group Box 97">
              <controlPr defaultSize="0" autoFill="0" autoPict="0">
                <anchor moveWithCells="1">
                  <from>
                    <xdr:col>22</xdr:col>
                    <xdr:colOff>190500</xdr:colOff>
                    <xdr:row>593</xdr:row>
                    <xdr:rowOff>285750</xdr:rowOff>
                  </from>
                  <to>
                    <xdr:col>24</xdr:col>
                    <xdr:colOff>657225</xdr:colOff>
                    <xdr:row>595</xdr:row>
                    <xdr:rowOff>438150</xdr:rowOff>
                  </to>
                </anchor>
              </controlPr>
            </control>
          </mc:Choice>
        </mc:AlternateContent>
        <mc:AlternateContent xmlns:mc="http://schemas.openxmlformats.org/markup-compatibility/2006">
          <mc:Choice Requires="x14">
            <control shapeId="82018" r:id="rId76" name="Option Button 98">
              <controlPr defaultSize="0" autoFill="0" autoLine="0" autoPict="0">
                <anchor moveWithCells="1">
                  <from>
                    <xdr:col>22</xdr:col>
                    <xdr:colOff>371475</xdr:colOff>
                    <xdr:row>619</xdr:row>
                    <xdr:rowOff>38100</xdr:rowOff>
                  </from>
                  <to>
                    <xdr:col>22</xdr:col>
                    <xdr:colOff>600075</xdr:colOff>
                    <xdr:row>620</xdr:row>
                    <xdr:rowOff>9525</xdr:rowOff>
                  </to>
                </anchor>
              </controlPr>
            </control>
          </mc:Choice>
        </mc:AlternateContent>
        <mc:AlternateContent xmlns:mc="http://schemas.openxmlformats.org/markup-compatibility/2006">
          <mc:Choice Requires="x14">
            <control shapeId="82019" r:id="rId77" name="Option Button 99">
              <controlPr defaultSize="0" autoFill="0" autoLine="0" autoPict="0">
                <anchor moveWithCells="1">
                  <from>
                    <xdr:col>22</xdr:col>
                    <xdr:colOff>371475</xdr:colOff>
                    <xdr:row>619</xdr:row>
                    <xdr:rowOff>304800</xdr:rowOff>
                  </from>
                  <to>
                    <xdr:col>22</xdr:col>
                    <xdr:colOff>600075</xdr:colOff>
                    <xdr:row>620</xdr:row>
                    <xdr:rowOff>285750</xdr:rowOff>
                  </to>
                </anchor>
              </controlPr>
            </control>
          </mc:Choice>
        </mc:AlternateContent>
        <mc:AlternateContent xmlns:mc="http://schemas.openxmlformats.org/markup-compatibility/2006">
          <mc:Choice Requires="x14">
            <control shapeId="82020" r:id="rId78" name="Group Box 100">
              <controlPr defaultSize="0" autoFill="0" autoPict="0">
                <anchor moveWithCells="1">
                  <from>
                    <xdr:col>22</xdr:col>
                    <xdr:colOff>190500</xdr:colOff>
                    <xdr:row>618</xdr:row>
                    <xdr:rowOff>285750</xdr:rowOff>
                  </from>
                  <to>
                    <xdr:col>24</xdr:col>
                    <xdr:colOff>657225</xdr:colOff>
                    <xdr:row>620</xdr:row>
                    <xdr:rowOff>438150</xdr:rowOff>
                  </to>
                </anchor>
              </controlPr>
            </control>
          </mc:Choice>
        </mc:AlternateContent>
        <mc:AlternateContent xmlns:mc="http://schemas.openxmlformats.org/markup-compatibility/2006">
          <mc:Choice Requires="x14">
            <control shapeId="82021" r:id="rId79" name="Option Button 101">
              <controlPr defaultSize="0" autoFill="0" autoLine="0" autoPict="0">
                <anchor moveWithCells="1">
                  <from>
                    <xdr:col>22</xdr:col>
                    <xdr:colOff>371475</xdr:colOff>
                    <xdr:row>644</xdr:row>
                    <xdr:rowOff>38100</xdr:rowOff>
                  </from>
                  <to>
                    <xdr:col>22</xdr:col>
                    <xdr:colOff>600075</xdr:colOff>
                    <xdr:row>645</xdr:row>
                    <xdr:rowOff>9525</xdr:rowOff>
                  </to>
                </anchor>
              </controlPr>
            </control>
          </mc:Choice>
        </mc:AlternateContent>
        <mc:AlternateContent xmlns:mc="http://schemas.openxmlformats.org/markup-compatibility/2006">
          <mc:Choice Requires="x14">
            <control shapeId="82022" r:id="rId80" name="Option Button 102">
              <controlPr defaultSize="0" autoFill="0" autoLine="0" autoPict="0">
                <anchor moveWithCells="1">
                  <from>
                    <xdr:col>22</xdr:col>
                    <xdr:colOff>371475</xdr:colOff>
                    <xdr:row>644</xdr:row>
                    <xdr:rowOff>304800</xdr:rowOff>
                  </from>
                  <to>
                    <xdr:col>22</xdr:col>
                    <xdr:colOff>600075</xdr:colOff>
                    <xdr:row>645</xdr:row>
                    <xdr:rowOff>285750</xdr:rowOff>
                  </to>
                </anchor>
              </controlPr>
            </control>
          </mc:Choice>
        </mc:AlternateContent>
        <mc:AlternateContent xmlns:mc="http://schemas.openxmlformats.org/markup-compatibility/2006">
          <mc:Choice Requires="x14">
            <control shapeId="82023" r:id="rId81" name="Group Box 103">
              <controlPr defaultSize="0" autoFill="0" autoPict="0">
                <anchor moveWithCells="1">
                  <from>
                    <xdr:col>22</xdr:col>
                    <xdr:colOff>190500</xdr:colOff>
                    <xdr:row>643</xdr:row>
                    <xdr:rowOff>285750</xdr:rowOff>
                  </from>
                  <to>
                    <xdr:col>24</xdr:col>
                    <xdr:colOff>657225</xdr:colOff>
                    <xdr:row>645</xdr:row>
                    <xdr:rowOff>438150</xdr:rowOff>
                  </to>
                </anchor>
              </controlPr>
            </control>
          </mc:Choice>
        </mc:AlternateContent>
        <mc:AlternateContent xmlns:mc="http://schemas.openxmlformats.org/markup-compatibility/2006">
          <mc:Choice Requires="x14">
            <control shapeId="82024" r:id="rId82" name="Option Button 104">
              <controlPr defaultSize="0" autoFill="0" autoLine="0" autoPict="0">
                <anchor moveWithCells="1">
                  <from>
                    <xdr:col>22</xdr:col>
                    <xdr:colOff>371475</xdr:colOff>
                    <xdr:row>669</xdr:row>
                    <xdr:rowOff>38100</xdr:rowOff>
                  </from>
                  <to>
                    <xdr:col>22</xdr:col>
                    <xdr:colOff>600075</xdr:colOff>
                    <xdr:row>670</xdr:row>
                    <xdr:rowOff>9525</xdr:rowOff>
                  </to>
                </anchor>
              </controlPr>
            </control>
          </mc:Choice>
        </mc:AlternateContent>
        <mc:AlternateContent xmlns:mc="http://schemas.openxmlformats.org/markup-compatibility/2006">
          <mc:Choice Requires="x14">
            <control shapeId="82025" r:id="rId83" name="Option Button 105">
              <controlPr defaultSize="0" autoFill="0" autoLine="0" autoPict="0">
                <anchor moveWithCells="1">
                  <from>
                    <xdr:col>22</xdr:col>
                    <xdr:colOff>371475</xdr:colOff>
                    <xdr:row>669</xdr:row>
                    <xdr:rowOff>304800</xdr:rowOff>
                  </from>
                  <to>
                    <xdr:col>22</xdr:col>
                    <xdr:colOff>600075</xdr:colOff>
                    <xdr:row>670</xdr:row>
                    <xdr:rowOff>285750</xdr:rowOff>
                  </to>
                </anchor>
              </controlPr>
            </control>
          </mc:Choice>
        </mc:AlternateContent>
        <mc:AlternateContent xmlns:mc="http://schemas.openxmlformats.org/markup-compatibility/2006">
          <mc:Choice Requires="x14">
            <control shapeId="82026" r:id="rId84" name="Group Box 106">
              <controlPr defaultSize="0" autoFill="0" autoPict="0">
                <anchor moveWithCells="1">
                  <from>
                    <xdr:col>22</xdr:col>
                    <xdr:colOff>190500</xdr:colOff>
                    <xdr:row>668</xdr:row>
                    <xdr:rowOff>285750</xdr:rowOff>
                  </from>
                  <to>
                    <xdr:col>24</xdr:col>
                    <xdr:colOff>657225</xdr:colOff>
                    <xdr:row>670</xdr:row>
                    <xdr:rowOff>438150</xdr:rowOff>
                  </to>
                </anchor>
              </controlPr>
            </control>
          </mc:Choice>
        </mc:AlternateContent>
        <mc:AlternateContent xmlns:mc="http://schemas.openxmlformats.org/markup-compatibility/2006">
          <mc:Choice Requires="x14">
            <control shapeId="82027" r:id="rId85" name="Option Button 107">
              <controlPr defaultSize="0" autoFill="0" autoLine="0" autoPict="0">
                <anchor moveWithCells="1">
                  <from>
                    <xdr:col>22</xdr:col>
                    <xdr:colOff>371475</xdr:colOff>
                    <xdr:row>694</xdr:row>
                    <xdr:rowOff>38100</xdr:rowOff>
                  </from>
                  <to>
                    <xdr:col>22</xdr:col>
                    <xdr:colOff>600075</xdr:colOff>
                    <xdr:row>695</xdr:row>
                    <xdr:rowOff>9525</xdr:rowOff>
                  </to>
                </anchor>
              </controlPr>
            </control>
          </mc:Choice>
        </mc:AlternateContent>
        <mc:AlternateContent xmlns:mc="http://schemas.openxmlformats.org/markup-compatibility/2006">
          <mc:Choice Requires="x14">
            <control shapeId="82028" r:id="rId86" name="Option Button 108">
              <controlPr defaultSize="0" autoFill="0" autoLine="0" autoPict="0">
                <anchor moveWithCells="1">
                  <from>
                    <xdr:col>22</xdr:col>
                    <xdr:colOff>371475</xdr:colOff>
                    <xdr:row>694</xdr:row>
                    <xdr:rowOff>304800</xdr:rowOff>
                  </from>
                  <to>
                    <xdr:col>22</xdr:col>
                    <xdr:colOff>600075</xdr:colOff>
                    <xdr:row>695</xdr:row>
                    <xdr:rowOff>285750</xdr:rowOff>
                  </to>
                </anchor>
              </controlPr>
            </control>
          </mc:Choice>
        </mc:AlternateContent>
        <mc:AlternateContent xmlns:mc="http://schemas.openxmlformats.org/markup-compatibility/2006">
          <mc:Choice Requires="x14">
            <control shapeId="82029" r:id="rId87" name="Group Box 109">
              <controlPr defaultSize="0" autoFill="0" autoPict="0">
                <anchor moveWithCells="1">
                  <from>
                    <xdr:col>22</xdr:col>
                    <xdr:colOff>190500</xdr:colOff>
                    <xdr:row>693</xdr:row>
                    <xdr:rowOff>285750</xdr:rowOff>
                  </from>
                  <to>
                    <xdr:col>24</xdr:col>
                    <xdr:colOff>657225</xdr:colOff>
                    <xdr:row>695</xdr:row>
                    <xdr:rowOff>438150</xdr:rowOff>
                  </to>
                </anchor>
              </controlPr>
            </control>
          </mc:Choice>
        </mc:AlternateContent>
        <mc:AlternateContent xmlns:mc="http://schemas.openxmlformats.org/markup-compatibility/2006">
          <mc:Choice Requires="x14">
            <control shapeId="82030" r:id="rId88" name="Option Button 110">
              <controlPr defaultSize="0" autoFill="0" autoLine="0" autoPict="0">
                <anchor moveWithCells="1">
                  <from>
                    <xdr:col>22</xdr:col>
                    <xdr:colOff>371475</xdr:colOff>
                    <xdr:row>719</xdr:row>
                    <xdr:rowOff>38100</xdr:rowOff>
                  </from>
                  <to>
                    <xdr:col>22</xdr:col>
                    <xdr:colOff>600075</xdr:colOff>
                    <xdr:row>720</xdr:row>
                    <xdr:rowOff>9525</xdr:rowOff>
                  </to>
                </anchor>
              </controlPr>
            </control>
          </mc:Choice>
        </mc:AlternateContent>
        <mc:AlternateContent xmlns:mc="http://schemas.openxmlformats.org/markup-compatibility/2006">
          <mc:Choice Requires="x14">
            <control shapeId="82031" r:id="rId89" name="Option Button 111">
              <controlPr defaultSize="0" autoFill="0" autoLine="0" autoPict="0">
                <anchor moveWithCells="1">
                  <from>
                    <xdr:col>22</xdr:col>
                    <xdr:colOff>371475</xdr:colOff>
                    <xdr:row>719</xdr:row>
                    <xdr:rowOff>304800</xdr:rowOff>
                  </from>
                  <to>
                    <xdr:col>22</xdr:col>
                    <xdr:colOff>600075</xdr:colOff>
                    <xdr:row>720</xdr:row>
                    <xdr:rowOff>285750</xdr:rowOff>
                  </to>
                </anchor>
              </controlPr>
            </control>
          </mc:Choice>
        </mc:AlternateContent>
        <mc:AlternateContent xmlns:mc="http://schemas.openxmlformats.org/markup-compatibility/2006">
          <mc:Choice Requires="x14">
            <control shapeId="82032" r:id="rId90" name="Group Box 112">
              <controlPr defaultSize="0" autoFill="0" autoPict="0">
                <anchor moveWithCells="1">
                  <from>
                    <xdr:col>22</xdr:col>
                    <xdr:colOff>190500</xdr:colOff>
                    <xdr:row>718</xdr:row>
                    <xdr:rowOff>285750</xdr:rowOff>
                  </from>
                  <to>
                    <xdr:col>24</xdr:col>
                    <xdr:colOff>657225</xdr:colOff>
                    <xdr:row>720</xdr:row>
                    <xdr:rowOff>438150</xdr:rowOff>
                  </to>
                </anchor>
              </controlPr>
            </control>
          </mc:Choice>
        </mc:AlternateContent>
        <mc:AlternateContent xmlns:mc="http://schemas.openxmlformats.org/markup-compatibility/2006">
          <mc:Choice Requires="x14">
            <control shapeId="82033" r:id="rId91" name="Option Button 113">
              <controlPr defaultSize="0" autoFill="0" autoLine="0" autoPict="0">
                <anchor moveWithCells="1">
                  <from>
                    <xdr:col>22</xdr:col>
                    <xdr:colOff>371475</xdr:colOff>
                    <xdr:row>744</xdr:row>
                    <xdr:rowOff>38100</xdr:rowOff>
                  </from>
                  <to>
                    <xdr:col>22</xdr:col>
                    <xdr:colOff>600075</xdr:colOff>
                    <xdr:row>745</xdr:row>
                    <xdr:rowOff>9525</xdr:rowOff>
                  </to>
                </anchor>
              </controlPr>
            </control>
          </mc:Choice>
        </mc:AlternateContent>
        <mc:AlternateContent xmlns:mc="http://schemas.openxmlformats.org/markup-compatibility/2006">
          <mc:Choice Requires="x14">
            <control shapeId="82034" r:id="rId92" name="Option Button 114">
              <controlPr defaultSize="0" autoFill="0" autoLine="0" autoPict="0">
                <anchor moveWithCells="1">
                  <from>
                    <xdr:col>22</xdr:col>
                    <xdr:colOff>371475</xdr:colOff>
                    <xdr:row>744</xdr:row>
                    <xdr:rowOff>304800</xdr:rowOff>
                  </from>
                  <to>
                    <xdr:col>22</xdr:col>
                    <xdr:colOff>600075</xdr:colOff>
                    <xdr:row>745</xdr:row>
                    <xdr:rowOff>285750</xdr:rowOff>
                  </to>
                </anchor>
              </controlPr>
            </control>
          </mc:Choice>
        </mc:AlternateContent>
        <mc:AlternateContent xmlns:mc="http://schemas.openxmlformats.org/markup-compatibility/2006">
          <mc:Choice Requires="x14">
            <control shapeId="82035" r:id="rId93" name="Group Box 115">
              <controlPr defaultSize="0" autoFill="0" autoPict="0">
                <anchor moveWithCells="1">
                  <from>
                    <xdr:col>22</xdr:col>
                    <xdr:colOff>190500</xdr:colOff>
                    <xdr:row>743</xdr:row>
                    <xdr:rowOff>285750</xdr:rowOff>
                  </from>
                  <to>
                    <xdr:col>24</xdr:col>
                    <xdr:colOff>657225</xdr:colOff>
                    <xdr:row>745</xdr:row>
                    <xdr:rowOff>438150</xdr:rowOff>
                  </to>
                </anchor>
              </controlPr>
            </control>
          </mc:Choice>
        </mc:AlternateContent>
        <mc:AlternateContent xmlns:mc="http://schemas.openxmlformats.org/markup-compatibility/2006">
          <mc:Choice Requires="x14">
            <control shapeId="82036" r:id="rId94" name="Option Button 116">
              <controlPr defaultSize="0" autoFill="0" autoLine="0" autoPict="0">
                <anchor moveWithCells="1">
                  <from>
                    <xdr:col>22</xdr:col>
                    <xdr:colOff>371475</xdr:colOff>
                    <xdr:row>769</xdr:row>
                    <xdr:rowOff>38100</xdr:rowOff>
                  </from>
                  <to>
                    <xdr:col>22</xdr:col>
                    <xdr:colOff>600075</xdr:colOff>
                    <xdr:row>770</xdr:row>
                    <xdr:rowOff>9525</xdr:rowOff>
                  </to>
                </anchor>
              </controlPr>
            </control>
          </mc:Choice>
        </mc:AlternateContent>
        <mc:AlternateContent xmlns:mc="http://schemas.openxmlformats.org/markup-compatibility/2006">
          <mc:Choice Requires="x14">
            <control shapeId="82037" r:id="rId95" name="Option Button 117">
              <controlPr defaultSize="0" autoFill="0" autoLine="0" autoPict="0">
                <anchor moveWithCells="1">
                  <from>
                    <xdr:col>22</xdr:col>
                    <xdr:colOff>371475</xdr:colOff>
                    <xdr:row>769</xdr:row>
                    <xdr:rowOff>304800</xdr:rowOff>
                  </from>
                  <to>
                    <xdr:col>22</xdr:col>
                    <xdr:colOff>600075</xdr:colOff>
                    <xdr:row>770</xdr:row>
                    <xdr:rowOff>285750</xdr:rowOff>
                  </to>
                </anchor>
              </controlPr>
            </control>
          </mc:Choice>
        </mc:AlternateContent>
        <mc:AlternateContent xmlns:mc="http://schemas.openxmlformats.org/markup-compatibility/2006">
          <mc:Choice Requires="x14">
            <control shapeId="82038" r:id="rId96" name="Group Box 118">
              <controlPr defaultSize="0" autoFill="0" autoPict="0">
                <anchor moveWithCells="1">
                  <from>
                    <xdr:col>22</xdr:col>
                    <xdr:colOff>190500</xdr:colOff>
                    <xdr:row>768</xdr:row>
                    <xdr:rowOff>285750</xdr:rowOff>
                  </from>
                  <to>
                    <xdr:col>24</xdr:col>
                    <xdr:colOff>657225</xdr:colOff>
                    <xdr:row>770</xdr:row>
                    <xdr:rowOff>438150</xdr:rowOff>
                  </to>
                </anchor>
              </controlPr>
            </control>
          </mc:Choice>
        </mc:AlternateContent>
        <mc:AlternateContent xmlns:mc="http://schemas.openxmlformats.org/markup-compatibility/2006">
          <mc:Choice Requires="x14">
            <control shapeId="82039" r:id="rId97" name="Option Button 119">
              <controlPr defaultSize="0" autoFill="0" autoLine="0" autoPict="0">
                <anchor moveWithCells="1">
                  <from>
                    <xdr:col>22</xdr:col>
                    <xdr:colOff>371475</xdr:colOff>
                    <xdr:row>794</xdr:row>
                    <xdr:rowOff>38100</xdr:rowOff>
                  </from>
                  <to>
                    <xdr:col>22</xdr:col>
                    <xdr:colOff>600075</xdr:colOff>
                    <xdr:row>795</xdr:row>
                    <xdr:rowOff>9525</xdr:rowOff>
                  </to>
                </anchor>
              </controlPr>
            </control>
          </mc:Choice>
        </mc:AlternateContent>
        <mc:AlternateContent xmlns:mc="http://schemas.openxmlformats.org/markup-compatibility/2006">
          <mc:Choice Requires="x14">
            <control shapeId="82040" r:id="rId98" name="Option Button 120">
              <controlPr defaultSize="0" autoFill="0" autoLine="0" autoPict="0">
                <anchor moveWithCells="1">
                  <from>
                    <xdr:col>22</xdr:col>
                    <xdr:colOff>371475</xdr:colOff>
                    <xdr:row>794</xdr:row>
                    <xdr:rowOff>304800</xdr:rowOff>
                  </from>
                  <to>
                    <xdr:col>22</xdr:col>
                    <xdr:colOff>600075</xdr:colOff>
                    <xdr:row>795</xdr:row>
                    <xdr:rowOff>285750</xdr:rowOff>
                  </to>
                </anchor>
              </controlPr>
            </control>
          </mc:Choice>
        </mc:AlternateContent>
        <mc:AlternateContent xmlns:mc="http://schemas.openxmlformats.org/markup-compatibility/2006">
          <mc:Choice Requires="x14">
            <control shapeId="82041" r:id="rId99" name="Group Box 121">
              <controlPr defaultSize="0" autoFill="0" autoPict="0">
                <anchor moveWithCells="1">
                  <from>
                    <xdr:col>22</xdr:col>
                    <xdr:colOff>190500</xdr:colOff>
                    <xdr:row>793</xdr:row>
                    <xdr:rowOff>285750</xdr:rowOff>
                  </from>
                  <to>
                    <xdr:col>24</xdr:col>
                    <xdr:colOff>657225</xdr:colOff>
                    <xdr:row>795</xdr:row>
                    <xdr:rowOff>438150</xdr:rowOff>
                  </to>
                </anchor>
              </controlPr>
            </control>
          </mc:Choice>
        </mc:AlternateContent>
        <mc:AlternateContent xmlns:mc="http://schemas.openxmlformats.org/markup-compatibility/2006">
          <mc:Choice Requires="x14">
            <control shapeId="82042" r:id="rId100" name="Option Button 122">
              <controlPr defaultSize="0" autoFill="0" autoLine="0" autoPict="0">
                <anchor moveWithCells="1">
                  <from>
                    <xdr:col>22</xdr:col>
                    <xdr:colOff>371475</xdr:colOff>
                    <xdr:row>819</xdr:row>
                    <xdr:rowOff>38100</xdr:rowOff>
                  </from>
                  <to>
                    <xdr:col>22</xdr:col>
                    <xdr:colOff>600075</xdr:colOff>
                    <xdr:row>820</xdr:row>
                    <xdr:rowOff>9525</xdr:rowOff>
                  </to>
                </anchor>
              </controlPr>
            </control>
          </mc:Choice>
        </mc:AlternateContent>
        <mc:AlternateContent xmlns:mc="http://schemas.openxmlformats.org/markup-compatibility/2006">
          <mc:Choice Requires="x14">
            <control shapeId="82043" r:id="rId101" name="Option Button 123">
              <controlPr defaultSize="0" autoFill="0" autoLine="0" autoPict="0">
                <anchor moveWithCells="1">
                  <from>
                    <xdr:col>22</xdr:col>
                    <xdr:colOff>371475</xdr:colOff>
                    <xdr:row>819</xdr:row>
                    <xdr:rowOff>304800</xdr:rowOff>
                  </from>
                  <to>
                    <xdr:col>22</xdr:col>
                    <xdr:colOff>600075</xdr:colOff>
                    <xdr:row>820</xdr:row>
                    <xdr:rowOff>285750</xdr:rowOff>
                  </to>
                </anchor>
              </controlPr>
            </control>
          </mc:Choice>
        </mc:AlternateContent>
        <mc:AlternateContent xmlns:mc="http://schemas.openxmlformats.org/markup-compatibility/2006">
          <mc:Choice Requires="x14">
            <control shapeId="82044" r:id="rId102" name="Group Box 124">
              <controlPr defaultSize="0" autoFill="0" autoPict="0">
                <anchor moveWithCells="1">
                  <from>
                    <xdr:col>22</xdr:col>
                    <xdr:colOff>190500</xdr:colOff>
                    <xdr:row>818</xdr:row>
                    <xdr:rowOff>285750</xdr:rowOff>
                  </from>
                  <to>
                    <xdr:col>24</xdr:col>
                    <xdr:colOff>657225</xdr:colOff>
                    <xdr:row>820</xdr:row>
                    <xdr:rowOff>438150</xdr:rowOff>
                  </to>
                </anchor>
              </controlPr>
            </control>
          </mc:Choice>
        </mc:AlternateContent>
        <mc:AlternateContent xmlns:mc="http://schemas.openxmlformats.org/markup-compatibility/2006">
          <mc:Choice Requires="x14">
            <control shapeId="82045" r:id="rId103" name="Option Button 125">
              <controlPr defaultSize="0" autoFill="0" autoLine="0" autoPict="0">
                <anchor moveWithCells="1">
                  <from>
                    <xdr:col>22</xdr:col>
                    <xdr:colOff>371475</xdr:colOff>
                    <xdr:row>844</xdr:row>
                    <xdr:rowOff>38100</xdr:rowOff>
                  </from>
                  <to>
                    <xdr:col>22</xdr:col>
                    <xdr:colOff>600075</xdr:colOff>
                    <xdr:row>845</xdr:row>
                    <xdr:rowOff>9525</xdr:rowOff>
                  </to>
                </anchor>
              </controlPr>
            </control>
          </mc:Choice>
        </mc:AlternateContent>
        <mc:AlternateContent xmlns:mc="http://schemas.openxmlformats.org/markup-compatibility/2006">
          <mc:Choice Requires="x14">
            <control shapeId="82046" r:id="rId104" name="Option Button 126">
              <controlPr defaultSize="0" autoFill="0" autoLine="0" autoPict="0">
                <anchor moveWithCells="1">
                  <from>
                    <xdr:col>22</xdr:col>
                    <xdr:colOff>371475</xdr:colOff>
                    <xdr:row>844</xdr:row>
                    <xdr:rowOff>304800</xdr:rowOff>
                  </from>
                  <to>
                    <xdr:col>22</xdr:col>
                    <xdr:colOff>600075</xdr:colOff>
                    <xdr:row>845</xdr:row>
                    <xdr:rowOff>285750</xdr:rowOff>
                  </to>
                </anchor>
              </controlPr>
            </control>
          </mc:Choice>
        </mc:AlternateContent>
        <mc:AlternateContent xmlns:mc="http://schemas.openxmlformats.org/markup-compatibility/2006">
          <mc:Choice Requires="x14">
            <control shapeId="82047" r:id="rId105" name="Group Box 127">
              <controlPr defaultSize="0" autoFill="0" autoPict="0">
                <anchor moveWithCells="1">
                  <from>
                    <xdr:col>22</xdr:col>
                    <xdr:colOff>190500</xdr:colOff>
                    <xdr:row>843</xdr:row>
                    <xdr:rowOff>285750</xdr:rowOff>
                  </from>
                  <to>
                    <xdr:col>24</xdr:col>
                    <xdr:colOff>657225</xdr:colOff>
                    <xdr:row>845</xdr:row>
                    <xdr:rowOff>438150</xdr:rowOff>
                  </to>
                </anchor>
              </controlPr>
            </control>
          </mc:Choice>
        </mc:AlternateContent>
        <mc:AlternateContent xmlns:mc="http://schemas.openxmlformats.org/markup-compatibility/2006">
          <mc:Choice Requires="x14">
            <control shapeId="82048" r:id="rId106" name="Option Button 128">
              <controlPr defaultSize="0" autoFill="0" autoLine="0" autoPict="0">
                <anchor moveWithCells="1">
                  <from>
                    <xdr:col>22</xdr:col>
                    <xdr:colOff>371475</xdr:colOff>
                    <xdr:row>869</xdr:row>
                    <xdr:rowOff>38100</xdr:rowOff>
                  </from>
                  <to>
                    <xdr:col>22</xdr:col>
                    <xdr:colOff>600075</xdr:colOff>
                    <xdr:row>870</xdr:row>
                    <xdr:rowOff>9525</xdr:rowOff>
                  </to>
                </anchor>
              </controlPr>
            </control>
          </mc:Choice>
        </mc:AlternateContent>
        <mc:AlternateContent xmlns:mc="http://schemas.openxmlformats.org/markup-compatibility/2006">
          <mc:Choice Requires="x14">
            <control shapeId="82049" r:id="rId107" name="Option Button 129">
              <controlPr defaultSize="0" autoFill="0" autoLine="0" autoPict="0">
                <anchor moveWithCells="1">
                  <from>
                    <xdr:col>22</xdr:col>
                    <xdr:colOff>371475</xdr:colOff>
                    <xdr:row>869</xdr:row>
                    <xdr:rowOff>304800</xdr:rowOff>
                  </from>
                  <to>
                    <xdr:col>22</xdr:col>
                    <xdr:colOff>600075</xdr:colOff>
                    <xdr:row>870</xdr:row>
                    <xdr:rowOff>285750</xdr:rowOff>
                  </to>
                </anchor>
              </controlPr>
            </control>
          </mc:Choice>
        </mc:AlternateContent>
        <mc:AlternateContent xmlns:mc="http://schemas.openxmlformats.org/markup-compatibility/2006">
          <mc:Choice Requires="x14">
            <control shapeId="82050" r:id="rId108" name="Group Box 130">
              <controlPr defaultSize="0" autoFill="0" autoPict="0">
                <anchor moveWithCells="1">
                  <from>
                    <xdr:col>22</xdr:col>
                    <xdr:colOff>190500</xdr:colOff>
                    <xdr:row>868</xdr:row>
                    <xdr:rowOff>285750</xdr:rowOff>
                  </from>
                  <to>
                    <xdr:col>24</xdr:col>
                    <xdr:colOff>657225</xdr:colOff>
                    <xdr:row>870</xdr:row>
                    <xdr:rowOff>438150</xdr:rowOff>
                  </to>
                </anchor>
              </controlPr>
            </control>
          </mc:Choice>
        </mc:AlternateContent>
        <mc:AlternateContent xmlns:mc="http://schemas.openxmlformats.org/markup-compatibility/2006">
          <mc:Choice Requires="x14">
            <control shapeId="82051" r:id="rId109" name="Option Button 131">
              <controlPr defaultSize="0" autoFill="0" autoLine="0" autoPict="0">
                <anchor moveWithCells="1">
                  <from>
                    <xdr:col>22</xdr:col>
                    <xdr:colOff>371475</xdr:colOff>
                    <xdr:row>894</xdr:row>
                    <xdr:rowOff>38100</xdr:rowOff>
                  </from>
                  <to>
                    <xdr:col>22</xdr:col>
                    <xdr:colOff>600075</xdr:colOff>
                    <xdr:row>895</xdr:row>
                    <xdr:rowOff>9525</xdr:rowOff>
                  </to>
                </anchor>
              </controlPr>
            </control>
          </mc:Choice>
        </mc:AlternateContent>
        <mc:AlternateContent xmlns:mc="http://schemas.openxmlformats.org/markup-compatibility/2006">
          <mc:Choice Requires="x14">
            <control shapeId="82052" r:id="rId110" name="Option Button 132">
              <controlPr defaultSize="0" autoFill="0" autoLine="0" autoPict="0">
                <anchor moveWithCells="1">
                  <from>
                    <xdr:col>22</xdr:col>
                    <xdr:colOff>371475</xdr:colOff>
                    <xdr:row>894</xdr:row>
                    <xdr:rowOff>304800</xdr:rowOff>
                  </from>
                  <to>
                    <xdr:col>22</xdr:col>
                    <xdr:colOff>600075</xdr:colOff>
                    <xdr:row>895</xdr:row>
                    <xdr:rowOff>285750</xdr:rowOff>
                  </to>
                </anchor>
              </controlPr>
            </control>
          </mc:Choice>
        </mc:AlternateContent>
        <mc:AlternateContent xmlns:mc="http://schemas.openxmlformats.org/markup-compatibility/2006">
          <mc:Choice Requires="x14">
            <control shapeId="82053" r:id="rId111" name="Group Box 133">
              <controlPr defaultSize="0" autoFill="0" autoPict="0">
                <anchor moveWithCells="1">
                  <from>
                    <xdr:col>22</xdr:col>
                    <xdr:colOff>190500</xdr:colOff>
                    <xdr:row>893</xdr:row>
                    <xdr:rowOff>285750</xdr:rowOff>
                  </from>
                  <to>
                    <xdr:col>24</xdr:col>
                    <xdr:colOff>657225</xdr:colOff>
                    <xdr:row>895</xdr:row>
                    <xdr:rowOff>438150</xdr:rowOff>
                  </to>
                </anchor>
              </controlPr>
            </control>
          </mc:Choice>
        </mc:AlternateContent>
        <mc:AlternateContent xmlns:mc="http://schemas.openxmlformats.org/markup-compatibility/2006">
          <mc:Choice Requires="x14">
            <control shapeId="82054" r:id="rId112" name="Option Button 134">
              <controlPr defaultSize="0" autoFill="0" autoLine="0" autoPict="0">
                <anchor moveWithCells="1">
                  <from>
                    <xdr:col>22</xdr:col>
                    <xdr:colOff>371475</xdr:colOff>
                    <xdr:row>919</xdr:row>
                    <xdr:rowOff>38100</xdr:rowOff>
                  </from>
                  <to>
                    <xdr:col>22</xdr:col>
                    <xdr:colOff>600075</xdr:colOff>
                    <xdr:row>920</xdr:row>
                    <xdr:rowOff>9525</xdr:rowOff>
                  </to>
                </anchor>
              </controlPr>
            </control>
          </mc:Choice>
        </mc:AlternateContent>
        <mc:AlternateContent xmlns:mc="http://schemas.openxmlformats.org/markup-compatibility/2006">
          <mc:Choice Requires="x14">
            <control shapeId="82055" r:id="rId113" name="Option Button 135">
              <controlPr defaultSize="0" autoFill="0" autoLine="0" autoPict="0">
                <anchor moveWithCells="1">
                  <from>
                    <xdr:col>22</xdr:col>
                    <xdr:colOff>371475</xdr:colOff>
                    <xdr:row>919</xdr:row>
                    <xdr:rowOff>304800</xdr:rowOff>
                  </from>
                  <to>
                    <xdr:col>22</xdr:col>
                    <xdr:colOff>600075</xdr:colOff>
                    <xdr:row>920</xdr:row>
                    <xdr:rowOff>285750</xdr:rowOff>
                  </to>
                </anchor>
              </controlPr>
            </control>
          </mc:Choice>
        </mc:AlternateContent>
        <mc:AlternateContent xmlns:mc="http://schemas.openxmlformats.org/markup-compatibility/2006">
          <mc:Choice Requires="x14">
            <control shapeId="82056" r:id="rId114" name="Group Box 136">
              <controlPr defaultSize="0" autoFill="0" autoPict="0">
                <anchor moveWithCells="1">
                  <from>
                    <xdr:col>22</xdr:col>
                    <xdr:colOff>190500</xdr:colOff>
                    <xdr:row>918</xdr:row>
                    <xdr:rowOff>285750</xdr:rowOff>
                  </from>
                  <to>
                    <xdr:col>24</xdr:col>
                    <xdr:colOff>657225</xdr:colOff>
                    <xdr:row>920</xdr:row>
                    <xdr:rowOff>438150</xdr:rowOff>
                  </to>
                </anchor>
              </controlPr>
            </control>
          </mc:Choice>
        </mc:AlternateContent>
        <mc:AlternateContent xmlns:mc="http://schemas.openxmlformats.org/markup-compatibility/2006">
          <mc:Choice Requires="x14">
            <control shapeId="82057" r:id="rId115" name="Option Button 137">
              <controlPr defaultSize="0" autoFill="0" autoLine="0" autoPict="0">
                <anchor moveWithCells="1">
                  <from>
                    <xdr:col>22</xdr:col>
                    <xdr:colOff>371475</xdr:colOff>
                    <xdr:row>944</xdr:row>
                    <xdr:rowOff>38100</xdr:rowOff>
                  </from>
                  <to>
                    <xdr:col>22</xdr:col>
                    <xdr:colOff>600075</xdr:colOff>
                    <xdr:row>945</xdr:row>
                    <xdr:rowOff>9525</xdr:rowOff>
                  </to>
                </anchor>
              </controlPr>
            </control>
          </mc:Choice>
        </mc:AlternateContent>
        <mc:AlternateContent xmlns:mc="http://schemas.openxmlformats.org/markup-compatibility/2006">
          <mc:Choice Requires="x14">
            <control shapeId="82058" r:id="rId116" name="Option Button 138">
              <controlPr defaultSize="0" autoFill="0" autoLine="0" autoPict="0">
                <anchor moveWithCells="1">
                  <from>
                    <xdr:col>22</xdr:col>
                    <xdr:colOff>371475</xdr:colOff>
                    <xdr:row>944</xdr:row>
                    <xdr:rowOff>304800</xdr:rowOff>
                  </from>
                  <to>
                    <xdr:col>22</xdr:col>
                    <xdr:colOff>600075</xdr:colOff>
                    <xdr:row>945</xdr:row>
                    <xdr:rowOff>285750</xdr:rowOff>
                  </to>
                </anchor>
              </controlPr>
            </control>
          </mc:Choice>
        </mc:AlternateContent>
        <mc:AlternateContent xmlns:mc="http://schemas.openxmlformats.org/markup-compatibility/2006">
          <mc:Choice Requires="x14">
            <control shapeId="82059" r:id="rId117" name="Group Box 139">
              <controlPr defaultSize="0" autoFill="0" autoPict="0">
                <anchor moveWithCells="1">
                  <from>
                    <xdr:col>22</xdr:col>
                    <xdr:colOff>190500</xdr:colOff>
                    <xdr:row>943</xdr:row>
                    <xdr:rowOff>285750</xdr:rowOff>
                  </from>
                  <to>
                    <xdr:col>24</xdr:col>
                    <xdr:colOff>657225</xdr:colOff>
                    <xdr:row>945</xdr:row>
                    <xdr:rowOff>438150</xdr:rowOff>
                  </to>
                </anchor>
              </controlPr>
            </control>
          </mc:Choice>
        </mc:AlternateContent>
        <mc:AlternateContent xmlns:mc="http://schemas.openxmlformats.org/markup-compatibility/2006">
          <mc:Choice Requires="x14">
            <control shapeId="82060" r:id="rId118" name="Option Button 140">
              <controlPr defaultSize="0" autoFill="0" autoLine="0" autoPict="0">
                <anchor moveWithCells="1">
                  <from>
                    <xdr:col>22</xdr:col>
                    <xdr:colOff>371475</xdr:colOff>
                    <xdr:row>969</xdr:row>
                    <xdr:rowOff>38100</xdr:rowOff>
                  </from>
                  <to>
                    <xdr:col>22</xdr:col>
                    <xdr:colOff>600075</xdr:colOff>
                    <xdr:row>970</xdr:row>
                    <xdr:rowOff>9525</xdr:rowOff>
                  </to>
                </anchor>
              </controlPr>
            </control>
          </mc:Choice>
        </mc:AlternateContent>
        <mc:AlternateContent xmlns:mc="http://schemas.openxmlformats.org/markup-compatibility/2006">
          <mc:Choice Requires="x14">
            <control shapeId="82061" r:id="rId119" name="Option Button 141">
              <controlPr defaultSize="0" autoFill="0" autoLine="0" autoPict="0">
                <anchor moveWithCells="1">
                  <from>
                    <xdr:col>22</xdr:col>
                    <xdr:colOff>371475</xdr:colOff>
                    <xdr:row>969</xdr:row>
                    <xdr:rowOff>304800</xdr:rowOff>
                  </from>
                  <to>
                    <xdr:col>22</xdr:col>
                    <xdr:colOff>600075</xdr:colOff>
                    <xdr:row>970</xdr:row>
                    <xdr:rowOff>285750</xdr:rowOff>
                  </to>
                </anchor>
              </controlPr>
            </control>
          </mc:Choice>
        </mc:AlternateContent>
        <mc:AlternateContent xmlns:mc="http://schemas.openxmlformats.org/markup-compatibility/2006">
          <mc:Choice Requires="x14">
            <control shapeId="82062" r:id="rId120" name="Group Box 142">
              <controlPr defaultSize="0" autoFill="0" autoPict="0">
                <anchor moveWithCells="1">
                  <from>
                    <xdr:col>22</xdr:col>
                    <xdr:colOff>190500</xdr:colOff>
                    <xdr:row>968</xdr:row>
                    <xdr:rowOff>285750</xdr:rowOff>
                  </from>
                  <to>
                    <xdr:col>24</xdr:col>
                    <xdr:colOff>657225</xdr:colOff>
                    <xdr:row>970</xdr:row>
                    <xdr:rowOff>438150</xdr:rowOff>
                  </to>
                </anchor>
              </controlPr>
            </control>
          </mc:Choice>
        </mc:AlternateContent>
        <mc:AlternateContent xmlns:mc="http://schemas.openxmlformats.org/markup-compatibility/2006">
          <mc:Choice Requires="x14">
            <control shapeId="82063" r:id="rId121" name="Option Button 143">
              <controlPr defaultSize="0" autoFill="0" autoLine="0" autoPict="0">
                <anchor moveWithCells="1">
                  <from>
                    <xdr:col>22</xdr:col>
                    <xdr:colOff>371475</xdr:colOff>
                    <xdr:row>994</xdr:row>
                    <xdr:rowOff>38100</xdr:rowOff>
                  </from>
                  <to>
                    <xdr:col>22</xdr:col>
                    <xdr:colOff>600075</xdr:colOff>
                    <xdr:row>995</xdr:row>
                    <xdr:rowOff>9525</xdr:rowOff>
                  </to>
                </anchor>
              </controlPr>
            </control>
          </mc:Choice>
        </mc:AlternateContent>
        <mc:AlternateContent xmlns:mc="http://schemas.openxmlformats.org/markup-compatibility/2006">
          <mc:Choice Requires="x14">
            <control shapeId="82064" r:id="rId122" name="Option Button 144">
              <controlPr defaultSize="0" autoFill="0" autoLine="0" autoPict="0">
                <anchor moveWithCells="1">
                  <from>
                    <xdr:col>22</xdr:col>
                    <xdr:colOff>371475</xdr:colOff>
                    <xdr:row>994</xdr:row>
                    <xdr:rowOff>304800</xdr:rowOff>
                  </from>
                  <to>
                    <xdr:col>22</xdr:col>
                    <xdr:colOff>600075</xdr:colOff>
                    <xdr:row>995</xdr:row>
                    <xdr:rowOff>285750</xdr:rowOff>
                  </to>
                </anchor>
              </controlPr>
            </control>
          </mc:Choice>
        </mc:AlternateContent>
        <mc:AlternateContent xmlns:mc="http://schemas.openxmlformats.org/markup-compatibility/2006">
          <mc:Choice Requires="x14">
            <control shapeId="82065" r:id="rId123" name="Group Box 145">
              <controlPr defaultSize="0" autoFill="0" autoPict="0">
                <anchor moveWithCells="1">
                  <from>
                    <xdr:col>22</xdr:col>
                    <xdr:colOff>190500</xdr:colOff>
                    <xdr:row>993</xdr:row>
                    <xdr:rowOff>285750</xdr:rowOff>
                  </from>
                  <to>
                    <xdr:col>24</xdr:col>
                    <xdr:colOff>657225</xdr:colOff>
                    <xdr:row>995</xdr:row>
                    <xdr:rowOff>438150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6" id="{C61B44B5-5855-4729-A087-26F26CF43A89}">
            <xm:f>OR(計1!$L$24="",計1!$L$24&lt;$Q$1,AND(計1!$P$7=FALSE,計1!$P$8=FALSE,計1!$P$10=FALSE))</xm:f>
            <x14:dxf>
              <font>
                <color auto="1"/>
              </font>
              <fill>
                <patternFill>
                  <bgColor theme="0" tint="-0.14996795556505021"/>
                </patternFill>
              </fill>
            </x14:dxf>
          </x14:cfRule>
          <xm:sqref>D6 D7 C8 H8 M8 C9 H9 C15 C17 I17 O17 D19 J19 C20 I15 O15</xm:sqref>
        </x14:conditionalFormatting>
        <x14:conditionalFormatting xmlns:xm="http://schemas.microsoft.com/office/excel/2006/main">
          <x14:cfRule type="expression" priority="125" id="{B66AB527-76B6-4179-B5E0-5C3CDB79AB3D}">
            <xm:f>OR(計1!$L$24="",計1!$L$24&lt;$Q$26,AND(計1!$P$7=FALSE,計1!$P$8=FALSE,計1!$P$10=FALSE))</xm:f>
            <x14:dxf>
              <font>
                <color auto="1"/>
              </font>
              <fill>
                <patternFill>
                  <bgColor theme="0" tint="-0.14996795556505021"/>
                </patternFill>
              </fill>
            </x14:dxf>
          </x14:cfRule>
          <xm:sqref>D31:D32 M33 C33:C34 H33:H34 C40:F43 I42 O42 D44 J44 C45 I40 O40</xm:sqref>
        </x14:conditionalFormatting>
        <x14:conditionalFormatting xmlns:xm="http://schemas.microsoft.com/office/excel/2006/main">
          <x14:cfRule type="expression" priority="119" id="{348F55A0-ACC5-4079-8484-74E0E828663A}">
            <xm:f>はじめに!$B$36&lt;&gt;"計画書"</xm:f>
            <x14:dxf>
              <font>
                <color auto="1"/>
              </font>
              <fill>
                <patternFill>
                  <bgColor theme="0" tint="-0.14996795556505021"/>
                </patternFill>
              </fill>
            </x14:dxf>
          </x14:cfRule>
          <xm:sqref>D6:O7 C8:D8 H9:J9 C9:E9 C17:F18 I17:L18 C20:O22 D31:O32 C33:D33 C34:E34 H34:J34 C42:F43 C45:O47 C58:D58 C59:E59 H59:J59 M58:O58 C67:F68 C70:O72 C83:D83 C84:E84 H84:J84 M83:O83 C92:F93 C95:O97 C108:D108 C109:E109 H109:J109 M108:O108 C117:F118 C120:O122 C133:D133 C134:E134 H134:J134 M133:O133 C142:F143 C145:O147 C158:D158 C159:E159 H159:J159 M158:O158 C167:F168 C170:O172 C183:D183 C184:E184 H184:J184 M183:O183 C192:F193 C195:O197 C208:D208 C209:E209 H209:J209 M208:O208 C217:F218 C220:O222 C233:D233 C234:E234 H234:J234 M233:O233 C242:F243 C245:O247 C258:D258 C259:E259 H259:J259 M258:O258 C267:F268 C270:O272 C283:D283 C284:E284 H284:J284 M283:O283 C292:F293 C295:O297 C308:D308 C309:E309 H309:J309 M308:O308 C317:F318 C320:O322 C333:D333 C334:E334 H334:J334 M333:O333 C342:F343 C345:O347 C358:D358 C359:E359 H359:J359 M358:O358 C367:F368 C370:O372 C383:D383 C384:E384 H384:J384 M383:O383 C392:F393 C395:O397 C408:D408 C409:E409 H409:J409 M408:O408 C417:F418 C420:O422 C433:D433 C434:E434 H434:J434 M433:O433 C442:F443 C445:O447 C458:D458 C459:E459 H459:J459 M458:O458 C467:F468 C470:O472 C483:D483 C484:E484 H484:J484 M483:O483 C492:F493 C495:O497 C508:D508 C509:E509 H509:J509 M508:O508 C517:F518 C520:O522 C533:D533 C534:E534 H534:J534 M533:O533 C542:F543 C545:O547 C558:D558 C559:E559 H559:J559 M558:O558 C567:F568 C570:O572 C583:D583 C584:E584 H584:J584 M583:O583 C592:F593 C595:O597 C608:D608 C609:E609 H609:J609 M608:O608 C617:F618 C620:O622 C633:D633 C634:E634 H634:J634 M633:O633 C642:F643 C645:O647 C658:D658 C659:E659 H659:J659 M658:O658 C667:F668 C670:O672 C683:D683 C684:E684 H684:J684 M683:O683 C692:F693 C695:O697 C708:D708 C709:E709 H709:J709 M708:O708 C717:F718 C720:O722 C733:D733 C734:E734 H734:J734 M733:O733 C742:F743 C745:O747 C758:D758 C759:E759 H759:J759 M758:O758 C767:F768 C770:O772 C783:D783 C784:E784 H784:J784 M783:O783 C792:F793 C795:O797 C808:D808 C809:E809 H809:J809 M808:O808 C817:F818 C820:O822 C833:D833 C834:E834 H834:J834 M833:O833 C842:F843 C845:O847 C858:D858 C859:E859 H859:J859 M858:O858 C867:F868 C870:O872 C883:D883 C884:E884 H884:J884 M883:O883 C892:F893 C895:O897 C908:D908 C909:E909 H909:J909 M908:O908 C917:F918 C920:O922 C933:D933 C934:E934 H934:J934 M933:O933 C942:F943 C945:O947 C958:D958 C959:E959 H959:J959 M958:O958 C967:F968 C970:O972 C983:D983 C984:E984 H984:J984 M983:O983 C992:F993 C995:O997 O15:O16 I40:L43 O40:O41 I65:L68 O65:O66 I90:L93 O90:O91 I115:L118 O115:O116 I140:L143 O140:O141 I165:L168 O165:O166 I190:L193 O190:O191 I215:L218 O215:O216 I240:L243 O240:O241 I265:L268 O265:O266 I290:L293 O290:O291 I315:L318 O315:O316 I340:L343 O340:O341 I365:L368 O365:O366 I390:L393 O390:O391 I415:L418 O415:O416 I440:L443 O440:O441 I465:L468 O465:O466 I490:L493 O490:O491 I515:L518 O515:O516 I540:L543 O540:O541 I565:L568 O565:O566 I590:L593 O590:O591 I615:L618 O615:O616 I640:L643 O640:O641 I665:L668 O665:O666 I690:L693 O690:O691 I715:L718 O715:O716 I740:L743 O740:O741 I765:L768 O765:O766 I790:L793 O790:O791 I815:L818 O815:O816 I840:L843 O840:O841 I865:L868 O865:O866 I890:L893 O890:O891 I915:L918 O915:O916 I940:L943 O940:O941 I965:L968 O965:O966 I990:L993 O990:O991 M8:O8 M33:O33</xm:sqref>
        </x14:conditionalFormatting>
        <x14:conditionalFormatting xmlns:xm="http://schemas.microsoft.com/office/excel/2006/main">
          <x14:cfRule type="expression" priority="118" id="{08A17E92-FEF2-4D22-81BE-B138EFFA8D59}">
            <xm:f>OR(計1!$L$24="",計1!$L$24&lt;$Q$51,AND(計1!$P$7=FALSE,計1!$P$8=FALSE,計1!$P$10=FALSE))</xm:f>
            <x14:dxf>
              <font>
                <color auto="1"/>
              </font>
              <fill>
                <patternFill>
                  <bgColor theme="0" tint="-0.14996795556505021"/>
                </patternFill>
              </fill>
            </x14:dxf>
          </x14:cfRule>
          <xm:sqref>D56:D57 M58 C58:C59 H58:H59 C65:F68 I67 O67 D69 J69 C70 I65 O65</xm:sqref>
        </x14:conditionalFormatting>
        <x14:conditionalFormatting xmlns:xm="http://schemas.microsoft.com/office/excel/2006/main">
          <x14:cfRule type="expression" priority="116" id="{B3873823-22FF-4718-86B4-DA646193B64C}">
            <xm:f>はじめに!$B$36&lt;&gt;"計画書"</xm:f>
            <x14:dxf>
              <font>
                <color auto="1"/>
              </font>
              <fill>
                <patternFill>
                  <bgColor theme="0" tint="-0.14996795556505021"/>
                </patternFill>
              </fill>
            </x14:dxf>
          </x14:cfRule>
          <xm:sqref>D56:O57</xm:sqref>
        </x14:conditionalFormatting>
        <x14:conditionalFormatting xmlns:xm="http://schemas.microsoft.com/office/excel/2006/main">
          <x14:cfRule type="expression" priority="115" id="{7671A745-87DE-4B11-910A-B7C063D56ECB}">
            <xm:f>OR(計1!$L$24="",計1!$L$24&lt;$Q$76,AND(計1!$P$7=FALSE,計1!$P$8=FALSE,計1!$P$10=FALSE))</xm:f>
            <x14:dxf>
              <font>
                <color auto="1"/>
              </font>
              <fill>
                <patternFill>
                  <bgColor theme="0" tint="-0.14996795556505021"/>
                </patternFill>
              </fill>
            </x14:dxf>
          </x14:cfRule>
          <xm:sqref>D81:D82 M83 C83:C84 H83:H84 C90:F93 I92 O92 D94 J94 C95 I90 O90</xm:sqref>
        </x14:conditionalFormatting>
        <x14:conditionalFormatting xmlns:xm="http://schemas.microsoft.com/office/excel/2006/main">
          <x14:cfRule type="expression" priority="113" id="{B64605BD-908A-43CB-BBC1-4D4D110CCC75}">
            <xm:f>はじめに!$B$36&lt;&gt;"計画書"</xm:f>
            <x14:dxf>
              <font>
                <color auto="1"/>
              </font>
              <fill>
                <patternFill>
                  <bgColor theme="0" tint="-0.14996795556505021"/>
                </patternFill>
              </fill>
            </x14:dxf>
          </x14:cfRule>
          <xm:sqref>D81:O82</xm:sqref>
        </x14:conditionalFormatting>
        <x14:conditionalFormatting xmlns:xm="http://schemas.microsoft.com/office/excel/2006/main">
          <x14:cfRule type="expression" priority="112" id="{66CEF0F5-FC17-47C7-A361-3A447E5A6CCB}">
            <xm:f>OR(計1!$L$24="",計1!$L$24&lt;$Q$101,AND(計1!$P$7=FALSE,計1!$P$8=FALSE,計1!$P$10=FALSE))</xm:f>
            <x14:dxf>
              <font>
                <color auto="1"/>
              </font>
              <fill>
                <patternFill>
                  <bgColor theme="0" tint="-0.14996795556505021"/>
                </patternFill>
              </fill>
            </x14:dxf>
          </x14:cfRule>
          <xm:sqref>D106:D107 M108 C108:C109 H108:H109 C115:F118 I115:I117 O115:O117 D119 J119 C120</xm:sqref>
        </x14:conditionalFormatting>
        <x14:conditionalFormatting xmlns:xm="http://schemas.microsoft.com/office/excel/2006/main">
          <x14:cfRule type="expression" priority="110" id="{7EF02929-58B2-4679-B491-922460C93993}">
            <xm:f>はじめに!$B$36&lt;&gt;"計画書"</xm:f>
            <x14:dxf>
              <font>
                <color auto="1"/>
              </font>
              <fill>
                <patternFill>
                  <bgColor theme="0" tint="-0.14996795556505021"/>
                </patternFill>
              </fill>
            </x14:dxf>
          </x14:cfRule>
          <xm:sqref>D106:O107</xm:sqref>
        </x14:conditionalFormatting>
        <x14:conditionalFormatting xmlns:xm="http://schemas.microsoft.com/office/excel/2006/main">
          <x14:cfRule type="expression" priority="109" id="{2F2D4D81-0B8F-403B-9973-09302DBA88A6}">
            <xm:f>OR(計1!$L$24="",計1!$L$24&lt;$Q$126,AND(計1!$P$7=FALSE,計1!$P$8=FALSE,計1!$P$10=FALSE))</xm:f>
            <x14:dxf>
              <font>
                <color auto="1"/>
              </font>
              <fill>
                <patternFill>
                  <bgColor theme="0" tint="-0.14996795556505021"/>
                </patternFill>
              </fill>
            </x14:dxf>
          </x14:cfRule>
          <xm:sqref>D131:D132 M133 C133:C134 H133:H134 C140:F143 I140 I142 O140 O142 D144 J144 C145</xm:sqref>
        </x14:conditionalFormatting>
        <x14:conditionalFormatting xmlns:xm="http://schemas.microsoft.com/office/excel/2006/main">
          <x14:cfRule type="expression" priority="107" id="{9AD3E37A-6072-453C-BCE0-F89404873809}">
            <xm:f>はじめに!$B$36&lt;&gt;"計画書"</xm:f>
            <x14:dxf>
              <font>
                <color auto="1"/>
              </font>
              <fill>
                <patternFill>
                  <bgColor theme="0" tint="-0.14996795556505021"/>
                </patternFill>
              </fill>
            </x14:dxf>
          </x14:cfRule>
          <xm:sqref>D131:O132</xm:sqref>
        </x14:conditionalFormatting>
        <x14:conditionalFormatting xmlns:xm="http://schemas.microsoft.com/office/excel/2006/main">
          <x14:cfRule type="expression" priority="106" id="{1D23F19F-7852-4E25-8D3D-49517A851951}">
            <xm:f>OR(計1!$L$24="",計1!$L$24&lt;$Q$151,AND(計1!$P$7=FALSE,計1!$P$8=FALSE,計1!$P$10=FALSE))</xm:f>
            <x14:dxf>
              <font>
                <color auto="1"/>
              </font>
              <fill>
                <patternFill>
                  <bgColor theme="0" tint="-0.14996795556505021"/>
                </patternFill>
              </fill>
            </x14:dxf>
          </x14:cfRule>
          <xm:sqref>D156:D157 M158 C158:C159 H158:H159 C165:F168 I165 I167 O165 O167 D169 J169 C170</xm:sqref>
        </x14:conditionalFormatting>
        <x14:conditionalFormatting xmlns:xm="http://schemas.microsoft.com/office/excel/2006/main">
          <x14:cfRule type="expression" priority="104" id="{FBFC30E6-0FB1-4639-B2E6-9C73C48C43FF}">
            <xm:f>はじめに!$B$36&lt;&gt;"計画書"</xm:f>
            <x14:dxf>
              <font>
                <color auto="1"/>
              </font>
              <fill>
                <patternFill>
                  <bgColor theme="0" tint="-0.14996795556505021"/>
                </patternFill>
              </fill>
            </x14:dxf>
          </x14:cfRule>
          <xm:sqref>D156:O157</xm:sqref>
        </x14:conditionalFormatting>
        <x14:conditionalFormatting xmlns:xm="http://schemas.microsoft.com/office/excel/2006/main">
          <x14:cfRule type="expression" priority="103" id="{4095FBA3-CF76-416D-9428-9D48D1A36648}">
            <xm:f>OR(計1!$L$24="",計1!$L$24&lt;$Q$176,AND(計1!$P$7=FALSE,計1!$P$8=FALSE,計1!$P$10=FALSE))</xm:f>
            <x14:dxf>
              <font>
                <color auto="1"/>
              </font>
              <fill>
                <patternFill>
                  <bgColor theme="0" tint="-0.14996795556505021"/>
                </patternFill>
              </fill>
            </x14:dxf>
          </x14:cfRule>
          <xm:sqref>D181:D182 M183 C183:C184 H183:H184 C190:F193 I190 I192 O190 O192 D194 J194 C195</xm:sqref>
        </x14:conditionalFormatting>
        <x14:conditionalFormatting xmlns:xm="http://schemas.microsoft.com/office/excel/2006/main">
          <x14:cfRule type="expression" priority="101" id="{A266AD04-A205-49BD-99FF-F1C5D2AE21D8}">
            <xm:f>はじめに!$B$36&lt;&gt;"計画書"</xm:f>
            <x14:dxf>
              <font>
                <color auto="1"/>
              </font>
              <fill>
                <patternFill>
                  <bgColor theme="0" tint="-0.14996795556505021"/>
                </patternFill>
              </fill>
            </x14:dxf>
          </x14:cfRule>
          <xm:sqref>D181:O182</xm:sqref>
        </x14:conditionalFormatting>
        <x14:conditionalFormatting xmlns:xm="http://schemas.microsoft.com/office/excel/2006/main">
          <x14:cfRule type="expression" priority="100" id="{D8CDB273-9D02-484B-97EB-BB2614270D8A}">
            <xm:f>OR(計1!$L$24="",計1!$L$24&lt;$Q$201,AND(計1!$P$7=FALSE,計1!$P$8=FALSE,計1!$P$10=FALSE))</xm:f>
            <x14:dxf>
              <font>
                <color auto="1"/>
              </font>
              <fill>
                <patternFill>
                  <bgColor theme="0" tint="-0.14996795556505021"/>
                </patternFill>
              </fill>
            </x14:dxf>
          </x14:cfRule>
          <xm:sqref>D206:D207 M208 C208:C209 H208:H209 C215:F218 I215 I217 O215 O217 D219 J219 C220</xm:sqref>
        </x14:conditionalFormatting>
        <x14:conditionalFormatting xmlns:xm="http://schemas.microsoft.com/office/excel/2006/main">
          <x14:cfRule type="expression" priority="98" id="{78556ECD-6029-4A38-B748-FF5B0FDA20D0}">
            <xm:f>はじめに!$B$36&lt;&gt;"計画書"</xm:f>
            <x14:dxf>
              <font>
                <color auto="1"/>
              </font>
              <fill>
                <patternFill>
                  <bgColor theme="0" tint="-0.14996795556505021"/>
                </patternFill>
              </fill>
            </x14:dxf>
          </x14:cfRule>
          <xm:sqref>D206:O207</xm:sqref>
        </x14:conditionalFormatting>
        <x14:conditionalFormatting xmlns:xm="http://schemas.microsoft.com/office/excel/2006/main">
          <x14:cfRule type="expression" priority="97" id="{1FB57890-7A9A-4D4C-98AD-1A88CD693732}">
            <xm:f>OR(計1!$L$24="",計1!$L$24&lt;$Q$226,AND(計1!$P$7=FALSE,計1!$P$8=FALSE,計1!$P$10=FALSE))</xm:f>
            <x14:dxf>
              <font>
                <color auto="1"/>
              </font>
              <fill>
                <patternFill>
                  <bgColor theme="0" tint="-0.14996795556505021"/>
                </patternFill>
              </fill>
            </x14:dxf>
          </x14:cfRule>
          <xm:sqref>D231:D232 M233 C233:C234 H233:H234 C240:F243 I240 I242 O240 O242 D244 J244 C245</xm:sqref>
        </x14:conditionalFormatting>
        <x14:conditionalFormatting xmlns:xm="http://schemas.microsoft.com/office/excel/2006/main">
          <x14:cfRule type="expression" priority="95" id="{F2C31A3B-7E81-4D8F-BA7B-DCB95E399562}">
            <xm:f>はじめに!$B$36&lt;&gt;"計画書"</xm:f>
            <x14:dxf>
              <font>
                <color auto="1"/>
              </font>
              <fill>
                <patternFill>
                  <bgColor theme="0" tint="-0.14996795556505021"/>
                </patternFill>
              </fill>
            </x14:dxf>
          </x14:cfRule>
          <xm:sqref>D231:O232</xm:sqref>
        </x14:conditionalFormatting>
        <x14:conditionalFormatting xmlns:xm="http://schemas.microsoft.com/office/excel/2006/main">
          <x14:cfRule type="expression" priority="94" id="{FEEC8817-8AA2-4FB5-B31B-A370AED001E7}">
            <xm:f>OR(計1!$L$24="",計1!$L$24&lt;$Q$251,AND(計1!$P$7=FALSE,計1!$P$8=FALSE,計1!$P$10=FALSE))</xm:f>
            <x14:dxf>
              <font>
                <color auto="1"/>
              </font>
              <fill>
                <patternFill>
                  <bgColor theme="0" tint="-0.14996795556505021"/>
                </patternFill>
              </fill>
            </x14:dxf>
          </x14:cfRule>
          <xm:sqref>D256:D257 M258 C258:C259 H258:H259 C265:F268 I265 I267 O265 O267 D269 J269 C270</xm:sqref>
        </x14:conditionalFormatting>
        <x14:conditionalFormatting xmlns:xm="http://schemas.microsoft.com/office/excel/2006/main">
          <x14:cfRule type="expression" priority="92" id="{BE54646C-6243-4694-A2C1-81E05EF11D04}">
            <xm:f>はじめに!$B$36&lt;&gt;"計画書"</xm:f>
            <x14:dxf>
              <font>
                <color auto="1"/>
              </font>
              <fill>
                <patternFill>
                  <bgColor theme="0" tint="-0.14996795556505021"/>
                </patternFill>
              </fill>
            </x14:dxf>
          </x14:cfRule>
          <xm:sqref>D256:O257</xm:sqref>
        </x14:conditionalFormatting>
        <x14:conditionalFormatting xmlns:xm="http://schemas.microsoft.com/office/excel/2006/main">
          <x14:cfRule type="expression" priority="91" id="{CB9E545F-2A8C-44F0-9F06-DC6DB3EE1EAA}">
            <xm:f>OR(計1!$L$24="",計1!$L$24&lt;$Q$276,AND(計1!$P$7=FALSE,計1!$P$8=FALSE,計1!$P$10=FALSE))</xm:f>
            <x14:dxf>
              <font>
                <color auto="1"/>
              </font>
              <fill>
                <patternFill>
                  <bgColor theme="0" tint="-0.14996795556505021"/>
                </patternFill>
              </fill>
            </x14:dxf>
          </x14:cfRule>
          <xm:sqref>D281:D282 M283 C283:C284 H283:H284 C290:F293 I290 I292 O290 O292 D294 J294 C295</xm:sqref>
        </x14:conditionalFormatting>
        <x14:conditionalFormatting xmlns:xm="http://schemas.microsoft.com/office/excel/2006/main">
          <x14:cfRule type="expression" priority="89" id="{87E0D549-FD7A-477F-A35E-6451B8B0B543}">
            <xm:f>はじめに!$B$36&lt;&gt;"計画書"</xm:f>
            <x14:dxf>
              <font>
                <color auto="1"/>
              </font>
              <fill>
                <patternFill>
                  <bgColor theme="0" tint="-0.14996795556505021"/>
                </patternFill>
              </fill>
            </x14:dxf>
          </x14:cfRule>
          <xm:sqref>D281:O282</xm:sqref>
        </x14:conditionalFormatting>
        <x14:conditionalFormatting xmlns:xm="http://schemas.microsoft.com/office/excel/2006/main">
          <x14:cfRule type="expression" priority="88" id="{F7DB92E9-503A-4E97-8F0E-72300B90AED2}">
            <xm:f>OR(計1!$L$24="",計1!$L$24&lt;$Q$301,AND(計1!$P$7=FALSE,計1!$P$8=FALSE,計1!$P$10=FALSE))</xm:f>
            <x14:dxf>
              <font>
                <color auto="1"/>
              </font>
              <fill>
                <patternFill>
                  <bgColor theme="0" tint="-0.14996795556505021"/>
                </patternFill>
              </fill>
            </x14:dxf>
          </x14:cfRule>
          <xm:sqref>D306:D307 M308 C308:C309 H308:H309 C315:F318 I315 I317 O315 O317 D319 J319 C320</xm:sqref>
        </x14:conditionalFormatting>
        <x14:conditionalFormatting xmlns:xm="http://schemas.microsoft.com/office/excel/2006/main">
          <x14:cfRule type="expression" priority="86" id="{0299EADB-98DD-479D-8B01-DCCBD4BE0E02}">
            <xm:f>はじめに!$B$36&lt;&gt;"計画書"</xm:f>
            <x14:dxf>
              <font>
                <color auto="1"/>
              </font>
              <fill>
                <patternFill>
                  <bgColor theme="0" tint="-0.14996795556505021"/>
                </patternFill>
              </fill>
            </x14:dxf>
          </x14:cfRule>
          <xm:sqref>D306:O307</xm:sqref>
        </x14:conditionalFormatting>
        <x14:conditionalFormatting xmlns:xm="http://schemas.microsoft.com/office/excel/2006/main">
          <x14:cfRule type="expression" priority="85" id="{11565590-B5D1-48B7-AB39-BF9D06EC7B74}">
            <xm:f>OR(計1!$L$24="",計1!$L$24&lt;$Q$326,AND(計1!$P$7=FALSE,計1!$P$8=FALSE,計1!$P$10=FALSE))</xm:f>
            <x14:dxf>
              <font>
                <color auto="1"/>
              </font>
              <fill>
                <patternFill>
                  <bgColor theme="0" tint="-0.14996795556505021"/>
                </patternFill>
              </fill>
            </x14:dxf>
          </x14:cfRule>
          <xm:sqref>D331:D332 M333 C333:C334 H333:H334 C340:F343 I340 I342 O340 O342 D344 J344 C345</xm:sqref>
        </x14:conditionalFormatting>
        <x14:conditionalFormatting xmlns:xm="http://schemas.microsoft.com/office/excel/2006/main">
          <x14:cfRule type="expression" priority="83" id="{A9A4BEFA-22EB-44BA-A042-3305232EAF77}">
            <xm:f>はじめに!$B$36&lt;&gt;"計画書"</xm:f>
            <x14:dxf>
              <font>
                <color auto="1"/>
              </font>
              <fill>
                <patternFill>
                  <bgColor theme="0" tint="-0.14996795556505021"/>
                </patternFill>
              </fill>
            </x14:dxf>
          </x14:cfRule>
          <xm:sqref>D331:O332</xm:sqref>
        </x14:conditionalFormatting>
        <x14:conditionalFormatting xmlns:xm="http://schemas.microsoft.com/office/excel/2006/main">
          <x14:cfRule type="expression" priority="82" id="{307641BE-5FBC-4D7E-A502-C12F34AC6E83}">
            <xm:f>OR(計1!$L$24="",計1!$L$24&lt;$Q$351,AND(計1!$P$7=FALSE,計1!$P$8=FALSE,計1!$P$10=FALSE))</xm:f>
            <x14:dxf>
              <font>
                <color auto="1"/>
              </font>
              <fill>
                <patternFill>
                  <bgColor theme="0" tint="-0.14996795556505021"/>
                </patternFill>
              </fill>
            </x14:dxf>
          </x14:cfRule>
          <xm:sqref>D356:D357 M358 C358:C359 H358:H359 C365:F368 I365 I367 O365 O367 D369 J369 C370</xm:sqref>
        </x14:conditionalFormatting>
        <x14:conditionalFormatting xmlns:xm="http://schemas.microsoft.com/office/excel/2006/main">
          <x14:cfRule type="expression" priority="80" id="{325F093B-675E-4125-BFB4-10BAAED614DE}">
            <xm:f>はじめに!$B$36&lt;&gt;"計画書"</xm:f>
            <x14:dxf>
              <font>
                <color auto="1"/>
              </font>
              <fill>
                <patternFill>
                  <bgColor theme="0" tint="-0.14996795556505021"/>
                </patternFill>
              </fill>
            </x14:dxf>
          </x14:cfRule>
          <xm:sqref>D356:O357</xm:sqref>
        </x14:conditionalFormatting>
        <x14:conditionalFormatting xmlns:xm="http://schemas.microsoft.com/office/excel/2006/main">
          <x14:cfRule type="expression" priority="79" id="{0B63B468-45E9-4909-904D-54A90F17FEEE}">
            <xm:f>OR(計1!$L$24="",計1!$L$24&lt;$Q$376,AND(計1!$P$7=FALSE,計1!$P$8=FALSE,計1!$P$10=FALSE))</xm:f>
            <x14:dxf>
              <font>
                <color auto="1"/>
              </font>
              <fill>
                <patternFill>
                  <bgColor theme="0" tint="-0.14996795556505021"/>
                </patternFill>
              </fill>
            </x14:dxf>
          </x14:cfRule>
          <xm:sqref>D381:D382 M383 C383:C384 H383:H384 C390:F393 I390 I392 O390 O392 D394 J394 C395</xm:sqref>
        </x14:conditionalFormatting>
        <x14:conditionalFormatting xmlns:xm="http://schemas.microsoft.com/office/excel/2006/main">
          <x14:cfRule type="expression" priority="77" id="{A6912D88-FD2C-4003-8A17-BB9F74CEAD9E}">
            <xm:f>はじめに!$B$36&lt;&gt;"計画書"</xm:f>
            <x14:dxf>
              <font>
                <color auto="1"/>
              </font>
              <fill>
                <patternFill>
                  <bgColor theme="0" tint="-0.14996795556505021"/>
                </patternFill>
              </fill>
            </x14:dxf>
          </x14:cfRule>
          <xm:sqref>D381:O382</xm:sqref>
        </x14:conditionalFormatting>
        <x14:conditionalFormatting xmlns:xm="http://schemas.microsoft.com/office/excel/2006/main">
          <x14:cfRule type="expression" priority="76" id="{26923844-C4F4-4959-A1D3-970FF37D7B40}">
            <xm:f>OR(計1!$L$24="",計1!$L$24&lt;$Q$401,AND(計1!$P$7=FALSE,計1!$P$8=FALSE,計1!$P$10=FALSE))</xm:f>
            <x14:dxf>
              <font>
                <color auto="1"/>
              </font>
              <fill>
                <patternFill>
                  <bgColor theme="0" tint="-0.14996795556505021"/>
                </patternFill>
              </fill>
            </x14:dxf>
          </x14:cfRule>
          <xm:sqref>D406:D407 M408 C408:C409 H408:H409 C415:F418 I415 I417 O415 O417 D419 J419 C420</xm:sqref>
        </x14:conditionalFormatting>
        <x14:conditionalFormatting xmlns:xm="http://schemas.microsoft.com/office/excel/2006/main">
          <x14:cfRule type="expression" priority="74" id="{B665911F-7184-4A44-BC89-4B51CA128386}">
            <xm:f>はじめに!$B$36&lt;&gt;"計画書"</xm:f>
            <x14:dxf>
              <font>
                <color auto="1"/>
              </font>
              <fill>
                <patternFill>
                  <bgColor theme="0" tint="-0.14996795556505021"/>
                </patternFill>
              </fill>
            </x14:dxf>
          </x14:cfRule>
          <xm:sqref>D406:O407</xm:sqref>
        </x14:conditionalFormatting>
        <x14:conditionalFormatting xmlns:xm="http://schemas.microsoft.com/office/excel/2006/main">
          <x14:cfRule type="expression" priority="73" id="{27AC0AE8-9EF3-4351-BF7D-069CECC1991C}">
            <xm:f>OR(計1!$L$24="",計1!$L$24&lt;$Q$426,AND(計1!$P$7=FALSE,計1!$P$8=FALSE,計1!$P$10=FALSE))</xm:f>
            <x14:dxf>
              <font>
                <color auto="1"/>
              </font>
              <fill>
                <patternFill>
                  <bgColor theme="0" tint="-0.14996795556505021"/>
                </patternFill>
              </fill>
            </x14:dxf>
          </x14:cfRule>
          <xm:sqref>D431:D432 M433 C433:C434 H433:H434 C440:F443 I440 I442 O440 O442 D444 J444 C445</xm:sqref>
        </x14:conditionalFormatting>
        <x14:conditionalFormatting xmlns:xm="http://schemas.microsoft.com/office/excel/2006/main">
          <x14:cfRule type="expression" priority="71" id="{24C5B6D9-7201-47C3-8342-D8500A64CC15}">
            <xm:f>はじめに!$B$36&lt;&gt;"計画書"</xm:f>
            <x14:dxf>
              <font>
                <color auto="1"/>
              </font>
              <fill>
                <patternFill>
                  <bgColor theme="0" tint="-0.14996795556505021"/>
                </patternFill>
              </fill>
            </x14:dxf>
          </x14:cfRule>
          <xm:sqref>D431:O432</xm:sqref>
        </x14:conditionalFormatting>
        <x14:conditionalFormatting xmlns:xm="http://schemas.microsoft.com/office/excel/2006/main">
          <x14:cfRule type="expression" priority="70" id="{14988EB0-5AF1-425A-AC0B-47E5CAB1BDD5}">
            <xm:f>OR(計1!$L$24="",計1!$L$24&lt;$Q$451,AND(計1!$P$7=FALSE,計1!$P$8=FALSE,計1!$P$10=FALSE))</xm:f>
            <x14:dxf>
              <font>
                <color auto="1"/>
              </font>
              <fill>
                <patternFill>
                  <bgColor theme="0" tint="-0.14996795556505021"/>
                </patternFill>
              </fill>
            </x14:dxf>
          </x14:cfRule>
          <xm:sqref>D456:D457 M458 C458:C459 H458:H459 C465:F468 I465 I467 O465 O467 D469 J469 C470</xm:sqref>
        </x14:conditionalFormatting>
        <x14:conditionalFormatting xmlns:xm="http://schemas.microsoft.com/office/excel/2006/main">
          <x14:cfRule type="expression" priority="68" id="{0524B07D-6AF7-4D7B-908C-7875A43D7335}">
            <xm:f>はじめに!$B$36&lt;&gt;"計画書"</xm:f>
            <x14:dxf>
              <font>
                <color auto="1"/>
              </font>
              <fill>
                <patternFill>
                  <bgColor theme="0" tint="-0.14996795556505021"/>
                </patternFill>
              </fill>
            </x14:dxf>
          </x14:cfRule>
          <xm:sqref>D456:O457</xm:sqref>
        </x14:conditionalFormatting>
        <x14:conditionalFormatting xmlns:xm="http://schemas.microsoft.com/office/excel/2006/main">
          <x14:cfRule type="expression" priority="67" id="{EBD14AB9-3F89-4791-A051-FC6857A3F25C}">
            <xm:f>OR(計1!$L$24="",計1!$L$24&lt;$Q$476,AND(計1!$P$7=FALSE,計1!$P$8=FALSE,計1!$P$10=FALSE))</xm:f>
            <x14:dxf>
              <font>
                <color auto="1"/>
              </font>
              <fill>
                <patternFill>
                  <bgColor theme="0" tint="-0.14996795556505021"/>
                </patternFill>
              </fill>
            </x14:dxf>
          </x14:cfRule>
          <xm:sqref>D481:D482 M483 C483:C484 H483:H484 C490:F493 I490 I492 O490 O492 D494 J494 C495</xm:sqref>
        </x14:conditionalFormatting>
        <x14:conditionalFormatting xmlns:xm="http://schemas.microsoft.com/office/excel/2006/main">
          <x14:cfRule type="expression" priority="65" id="{D5C57EFA-1A30-45E2-808C-DE434053C4ED}">
            <xm:f>はじめに!$B$36&lt;&gt;"計画書"</xm:f>
            <x14:dxf>
              <font>
                <color auto="1"/>
              </font>
              <fill>
                <patternFill>
                  <bgColor theme="0" tint="-0.14996795556505021"/>
                </patternFill>
              </fill>
            </x14:dxf>
          </x14:cfRule>
          <xm:sqref>D481:O482</xm:sqref>
        </x14:conditionalFormatting>
        <x14:conditionalFormatting xmlns:xm="http://schemas.microsoft.com/office/excel/2006/main">
          <x14:cfRule type="expression" priority="64" id="{ECBD5DE8-5367-4B82-9A5A-79F575EAB4D5}">
            <xm:f>OR(計1!$L$24="",計1!$L$24&lt;$Q$501,AND(計1!$P$7=FALSE,計1!$P$8=FALSE,計1!$P$10=FALSE))</xm:f>
            <x14:dxf>
              <font>
                <color auto="1"/>
              </font>
              <fill>
                <patternFill>
                  <bgColor theme="0" tint="-0.14996795556505021"/>
                </patternFill>
              </fill>
            </x14:dxf>
          </x14:cfRule>
          <xm:sqref>D506:D507 M508 C508:C509 H508:H509 C515:F518 I515 I517 O515 O517 D519 J519 C520</xm:sqref>
        </x14:conditionalFormatting>
        <x14:conditionalFormatting xmlns:xm="http://schemas.microsoft.com/office/excel/2006/main">
          <x14:cfRule type="expression" priority="62" id="{C0B8D881-C9E7-4C94-A7B3-09BBDCA73F4B}">
            <xm:f>はじめに!$B$36&lt;&gt;"計画書"</xm:f>
            <x14:dxf>
              <font>
                <color auto="1"/>
              </font>
              <fill>
                <patternFill>
                  <bgColor theme="0" tint="-0.14996795556505021"/>
                </patternFill>
              </fill>
            </x14:dxf>
          </x14:cfRule>
          <xm:sqref>D506:O507</xm:sqref>
        </x14:conditionalFormatting>
        <x14:conditionalFormatting xmlns:xm="http://schemas.microsoft.com/office/excel/2006/main">
          <x14:cfRule type="expression" priority="61" id="{013583AF-4ECE-4BD2-A5A3-5A2FECB9EB48}">
            <xm:f>OR(計1!$L$24="",計1!$L$24&lt;$Q$526,AND(計1!$P$7=FALSE,計1!$P$8=FALSE,計1!$P$10=FALSE))</xm:f>
            <x14:dxf>
              <font>
                <color auto="1"/>
              </font>
              <fill>
                <patternFill>
                  <bgColor theme="0" tint="-0.14996795556505021"/>
                </patternFill>
              </fill>
            </x14:dxf>
          </x14:cfRule>
          <xm:sqref>D531:D532 M533 C533:C534 H533:H534 C540:F543 I540 I542 O540 O542 D544 J544 C545</xm:sqref>
        </x14:conditionalFormatting>
        <x14:conditionalFormatting xmlns:xm="http://schemas.microsoft.com/office/excel/2006/main">
          <x14:cfRule type="expression" priority="59" id="{D8D590D4-B1B6-4853-BB32-03F2B08994E8}">
            <xm:f>はじめに!$B$36&lt;&gt;"計画書"</xm:f>
            <x14:dxf>
              <font>
                <color auto="1"/>
              </font>
              <fill>
                <patternFill>
                  <bgColor theme="0" tint="-0.14996795556505021"/>
                </patternFill>
              </fill>
            </x14:dxf>
          </x14:cfRule>
          <xm:sqref>D531:O532</xm:sqref>
        </x14:conditionalFormatting>
        <x14:conditionalFormatting xmlns:xm="http://schemas.microsoft.com/office/excel/2006/main">
          <x14:cfRule type="expression" priority="58" id="{0BBF384A-BE92-47E6-BF17-8764CB65DD20}">
            <xm:f>OR(計1!$L$24="",計1!$L$24&lt;$Q$551,AND(計1!$P$7=FALSE,計1!$P$8=FALSE,計1!$P$10=FALSE))</xm:f>
            <x14:dxf>
              <font>
                <color auto="1"/>
              </font>
              <fill>
                <patternFill>
                  <bgColor theme="0" tint="-0.14996795556505021"/>
                </patternFill>
              </fill>
            </x14:dxf>
          </x14:cfRule>
          <xm:sqref>D556:D557 M558 C558:C559 H558:H559 C565:F568 I565 I567 O565 O567 D569 J569 C570</xm:sqref>
        </x14:conditionalFormatting>
        <x14:conditionalFormatting xmlns:xm="http://schemas.microsoft.com/office/excel/2006/main">
          <x14:cfRule type="expression" priority="56" id="{08019972-7732-483F-A8D2-E9545592D788}">
            <xm:f>はじめに!$B$36&lt;&gt;"計画書"</xm:f>
            <x14:dxf>
              <font>
                <color auto="1"/>
              </font>
              <fill>
                <patternFill>
                  <bgColor theme="0" tint="-0.14996795556505021"/>
                </patternFill>
              </fill>
            </x14:dxf>
          </x14:cfRule>
          <xm:sqref>D556:O557</xm:sqref>
        </x14:conditionalFormatting>
        <x14:conditionalFormatting xmlns:xm="http://schemas.microsoft.com/office/excel/2006/main">
          <x14:cfRule type="expression" priority="55" id="{5D54A03D-3F0E-43B2-B430-70E1BEB9E97B}">
            <xm:f>OR(計1!$L$24="",計1!$L$24&lt;$Q$576,AND(計1!$P$7=FALSE,計1!$P$8=FALSE,計1!$P$10=FALSE))</xm:f>
            <x14:dxf>
              <font>
                <color auto="1"/>
              </font>
              <fill>
                <patternFill>
                  <bgColor theme="0" tint="-0.14996795556505021"/>
                </patternFill>
              </fill>
            </x14:dxf>
          </x14:cfRule>
          <xm:sqref>D581:D582 M583 C583:C584 H583:H584 C590:F593 I590 I592 O590 O592 D594 J594 C595</xm:sqref>
        </x14:conditionalFormatting>
        <x14:conditionalFormatting xmlns:xm="http://schemas.microsoft.com/office/excel/2006/main">
          <x14:cfRule type="expression" priority="53" id="{5A6BD3E8-5D84-4C07-B4DA-B2D356EA99A5}">
            <xm:f>はじめに!$B$36&lt;&gt;"計画書"</xm:f>
            <x14:dxf>
              <font>
                <color auto="1"/>
              </font>
              <fill>
                <patternFill>
                  <bgColor theme="0" tint="-0.14996795556505021"/>
                </patternFill>
              </fill>
            </x14:dxf>
          </x14:cfRule>
          <xm:sqref>D581:O582</xm:sqref>
        </x14:conditionalFormatting>
        <x14:conditionalFormatting xmlns:xm="http://schemas.microsoft.com/office/excel/2006/main">
          <x14:cfRule type="expression" priority="52" id="{63EBC7F1-9BF8-4A0C-B95B-7C370B1199D6}">
            <xm:f>OR(計1!$L$24="",計1!$L$24&lt;$Q$601,AND(計1!$P$7=FALSE,計1!$P$8=FALSE,計1!$P$10=FALSE))</xm:f>
            <x14:dxf>
              <font>
                <color auto="1"/>
              </font>
              <fill>
                <patternFill>
                  <bgColor theme="0" tint="-0.14996795556505021"/>
                </patternFill>
              </fill>
            </x14:dxf>
          </x14:cfRule>
          <xm:sqref>D606:D607 M608 C608:C609 H608:H609 C615:F618 I615 I617 O615 O617 D619 J619 C620</xm:sqref>
        </x14:conditionalFormatting>
        <x14:conditionalFormatting xmlns:xm="http://schemas.microsoft.com/office/excel/2006/main">
          <x14:cfRule type="expression" priority="50" id="{91BC1DDE-25B6-4AE2-B1B6-8DA3214B2185}">
            <xm:f>はじめに!$B$36&lt;&gt;"計画書"</xm:f>
            <x14:dxf>
              <font>
                <color auto="1"/>
              </font>
              <fill>
                <patternFill>
                  <bgColor theme="0" tint="-0.14996795556505021"/>
                </patternFill>
              </fill>
            </x14:dxf>
          </x14:cfRule>
          <xm:sqref>D606:O607</xm:sqref>
        </x14:conditionalFormatting>
        <x14:conditionalFormatting xmlns:xm="http://schemas.microsoft.com/office/excel/2006/main">
          <x14:cfRule type="expression" priority="49" id="{0DBF35D4-02F7-4C18-8844-A962FF1EC781}">
            <xm:f>OR(計1!$L$24="",計1!$L$24&lt;$Q$626,AND(計1!$P$7=FALSE,計1!$P$8=FALSE,計1!$P$10=FALSE))</xm:f>
            <x14:dxf>
              <font>
                <color auto="1"/>
              </font>
              <fill>
                <patternFill>
                  <bgColor theme="0" tint="-0.14996795556505021"/>
                </patternFill>
              </fill>
            </x14:dxf>
          </x14:cfRule>
          <xm:sqref>D631:D632 M633 C633:C634 H633:H634 C640:F643 I640 I642 O640 O642 D644 J644 C645</xm:sqref>
        </x14:conditionalFormatting>
        <x14:conditionalFormatting xmlns:xm="http://schemas.microsoft.com/office/excel/2006/main">
          <x14:cfRule type="expression" priority="47" id="{F9C5037E-E8FC-4CFB-87DD-8D418AA2C0CC}">
            <xm:f>はじめに!$B$36&lt;&gt;"計画書"</xm:f>
            <x14:dxf>
              <font>
                <color auto="1"/>
              </font>
              <fill>
                <patternFill>
                  <bgColor theme="0" tint="-0.14996795556505021"/>
                </patternFill>
              </fill>
            </x14:dxf>
          </x14:cfRule>
          <xm:sqref>D631:O632</xm:sqref>
        </x14:conditionalFormatting>
        <x14:conditionalFormatting xmlns:xm="http://schemas.microsoft.com/office/excel/2006/main">
          <x14:cfRule type="expression" priority="46" id="{4389E9C7-73F1-4DB4-AC4B-17858195439B}">
            <xm:f>OR(計1!$L$24="",計1!$L$24&lt;$Q$651,AND(計1!$P$7=FALSE,計1!$P$8=FALSE,計1!$P$10=FALSE))</xm:f>
            <x14:dxf>
              <font>
                <color auto="1"/>
              </font>
              <fill>
                <patternFill>
                  <bgColor theme="0" tint="-0.14996795556505021"/>
                </patternFill>
              </fill>
            </x14:dxf>
          </x14:cfRule>
          <xm:sqref>D656:D657 M658 C658:C659 H658:H659 C665:F668 I665 I667 O667 O665 D669 J669 C670</xm:sqref>
        </x14:conditionalFormatting>
        <x14:conditionalFormatting xmlns:xm="http://schemas.microsoft.com/office/excel/2006/main">
          <x14:cfRule type="expression" priority="44" id="{E6ABDC08-2AB0-4AD1-99F9-95407B44483A}">
            <xm:f>はじめに!$B$36&lt;&gt;"計画書"</xm:f>
            <x14:dxf>
              <font>
                <color auto="1"/>
              </font>
              <fill>
                <patternFill>
                  <bgColor theme="0" tint="-0.14996795556505021"/>
                </patternFill>
              </fill>
            </x14:dxf>
          </x14:cfRule>
          <xm:sqref>D656:O657</xm:sqref>
        </x14:conditionalFormatting>
        <x14:conditionalFormatting xmlns:xm="http://schemas.microsoft.com/office/excel/2006/main">
          <x14:cfRule type="expression" priority="43" id="{31077111-7B90-444E-964B-3FFACC49F166}">
            <xm:f>OR(計1!$L$24="",計1!$L$24&lt;$Q$676,AND(計1!$P$7=FALSE,計1!$P$8=FALSE,計1!$P$10=FALSE))</xm:f>
            <x14:dxf>
              <font>
                <color auto="1"/>
              </font>
              <fill>
                <patternFill>
                  <bgColor theme="0" tint="-0.14996795556505021"/>
                </patternFill>
              </fill>
            </x14:dxf>
          </x14:cfRule>
          <xm:sqref>D681:D682 M683 C683:C684 H683:H684 C690:F693 I690 I692 O690 O692 D694 J694 C695</xm:sqref>
        </x14:conditionalFormatting>
        <x14:conditionalFormatting xmlns:xm="http://schemas.microsoft.com/office/excel/2006/main">
          <x14:cfRule type="expression" priority="41" id="{BAC869BF-5422-4589-889A-8BE49E013276}">
            <xm:f>はじめに!$B$36&lt;&gt;"計画書"</xm:f>
            <x14:dxf>
              <font>
                <color auto="1"/>
              </font>
              <fill>
                <patternFill>
                  <bgColor theme="0" tint="-0.14996795556505021"/>
                </patternFill>
              </fill>
            </x14:dxf>
          </x14:cfRule>
          <xm:sqref>D681:O682</xm:sqref>
        </x14:conditionalFormatting>
        <x14:conditionalFormatting xmlns:xm="http://schemas.microsoft.com/office/excel/2006/main">
          <x14:cfRule type="expression" priority="40" id="{5192F030-568A-4AC6-8995-07FE0D8DADA8}">
            <xm:f>OR(計1!$L$24="",計1!$L$24&lt;$Q$701,AND(計1!$P$7=FALSE,計1!$P$8=FALSE,計1!$P$10=FALSE))</xm:f>
            <x14:dxf>
              <font>
                <color auto="1"/>
              </font>
              <fill>
                <patternFill>
                  <bgColor theme="0" tint="-0.14996795556505021"/>
                </patternFill>
              </fill>
            </x14:dxf>
          </x14:cfRule>
          <xm:sqref>D706:D707 M708 C708:C709 H708:H709 C715:F718 I715 I717 O715 O717 D719 J719 C720</xm:sqref>
        </x14:conditionalFormatting>
        <x14:conditionalFormatting xmlns:xm="http://schemas.microsoft.com/office/excel/2006/main">
          <x14:cfRule type="expression" priority="38" id="{9BEA2FEB-687D-400C-9612-C5185116BE5E}">
            <xm:f>はじめに!$B$36&lt;&gt;"計画書"</xm:f>
            <x14:dxf>
              <font>
                <color auto="1"/>
              </font>
              <fill>
                <patternFill>
                  <bgColor theme="0" tint="-0.14996795556505021"/>
                </patternFill>
              </fill>
            </x14:dxf>
          </x14:cfRule>
          <xm:sqref>D706:O707</xm:sqref>
        </x14:conditionalFormatting>
        <x14:conditionalFormatting xmlns:xm="http://schemas.microsoft.com/office/excel/2006/main">
          <x14:cfRule type="expression" priority="37" id="{A0021B84-6882-4ECF-B7BA-CFBE46FE64FA}">
            <xm:f>OR(計1!$L$24="",計1!$L$24&lt;$Q$726,AND(計1!$P$7=FALSE,計1!$P$8=FALSE,計1!$P$10=FALSE))</xm:f>
            <x14:dxf>
              <font>
                <color auto="1"/>
              </font>
              <fill>
                <patternFill>
                  <bgColor theme="0" tint="-0.14996795556505021"/>
                </patternFill>
              </fill>
            </x14:dxf>
          </x14:cfRule>
          <xm:sqref>D731:D732 M733 C733:C734 H733:H734 C740:F743 I740 I742 O740 O742 D744 J744 C745</xm:sqref>
        </x14:conditionalFormatting>
        <x14:conditionalFormatting xmlns:xm="http://schemas.microsoft.com/office/excel/2006/main">
          <x14:cfRule type="expression" priority="35" id="{8259B99C-0430-4658-B646-6B076C6DE56B}">
            <xm:f>はじめに!$B$36&lt;&gt;"計画書"</xm:f>
            <x14:dxf>
              <font>
                <color auto="1"/>
              </font>
              <fill>
                <patternFill>
                  <bgColor theme="0" tint="-0.14996795556505021"/>
                </patternFill>
              </fill>
            </x14:dxf>
          </x14:cfRule>
          <xm:sqref>D731:O732</xm:sqref>
        </x14:conditionalFormatting>
        <x14:conditionalFormatting xmlns:xm="http://schemas.microsoft.com/office/excel/2006/main">
          <x14:cfRule type="expression" priority="34" id="{02DBD82A-2A39-482B-9EA2-EACB595F5970}">
            <xm:f>OR(計1!$L$24="",計1!$L$24&lt;$Q$751,AND(計1!$P$7=FALSE,計1!$P$8=FALSE,計1!$P$10=FALSE))</xm:f>
            <x14:dxf>
              <font>
                <color auto="1"/>
              </font>
              <fill>
                <patternFill>
                  <bgColor theme="0" tint="-0.14996795556505021"/>
                </patternFill>
              </fill>
            </x14:dxf>
          </x14:cfRule>
          <xm:sqref>D756:D757 M758 C758:C759 H758:H759 C765:F768 I765 I767 O765 O767 D769 J769 C770</xm:sqref>
        </x14:conditionalFormatting>
        <x14:conditionalFormatting xmlns:xm="http://schemas.microsoft.com/office/excel/2006/main">
          <x14:cfRule type="expression" priority="32" id="{1C15BCFE-E24E-4050-AB51-985519DEE171}">
            <xm:f>はじめに!$B$36&lt;&gt;"計画書"</xm:f>
            <x14:dxf>
              <font>
                <color auto="1"/>
              </font>
              <fill>
                <patternFill>
                  <bgColor theme="0" tint="-0.14996795556505021"/>
                </patternFill>
              </fill>
            </x14:dxf>
          </x14:cfRule>
          <xm:sqref>D756:O757</xm:sqref>
        </x14:conditionalFormatting>
        <x14:conditionalFormatting xmlns:xm="http://schemas.microsoft.com/office/excel/2006/main">
          <x14:cfRule type="expression" priority="31" id="{A56E6B27-3309-47FE-869C-899CFBDE3B03}">
            <xm:f>OR(計1!$L$24="",計1!$L$24&lt;$Q$776,AND(計1!$P$7=FALSE,計1!$P$8=FALSE,計1!$P$10=FALSE))</xm:f>
            <x14:dxf>
              <font>
                <color auto="1"/>
              </font>
              <fill>
                <patternFill>
                  <bgColor theme="0" tint="-0.14996795556505021"/>
                </patternFill>
              </fill>
            </x14:dxf>
          </x14:cfRule>
          <xm:sqref>D781:D782 M783 C783:C784 H783:H784 C790:F793 I790 I792 O790 O792 D794 J794 C795</xm:sqref>
        </x14:conditionalFormatting>
        <x14:conditionalFormatting xmlns:xm="http://schemas.microsoft.com/office/excel/2006/main">
          <x14:cfRule type="expression" priority="29" id="{25C1DB5F-AE09-412C-AEFA-8C442DE3BB9C}">
            <xm:f>はじめに!$B$36&lt;&gt;"計画書"</xm:f>
            <x14:dxf>
              <font>
                <color auto="1"/>
              </font>
              <fill>
                <patternFill>
                  <bgColor theme="0" tint="-0.14996795556505021"/>
                </patternFill>
              </fill>
            </x14:dxf>
          </x14:cfRule>
          <xm:sqref>D781:O782</xm:sqref>
        </x14:conditionalFormatting>
        <x14:conditionalFormatting xmlns:xm="http://schemas.microsoft.com/office/excel/2006/main">
          <x14:cfRule type="expression" priority="28" id="{E46FCE6C-9559-419A-9A7B-6AAD41E19EF0}">
            <xm:f>OR(計1!$L$24="",計1!$L$24&lt;$Q$801,AND(計1!$P$7=FALSE,計1!$P$8=FALSE,計1!$P$10=FALSE))</xm:f>
            <x14:dxf>
              <font>
                <color auto="1"/>
              </font>
              <fill>
                <patternFill>
                  <bgColor theme="0" tint="-0.14996795556505021"/>
                </patternFill>
              </fill>
            </x14:dxf>
          </x14:cfRule>
          <xm:sqref>D806:D807 M808 C808:C809 H808:H809 C815:F818 I815 I817 O815 O817 D819 J819 C820</xm:sqref>
        </x14:conditionalFormatting>
        <x14:conditionalFormatting xmlns:xm="http://schemas.microsoft.com/office/excel/2006/main">
          <x14:cfRule type="expression" priority="26" id="{7A0F259D-21CD-473C-BF7F-F8DA9BD082F5}">
            <xm:f>はじめに!$B$36&lt;&gt;"計画書"</xm:f>
            <x14:dxf>
              <font>
                <color auto="1"/>
              </font>
              <fill>
                <patternFill>
                  <bgColor theme="0" tint="-0.14996795556505021"/>
                </patternFill>
              </fill>
            </x14:dxf>
          </x14:cfRule>
          <xm:sqref>D806:O807</xm:sqref>
        </x14:conditionalFormatting>
        <x14:conditionalFormatting xmlns:xm="http://schemas.microsoft.com/office/excel/2006/main">
          <x14:cfRule type="expression" priority="25" id="{2FFF9DC5-C277-4C3E-B6D6-B7C12856D944}">
            <xm:f>OR(計1!$L$24="",計1!$L$24&lt;$Q$826,AND(計1!$P$7=FALSE,計1!$P$8=FALSE,計1!$P$10=FALSE))</xm:f>
            <x14:dxf>
              <font>
                <color auto="1"/>
              </font>
              <fill>
                <patternFill>
                  <bgColor theme="0" tint="-0.14996795556505021"/>
                </patternFill>
              </fill>
            </x14:dxf>
          </x14:cfRule>
          <xm:sqref>D831:D832 M833 C833:C834 H833:H834 C840:F843 I840 I842 O840 O842 D844 J844 C845</xm:sqref>
        </x14:conditionalFormatting>
        <x14:conditionalFormatting xmlns:xm="http://schemas.microsoft.com/office/excel/2006/main">
          <x14:cfRule type="expression" priority="23" id="{A14E5875-18BF-432A-94B5-0F91E5653BF5}">
            <xm:f>はじめに!$B$36&lt;&gt;"計画書"</xm:f>
            <x14:dxf>
              <font>
                <color auto="1"/>
              </font>
              <fill>
                <patternFill>
                  <bgColor theme="0" tint="-0.14996795556505021"/>
                </patternFill>
              </fill>
            </x14:dxf>
          </x14:cfRule>
          <xm:sqref>D831:O832</xm:sqref>
        </x14:conditionalFormatting>
        <x14:conditionalFormatting xmlns:xm="http://schemas.microsoft.com/office/excel/2006/main">
          <x14:cfRule type="expression" priority="22" id="{ACA00509-9205-4C64-84E1-4120501B28EB}">
            <xm:f>OR(計1!$L$24="",計1!$L$24&lt;$Q$851,AND(計1!$P$7=FALSE,計1!$P$8=FALSE,計1!$P$10=FALSE))</xm:f>
            <x14:dxf>
              <font>
                <color auto="1"/>
              </font>
              <fill>
                <patternFill>
                  <bgColor theme="0" tint="-0.14996795556505021"/>
                </patternFill>
              </fill>
            </x14:dxf>
          </x14:cfRule>
          <xm:sqref>D856:D857 M858 C858:C859 H858:H859 C865:F868 I865 I867 O867 O865 D869 J869 C870</xm:sqref>
        </x14:conditionalFormatting>
        <x14:conditionalFormatting xmlns:xm="http://schemas.microsoft.com/office/excel/2006/main">
          <x14:cfRule type="expression" priority="20" id="{64D8AF25-5CE1-47E5-A5FA-9789BE0515F3}">
            <xm:f>はじめに!$B$36&lt;&gt;"計画書"</xm:f>
            <x14:dxf>
              <font>
                <color auto="1"/>
              </font>
              <fill>
                <patternFill>
                  <bgColor theme="0" tint="-0.14996795556505021"/>
                </patternFill>
              </fill>
            </x14:dxf>
          </x14:cfRule>
          <xm:sqref>D856:O857</xm:sqref>
        </x14:conditionalFormatting>
        <x14:conditionalFormatting xmlns:xm="http://schemas.microsoft.com/office/excel/2006/main">
          <x14:cfRule type="expression" priority="19" id="{9AF5BDFB-1F97-49E1-B588-5B588A7FE2DA}">
            <xm:f>OR(計1!$L$24="",計1!$L$24&lt;$Q$876,AND(計1!$P$7=FALSE,計1!$P$8=FALSE,計1!$P$10=FALSE))</xm:f>
            <x14:dxf>
              <font>
                <color auto="1"/>
              </font>
              <fill>
                <patternFill>
                  <bgColor theme="0" tint="-0.14996795556505021"/>
                </patternFill>
              </fill>
            </x14:dxf>
          </x14:cfRule>
          <xm:sqref>D881:D882 M883 C883:C884 H883:H884 C890:F893 I890 I892 O890 O892 D894 J894 C895</xm:sqref>
        </x14:conditionalFormatting>
        <x14:conditionalFormatting xmlns:xm="http://schemas.microsoft.com/office/excel/2006/main">
          <x14:cfRule type="expression" priority="17" id="{B6241E7C-0DD3-4237-B2D1-1665861CEB25}">
            <xm:f>はじめに!$B$36&lt;&gt;"計画書"</xm:f>
            <x14:dxf>
              <font>
                <color auto="1"/>
              </font>
              <fill>
                <patternFill>
                  <bgColor theme="0" tint="-0.14996795556505021"/>
                </patternFill>
              </fill>
            </x14:dxf>
          </x14:cfRule>
          <xm:sqref>D881:O882</xm:sqref>
        </x14:conditionalFormatting>
        <x14:conditionalFormatting xmlns:xm="http://schemas.microsoft.com/office/excel/2006/main">
          <x14:cfRule type="expression" priority="16" id="{1BAA47A7-A8DD-46AA-8AB8-011F189AF8CD}">
            <xm:f>OR(計1!$L$24="",計1!$L$24&lt;$Q$901,AND(計1!$P$7=FALSE,計1!$P$8=FALSE,計1!$P$10=FALSE))</xm:f>
            <x14:dxf>
              <font>
                <color auto="1"/>
              </font>
              <fill>
                <patternFill>
                  <bgColor theme="0" tint="-0.14996795556505021"/>
                </patternFill>
              </fill>
            </x14:dxf>
          </x14:cfRule>
          <xm:sqref>D906:D907 M908 C908:C909 H908:H909 C915:F918 I915 I917 O915 O917 D919 J919 C920</xm:sqref>
        </x14:conditionalFormatting>
        <x14:conditionalFormatting xmlns:xm="http://schemas.microsoft.com/office/excel/2006/main">
          <x14:cfRule type="expression" priority="14" id="{769F26D4-BA02-41B4-9BDA-4318065714E3}">
            <xm:f>はじめに!$B$36&lt;&gt;"計画書"</xm:f>
            <x14:dxf>
              <font>
                <color auto="1"/>
              </font>
              <fill>
                <patternFill>
                  <bgColor theme="0" tint="-0.14996795556505021"/>
                </patternFill>
              </fill>
            </x14:dxf>
          </x14:cfRule>
          <xm:sqref>D906:O907</xm:sqref>
        </x14:conditionalFormatting>
        <x14:conditionalFormatting xmlns:xm="http://schemas.microsoft.com/office/excel/2006/main">
          <x14:cfRule type="expression" priority="13" id="{4638CFC1-B1CE-456B-8EF4-D58824680E17}">
            <xm:f>OR(計1!$L$24="",計1!$L$24&lt;$Q$926,AND(計1!$P$7=FALSE,計1!$P$8=FALSE,計1!$P$10=FALSE))</xm:f>
            <x14:dxf>
              <font>
                <color auto="1"/>
              </font>
              <fill>
                <patternFill>
                  <bgColor theme="0" tint="-0.14996795556505021"/>
                </patternFill>
              </fill>
            </x14:dxf>
          </x14:cfRule>
          <xm:sqref>D931:D932 M933 C933:C934 H933:H934 C940:F943 I940 I942 O940 O942 D944 J944 C945</xm:sqref>
        </x14:conditionalFormatting>
        <x14:conditionalFormatting xmlns:xm="http://schemas.microsoft.com/office/excel/2006/main">
          <x14:cfRule type="expression" priority="11" id="{F2E117A1-7407-49BE-8DBD-F149308FB023}">
            <xm:f>はじめに!$B$36&lt;&gt;"計画書"</xm:f>
            <x14:dxf>
              <font>
                <color auto="1"/>
              </font>
              <fill>
                <patternFill>
                  <bgColor theme="0" tint="-0.14996795556505021"/>
                </patternFill>
              </fill>
            </x14:dxf>
          </x14:cfRule>
          <xm:sqref>D931:O932</xm:sqref>
        </x14:conditionalFormatting>
        <x14:conditionalFormatting xmlns:xm="http://schemas.microsoft.com/office/excel/2006/main">
          <x14:cfRule type="expression" priority="10" id="{8B9FDD3F-5435-45CD-A736-EAE426469369}">
            <xm:f>OR(計1!$L$24="",計1!$L$24&lt;$Q$951,AND(計1!$P$7=FALSE,計1!$P$8=FALSE,計1!$P$10=FALSE))</xm:f>
            <x14:dxf>
              <font>
                <color auto="1"/>
              </font>
              <fill>
                <patternFill>
                  <bgColor theme="0" tint="-0.14996795556505021"/>
                </patternFill>
              </fill>
            </x14:dxf>
          </x14:cfRule>
          <xm:sqref>D956:D957 M958 C958:C959 H958:H959 C965:F968 I965 I967 O965 O967 D969 J969 C970</xm:sqref>
        </x14:conditionalFormatting>
        <x14:conditionalFormatting xmlns:xm="http://schemas.microsoft.com/office/excel/2006/main">
          <x14:cfRule type="expression" priority="8" id="{F3FA903E-465A-44B9-ADF9-F592E56257E7}">
            <xm:f>はじめに!$B$36&lt;&gt;"計画書"</xm:f>
            <x14:dxf>
              <font>
                <color auto="1"/>
              </font>
              <fill>
                <patternFill>
                  <bgColor theme="0" tint="-0.14996795556505021"/>
                </patternFill>
              </fill>
            </x14:dxf>
          </x14:cfRule>
          <xm:sqref>D956:O957</xm:sqref>
        </x14:conditionalFormatting>
        <x14:conditionalFormatting xmlns:xm="http://schemas.microsoft.com/office/excel/2006/main">
          <x14:cfRule type="expression" priority="7" id="{D8F1E87D-8295-401A-A6D2-CE3D73D0E05D}">
            <xm:f>OR(計1!$L$24="",計1!$L$24&lt;$Q$976,AND(計1!$P$7=FALSE,計1!$P$8=FALSE,計1!$P$10=FALSE))</xm:f>
            <x14:dxf>
              <font>
                <color auto="1"/>
              </font>
              <fill>
                <patternFill>
                  <bgColor theme="0" tint="-0.14996795556505021"/>
                </patternFill>
              </fill>
            </x14:dxf>
          </x14:cfRule>
          <xm:sqref>D981:D982 M983 C983:C984 H983:H984 C990:F993 I990 I992 O990 O992 D994 J994 C995</xm:sqref>
        </x14:conditionalFormatting>
        <x14:conditionalFormatting xmlns:xm="http://schemas.microsoft.com/office/excel/2006/main">
          <x14:cfRule type="expression" priority="5" id="{B186F81E-693F-4F09-8DBE-ACC099FBB974}">
            <xm:f>はじめに!$B$36&lt;&gt;"計画書"</xm:f>
            <x14:dxf>
              <font>
                <color auto="1"/>
              </font>
              <fill>
                <patternFill>
                  <bgColor theme="0" tint="-0.14996795556505021"/>
                </patternFill>
              </fill>
            </x14:dxf>
          </x14:cfRule>
          <xm:sqref>D981:O982</xm:sqref>
        </x14:conditionalFormatting>
        <x14:conditionalFormatting xmlns:xm="http://schemas.microsoft.com/office/excel/2006/main">
          <x14:cfRule type="expression" priority="4" id="{51C2E054-5D77-41B9-9AFC-04BB9B0545A7}">
            <xm:f>はじめに!$B$36&lt;&gt;"計画書"</xm:f>
            <x14:dxf>
              <font>
                <color theme="0" tint="-0.14996795556505021"/>
              </font>
              <fill>
                <patternFill>
                  <bgColor theme="0" tint="-0.14996795556505021"/>
                </patternFill>
              </fill>
            </x14:dxf>
          </x14:cfRule>
          <xm:sqref>I15:L16</xm:sqref>
        </x14:conditionalFormatting>
        <x14:conditionalFormatting xmlns:xm="http://schemas.microsoft.com/office/excel/2006/main">
          <x14:cfRule type="expression" priority="3" id="{50F8F711-3F62-45E8-82DB-F1AF5FB774D1}">
            <xm:f>計1!$L$23=1</xm:f>
            <x14:dxf>
              <font>
                <color auto="1"/>
              </font>
              <fill>
                <patternFill>
                  <bgColor theme="0" tint="-0.14996795556505021"/>
                </patternFill>
              </fill>
            </x14:dxf>
          </x14:cfRule>
          <xm:sqref>C20:O22 C15 I15 O15 C17 I17 O17 D19 J19</xm:sqref>
        </x14:conditionalFormatting>
      </x14:conditionalFormatting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
  <dimension ref="A1"/>
  <sheetViews>
    <sheetView showGridLines="0" workbookViewId="0">
      <selection activeCell="B6" sqref="B6"/>
    </sheetView>
  </sheetViews>
  <sheetFormatPr defaultColWidth="8.875" defaultRowHeight="13.5"/>
  <sheetData/>
  <phoneticPr fontId="15"/>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7">
    <pageSetUpPr fitToPage="1"/>
  </sheetPr>
  <dimension ref="A1:AE39"/>
  <sheetViews>
    <sheetView showGridLines="0" topLeftCell="A10" zoomScaleNormal="100" zoomScaleSheetLayoutView="100" workbookViewId="0">
      <selection activeCell="A6" sqref="A6:B6"/>
    </sheetView>
  </sheetViews>
  <sheetFormatPr defaultColWidth="9" defaultRowHeight="13.5"/>
  <cols>
    <col min="1" max="2" width="7.5" customWidth="1"/>
    <col min="3" max="3" width="8.125" customWidth="1"/>
    <col min="4" max="8" width="6" customWidth="1"/>
    <col min="9" max="9" width="6.625" customWidth="1"/>
    <col min="10" max="13" width="6" customWidth="1"/>
    <col min="14" max="15" width="6.625" customWidth="1"/>
    <col min="16" max="16" width="2.625" customWidth="1"/>
    <col min="17" max="17" width="4.125" customWidth="1"/>
    <col min="18" max="19" width="2.625" customWidth="1"/>
    <col min="20" max="20" width="27.375" customWidth="1"/>
    <col min="21" max="21" width="12.5" customWidth="1"/>
    <col min="22" max="22" width="8.75" hidden="1" customWidth="1"/>
    <col min="23" max="23" width="6.25" style="84" hidden="1" customWidth="1"/>
    <col min="24" max="24" width="6.25" hidden="1" customWidth="1"/>
    <col min="25" max="25" width="8.375" customWidth="1"/>
  </cols>
  <sheetData>
    <row r="1" spans="1:31">
      <c r="A1" s="1373" t="s">
        <v>4419</v>
      </c>
      <c r="B1" s="886"/>
      <c r="C1" s="886"/>
      <c r="D1" s="886"/>
      <c r="E1" s="886"/>
      <c r="F1" s="886"/>
      <c r="G1" s="886"/>
      <c r="H1" s="886"/>
      <c r="I1" s="886"/>
      <c r="J1" s="886"/>
      <c r="K1" s="886"/>
      <c r="L1" s="3271"/>
      <c r="M1" s="3271"/>
      <c r="N1" s="3272"/>
      <c r="O1" s="3272"/>
      <c r="P1" s="1374"/>
      <c r="Q1" s="1374"/>
      <c r="R1" s="1374"/>
      <c r="S1" s="1374"/>
      <c r="T1" s="1374"/>
      <c r="U1" s="1374"/>
      <c r="V1" s="1374"/>
      <c r="W1" s="1375"/>
      <c r="X1" s="1374"/>
      <c r="Y1" s="1374"/>
      <c r="Z1" s="1374"/>
      <c r="AA1" s="1374"/>
      <c r="AB1" s="1374"/>
      <c r="AC1" s="1374"/>
      <c r="AD1" s="1374"/>
      <c r="AE1" s="1374"/>
    </row>
    <row r="2" spans="1:31" s="100" customFormat="1" ht="15.75" customHeight="1">
      <c r="A2" s="886"/>
      <c r="B2" s="1376"/>
      <c r="C2" s="1376"/>
      <c r="D2" s="1376"/>
      <c r="E2" s="1376"/>
      <c r="F2" s="1376"/>
      <c r="G2" s="1376"/>
      <c r="H2" s="1376"/>
      <c r="I2" s="1376"/>
      <c r="J2" s="1376"/>
      <c r="K2" s="3273"/>
      <c r="L2" s="3273"/>
      <c r="M2" s="3274"/>
      <c r="N2" s="3274"/>
      <c r="O2" s="3274"/>
      <c r="P2" s="1377"/>
      <c r="Q2" s="1377"/>
      <c r="R2" s="1377"/>
      <c r="S2" s="1377"/>
      <c r="T2" s="1377"/>
      <c r="U2" s="1377"/>
      <c r="V2" s="1377"/>
      <c r="W2" s="1378"/>
      <c r="X2" s="1377"/>
      <c r="Y2" s="1377"/>
      <c r="Z2" s="1377"/>
      <c r="AA2" s="1377"/>
      <c r="AB2" s="1377"/>
      <c r="AC2" s="1377"/>
      <c r="AD2" s="1377"/>
      <c r="AE2" s="1377"/>
    </row>
    <row r="3" spans="1:31" s="100" customFormat="1" ht="15.75" customHeight="1">
      <c r="A3" s="886"/>
      <c r="B3" s="1376"/>
      <c r="C3" s="1376"/>
      <c r="D3" s="1376"/>
      <c r="E3" s="1376"/>
      <c r="F3" s="1376"/>
      <c r="G3" s="1376"/>
      <c r="H3" s="1376"/>
      <c r="I3" s="1376"/>
      <c r="J3" s="1376"/>
      <c r="K3" s="1379"/>
      <c r="L3" s="1379"/>
      <c r="M3" s="1380"/>
      <c r="N3" s="1380"/>
      <c r="O3" s="1380"/>
      <c r="P3" s="1377"/>
      <c r="Q3" s="1377"/>
      <c r="R3" s="1377"/>
      <c r="S3" s="1377"/>
      <c r="T3" s="1377"/>
      <c r="U3" s="1377"/>
      <c r="V3" s="1377"/>
      <c r="W3" s="1378"/>
      <c r="X3" s="1377"/>
      <c r="Y3" s="1377"/>
      <c r="Z3" s="1377"/>
      <c r="AA3" s="1377"/>
      <c r="AB3" s="1377"/>
      <c r="AC3" s="1377"/>
      <c r="AD3" s="1377"/>
      <c r="AE3" s="1377"/>
    </row>
    <row r="4" spans="1:31" ht="17.25">
      <c r="A4" s="3275" t="s">
        <v>4709</v>
      </c>
      <c r="B4" s="3275"/>
      <c r="C4" s="3275"/>
      <c r="D4" s="3275"/>
      <c r="E4" s="3275"/>
      <c r="F4" s="3275"/>
      <c r="G4" s="3275"/>
      <c r="H4" s="3275"/>
      <c r="I4" s="3275"/>
      <c r="J4" s="3275"/>
      <c r="K4" s="3275"/>
      <c r="L4" s="3275"/>
      <c r="M4" s="3275"/>
      <c r="N4" s="3275"/>
      <c r="O4" s="3275"/>
      <c r="P4" s="1374"/>
      <c r="Q4" s="1374"/>
      <c r="R4" s="1374"/>
      <c r="S4" s="1374"/>
      <c r="T4" s="1374"/>
      <c r="U4" s="1374"/>
      <c r="V4" s="1374"/>
      <c r="W4" s="1375"/>
      <c r="X4" s="1374"/>
      <c r="Y4" s="1374"/>
      <c r="Z4" s="1374"/>
      <c r="AA4" s="1374"/>
      <c r="AB4" s="1374"/>
      <c r="AC4" s="1374"/>
      <c r="AD4" s="1374"/>
      <c r="AE4" s="1374"/>
    </row>
    <row r="5" spans="1:31" ht="18" customHeight="1">
      <c r="A5" s="3278" t="s">
        <v>4420</v>
      </c>
      <c r="B5" s="3278"/>
      <c r="C5" s="3278"/>
      <c r="D5" s="3278"/>
      <c r="E5" s="3278"/>
      <c r="F5" s="3278"/>
      <c r="G5" s="3278"/>
      <c r="H5" s="3278"/>
      <c r="I5" s="3278"/>
      <c r="J5" s="3278"/>
      <c r="K5" s="3278"/>
      <c r="L5" s="3278"/>
      <c r="M5" s="3278"/>
      <c r="N5" s="3278"/>
      <c r="O5" s="3278"/>
      <c r="P5" s="1374"/>
      <c r="Q5" s="1374"/>
      <c r="R5" s="1374"/>
      <c r="S5" s="1374"/>
      <c r="T5" s="1374"/>
      <c r="U5" s="1374"/>
      <c r="V5" s="1374"/>
      <c r="W5" s="1375"/>
      <c r="X5" s="1374"/>
      <c r="Y5" s="1374"/>
      <c r="Z5" s="1374"/>
      <c r="AA5" s="1374"/>
      <c r="AB5" s="1374"/>
      <c r="AC5" s="1374"/>
      <c r="AD5" s="1374"/>
      <c r="AE5" s="1374"/>
    </row>
    <row r="6" spans="1:31" ht="24" customHeight="1">
      <c r="A6" s="3279"/>
      <c r="B6" s="3280"/>
      <c r="C6" s="100"/>
      <c r="D6" s="100"/>
      <c r="E6" s="100"/>
      <c r="F6" s="100"/>
      <c r="G6" s="100"/>
      <c r="H6" s="100"/>
      <c r="I6" s="100"/>
      <c r="J6" s="100"/>
      <c r="K6" s="100"/>
      <c r="L6" s="100"/>
      <c r="M6" s="100"/>
      <c r="N6" s="100"/>
      <c r="O6" s="100"/>
      <c r="P6" s="1374"/>
      <c r="Q6" s="1374"/>
      <c r="R6" s="1374"/>
      <c r="S6" s="1374"/>
      <c r="T6" s="1374"/>
      <c r="U6" s="1374"/>
      <c r="V6" s="1381" t="s">
        <v>450</v>
      </c>
      <c r="W6" s="1381" t="s">
        <v>448</v>
      </c>
      <c r="X6" s="1381" t="s">
        <v>449</v>
      </c>
      <c r="Y6" s="1374"/>
      <c r="Z6" s="1374"/>
      <c r="AA6" s="1374"/>
      <c r="AB6" s="1374"/>
      <c r="AC6" s="1374"/>
      <c r="AD6" s="1374"/>
      <c r="AE6" s="1374"/>
    </row>
    <row r="7" spans="1:31" s="100" customFormat="1" ht="24" customHeight="1">
      <c r="A7" s="3279" t="s">
        <v>258</v>
      </c>
      <c r="B7" s="3280"/>
      <c r="L7" s="3282" t="str">
        <f>IF(報1!K5="年",IF(計1!K5="","",計1!K5),報1!K5)</f>
        <v>年</v>
      </c>
      <c r="M7" s="3282"/>
      <c r="N7" s="888" t="str">
        <f>IF(報1!M5="　月",IF(計1!M5="","",計1!M5),報1!M5)</f>
        <v>月</v>
      </c>
      <c r="O7" s="888" t="str">
        <f>IF(報1!N5="　日",IF(計1!N5="","",計1!N5),報1!N5)</f>
        <v>日</v>
      </c>
      <c r="P7" s="1377"/>
      <c r="Q7" s="1377"/>
      <c r="R7" s="1377"/>
      <c r="S7" s="1377"/>
      <c r="T7" s="1377"/>
      <c r="U7" s="1377"/>
      <c r="V7" s="1397" t="s">
        <v>450</v>
      </c>
      <c r="W7" s="1397" t="s">
        <v>448</v>
      </c>
      <c r="X7" s="1397" t="s">
        <v>449</v>
      </c>
      <c r="Y7" s="1377"/>
      <c r="Z7" s="1377"/>
      <c r="AA7" s="1377"/>
      <c r="AB7" s="1377"/>
      <c r="AC7" s="1377"/>
      <c r="AD7" s="1377"/>
      <c r="AE7" s="1377"/>
    </row>
    <row r="8" spans="1:31" s="100" customFormat="1" ht="30" customHeight="1">
      <c r="A8" s="3283" t="s">
        <v>525</v>
      </c>
      <c r="B8" s="3283"/>
      <c r="C8" s="3283"/>
      <c r="I8" s="888"/>
      <c r="J8" s="3277"/>
      <c r="K8" s="3277"/>
      <c r="L8" s="3277"/>
      <c r="M8" s="3277"/>
      <c r="N8" s="3277"/>
      <c r="O8" s="3277"/>
      <c r="P8" s="1377"/>
      <c r="Q8" s="1377"/>
      <c r="R8" s="1377"/>
      <c r="S8" s="1377"/>
      <c r="T8" s="1377"/>
      <c r="U8" s="1377"/>
      <c r="V8" s="1378" t="s">
        <v>447</v>
      </c>
      <c r="W8" s="1378" t="s">
        <v>451</v>
      </c>
      <c r="X8" s="1378" t="s">
        <v>452</v>
      </c>
      <c r="Y8" s="1377"/>
      <c r="Z8" s="1377"/>
      <c r="AA8" s="1377"/>
      <c r="AB8" s="1377"/>
      <c r="AC8" s="1377"/>
      <c r="AD8" s="1377"/>
      <c r="AE8" s="1377"/>
    </row>
    <row r="9" spans="1:31" s="100" customFormat="1" ht="30" customHeight="1">
      <c r="A9" s="1396"/>
      <c r="B9" s="1396"/>
      <c r="C9" s="1396"/>
      <c r="I9" s="887" t="s">
        <v>132</v>
      </c>
      <c r="J9" s="3277" t="str">
        <f>IF(報1!I7="",IF(計1!I7="","",計1!I7),報1!I7)</f>
        <v/>
      </c>
      <c r="K9" s="3277"/>
      <c r="L9" s="3277"/>
      <c r="M9" s="3277"/>
      <c r="N9" s="3277"/>
      <c r="O9" s="3277"/>
      <c r="P9" s="1377"/>
      <c r="Q9" s="1377"/>
      <c r="R9" s="1377"/>
      <c r="S9" s="1377"/>
      <c r="T9" s="1377"/>
      <c r="U9" s="1377"/>
      <c r="V9" s="1378"/>
      <c r="W9" s="1378"/>
      <c r="X9" s="1378"/>
      <c r="Y9" s="1377"/>
      <c r="Z9" s="1377"/>
      <c r="AA9" s="1377"/>
      <c r="AB9" s="1377"/>
      <c r="AC9" s="1377"/>
      <c r="AD9" s="1377"/>
      <c r="AE9" s="1377"/>
    </row>
    <row r="10" spans="1:31" s="100" customFormat="1" ht="30" customHeight="1">
      <c r="A10" s="1396"/>
      <c r="B10" s="1396"/>
      <c r="C10" s="1396"/>
      <c r="I10" s="3276" t="s">
        <v>133</v>
      </c>
      <c r="J10" s="3277" t="str">
        <f>IF(報1!I8="",IF(計1!I8="","",計1!I8),報1!I8)</f>
        <v/>
      </c>
      <c r="K10" s="3277"/>
      <c r="L10" s="3277"/>
      <c r="M10" s="3277"/>
      <c r="N10" s="3277"/>
      <c r="O10" s="3277"/>
      <c r="P10" s="1377"/>
      <c r="Q10" s="1377"/>
      <c r="R10" s="1377"/>
      <c r="S10" s="1377"/>
      <c r="T10" s="1377"/>
      <c r="U10" s="1377"/>
      <c r="V10" s="1378"/>
      <c r="W10" s="1378"/>
      <c r="X10" s="1378"/>
      <c r="Y10" s="1377"/>
      <c r="Z10" s="1377"/>
      <c r="AA10" s="1377"/>
      <c r="AB10" s="1377"/>
      <c r="AC10" s="1377"/>
      <c r="AD10" s="1377"/>
      <c r="AE10" s="1377"/>
    </row>
    <row r="11" spans="1:31" s="100" customFormat="1" ht="30" customHeight="1">
      <c r="A11" s="1396"/>
      <c r="B11" s="1396"/>
      <c r="C11" s="1396"/>
      <c r="I11" s="3276"/>
      <c r="J11" s="3277" t="str">
        <f>IF(報1!I9="",IF(計1!I9="","",計1!I9),報1!I9)</f>
        <v/>
      </c>
      <c r="K11" s="3277"/>
      <c r="L11" s="3277"/>
      <c r="M11" s="3277"/>
      <c r="N11" s="3277"/>
      <c r="O11" s="3277"/>
      <c r="P11" s="1377"/>
      <c r="Q11" s="1377"/>
      <c r="R11" s="1377"/>
      <c r="S11" s="1377"/>
      <c r="T11" s="1377"/>
      <c r="U11" s="1377"/>
      <c r="V11" s="1378"/>
      <c r="W11" s="1378"/>
      <c r="X11" s="1378"/>
      <c r="Y11" s="1377"/>
      <c r="Z11" s="1377"/>
      <c r="AA11" s="1377"/>
      <c r="AB11" s="1377"/>
      <c r="AC11" s="1377"/>
      <c r="AD11" s="1377"/>
      <c r="AE11" s="1377"/>
    </row>
    <row r="12" spans="1:31" s="100" customFormat="1" ht="27" customHeight="1">
      <c r="I12" s="100" t="s">
        <v>4467</v>
      </c>
      <c r="P12" s="1377"/>
      <c r="Q12" s="1377"/>
      <c r="R12" s="1377"/>
      <c r="S12" s="1377"/>
      <c r="T12" s="1377"/>
      <c r="U12" s="1377"/>
      <c r="V12" s="1378"/>
      <c r="W12" s="1378" t="s">
        <v>457</v>
      </c>
      <c r="X12" s="1378" t="s">
        <v>458</v>
      </c>
      <c r="Y12" s="1377"/>
      <c r="Z12" s="1377"/>
      <c r="AA12" s="1377"/>
      <c r="AB12" s="1377"/>
      <c r="AC12" s="1377"/>
      <c r="AD12" s="1377"/>
      <c r="AE12" s="1377"/>
    </row>
    <row r="13" spans="1:31" s="100" customFormat="1" ht="28.5" customHeight="1">
      <c r="A13" s="3281" t="s">
        <v>4468</v>
      </c>
      <c r="B13" s="3281"/>
      <c r="C13" s="3281"/>
      <c r="D13" s="3281"/>
      <c r="E13" s="3281"/>
      <c r="F13" s="3281"/>
      <c r="G13" s="3281"/>
      <c r="H13" s="3281"/>
      <c r="I13" s="3281"/>
      <c r="J13" s="3281"/>
      <c r="K13" s="3281"/>
      <c r="L13" s="3281"/>
      <c r="M13" s="3281"/>
      <c r="N13" s="3281"/>
      <c r="O13" s="3281"/>
      <c r="P13" s="1377"/>
      <c r="Q13" s="1377"/>
      <c r="R13" s="1377"/>
      <c r="S13" s="1377"/>
      <c r="T13" s="1377"/>
      <c r="U13" s="1377"/>
      <c r="V13" s="1378"/>
      <c r="W13" s="1378" t="s">
        <v>459</v>
      </c>
      <c r="X13" s="1378" t="s">
        <v>460</v>
      </c>
      <c r="Y13" s="1377"/>
      <c r="Z13" s="1377"/>
      <c r="AA13" s="1377"/>
      <c r="AB13" s="1377"/>
      <c r="AC13" s="1377"/>
      <c r="AD13" s="1377"/>
      <c r="AE13" s="1377"/>
    </row>
    <row r="14" spans="1:31" s="100" customFormat="1" ht="24" customHeight="1">
      <c r="A14" s="3276" t="s">
        <v>4710</v>
      </c>
      <c r="B14" s="3276"/>
      <c r="C14" s="3276"/>
      <c r="D14" s="3276"/>
      <c r="E14" s="3276"/>
      <c r="F14" s="3276"/>
      <c r="G14" s="3276"/>
      <c r="H14" s="3276"/>
      <c r="I14" s="3276"/>
      <c r="J14" s="3276"/>
      <c r="K14" s="3276"/>
      <c r="L14" s="3276"/>
      <c r="M14" s="3276"/>
      <c r="N14" s="3276"/>
      <c r="O14" s="3276"/>
      <c r="P14" s="1398"/>
      <c r="Q14" s="1398"/>
      <c r="R14" s="1398"/>
      <c r="S14" s="1398"/>
      <c r="T14" s="1398"/>
      <c r="U14" s="1398"/>
      <c r="V14" s="1378"/>
      <c r="W14" s="1378" t="s">
        <v>461</v>
      </c>
      <c r="X14" s="1378" t="s">
        <v>462</v>
      </c>
      <c r="Y14" s="1377"/>
      <c r="Z14" s="1377"/>
      <c r="AA14" s="1377"/>
      <c r="AB14" s="1377"/>
      <c r="AC14" s="1377"/>
      <c r="AD14" s="1377"/>
      <c r="AE14" s="1377"/>
    </row>
    <row r="15" spans="1:31" s="100" customFormat="1" ht="18.75" customHeight="1">
      <c r="P15" s="1377"/>
      <c r="Q15" s="1377"/>
      <c r="R15" s="1377"/>
      <c r="S15" s="1377"/>
      <c r="T15" s="1377"/>
      <c r="U15" s="1377"/>
      <c r="V15" s="1377"/>
      <c r="W15" s="1378"/>
      <c r="X15" s="1378" t="s">
        <v>481</v>
      </c>
      <c r="Y15" s="1377"/>
      <c r="Z15" s="1377"/>
      <c r="AA15" s="1377"/>
      <c r="AB15" s="1377"/>
      <c r="AC15" s="1377"/>
      <c r="AD15" s="1377"/>
      <c r="AE15" s="1377"/>
    </row>
    <row r="16" spans="1:31" s="100" customFormat="1" ht="21.75" customHeight="1">
      <c r="P16" s="1377"/>
      <c r="Q16" s="1377"/>
      <c r="R16" s="1377"/>
      <c r="S16" s="1377"/>
      <c r="T16" s="1377"/>
      <c r="U16" s="1377"/>
      <c r="V16" s="1377"/>
      <c r="W16" s="1378"/>
      <c r="X16" s="1378" t="s">
        <v>482</v>
      </c>
      <c r="Y16" s="1377"/>
      <c r="Z16" s="1377"/>
      <c r="AA16" s="1377"/>
      <c r="AB16" s="1377"/>
      <c r="AC16" s="1377"/>
      <c r="AD16" s="1377"/>
      <c r="AE16" s="1377"/>
    </row>
    <row r="17" spans="1:31" s="100" customFormat="1" ht="44.1" customHeight="1">
      <c r="P17" s="1377"/>
      <c r="Q17" s="1377"/>
      <c r="R17" s="1377"/>
      <c r="S17" s="1377"/>
      <c r="T17" s="1377"/>
      <c r="U17" s="1377"/>
      <c r="V17" s="1377"/>
      <c r="W17" s="1378"/>
      <c r="X17" s="1378" t="s">
        <v>483</v>
      </c>
      <c r="Y17" s="1377"/>
      <c r="Z17" s="1377"/>
      <c r="AA17" s="1377"/>
      <c r="AB17" s="1377"/>
      <c r="AC17" s="1377"/>
      <c r="AD17" s="1377"/>
      <c r="AE17" s="1377"/>
    </row>
    <row r="18" spans="1:31" s="100" customFormat="1" ht="44.1" customHeight="1">
      <c r="P18" s="1377"/>
      <c r="Q18" s="1377"/>
      <c r="R18" s="1377"/>
      <c r="S18" s="1377"/>
      <c r="T18" s="1377"/>
      <c r="U18" s="1377"/>
      <c r="V18" s="1377"/>
      <c r="W18" s="1378"/>
      <c r="X18" s="1378" t="s">
        <v>484</v>
      </c>
      <c r="Y18" s="1377"/>
      <c r="Z18" s="1377"/>
      <c r="AA18" s="1377"/>
      <c r="AB18" s="1377"/>
      <c r="AC18" s="1377"/>
      <c r="AD18" s="1377"/>
      <c r="AE18" s="1377"/>
    </row>
    <row r="19" spans="1:31" s="100" customFormat="1" ht="60" customHeight="1">
      <c r="A19" s="1399"/>
      <c r="N19" s="1400"/>
      <c r="O19" s="1400"/>
      <c r="P19" s="1377"/>
      <c r="Q19" s="1377"/>
      <c r="R19" s="1377"/>
      <c r="S19" s="1377"/>
      <c r="T19" s="1377"/>
      <c r="U19" s="1377"/>
      <c r="V19" s="1377"/>
      <c r="W19" s="1378"/>
      <c r="X19" s="1378" t="s">
        <v>485</v>
      </c>
      <c r="Y19" s="1377"/>
      <c r="Z19" s="1377"/>
      <c r="AA19" s="1377"/>
      <c r="AB19" s="1377"/>
      <c r="AC19" s="1377"/>
      <c r="AD19" s="1377"/>
      <c r="AE19" s="1377"/>
    </row>
    <row r="20" spans="1:31">
      <c r="A20" s="1374"/>
      <c r="B20" s="1374"/>
      <c r="C20" s="1374"/>
      <c r="D20" s="1374"/>
      <c r="E20" s="1374"/>
      <c r="F20" s="1374"/>
      <c r="G20" s="1374"/>
      <c r="H20" s="1374"/>
      <c r="I20" s="1374"/>
      <c r="J20" s="1374"/>
      <c r="K20" s="1374"/>
      <c r="L20" s="1374"/>
      <c r="M20" s="1374"/>
      <c r="N20" s="1374"/>
      <c r="O20" s="1374"/>
      <c r="P20" s="1382"/>
      <c r="Q20" s="1382"/>
      <c r="R20" s="1382"/>
      <c r="S20" s="1382"/>
      <c r="T20" s="1382"/>
      <c r="U20" s="1382"/>
      <c r="V20" s="1382"/>
      <c r="W20" s="1375"/>
      <c r="X20" s="1375" t="s">
        <v>486</v>
      </c>
      <c r="Y20" s="1374"/>
      <c r="Z20" s="1374"/>
      <c r="AA20" s="1374"/>
      <c r="AB20" s="1374"/>
      <c r="AC20" s="1374"/>
      <c r="AD20" s="1374"/>
      <c r="AE20" s="1374"/>
    </row>
    <row r="21" spans="1:31">
      <c r="A21" s="1374"/>
      <c r="B21" s="1374"/>
      <c r="C21" s="1374"/>
      <c r="D21" s="1374"/>
      <c r="E21" s="1374"/>
      <c r="F21" s="1374"/>
      <c r="G21" s="1374"/>
      <c r="H21" s="1374"/>
      <c r="I21" s="1374"/>
      <c r="J21" s="1374"/>
      <c r="K21" s="1374"/>
      <c r="L21" s="1374"/>
      <c r="M21" s="1374"/>
      <c r="N21" s="1374"/>
      <c r="O21" s="1374"/>
      <c r="P21" s="1382"/>
      <c r="Q21" s="1382"/>
      <c r="R21" s="1382"/>
      <c r="S21" s="1382"/>
      <c r="T21" s="1382"/>
      <c r="U21" s="1382"/>
      <c r="V21" s="1382"/>
      <c r="W21" s="1383"/>
      <c r="X21" s="1375" t="s">
        <v>487</v>
      </c>
      <c r="Y21" s="1374"/>
      <c r="Z21" s="1374"/>
      <c r="AA21" s="1374"/>
      <c r="AB21" s="1374"/>
      <c r="AC21" s="1374"/>
      <c r="AD21" s="1374"/>
      <c r="AE21" s="1374"/>
    </row>
    <row r="22" spans="1:31">
      <c r="A22" s="1374"/>
      <c r="B22" s="1374"/>
      <c r="C22" s="1374"/>
      <c r="D22" s="1374"/>
      <c r="E22" s="1374"/>
      <c r="F22" s="1374"/>
      <c r="G22" s="1374"/>
      <c r="H22" s="1374"/>
      <c r="I22" s="1374"/>
      <c r="J22" s="1374"/>
      <c r="K22" s="1374"/>
      <c r="L22" s="1374"/>
      <c r="M22" s="1374"/>
      <c r="N22" s="1374"/>
      <c r="O22" s="1374"/>
      <c r="P22" s="1374"/>
      <c r="Q22" s="1374"/>
      <c r="R22" s="1374"/>
      <c r="S22" s="1374"/>
      <c r="T22" s="1374"/>
      <c r="U22" s="1374"/>
      <c r="V22" s="1374"/>
      <c r="W22" s="1383"/>
      <c r="X22" s="1375" t="s">
        <v>488</v>
      </c>
      <c r="Y22" s="1374"/>
      <c r="Z22" s="1374"/>
      <c r="AA22" s="1374"/>
      <c r="AB22" s="1374"/>
      <c r="AC22" s="1374"/>
      <c r="AD22" s="1374"/>
      <c r="AE22" s="1374"/>
    </row>
    <row r="23" spans="1:31">
      <c r="A23" s="1374"/>
      <c r="B23" s="1374"/>
      <c r="C23" s="1374"/>
      <c r="D23" s="1374"/>
      <c r="E23" s="1374"/>
      <c r="F23" s="1374"/>
      <c r="G23" s="1374"/>
      <c r="H23" s="1374"/>
      <c r="I23" s="1374"/>
      <c r="J23" s="1374"/>
      <c r="K23" s="1374"/>
      <c r="L23" s="1374"/>
      <c r="M23" s="1374"/>
      <c r="N23" s="1374"/>
      <c r="O23" s="1374"/>
      <c r="P23" s="1374"/>
      <c r="Q23" s="1374"/>
      <c r="R23" s="1374"/>
      <c r="S23" s="1374"/>
      <c r="T23" s="1374"/>
      <c r="U23" s="1374"/>
      <c r="V23" s="1374"/>
      <c r="W23" s="1375"/>
      <c r="X23" s="1375" t="s">
        <v>489</v>
      </c>
      <c r="Y23" s="1374"/>
      <c r="Z23" s="1374"/>
      <c r="AA23" s="1374"/>
      <c r="AB23" s="1374"/>
      <c r="AC23" s="1374"/>
      <c r="AD23" s="1374"/>
      <c r="AE23" s="1374"/>
    </row>
    <row r="24" spans="1:31">
      <c r="A24" s="1374"/>
      <c r="B24" s="1374"/>
      <c r="C24" s="1374"/>
      <c r="D24" s="1374"/>
      <c r="E24" s="1374"/>
      <c r="F24" s="1374"/>
      <c r="G24" s="1374"/>
      <c r="H24" s="1374"/>
      <c r="I24" s="1374"/>
      <c r="J24" s="1374"/>
      <c r="K24" s="1374"/>
      <c r="L24" s="1374"/>
      <c r="M24" s="1374"/>
      <c r="N24" s="1374"/>
      <c r="O24" s="1374"/>
      <c r="P24" s="1374"/>
      <c r="Q24" s="1374"/>
      <c r="R24" s="1374"/>
      <c r="S24" s="1374"/>
      <c r="T24" s="1374"/>
      <c r="U24" s="1374"/>
      <c r="V24" s="1374"/>
      <c r="W24" s="1375"/>
      <c r="X24" s="1375" t="s">
        <v>490</v>
      </c>
      <c r="Y24" s="1374"/>
      <c r="Z24" s="1374"/>
      <c r="AA24" s="1374"/>
      <c r="AB24" s="1374"/>
      <c r="AC24" s="1374"/>
      <c r="AD24" s="1374"/>
      <c r="AE24" s="1374"/>
    </row>
    <row r="25" spans="1:31">
      <c r="A25" s="1374"/>
      <c r="B25" s="1374"/>
      <c r="C25" s="1374"/>
      <c r="D25" s="1374"/>
      <c r="E25" s="1374"/>
      <c r="F25" s="1374"/>
      <c r="G25" s="1374"/>
      <c r="H25" s="1374"/>
      <c r="I25" s="1374"/>
      <c r="J25" s="1374"/>
      <c r="K25" s="1374"/>
      <c r="L25" s="1374"/>
      <c r="M25" s="1374"/>
      <c r="N25" s="1374"/>
      <c r="O25" s="1374"/>
      <c r="P25" s="1374"/>
      <c r="Q25" s="1374"/>
      <c r="R25" s="1374"/>
      <c r="S25" s="1374"/>
      <c r="T25" s="1374"/>
      <c r="U25" s="1374"/>
      <c r="V25" s="1374"/>
      <c r="W25" s="1375"/>
      <c r="X25" s="1375" t="s">
        <v>491</v>
      </c>
      <c r="Y25" s="1374"/>
      <c r="Z25" s="1374"/>
      <c r="AA25" s="1374"/>
      <c r="AB25" s="1374"/>
      <c r="AC25" s="1374"/>
      <c r="AD25" s="1374"/>
      <c r="AE25" s="1374"/>
    </row>
    <row r="26" spans="1:31">
      <c r="A26" s="1374"/>
      <c r="B26" s="1374"/>
      <c r="C26" s="1374"/>
      <c r="D26" s="1374"/>
      <c r="E26" s="1374"/>
      <c r="F26" s="1374"/>
      <c r="G26" s="1374"/>
      <c r="H26" s="1374"/>
      <c r="I26" s="1374"/>
      <c r="J26" s="1374"/>
      <c r="K26" s="1374"/>
      <c r="L26" s="1374"/>
      <c r="M26" s="1374"/>
      <c r="N26" s="1374"/>
      <c r="O26" s="1374"/>
      <c r="P26" s="1374"/>
      <c r="Q26" s="1374"/>
      <c r="R26" s="1374"/>
      <c r="S26" s="1374"/>
      <c r="T26" s="1374"/>
      <c r="U26" s="1374"/>
      <c r="V26" s="1374"/>
      <c r="W26" s="1375"/>
      <c r="X26" s="1375" t="s">
        <v>492</v>
      </c>
      <c r="Y26" s="1374"/>
      <c r="Z26" s="1374"/>
      <c r="AA26" s="1374"/>
      <c r="AB26" s="1374"/>
      <c r="AC26" s="1374"/>
      <c r="AD26" s="1374"/>
      <c r="AE26" s="1374"/>
    </row>
    <row r="27" spans="1:31">
      <c r="A27" s="1374"/>
      <c r="B27" s="1374"/>
      <c r="C27" s="1374"/>
      <c r="D27" s="1374"/>
      <c r="E27" s="1374"/>
      <c r="F27" s="1374"/>
      <c r="G27" s="1374"/>
      <c r="H27" s="1374"/>
      <c r="I27" s="1374"/>
      <c r="J27" s="1374"/>
      <c r="K27" s="1374"/>
      <c r="L27" s="1374"/>
      <c r="M27" s="1374"/>
      <c r="N27" s="1374"/>
      <c r="O27" s="1374"/>
      <c r="P27" s="1374"/>
      <c r="Q27" s="1374"/>
      <c r="R27" s="1374"/>
      <c r="S27" s="1374"/>
      <c r="T27" s="1374"/>
      <c r="U27" s="1374"/>
      <c r="V27" s="1374"/>
      <c r="W27" s="1375"/>
      <c r="X27" s="1375" t="s">
        <v>493</v>
      </c>
      <c r="Y27" s="1374"/>
      <c r="Z27" s="1374"/>
      <c r="AA27" s="1374"/>
      <c r="AB27" s="1374"/>
      <c r="AC27" s="1374"/>
      <c r="AD27" s="1374"/>
      <c r="AE27" s="1374"/>
    </row>
    <row r="28" spans="1:31">
      <c r="A28" s="1374"/>
      <c r="B28" s="1374"/>
      <c r="C28" s="1374"/>
      <c r="D28" s="1374"/>
      <c r="E28" s="1374"/>
      <c r="F28" s="1374"/>
      <c r="G28" s="1374"/>
      <c r="H28" s="1374"/>
      <c r="I28" s="1374"/>
      <c r="J28" s="1374"/>
      <c r="K28" s="1374"/>
      <c r="L28" s="1374"/>
      <c r="M28" s="1374"/>
      <c r="N28" s="1374"/>
      <c r="O28" s="1374"/>
      <c r="P28" s="1374"/>
      <c r="Q28" s="1374"/>
      <c r="R28" s="1374"/>
      <c r="S28" s="1374"/>
      <c r="T28" s="1374"/>
      <c r="U28" s="1374"/>
      <c r="V28" s="1374"/>
      <c r="W28" s="1375"/>
      <c r="X28" s="1374"/>
      <c r="Y28" s="1374"/>
      <c r="Z28" s="1374"/>
      <c r="AA28" s="1374"/>
      <c r="AB28" s="1374"/>
      <c r="AC28" s="1374"/>
      <c r="AD28" s="1374"/>
      <c r="AE28" s="1374"/>
    </row>
    <row r="29" spans="1:31">
      <c r="A29" s="1374"/>
      <c r="B29" s="1374"/>
      <c r="C29" s="1374"/>
      <c r="D29" s="1374"/>
      <c r="E29" s="1374"/>
      <c r="F29" s="1374"/>
      <c r="G29" s="1374"/>
      <c r="H29" s="1374"/>
      <c r="I29" s="1374"/>
      <c r="J29" s="1374"/>
      <c r="K29" s="1374"/>
      <c r="L29" s="1374"/>
      <c r="M29" s="1374"/>
      <c r="N29" s="1374"/>
      <c r="O29" s="1374"/>
      <c r="P29" s="1374"/>
      <c r="Q29" s="1374"/>
      <c r="R29" s="1374"/>
      <c r="S29" s="1374"/>
      <c r="T29" s="1374"/>
      <c r="U29" s="1374"/>
      <c r="V29" s="1374"/>
      <c r="W29" s="1375"/>
      <c r="X29" s="1374"/>
      <c r="Y29" s="1374"/>
      <c r="Z29" s="1374"/>
      <c r="AA29" s="1374"/>
      <c r="AB29" s="1374"/>
      <c r="AC29" s="1374"/>
      <c r="AD29" s="1374"/>
      <c r="AE29" s="1374"/>
    </row>
    <row r="30" spans="1:31">
      <c r="A30" s="1374"/>
      <c r="B30" s="1374"/>
      <c r="C30" s="1374"/>
      <c r="D30" s="1374"/>
      <c r="E30" s="1374"/>
      <c r="F30" s="1374"/>
      <c r="G30" s="1374"/>
      <c r="H30" s="1374"/>
      <c r="I30" s="1374"/>
      <c r="J30" s="1374"/>
      <c r="K30" s="1374"/>
      <c r="L30" s="1374"/>
      <c r="M30" s="1374"/>
      <c r="N30" s="1374"/>
      <c r="O30" s="1374"/>
      <c r="P30" s="1374"/>
      <c r="Q30" s="1374"/>
      <c r="R30" s="1374"/>
      <c r="S30" s="1374"/>
      <c r="T30" s="1374"/>
      <c r="U30" s="1374"/>
      <c r="V30" s="1374"/>
      <c r="W30" s="1375"/>
      <c r="X30" s="1374"/>
      <c r="Y30" s="1374"/>
      <c r="Z30" s="1374"/>
      <c r="AA30" s="1374"/>
      <c r="AB30" s="1374"/>
      <c r="AC30" s="1374"/>
      <c r="AD30" s="1374"/>
      <c r="AE30" s="1374"/>
    </row>
    <row r="31" spans="1:31">
      <c r="A31" s="1374"/>
      <c r="B31" s="1374"/>
      <c r="C31" s="1374"/>
      <c r="D31" s="1374"/>
      <c r="E31" s="1374"/>
      <c r="F31" s="1374"/>
      <c r="G31" s="1374"/>
      <c r="H31" s="1374"/>
      <c r="I31" s="1374"/>
      <c r="J31" s="1374"/>
      <c r="K31" s="1374"/>
      <c r="L31" s="1374"/>
      <c r="M31" s="1374"/>
      <c r="N31" s="1374"/>
      <c r="O31" s="1374"/>
      <c r="P31" s="1374"/>
      <c r="Q31" s="1374"/>
      <c r="R31" s="1374"/>
      <c r="S31" s="1374"/>
      <c r="T31" s="1374"/>
      <c r="U31" s="1374"/>
      <c r="V31" s="1374"/>
      <c r="W31" s="1375"/>
      <c r="X31" s="1374"/>
      <c r="Y31" s="1374"/>
      <c r="Z31" s="1374"/>
      <c r="AA31" s="1374"/>
      <c r="AB31" s="1374"/>
      <c r="AC31" s="1374"/>
      <c r="AD31" s="1374"/>
      <c r="AE31" s="1374"/>
    </row>
    <row r="32" spans="1:31">
      <c r="A32" s="1374"/>
      <c r="B32" s="1374"/>
      <c r="C32" s="1374"/>
      <c r="D32" s="1374"/>
      <c r="E32" s="1374"/>
      <c r="F32" s="1374"/>
      <c r="G32" s="1374"/>
      <c r="H32" s="1374"/>
      <c r="I32" s="1374"/>
      <c r="J32" s="1374"/>
      <c r="K32" s="1374"/>
      <c r="L32" s="1374"/>
      <c r="M32" s="1374"/>
      <c r="N32" s="1374"/>
      <c r="O32" s="1374"/>
      <c r="P32" s="1374"/>
      <c r="Q32" s="1374"/>
      <c r="R32" s="1374"/>
      <c r="S32" s="1374"/>
      <c r="T32" s="1374"/>
      <c r="U32" s="1374"/>
      <c r="V32" s="1374"/>
      <c r="W32" s="1375"/>
      <c r="X32" s="1374"/>
      <c r="Y32" s="1374"/>
      <c r="Z32" s="1374"/>
      <c r="AA32" s="1374"/>
      <c r="AB32" s="1374"/>
      <c r="AC32" s="1374"/>
      <c r="AD32" s="1374"/>
      <c r="AE32" s="1374"/>
    </row>
    <row r="33" spans="1:31">
      <c r="A33" s="1374"/>
      <c r="B33" s="1374"/>
      <c r="C33" s="1374"/>
      <c r="D33" s="1374"/>
      <c r="E33" s="1374"/>
      <c r="F33" s="1374"/>
      <c r="G33" s="1374"/>
      <c r="H33" s="1374"/>
      <c r="I33" s="1374"/>
      <c r="J33" s="1374"/>
      <c r="K33" s="1374"/>
      <c r="L33" s="1374"/>
      <c r="M33" s="1374"/>
      <c r="N33" s="1374"/>
      <c r="O33" s="1374"/>
      <c r="P33" s="1374"/>
      <c r="Q33" s="1374"/>
      <c r="R33" s="1374"/>
      <c r="S33" s="1374"/>
      <c r="T33" s="1374"/>
      <c r="U33" s="1374"/>
      <c r="V33" s="1374"/>
      <c r="W33" s="1375"/>
      <c r="X33" s="1374"/>
      <c r="Y33" s="1374"/>
      <c r="Z33" s="1374"/>
      <c r="AA33" s="1374"/>
      <c r="AB33" s="1374"/>
      <c r="AC33" s="1374"/>
      <c r="AD33" s="1374"/>
      <c r="AE33" s="1374"/>
    </row>
    <row r="34" spans="1:31">
      <c r="A34" s="1374"/>
      <c r="B34" s="1374"/>
      <c r="C34" s="1374"/>
      <c r="D34" s="1374"/>
      <c r="E34" s="1374"/>
      <c r="F34" s="1374"/>
      <c r="G34" s="1374"/>
      <c r="H34" s="1374"/>
      <c r="I34" s="1374"/>
      <c r="J34" s="1374"/>
      <c r="K34" s="1374"/>
      <c r="L34" s="1374"/>
      <c r="M34" s="1374"/>
      <c r="N34" s="1374"/>
      <c r="O34" s="1374"/>
      <c r="P34" s="1374"/>
      <c r="Q34" s="1374"/>
      <c r="R34" s="1374"/>
      <c r="S34" s="1374"/>
      <c r="T34" s="1374"/>
      <c r="U34" s="1374"/>
      <c r="V34" s="1374"/>
      <c r="W34" s="1375"/>
      <c r="X34" s="1374"/>
      <c r="Y34" s="1374"/>
      <c r="Z34" s="1374"/>
      <c r="AA34" s="1374"/>
      <c r="AB34" s="1374"/>
      <c r="AC34" s="1374"/>
      <c r="AD34" s="1374"/>
      <c r="AE34" s="1374"/>
    </row>
    <row r="35" spans="1:31">
      <c r="A35" s="1374"/>
      <c r="B35" s="1374"/>
      <c r="C35" s="1374"/>
      <c r="D35" s="1374"/>
      <c r="E35" s="1374"/>
      <c r="F35" s="1374"/>
      <c r="G35" s="1374"/>
      <c r="H35" s="1374"/>
      <c r="I35" s="1374"/>
      <c r="J35" s="1374"/>
      <c r="K35" s="1374"/>
      <c r="L35" s="1374"/>
      <c r="M35" s="1374"/>
      <c r="N35" s="1374"/>
      <c r="O35" s="1374"/>
      <c r="P35" s="1374"/>
      <c r="Q35" s="1374"/>
      <c r="R35" s="1374"/>
      <c r="S35" s="1374"/>
      <c r="T35" s="1374"/>
      <c r="U35" s="1374"/>
      <c r="V35" s="1374"/>
      <c r="W35" s="1375"/>
      <c r="X35" s="1374"/>
      <c r="Y35" s="1374"/>
      <c r="Z35" s="1374"/>
      <c r="AA35" s="1374"/>
      <c r="AB35" s="1374"/>
      <c r="AC35" s="1374"/>
      <c r="AD35" s="1374"/>
      <c r="AE35" s="1374"/>
    </row>
    <row r="36" spans="1:31">
      <c r="A36" s="1374"/>
      <c r="B36" s="1374"/>
      <c r="C36" s="1374"/>
      <c r="D36" s="1374"/>
      <c r="E36" s="1374"/>
      <c r="F36" s="1374"/>
      <c r="G36" s="1374"/>
      <c r="H36" s="1374"/>
      <c r="I36" s="1374"/>
      <c r="J36" s="1374"/>
      <c r="K36" s="1374"/>
      <c r="L36" s="1374"/>
      <c r="M36" s="1374"/>
      <c r="N36" s="1374"/>
      <c r="O36" s="1374"/>
      <c r="P36" s="1374"/>
      <c r="Q36" s="1374"/>
      <c r="R36" s="1374"/>
      <c r="S36" s="1374"/>
      <c r="T36" s="1374"/>
      <c r="U36" s="1374"/>
      <c r="V36" s="1374"/>
      <c r="W36" s="1375"/>
      <c r="X36" s="1374"/>
      <c r="Y36" s="1374"/>
      <c r="Z36" s="1374"/>
      <c r="AA36" s="1374"/>
      <c r="AB36" s="1374"/>
      <c r="AC36" s="1374"/>
      <c r="AD36" s="1374"/>
      <c r="AE36" s="1374"/>
    </row>
    <row r="37" spans="1:31">
      <c r="A37" s="1374"/>
      <c r="B37" s="1374"/>
      <c r="C37" s="1374"/>
      <c r="D37" s="1374"/>
      <c r="E37" s="1374"/>
      <c r="F37" s="1374"/>
      <c r="G37" s="1374"/>
      <c r="H37" s="1374"/>
      <c r="I37" s="1374"/>
      <c r="J37" s="1374"/>
      <c r="K37" s="1374"/>
      <c r="L37" s="1374"/>
      <c r="M37" s="1374"/>
      <c r="N37" s="1374"/>
      <c r="O37" s="1374"/>
      <c r="P37" s="1374"/>
      <c r="Q37" s="1374"/>
      <c r="R37" s="1374"/>
      <c r="S37" s="1374"/>
      <c r="T37" s="1374"/>
      <c r="U37" s="1374"/>
      <c r="V37" s="1374"/>
      <c r="W37" s="1375"/>
      <c r="X37" s="1374"/>
      <c r="Y37" s="1374"/>
      <c r="Z37" s="1374"/>
      <c r="AA37" s="1374"/>
      <c r="AB37" s="1374"/>
      <c r="AC37" s="1374"/>
      <c r="AD37" s="1374"/>
      <c r="AE37" s="1374"/>
    </row>
    <row r="38" spans="1:31">
      <c r="A38" s="1374"/>
      <c r="B38" s="1374"/>
      <c r="C38" s="1374"/>
      <c r="D38" s="1374"/>
      <c r="E38" s="1374"/>
      <c r="F38" s="1374"/>
      <c r="G38" s="1374"/>
      <c r="H38" s="1374"/>
      <c r="I38" s="1374"/>
      <c r="J38" s="1374"/>
      <c r="K38" s="1374"/>
      <c r="L38" s="1374"/>
      <c r="M38" s="1374"/>
      <c r="N38" s="1374"/>
      <c r="O38" s="1374"/>
      <c r="P38" s="1374"/>
      <c r="Q38" s="1374"/>
      <c r="R38" s="1374"/>
      <c r="S38" s="1374"/>
      <c r="T38" s="1374"/>
      <c r="U38" s="1374"/>
      <c r="V38" s="1374"/>
      <c r="W38" s="1375"/>
      <c r="X38" s="1374"/>
      <c r="Y38" s="1374"/>
      <c r="Z38" s="1374"/>
      <c r="AA38" s="1374"/>
      <c r="AB38" s="1374"/>
      <c r="AC38" s="1374"/>
      <c r="AD38" s="1374"/>
      <c r="AE38" s="1374"/>
    </row>
    <row r="39" spans="1:31">
      <c r="A39" s="1374"/>
      <c r="B39" s="1374"/>
      <c r="C39" s="1374"/>
      <c r="D39" s="1374"/>
      <c r="E39" s="1374"/>
      <c r="F39" s="1374"/>
      <c r="G39" s="1374"/>
      <c r="H39" s="1374"/>
      <c r="I39" s="1374"/>
      <c r="J39" s="1374"/>
      <c r="K39" s="1374"/>
      <c r="L39" s="1374"/>
      <c r="M39" s="1374"/>
      <c r="N39" s="1374"/>
      <c r="O39" s="1374"/>
      <c r="P39" s="1374"/>
      <c r="Q39" s="1374"/>
      <c r="R39" s="1374"/>
      <c r="S39" s="1374"/>
      <c r="T39" s="1374"/>
      <c r="U39" s="1374"/>
      <c r="V39" s="1374"/>
      <c r="W39" s="1375"/>
      <c r="X39" s="1374"/>
      <c r="Y39" s="1374"/>
      <c r="Z39" s="1374"/>
      <c r="AA39" s="1374"/>
      <c r="AB39" s="1374"/>
      <c r="AC39" s="1374"/>
      <c r="AD39" s="1374"/>
      <c r="AE39" s="1374"/>
    </row>
  </sheetData>
  <sheetProtection algorithmName="SHA-512" hashValue="LWXl786eYPfe7TJvnHmK1c2tpfYLG70ZHprReTutVueGAnVcSd0eEtTQNgBygzYnsmtXWgXwjNvnYMTeuOukbQ==" saltValue="MhOHIerorPQsMCy5E8HqCw==" spinCount="100000" sheet="1" objects="1" scenarios="1"/>
  <mergeCells count="17">
    <mergeCell ref="I10:I11"/>
    <mergeCell ref="J10:O10"/>
    <mergeCell ref="J11:O11"/>
    <mergeCell ref="A14:O14"/>
    <mergeCell ref="A5:O5"/>
    <mergeCell ref="A6:B6"/>
    <mergeCell ref="A13:O13"/>
    <mergeCell ref="A7:B7"/>
    <mergeCell ref="L7:M7"/>
    <mergeCell ref="A8:C8"/>
    <mergeCell ref="J8:O8"/>
    <mergeCell ref="J9:O9"/>
    <mergeCell ref="L1:M1"/>
    <mergeCell ref="N1:O1"/>
    <mergeCell ref="K2:L2"/>
    <mergeCell ref="M2:O2"/>
    <mergeCell ref="A4:O4"/>
  </mergeCells>
  <phoneticPr fontId="15"/>
  <printOptions horizontalCentered="1"/>
  <pageMargins left="0.39370078740157483" right="0.39370078740157483" top="0.59055118110236227" bottom="0.51181102362204722" header="0.31496062992125984" footer="0.23622047244094491"/>
  <pageSetup paperSize="9" orientation="portrait" cellComments="asDisplayed" horizont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21">
    <pageSetUpPr fitToPage="1"/>
  </sheetPr>
  <dimension ref="A1:Z111"/>
  <sheetViews>
    <sheetView showGridLines="0" topLeftCell="A54" zoomScaleNormal="100" workbookViewId="0">
      <selection activeCell="B6" sqref="B6"/>
    </sheetView>
  </sheetViews>
  <sheetFormatPr defaultColWidth="8.875" defaultRowHeight="13.5"/>
  <cols>
    <col min="1" max="2" width="8.875" style="556"/>
    <col min="3" max="3" width="8.875" style="556" customWidth="1"/>
    <col min="4" max="4" width="5" style="556" customWidth="1"/>
    <col min="5" max="5" width="13.25" style="556" customWidth="1"/>
    <col min="6" max="8" width="8.875" style="556"/>
    <col min="9" max="9" width="8.25" style="556" customWidth="1"/>
    <col min="10" max="14" width="8.875" style="556"/>
    <col min="15" max="15" width="13.25" style="556" customWidth="1"/>
    <col min="16" max="17" width="8.875" style="556"/>
    <col min="18" max="18" width="19.625" style="556" customWidth="1"/>
    <col min="19" max="19" width="6.875" style="556" customWidth="1"/>
    <col min="20" max="21" width="8.875" style="556"/>
    <col min="22" max="22" width="6.375" style="556" customWidth="1"/>
    <col min="23" max="16384" width="8.875" style="556"/>
  </cols>
  <sheetData>
    <row r="1" spans="1:12" ht="21">
      <c r="A1" s="554" t="s">
        <v>2748</v>
      </c>
      <c r="B1" s="555"/>
      <c r="C1" s="555"/>
      <c r="D1" s="555"/>
      <c r="E1" s="555"/>
      <c r="F1" s="555"/>
      <c r="G1" s="555"/>
      <c r="H1" s="555"/>
      <c r="I1" s="555"/>
      <c r="J1" s="555"/>
      <c r="K1" s="555"/>
    </row>
    <row r="2" spans="1:12" ht="14.25">
      <c r="A2"/>
      <c r="B2"/>
      <c r="C2"/>
      <c r="D2"/>
      <c r="E2" s="557"/>
      <c r="F2" s="557"/>
      <c r="G2" s="557"/>
      <c r="H2" s="557"/>
      <c r="I2" s="557"/>
      <c r="J2" s="557"/>
      <c r="K2" s="557"/>
    </row>
    <row r="3" spans="1:12" ht="17.25">
      <c r="A3" s="1331" t="s">
        <v>4471</v>
      </c>
      <c r="B3" s="1332"/>
      <c r="C3" s="1332"/>
      <c r="D3" s="1332"/>
      <c r="E3" s="1332"/>
      <c r="F3" s="1332"/>
      <c r="G3" s="1333"/>
      <c r="H3" s="1333"/>
      <c r="I3" s="1333"/>
      <c r="J3" s="1333"/>
      <c r="K3" s="1332"/>
      <c r="L3" s="1334"/>
    </row>
    <row r="5" spans="1:12" ht="14.25">
      <c r="A5" s="558">
        <v>1</v>
      </c>
      <c r="B5" s="556" t="s">
        <v>4099</v>
      </c>
    </row>
    <row r="6" spans="1:12" ht="14.25">
      <c r="A6" s="558"/>
    </row>
    <row r="7" spans="1:12" ht="14.25" hidden="1">
      <c r="A7" s="558"/>
    </row>
    <row r="8" spans="1:12" ht="14.25" hidden="1">
      <c r="A8" s="558"/>
    </row>
    <row r="9" spans="1:12" ht="14.25" hidden="1">
      <c r="A9" s="558"/>
    </row>
    <row r="10" spans="1:12" ht="14.25" hidden="1">
      <c r="A10" s="558"/>
    </row>
    <row r="11" spans="1:12" ht="14.25" hidden="1">
      <c r="A11" s="558"/>
    </row>
    <row r="12" spans="1:12" ht="14.25" hidden="1">
      <c r="A12" s="558"/>
    </row>
    <row r="13" spans="1:12" ht="14.25" hidden="1">
      <c r="A13" s="558"/>
    </row>
    <row r="14" spans="1:12" ht="14.25" hidden="1">
      <c r="A14" s="558"/>
    </row>
    <row r="15" spans="1:12" ht="14.25" hidden="1">
      <c r="A15" s="558"/>
    </row>
    <row r="16" spans="1:12" ht="14.25" hidden="1">
      <c r="A16" s="558"/>
    </row>
    <row r="17" spans="1:15" ht="14.25" hidden="1">
      <c r="A17" s="558"/>
    </row>
    <row r="18" spans="1:15" ht="14.25" hidden="1">
      <c r="A18" s="558"/>
    </row>
    <row r="19" spans="1:15" ht="14.25" hidden="1">
      <c r="A19" s="558"/>
    </row>
    <row r="20" spans="1:15" ht="14.25" hidden="1">
      <c r="A20" s="558"/>
    </row>
    <row r="21" spans="1:15" ht="14.25" hidden="1">
      <c r="A21" s="558"/>
    </row>
    <row r="22" spans="1:15" ht="14.25" hidden="1">
      <c r="A22" s="558"/>
    </row>
    <row r="23" spans="1:15" ht="14.25" hidden="1">
      <c r="A23" s="558"/>
    </row>
    <row r="24" spans="1:15" ht="14.25" hidden="1">
      <c r="A24" s="558"/>
    </row>
    <row r="25" spans="1:15" ht="14.25" hidden="1">
      <c r="A25" s="558"/>
    </row>
    <row r="26" spans="1:15" ht="14.25" hidden="1">
      <c r="A26" s="558"/>
    </row>
    <row r="27" spans="1:15" ht="14.25" hidden="1">
      <c r="A27" s="558"/>
    </row>
    <row r="28" spans="1:15" ht="14.25" hidden="1">
      <c r="A28" s="558"/>
    </row>
    <row r="29" spans="1:15" hidden="1"/>
    <row r="30" spans="1:15" ht="13.15" customHeight="1">
      <c r="B30" s="566" t="s">
        <v>188</v>
      </c>
      <c r="C30" s="1335"/>
      <c r="D30" s="1335"/>
      <c r="E30" s="1335"/>
      <c r="F30" s="1336"/>
      <c r="G30" s="3304" t="s">
        <v>2681</v>
      </c>
      <c r="H30" s="3305"/>
      <c r="I30" s="1343"/>
      <c r="J30" s="3306" t="s">
        <v>2682</v>
      </c>
      <c r="K30" s="3307"/>
      <c r="L30" s="3308"/>
      <c r="M30" s="1341" t="s">
        <v>2683</v>
      </c>
      <c r="N30" s="1341"/>
      <c r="O30" s="1342"/>
    </row>
    <row r="31" spans="1:15">
      <c r="B31" s="567"/>
      <c r="C31" s="568"/>
      <c r="D31" s="568"/>
      <c r="E31" s="568"/>
      <c r="F31" s="569"/>
      <c r="G31" s="570"/>
      <c r="H31" s="573" t="s">
        <v>244</v>
      </c>
      <c r="I31" s="1344" t="s">
        <v>4392</v>
      </c>
      <c r="J31" s="571" t="s">
        <v>2684</v>
      </c>
      <c r="K31" s="572" t="s">
        <v>2685</v>
      </c>
      <c r="L31" s="573" t="s">
        <v>244</v>
      </c>
      <c r="M31" s="571" t="s">
        <v>2684</v>
      </c>
      <c r="N31" s="572" t="s">
        <v>2685</v>
      </c>
      <c r="O31" s="573" t="s">
        <v>244</v>
      </c>
    </row>
    <row r="32" spans="1:15" ht="16.5">
      <c r="B32" s="3294" t="s">
        <v>2686</v>
      </c>
      <c r="C32" s="3298" t="s">
        <v>2687</v>
      </c>
      <c r="D32" s="3299"/>
      <c r="E32" s="3299"/>
      <c r="F32" s="3300"/>
      <c r="G32" s="1337">
        <v>38.200000000000003</v>
      </c>
      <c r="H32" s="575" t="str">
        <f>"GJ/"&amp;I32</f>
        <v>GJ/kL</v>
      </c>
      <c r="I32" s="575" t="s">
        <v>2688</v>
      </c>
      <c r="J32" s="1110">
        <v>1.8700000000000001E-2</v>
      </c>
      <c r="K32" s="1114">
        <f>J32</f>
        <v>1.8700000000000001E-2</v>
      </c>
      <c r="L32" s="1338" t="s">
        <v>2689</v>
      </c>
      <c r="M32" s="1339">
        <f>$G32*J32*44/12</f>
        <v>2.6192466666666667</v>
      </c>
      <c r="N32" s="1339">
        <f>$G32*K32*44/12</f>
        <v>2.6192466666666667</v>
      </c>
      <c r="O32" s="1340" t="s">
        <v>2690</v>
      </c>
    </row>
    <row r="33" spans="2:15" ht="16.5">
      <c r="B33" s="3293"/>
      <c r="C33" s="3298" t="s">
        <v>2691</v>
      </c>
      <c r="D33" s="3299"/>
      <c r="E33" s="3299"/>
      <c r="F33" s="3300"/>
      <c r="G33" s="1107">
        <v>35.299999999999997</v>
      </c>
      <c r="H33" s="574" t="str">
        <f t="shared" ref="H33:H62" si="0">"GJ/"&amp;I33</f>
        <v>GJ/kL</v>
      </c>
      <c r="I33" s="575" t="s">
        <v>2688</v>
      </c>
      <c r="J33" s="1111">
        <v>1.84E-2</v>
      </c>
      <c r="K33" s="1114">
        <f>J33</f>
        <v>1.84E-2</v>
      </c>
      <c r="L33" s="576" t="s">
        <v>2689</v>
      </c>
      <c r="M33" s="577">
        <f t="shared" ref="M33:N57" si="1">$G33*J33*44/12</f>
        <v>2.3815733333333333</v>
      </c>
      <c r="N33" s="577">
        <f t="shared" si="1"/>
        <v>2.3815733333333333</v>
      </c>
      <c r="O33" s="578" t="s">
        <v>2690</v>
      </c>
    </row>
    <row r="34" spans="2:15" ht="16.5">
      <c r="B34" s="3293"/>
      <c r="C34" s="3298" t="s">
        <v>2692</v>
      </c>
      <c r="D34" s="3299"/>
      <c r="E34" s="3299"/>
      <c r="F34" s="3300"/>
      <c r="G34" s="1107">
        <v>34.6</v>
      </c>
      <c r="H34" s="574" t="str">
        <f t="shared" si="0"/>
        <v>GJ/kL</v>
      </c>
      <c r="I34" s="575" t="s">
        <v>2688</v>
      </c>
      <c r="J34" s="1111">
        <v>1.83E-2</v>
      </c>
      <c r="K34" s="1114">
        <f>J34</f>
        <v>1.83E-2</v>
      </c>
      <c r="L34" s="576" t="s">
        <v>2689</v>
      </c>
      <c r="M34" s="577">
        <f t="shared" si="1"/>
        <v>2.3216600000000001</v>
      </c>
      <c r="N34" s="577">
        <f t="shared" si="1"/>
        <v>2.3216600000000001</v>
      </c>
      <c r="O34" s="578" t="s">
        <v>2690</v>
      </c>
    </row>
    <row r="35" spans="2:15" ht="16.5">
      <c r="B35" s="3293"/>
      <c r="C35" s="3298" t="s">
        <v>2693</v>
      </c>
      <c r="D35" s="3299"/>
      <c r="E35" s="3299"/>
      <c r="F35" s="3300"/>
      <c r="G35" s="1107">
        <v>33.6</v>
      </c>
      <c r="H35" s="574" t="str">
        <f t="shared" si="0"/>
        <v>GJ/kL</v>
      </c>
      <c r="I35" s="575" t="s">
        <v>2688</v>
      </c>
      <c r="J35" s="1111">
        <v>1.8200000000000001E-2</v>
      </c>
      <c r="K35" s="1114">
        <f>J35</f>
        <v>1.8200000000000001E-2</v>
      </c>
      <c r="L35" s="576" t="s">
        <v>2689</v>
      </c>
      <c r="M35" s="577">
        <f t="shared" si="1"/>
        <v>2.2422400000000002</v>
      </c>
      <c r="N35" s="577">
        <f t="shared" si="1"/>
        <v>2.2422400000000002</v>
      </c>
      <c r="O35" s="578" t="s">
        <v>2690</v>
      </c>
    </row>
    <row r="36" spans="2:15" ht="16.5">
      <c r="B36" s="3293"/>
      <c r="C36" s="3298" t="s">
        <v>2694</v>
      </c>
      <c r="D36" s="3299"/>
      <c r="E36" s="3299"/>
      <c r="F36" s="3300"/>
      <c r="G36" s="1107">
        <v>36.700000000000003</v>
      </c>
      <c r="H36" s="574" t="str">
        <f t="shared" si="0"/>
        <v>GJ/kL</v>
      </c>
      <c r="I36" s="575" t="s">
        <v>2688</v>
      </c>
      <c r="J36" s="1111">
        <v>1.8499999999999999E-2</v>
      </c>
      <c r="K36" s="1114">
        <f t="shared" ref="K36:K54" si="2">J36</f>
        <v>1.8499999999999999E-2</v>
      </c>
      <c r="L36" s="576" t="s">
        <v>2689</v>
      </c>
      <c r="M36" s="577">
        <f t="shared" si="1"/>
        <v>2.4894833333333337</v>
      </c>
      <c r="N36" s="577">
        <f t="shared" si="1"/>
        <v>2.4894833333333337</v>
      </c>
      <c r="O36" s="578" t="s">
        <v>2690</v>
      </c>
    </row>
    <row r="37" spans="2:15" ht="16.5">
      <c r="B37" s="3293"/>
      <c r="C37" s="3298" t="s">
        <v>2695</v>
      </c>
      <c r="D37" s="3299"/>
      <c r="E37" s="3299"/>
      <c r="F37" s="3300"/>
      <c r="G37" s="1107">
        <v>37.700000000000003</v>
      </c>
      <c r="H37" s="574" t="str">
        <f t="shared" si="0"/>
        <v>GJ/kL</v>
      </c>
      <c r="I37" s="575" t="s">
        <v>2688</v>
      </c>
      <c r="J37" s="1111">
        <v>1.8700000000000001E-2</v>
      </c>
      <c r="K37" s="1114">
        <f t="shared" si="2"/>
        <v>1.8700000000000001E-2</v>
      </c>
      <c r="L37" s="576" t="s">
        <v>2689</v>
      </c>
      <c r="M37" s="577">
        <f t="shared" si="1"/>
        <v>2.5849633333333339</v>
      </c>
      <c r="N37" s="577">
        <f t="shared" si="1"/>
        <v>2.5849633333333339</v>
      </c>
      <c r="O37" s="578" t="s">
        <v>2690</v>
      </c>
    </row>
    <row r="38" spans="2:15" ht="16.5">
      <c r="B38" s="3293"/>
      <c r="C38" s="3298" t="s">
        <v>2696</v>
      </c>
      <c r="D38" s="3299"/>
      <c r="E38" s="3299"/>
      <c r="F38" s="3300"/>
      <c r="G38" s="1107">
        <v>39.1</v>
      </c>
      <c r="H38" s="574" t="str">
        <f t="shared" si="0"/>
        <v>GJ/kL</v>
      </c>
      <c r="I38" s="575" t="s">
        <v>2688</v>
      </c>
      <c r="J38" s="1111">
        <v>1.89E-2</v>
      </c>
      <c r="K38" s="1114">
        <f t="shared" si="2"/>
        <v>1.89E-2</v>
      </c>
      <c r="L38" s="576" t="s">
        <v>2689</v>
      </c>
      <c r="M38" s="577">
        <f t="shared" si="1"/>
        <v>2.7096300000000002</v>
      </c>
      <c r="N38" s="577">
        <f t="shared" si="1"/>
        <v>2.7096300000000002</v>
      </c>
      <c r="O38" s="578" t="s">
        <v>2690</v>
      </c>
    </row>
    <row r="39" spans="2:15" ht="16.5">
      <c r="B39" s="3293"/>
      <c r="C39" s="3298" t="s">
        <v>2697</v>
      </c>
      <c r="D39" s="3299"/>
      <c r="E39" s="3299"/>
      <c r="F39" s="3300"/>
      <c r="G39" s="1107">
        <v>41.9</v>
      </c>
      <c r="H39" s="574" t="str">
        <f t="shared" si="0"/>
        <v>GJ/kL</v>
      </c>
      <c r="I39" s="575" t="s">
        <v>2688</v>
      </c>
      <c r="J39" s="1111">
        <v>1.95E-2</v>
      </c>
      <c r="K39" s="1114">
        <f t="shared" si="2"/>
        <v>1.95E-2</v>
      </c>
      <c r="L39" s="576" t="s">
        <v>2689</v>
      </c>
      <c r="M39" s="577">
        <f t="shared" si="1"/>
        <v>2.9958499999999995</v>
      </c>
      <c r="N39" s="577">
        <f t="shared" si="1"/>
        <v>2.9958499999999995</v>
      </c>
      <c r="O39" s="578" t="s">
        <v>2690</v>
      </c>
    </row>
    <row r="40" spans="2:15" ht="16.5">
      <c r="B40" s="3293"/>
      <c r="C40" s="3298" t="s">
        <v>2698</v>
      </c>
      <c r="D40" s="3299"/>
      <c r="E40" s="3299"/>
      <c r="F40" s="3300"/>
      <c r="G40" s="1107">
        <v>40.9</v>
      </c>
      <c r="H40" s="574" t="str">
        <f t="shared" si="0"/>
        <v>GJ/t</v>
      </c>
      <c r="I40" s="575" t="s">
        <v>1577</v>
      </c>
      <c r="J40" s="1111">
        <v>2.0799999999999999E-2</v>
      </c>
      <c r="K40" s="1114">
        <f t="shared" si="2"/>
        <v>2.0799999999999999E-2</v>
      </c>
      <c r="L40" s="576" t="s">
        <v>2689</v>
      </c>
      <c r="M40" s="577">
        <f t="shared" si="1"/>
        <v>3.1193066666666667</v>
      </c>
      <c r="N40" s="577">
        <f t="shared" si="1"/>
        <v>3.1193066666666667</v>
      </c>
      <c r="O40" s="578" t="s">
        <v>2699</v>
      </c>
    </row>
    <row r="41" spans="2:15" ht="16.5">
      <c r="B41" s="3293"/>
      <c r="C41" s="3298" t="s">
        <v>2700</v>
      </c>
      <c r="D41" s="3299"/>
      <c r="E41" s="3299"/>
      <c r="F41" s="3300"/>
      <c r="G41" s="1107">
        <v>29.9</v>
      </c>
      <c r="H41" s="574" t="str">
        <f t="shared" si="0"/>
        <v>GJ/t</v>
      </c>
      <c r="I41" s="575" t="s">
        <v>1577</v>
      </c>
      <c r="J41" s="1111">
        <v>2.5399999999999999E-2</v>
      </c>
      <c r="K41" s="1114">
        <f t="shared" si="2"/>
        <v>2.5399999999999999E-2</v>
      </c>
      <c r="L41" s="576" t="s">
        <v>2689</v>
      </c>
      <c r="M41" s="577">
        <f t="shared" si="1"/>
        <v>2.7846866666666661</v>
      </c>
      <c r="N41" s="577">
        <f t="shared" si="1"/>
        <v>2.7846866666666661</v>
      </c>
      <c r="O41" s="578" t="s">
        <v>2699</v>
      </c>
    </row>
    <row r="42" spans="2:15" ht="16.5">
      <c r="B42" s="3293"/>
      <c r="C42" s="3309" t="s">
        <v>2701</v>
      </c>
      <c r="D42" s="1942" t="s">
        <v>2702</v>
      </c>
      <c r="E42" s="1942"/>
      <c r="F42" s="1942"/>
      <c r="G42" s="1107">
        <v>50.8</v>
      </c>
      <c r="H42" s="574" t="str">
        <f t="shared" si="0"/>
        <v>GJ/t</v>
      </c>
      <c r="I42" s="575" t="s">
        <v>1577</v>
      </c>
      <c r="J42" s="1111">
        <v>1.61E-2</v>
      </c>
      <c r="K42" s="1114">
        <f t="shared" si="2"/>
        <v>1.61E-2</v>
      </c>
      <c r="L42" s="576" t="s">
        <v>2689</v>
      </c>
      <c r="M42" s="577">
        <f t="shared" si="1"/>
        <v>2.9988933333333332</v>
      </c>
      <c r="N42" s="577">
        <f t="shared" si="1"/>
        <v>2.9988933333333332</v>
      </c>
      <c r="O42" s="578" t="s">
        <v>2699</v>
      </c>
    </row>
    <row r="43" spans="2:15" ht="16.5">
      <c r="B43" s="3293"/>
      <c r="C43" s="3303"/>
      <c r="D43" s="1942" t="s">
        <v>2703</v>
      </c>
      <c r="E43" s="1942"/>
      <c r="F43" s="1942"/>
      <c r="G43" s="1107">
        <v>44.9</v>
      </c>
      <c r="H43" s="574" t="str">
        <f t="shared" si="0"/>
        <v>GJ/千㎥</v>
      </c>
      <c r="I43" s="575" t="s">
        <v>1816</v>
      </c>
      <c r="J43" s="1111">
        <v>1.4200000000000001E-2</v>
      </c>
      <c r="K43" s="1114">
        <f t="shared" si="2"/>
        <v>1.4200000000000001E-2</v>
      </c>
      <c r="L43" s="576" t="s">
        <v>2689</v>
      </c>
      <c r="M43" s="577">
        <f t="shared" si="1"/>
        <v>2.3377933333333334</v>
      </c>
      <c r="N43" s="577">
        <f t="shared" si="1"/>
        <v>2.3377933333333334</v>
      </c>
      <c r="O43" s="578" t="s">
        <v>2704</v>
      </c>
    </row>
    <row r="44" spans="2:15" ht="16.5">
      <c r="B44" s="3293"/>
      <c r="C44" s="3302" t="s">
        <v>2705</v>
      </c>
      <c r="D44" s="1942" t="s">
        <v>2706</v>
      </c>
      <c r="E44" s="1942"/>
      <c r="F44" s="1942"/>
      <c r="G44" s="1107">
        <v>54.6</v>
      </c>
      <c r="H44" s="574" t="str">
        <f t="shared" si="0"/>
        <v>GJ/t</v>
      </c>
      <c r="I44" s="575" t="s">
        <v>1577</v>
      </c>
      <c r="J44" s="1111">
        <v>1.35E-2</v>
      </c>
      <c r="K44" s="1114">
        <f t="shared" si="2"/>
        <v>1.35E-2</v>
      </c>
      <c r="L44" s="576" t="s">
        <v>2689</v>
      </c>
      <c r="M44" s="577">
        <f t="shared" si="1"/>
        <v>2.7027000000000001</v>
      </c>
      <c r="N44" s="577">
        <f t="shared" si="1"/>
        <v>2.7027000000000001</v>
      </c>
      <c r="O44" s="578" t="s">
        <v>2699</v>
      </c>
    </row>
    <row r="45" spans="2:15" ht="16.5">
      <c r="B45" s="3293"/>
      <c r="C45" s="3303"/>
      <c r="D45" s="1942" t="s">
        <v>2707</v>
      </c>
      <c r="E45" s="1942"/>
      <c r="F45" s="1942"/>
      <c r="G45" s="1107">
        <v>43.5</v>
      </c>
      <c r="H45" s="574" t="str">
        <f t="shared" si="0"/>
        <v>GJ/千㎥</v>
      </c>
      <c r="I45" s="575" t="s">
        <v>1816</v>
      </c>
      <c r="J45" s="1111">
        <v>1.3899999999999999E-2</v>
      </c>
      <c r="K45" s="1114">
        <f t="shared" si="2"/>
        <v>1.3899999999999999E-2</v>
      </c>
      <c r="L45" s="576" t="s">
        <v>2689</v>
      </c>
      <c r="M45" s="577">
        <f t="shared" si="1"/>
        <v>2.21705</v>
      </c>
      <c r="N45" s="577">
        <f t="shared" si="1"/>
        <v>2.21705</v>
      </c>
      <c r="O45" s="578" t="s">
        <v>2704</v>
      </c>
    </row>
    <row r="46" spans="2:15" ht="16.5">
      <c r="B46" s="3293"/>
      <c r="C46" s="1991" t="s">
        <v>2708</v>
      </c>
      <c r="D46" s="1942" t="s">
        <v>2709</v>
      </c>
      <c r="E46" s="1942"/>
      <c r="F46" s="1942"/>
      <c r="G46" s="1107">
        <v>29</v>
      </c>
      <c r="H46" s="574" t="str">
        <f t="shared" si="0"/>
        <v>GJ/t</v>
      </c>
      <c r="I46" s="575" t="s">
        <v>1577</v>
      </c>
      <c r="J46" s="1111">
        <v>2.4500000000000001E-2</v>
      </c>
      <c r="K46" s="1114">
        <f t="shared" si="2"/>
        <v>2.4500000000000001E-2</v>
      </c>
      <c r="L46" s="576" t="s">
        <v>2689</v>
      </c>
      <c r="M46" s="577">
        <f t="shared" si="1"/>
        <v>2.6051666666666669</v>
      </c>
      <c r="N46" s="577">
        <f t="shared" si="1"/>
        <v>2.6051666666666669</v>
      </c>
      <c r="O46" s="578" t="s">
        <v>2699</v>
      </c>
    </row>
    <row r="47" spans="2:15" ht="16.5">
      <c r="B47" s="3293"/>
      <c r="C47" s="1992"/>
      <c r="D47" s="1942" t="s">
        <v>2710</v>
      </c>
      <c r="E47" s="1942"/>
      <c r="F47" s="1942"/>
      <c r="G47" s="1107">
        <v>25.7</v>
      </c>
      <c r="H47" s="574" t="str">
        <f t="shared" si="0"/>
        <v>GJ/t</v>
      </c>
      <c r="I47" s="575" t="s">
        <v>1577</v>
      </c>
      <c r="J47" s="1111">
        <v>2.47E-2</v>
      </c>
      <c r="K47" s="1114">
        <f t="shared" si="2"/>
        <v>2.47E-2</v>
      </c>
      <c r="L47" s="576" t="s">
        <v>2689</v>
      </c>
      <c r="M47" s="577">
        <f t="shared" si="1"/>
        <v>2.3275633333333334</v>
      </c>
      <c r="N47" s="577">
        <f t="shared" si="1"/>
        <v>2.3275633333333334</v>
      </c>
      <c r="O47" s="578" t="s">
        <v>2699</v>
      </c>
    </row>
    <row r="48" spans="2:15" ht="16.5">
      <c r="B48" s="3293"/>
      <c r="C48" s="1993"/>
      <c r="D48" s="1942" t="s">
        <v>2711</v>
      </c>
      <c r="E48" s="1942"/>
      <c r="F48" s="1942"/>
      <c r="G48" s="1107">
        <v>26.9</v>
      </c>
      <c r="H48" s="574" t="str">
        <f t="shared" si="0"/>
        <v>GJ/t</v>
      </c>
      <c r="I48" s="575" t="s">
        <v>1577</v>
      </c>
      <c r="J48" s="1111">
        <v>2.5499999999999998E-2</v>
      </c>
      <c r="K48" s="1114">
        <f t="shared" si="2"/>
        <v>2.5499999999999998E-2</v>
      </c>
      <c r="L48" s="576" t="s">
        <v>2689</v>
      </c>
      <c r="M48" s="577">
        <f t="shared" si="1"/>
        <v>2.5151499999999998</v>
      </c>
      <c r="N48" s="577">
        <f t="shared" si="1"/>
        <v>2.5151499999999998</v>
      </c>
      <c r="O48" s="578" t="s">
        <v>2699</v>
      </c>
    </row>
    <row r="49" spans="2:26" ht="16.5">
      <c r="B49" s="3293"/>
      <c r="C49" s="3298" t="s">
        <v>2712</v>
      </c>
      <c r="D49" s="3299"/>
      <c r="E49" s="3299"/>
      <c r="F49" s="3300"/>
      <c r="G49" s="1107">
        <v>29.4</v>
      </c>
      <c r="H49" s="574" t="str">
        <f t="shared" si="0"/>
        <v>GJ/t</v>
      </c>
      <c r="I49" s="575" t="s">
        <v>1577</v>
      </c>
      <c r="J49" s="1111">
        <v>2.9399999999999999E-2</v>
      </c>
      <c r="K49" s="1114">
        <f t="shared" si="2"/>
        <v>2.9399999999999999E-2</v>
      </c>
      <c r="L49" s="576" t="s">
        <v>2689</v>
      </c>
      <c r="M49" s="577">
        <f t="shared" si="1"/>
        <v>3.1693199999999995</v>
      </c>
      <c r="N49" s="577">
        <f t="shared" si="1"/>
        <v>3.1693199999999995</v>
      </c>
      <c r="O49" s="578" t="s">
        <v>2699</v>
      </c>
    </row>
    <row r="50" spans="2:26" ht="16.5">
      <c r="B50" s="3293"/>
      <c r="C50" s="3298" t="s">
        <v>2713</v>
      </c>
      <c r="D50" s="3299"/>
      <c r="E50" s="3299"/>
      <c r="F50" s="3300"/>
      <c r="G50" s="1107">
        <v>37.299999999999997</v>
      </c>
      <c r="H50" s="574" t="str">
        <f t="shared" si="0"/>
        <v>GJ/t</v>
      </c>
      <c r="I50" s="575" t="s">
        <v>1577</v>
      </c>
      <c r="J50" s="1111">
        <v>2.0899999999999998E-2</v>
      </c>
      <c r="K50" s="1114">
        <f t="shared" si="2"/>
        <v>2.0899999999999998E-2</v>
      </c>
      <c r="L50" s="576" t="s">
        <v>2689</v>
      </c>
      <c r="M50" s="577">
        <f t="shared" si="1"/>
        <v>2.8584233333333326</v>
      </c>
      <c r="N50" s="577">
        <f t="shared" si="1"/>
        <v>2.8584233333333326</v>
      </c>
      <c r="O50" s="578" t="s">
        <v>2699</v>
      </c>
    </row>
    <row r="51" spans="2:26" ht="16.5">
      <c r="B51" s="3293"/>
      <c r="C51" s="3298" t="s">
        <v>2714</v>
      </c>
      <c r="D51" s="3299"/>
      <c r="E51" s="3299"/>
      <c r="F51" s="3300"/>
      <c r="G51" s="1107">
        <v>21.1</v>
      </c>
      <c r="H51" s="574" t="str">
        <f t="shared" si="0"/>
        <v>GJ/千㎥</v>
      </c>
      <c r="I51" s="575" t="s">
        <v>1816</v>
      </c>
      <c r="J51" s="1111">
        <v>1.0999999999999999E-2</v>
      </c>
      <c r="K51" s="1114">
        <f t="shared" si="2"/>
        <v>1.0999999999999999E-2</v>
      </c>
      <c r="L51" s="576" t="s">
        <v>2689</v>
      </c>
      <c r="M51" s="577">
        <f t="shared" si="1"/>
        <v>0.85103333333333342</v>
      </c>
      <c r="N51" s="577">
        <f t="shared" si="1"/>
        <v>0.85103333333333342</v>
      </c>
      <c r="O51" s="578" t="s">
        <v>2704</v>
      </c>
    </row>
    <row r="52" spans="2:26" ht="16.5">
      <c r="B52" s="3293"/>
      <c r="C52" s="3298" t="s">
        <v>2715</v>
      </c>
      <c r="D52" s="3299"/>
      <c r="E52" s="3299"/>
      <c r="F52" s="3300"/>
      <c r="G52" s="1108">
        <v>3.41</v>
      </c>
      <c r="H52" s="574" t="str">
        <f t="shared" si="0"/>
        <v>GJ/千㎥</v>
      </c>
      <c r="I52" s="575" t="s">
        <v>1816</v>
      </c>
      <c r="J52" s="1111">
        <v>2.63E-2</v>
      </c>
      <c r="K52" s="1114">
        <f t="shared" si="2"/>
        <v>2.63E-2</v>
      </c>
      <c r="L52" s="576" t="s">
        <v>2689</v>
      </c>
      <c r="M52" s="577">
        <f t="shared" si="1"/>
        <v>0.32883766666666664</v>
      </c>
      <c r="N52" s="577">
        <f t="shared" si="1"/>
        <v>0.32883766666666664</v>
      </c>
      <c r="O52" s="578" t="s">
        <v>2704</v>
      </c>
    </row>
    <row r="53" spans="2:26" ht="16.5">
      <c r="B53" s="3293"/>
      <c r="C53" s="3298" t="s">
        <v>2716</v>
      </c>
      <c r="D53" s="3299"/>
      <c r="E53" s="3299"/>
      <c r="F53" s="3300"/>
      <c r="G53" s="1108">
        <v>8.41</v>
      </c>
      <c r="H53" s="574" t="str">
        <f t="shared" si="0"/>
        <v>GJ/千㎥</v>
      </c>
      <c r="I53" s="575" t="s">
        <v>1816</v>
      </c>
      <c r="J53" s="1111">
        <v>3.8399999999999997E-2</v>
      </c>
      <c r="K53" s="1114">
        <f t="shared" si="2"/>
        <v>3.8399999999999997E-2</v>
      </c>
      <c r="L53" s="576" t="s">
        <v>2689</v>
      </c>
      <c r="M53" s="577">
        <f t="shared" si="1"/>
        <v>1.1841279999999998</v>
      </c>
      <c r="N53" s="577">
        <f t="shared" si="1"/>
        <v>1.1841279999999998</v>
      </c>
      <c r="O53" s="578" t="s">
        <v>2704</v>
      </c>
    </row>
    <row r="54" spans="2:26" ht="16.5">
      <c r="B54" s="3293"/>
      <c r="C54" s="579" t="s">
        <v>2717</v>
      </c>
      <c r="D54" s="3301"/>
      <c r="E54" s="2083"/>
      <c r="F54" s="2083"/>
      <c r="G54" s="1168">
        <f>'使用量_1,2'!G54</f>
        <v>44.8</v>
      </c>
      <c r="H54" s="574" t="str">
        <f t="shared" si="0"/>
        <v>GJ/千㎥</v>
      </c>
      <c r="I54" s="575" t="s">
        <v>1816</v>
      </c>
      <c r="J54" s="1111">
        <v>1.3599999999999999E-2</v>
      </c>
      <c r="K54" s="1114">
        <f t="shared" si="2"/>
        <v>1.3599999999999999E-2</v>
      </c>
      <c r="L54" s="576" t="s">
        <v>2689</v>
      </c>
      <c r="M54" s="577">
        <f t="shared" si="1"/>
        <v>2.2340266666666664</v>
      </c>
      <c r="N54" s="577">
        <f t="shared" si="1"/>
        <v>2.2340266666666664</v>
      </c>
      <c r="O54" s="580" t="s">
        <v>2704</v>
      </c>
    </row>
    <row r="55" spans="2:26" ht="14.25">
      <c r="B55" s="3293"/>
      <c r="C55" s="1991" t="s">
        <v>123</v>
      </c>
      <c r="D55" s="3297"/>
      <c r="E55" s="3297"/>
      <c r="F55" s="3297"/>
      <c r="G55" s="1107"/>
      <c r="H55" s="574" t="str">
        <f t="shared" si="0"/>
        <v>GJ/</v>
      </c>
      <c r="I55" s="1109"/>
      <c r="J55" s="1111"/>
      <c r="K55" s="1110"/>
      <c r="L55" s="576" t="s">
        <v>2689</v>
      </c>
      <c r="M55" s="1115">
        <f t="shared" si="1"/>
        <v>0</v>
      </c>
      <c r="N55" s="1115">
        <f t="shared" si="1"/>
        <v>0</v>
      </c>
      <c r="O55" s="581" t="str">
        <f>"tCO2/"&amp;I55</f>
        <v>tCO2/</v>
      </c>
      <c r="P55" s="582" t="s">
        <v>392</v>
      </c>
      <c r="Q55" s="583" t="s">
        <v>393</v>
      </c>
      <c r="R55" s="584"/>
      <c r="S55" s="585"/>
      <c r="T55" s="585"/>
      <c r="U55" s="585"/>
      <c r="V55" s="585"/>
      <c r="W55" s="585"/>
      <c r="X55" s="585"/>
      <c r="Y55" s="585"/>
      <c r="Z55" s="586"/>
    </row>
    <row r="56" spans="2:26" ht="16.5">
      <c r="B56" s="3293"/>
      <c r="C56" s="1992"/>
      <c r="D56" s="3297"/>
      <c r="E56" s="3297"/>
      <c r="F56" s="3297"/>
      <c r="G56" s="1107"/>
      <c r="H56" s="574" t="str">
        <f t="shared" si="0"/>
        <v>GJ/</v>
      </c>
      <c r="I56" s="1109"/>
      <c r="J56" s="1111"/>
      <c r="K56" s="1110"/>
      <c r="L56" s="576" t="s">
        <v>2689</v>
      </c>
      <c r="M56" s="1115">
        <f t="shared" si="1"/>
        <v>0</v>
      </c>
      <c r="N56" s="1115">
        <f t="shared" si="1"/>
        <v>0</v>
      </c>
      <c r="O56" s="581" t="str">
        <f t="shared" ref="O56:O106" si="3">"tCO2/"&amp;I56</f>
        <v>tCO2/</v>
      </c>
      <c r="Q56" s="587"/>
      <c r="R56" s="588" t="s">
        <v>219</v>
      </c>
      <c r="S56" s="589">
        <v>1</v>
      </c>
      <c r="T56" s="590" t="s">
        <v>395</v>
      </c>
      <c r="U56" s="584" t="s">
        <v>2719</v>
      </c>
      <c r="V56" s="589"/>
      <c r="W56" s="591" t="s">
        <v>196</v>
      </c>
      <c r="X56" s="592">
        <v>5.7000000000000002E-2</v>
      </c>
      <c r="Y56" s="593" t="s">
        <v>2720</v>
      </c>
      <c r="Z56" s="594"/>
    </row>
    <row r="57" spans="2:26">
      <c r="B57" s="3293"/>
      <c r="C57" s="1993"/>
      <c r="D57" s="3297"/>
      <c r="E57" s="3297"/>
      <c r="F57" s="3297"/>
      <c r="G57" s="1107"/>
      <c r="H57" s="574" t="str">
        <f t="shared" si="0"/>
        <v>GJ/</v>
      </c>
      <c r="I57" s="1109"/>
      <c r="J57" s="1111"/>
      <c r="K57" s="1110"/>
      <c r="L57" s="576" t="s">
        <v>2689</v>
      </c>
      <c r="M57" s="1115">
        <f t="shared" si="1"/>
        <v>0</v>
      </c>
      <c r="N57" s="1115">
        <f t="shared" si="1"/>
        <v>0</v>
      </c>
      <c r="O57" s="581" t="str">
        <f t="shared" si="3"/>
        <v>tCO2/</v>
      </c>
      <c r="Q57" s="595"/>
      <c r="R57" s="596"/>
      <c r="S57" s="597"/>
      <c r="T57" s="597"/>
      <c r="U57" s="597"/>
      <c r="V57" s="597"/>
      <c r="W57" s="597"/>
      <c r="X57" s="597"/>
      <c r="Y57" s="597"/>
      <c r="Z57" s="598"/>
    </row>
    <row r="58" spans="2:26">
      <c r="B58" s="724"/>
      <c r="C58" s="741"/>
      <c r="D58" s="742"/>
      <c r="E58" s="742"/>
      <c r="F58" s="743"/>
      <c r="G58" s="744"/>
      <c r="H58" s="734"/>
      <c r="I58" s="735"/>
      <c r="J58" s="745"/>
      <c r="K58" s="746"/>
      <c r="L58" s="747"/>
      <c r="M58" s="739"/>
      <c r="N58" s="739"/>
      <c r="O58" s="740"/>
      <c r="Q58" s="725"/>
      <c r="R58" s="726"/>
      <c r="S58" s="727"/>
      <c r="T58" s="727"/>
      <c r="U58" s="727"/>
      <c r="V58" s="727"/>
      <c r="W58" s="727"/>
      <c r="X58" s="727"/>
      <c r="Y58" s="727"/>
      <c r="Z58" s="727"/>
    </row>
    <row r="59" spans="2:26">
      <c r="B59" s="3294" t="s">
        <v>220</v>
      </c>
      <c r="C59" s="3295" t="s">
        <v>2722</v>
      </c>
      <c r="D59" s="1978"/>
      <c r="E59" s="1978"/>
      <c r="F59" s="3296"/>
      <c r="G59" s="1108">
        <v>1.02</v>
      </c>
      <c r="H59" s="574" t="str">
        <f t="shared" si="0"/>
        <v>GJ/GJ</v>
      </c>
      <c r="I59" s="575" t="s">
        <v>2740</v>
      </c>
      <c r="J59" s="1112">
        <v>0.06</v>
      </c>
      <c r="K59" s="1113">
        <f>J59</f>
        <v>0.06</v>
      </c>
      <c r="L59" s="599" t="s">
        <v>2723</v>
      </c>
      <c r="M59" s="577">
        <f t="shared" ref="M59:N62" si="4">$G59*J59*44/12</f>
        <v>0.22440000000000002</v>
      </c>
      <c r="N59" s="577">
        <f t="shared" si="4"/>
        <v>0.22440000000000002</v>
      </c>
      <c r="O59" s="581" t="str">
        <f t="shared" si="3"/>
        <v>tCO2/GJ</v>
      </c>
    </row>
    <row r="60" spans="2:26">
      <c r="B60" s="3293"/>
      <c r="C60" s="3295" t="s">
        <v>2724</v>
      </c>
      <c r="D60" s="1978"/>
      <c r="E60" s="1978"/>
      <c r="F60" s="3296"/>
      <c r="G60" s="1108">
        <v>1.36</v>
      </c>
      <c r="H60" s="574" t="str">
        <f t="shared" si="0"/>
        <v>GJ/GJ</v>
      </c>
      <c r="I60" s="575" t="s">
        <v>2740</v>
      </c>
      <c r="J60" s="1112">
        <v>5.7000000000000002E-2</v>
      </c>
      <c r="K60" s="1113">
        <f>J60</f>
        <v>5.7000000000000002E-2</v>
      </c>
      <c r="L60" s="599" t="s">
        <v>2723</v>
      </c>
      <c r="M60" s="577">
        <f t="shared" si="4"/>
        <v>0.28423999999999999</v>
      </c>
      <c r="N60" s="577">
        <f t="shared" si="4"/>
        <v>0.28423999999999999</v>
      </c>
      <c r="O60" s="581" t="str">
        <f t="shared" si="3"/>
        <v>tCO2/GJ</v>
      </c>
    </row>
    <row r="61" spans="2:26">
      <c r="B61" s="3293"/>
      <c r="C61" s="3295" t="s">
        <v>2725</v>
      </c>
      <c r="D61" s="1978"/>
      <c r="E61" s="1978"/>
      <c r="F61" s="3296"/>
      <c r="G61" s="1108">
        <v>1.36</v>
      </c>
      <c r="H61" s="574" t="str">
        <f t="shared" si="0"/>
        <v>GJ/GJ</v>
      </c>
      <c r="I61" s="575" t="s">
        <v>2740</v>
      </c>
      <c r="J61" s="1112">
        <v>5.7000000000000002E-2</v>
      </c>
      <c r="K61" s="1113">
        <f>J61</f>
        <v>5.7000000000000002E-2</v>
      </c>
      <c r="L61" s="599" t="s">
        <v>2723</v>
      </c>
      <c r="M61" s="577">
        <f t="shared" si="4"/>
        <v>0.28423999999999999</v>
      </c>
      <c r="N61" s="577">
        <f t="shared" si="4"/>
        <v>0.28423999999999999</v>
      </c>
      <c r="O61" s="581" t="str">
        <f t="shared" si="3"/>
        <v>tCO2/GJ</v>
      </c>
    </row>
    <row r="62" spans="2:26">
      <c r="B62" s="3293"/>
      <c r="C62" s="3295" t="s">
        <v>2726</v>
      </c>
      <c r="D62" s="1978"/>
      <c r="E62" s="1978"/>
      <c r="F62" s="3296"/>
      <c r="G62" s="1108">
        <v>1.36</v>
      </c>
      <c r="H62" s="574" t="str">
        <f t="shared" si="0"/>
        <v>GJ/GJ</v>
      </c>
      <c r="I62" s="575" t="s">
        <v>2740</v>
      </c>
      <c r="J62" s="1112">
        <v>5.7000000000000002E-2</v>
      </c>
      <c r="K62" s="1113">
        <f>J62</f>
        <v>5.7000000000000002E-2</v>
      </c>
      <c r="L62" s="599" t="s">
        <v>2723</v>
      </c>
      <c r="M62" s="577">
        <f t="shared" si="4"/>
        <v>0.28423999999999999</v>
      </c>
      <c r="N62" s="577">
        <f t="shared" si="4"/>
        <v>0.28423999999999999</v>
      </c>
      <c r="O62" s="581" t="str">
        <f t="shared" si="3"/>
        <v>tCO2/GJ</v>
      </c>
    </row>
    <row r="63" spans="2:26">
      <c r="B63" s="728"/>
      <c r="C63" s="729"/>
      <c r="D63" s="730"/>
      <c r="E63" s="731"/>
      <c r="F63" s="732"/>
      <c r="G63" s="733"/>
      <c r="H63" s="734"/>
      <c r="I63" s="735"/>
      <c r="J63" s="736"/>
      <c r="K63" s="737"/>
      <c r="L63" s="738"/>
      <c r="M63" s="739"/>
      <c r="N63" s="739"/>
      <c r="O63" s="740"/>
    </row>
    <row r="64" spans="2:26" hidden="1">
      <c r="B64" s="728"/>
      <c r="C64" s="729"/>
      <c r="D64" s="730"/>
      <c r="E64" s="731"/>
      <c r="F64" s="732"/>
      <c r="G64" s="733"/>
      <c r="H64" s="734"/>
      <c r="I64" s="735"/>
      <c r="J64" s="736"/>
      <c r="K64" s="737"/>
      <c r="L64" s="738"/>
      <c r="M64" s="739"/>
      <c r="N64" s="739"/>
      <c r="O64" s="740"/>
    </row>
    <row r="65" spans="2:15" ht="13.15" customHeight="1">
      <c r="B65" s="3291" t="s">
        <v>2727</v>
      </c>
      <c r="C65" s="3285" t="str">
        <f>'使用量_1,2'!C65&amp;""</f>
        <v>登録番号+メニュー</v>
      </c>
      <c r="D65" s="3285"/>
      <c r="E65" s="3284" t="e">
        <f>'使用量_1,2'!E65</f>
        <v>#N/A</v>
      </c>
      <c r="F65" s="600" t="s">
        <v>2728</v>
      </c>
      <c r="G65" s="1108">
        <v>9.9700000000000006</v>
      </c>
      <c r="H65" s="574" t="s">
        <v>2729</v>
      </c>
      <c r="I65" s="575" t="s">
        <v>792</v>
      </c>
      <c r="J65" s="601" t="e">
        <f>J66</f>
        <v>#N/A</v>
      </c>
      <c r="K65" s="601" t="e">
        <f>K66</f>
        <v>#N/A</v>
      </c>
      <c r="L65" s="599" t="s">
        <v>2730</v>
      </c>
      <c r="M65" s="577" t="e">
        <f>IF($G65="","",$G65*J65*44/12)</f>
        <v>#N/A</v>
      </c>
      <c r="N65" s="577" t="e">
        <f t="shared" ref="N65:N66" si="5">IF($G65="","",$G65*K65*44/12)</f>
        <v>#N/A</v>
      </c>
      <c r="O65" s="581" t="str">
        <f t="shared" si="3"/>
        <v>tCO2/千kWh</v>
      </c>
    </row>
    <row r="66" spans="2:15">
      <c r="B66" s="3292"/>
      <c r="C66" s="3286"/>
      <c r="D66" s="3286"/>
      <c r="E66" s="3284"/>
      <c r="F66" s="600" t="s">
        <v>2731</v>
      </c>
      <c r="G66" s="1108">
        <v>9.2799999999999994</v>
      </c>
      <c r="H66" s="574" t="s">
        <v>2729</v>
      </c>
      <c r="I66" s="575" t="s">
        <v>792</v>
      </c>
      <c r="J66" s="601" t="e">
        <f>VLOOKUP($C65,電力会社!$I$4:$L$1033,3,FALSE)</f>
        <v>#N/A</v>
      </c>
      <c r="K66" s="601" t="e">
        <f>VLOOKUP($C65,電力会社!$I$4:$L$1033,4,FALSE)</f>
        <v>#N/A</v>
      </c>
      <c r="L66" s="599" t="s">
        <v>2730</v>
      </c>
      <c r="M66" s="577" t="e">
        <f t="shared" ref="M66" si="6">IF($G66="","",$G66*J66*44/12)</f>
        <v>#N/A</v>
      </c>
      <c r="N66" s="577" t="e">
        <f t="shared" si="5"/>
        <v>#N/A</v>
      </c>
      <c r="O66" s="581" t="str">
        <f t="shared" si="3"/>
        <v>tCO2/千kWh</v>
      </c>
    </row>
    <row r="67" spans="2:15" ht="13.15" customHeight="1">
      <c r="B67" s="3293"/>
      <c r="C67" s="3285" t="str">
        <f>'使用量_1,2'!C67&amp;""</f>
        <v>登録番号+メニュー</v>
      </c>
      <c r="D67" s="3285"/>
      <c r="E67" s="3284" t="e">
        <f>'使用量_1,2'!E67</f>
        <v>#N/A</v>
      </c>
      <c r="F67" s="600" t="s">
        <v>2728</v>
      </c>
      <c r="G67" s="1108">
        <v>9.9700000000000006</v>
      </c>
      <c r="H67" s="574" t="s">
        <v>2729</v>
      </c>
      <c r="I67" s="575" t="s">
        <v>792</v>
      </c>
      <c r="J67" s="601" t="e">
        <f>J68</f>
        <v>#N/A</v>
      </c>
      <c r="K67" s="601" t="e">
        <f>K68</f>
        <v>#N/A</v>
      </c>
      <c r="L67" s="599" t="s">
        <v>2730</v>
      </c>
      <c r="M67" s="577" t="e">
        <f>IF(J67="","",$G67*J67*44/12)</f>
        <v>#N/A</v>
      </c>
      <c r="N67" s="577" t="e">
        <f>IF(K67="","",$G67*K67*44/12)</f>
        <v>#N/A</v>
      </c>
      <c r="O67" s="581" t="str">
        <f t="shared" si="3"/>
        <v>tCO2/千kWh</v>
      </c>
    </row>
    <row r="68" spans="2:15">
      <c r="B68" s="3293"/>
      <c r="C68" s="3286"/>
      <c r="D68" s="3286"/>
      <c r="E68" s="3284"/>
      <c r="F68" s="600" t="s">
        <v>2731</v>
      </c>
      <c r="G68" s="1108">
        <v>9.2799999999999994</v>
      </c>
      <c r="H68" s="574" t="s">
        <v>2729</v>
      </c>
      <c r="I68" s="575" t="s">
        <v>792</v>
      </c>
      <c r="J68" s="601" t="e">
        <f>VLOOKUP($C67,電力会社!$I$4:$L$1033,3,FALSE)</f>
        <v>#N/A</v>
      </c>
      <c r="K68" s="601" t="e">
        <f>VLOOKUP($C67,電力会社!$I$4:$L$1033,4,FALSE)</f>
        <v>#N/A</v>
      </c>
      <c r="L68" s="599" t="s">
        <v>2730</v>
      </c>
      <c r="M68" s="577" t="e">
        <f t="shared" ref="M68:N106" si="7">IF(J68="","",$G68*J68*44/12)</f>
        <v>#N/A</v>
      </c>
      <c r="N68" s="577" t="e">
        <f t="shared" si="7"/>
        <v>#N/A</v>
      </c>
      <c r="O68" s="581" t="str">
        <f t="shared" si="3"/>
        <v>tCO2/千kWh</v>
      </c>
    </row>
    <row r="69" spans="2:15" ht="13.15" customHeight="1">
      <c r="B69" s="3293"/>
      <c r="C69" s="3285" t="str">
        <f>'使用量_1,2'!C69&amp;""</f>
        <v>登録番号+メニュー</v>
      </c>
      <c r="D69" s="3285"/>
      <c r="E69" s="3284" t="e">
        <f>'使用量_1,2'!E69</f>
        <v>#N/A</v>
      </c>
      <c r="F69" s="600" t="s">
        <v>2728</v>
      </c>
      <c r="G69" s="1108">
        <v>9.9700000000000006</v>
      </c>
      <c r="H69" s="574" t="s">
        <v>2729</v>
      </c>
      <c r="I69" s="575" t="s">
        <v>792</v>
      </c>
      <c r="J69" s="601" t="e">
        <f>J70</f>
        <v>#N/A</v>
      </c>
      <c r="K69" s="601" t="e">
        <f>K70</f>
        <v>#N/A</v>
      </c>
      <c r="L69" s="599" t="s">
        <v>2730</v>
      </c>
      <c r="M69" s="577" t="e">
        <f t="shared" si="7"/>
        <v>#N/A</v>
      </c>
      <c r="N69" s="577" t="e">
        <f t="shared" si="7"/>
        <v>#N/A</v>
      </c>
      <c r="O69" s="581" t="str">
        <f t="shared" si="3"/>
        <v>tCO2/千kWh</v>
      </c>
    </row>
    <row r="70" spans="2:15">
      <c r="B70" s="3293"/>
      <c r="C70" s="3286"/>
      <c r="D70" s="3286"/>
      <c r="E70" s="3284"/>
      <c r="F70" s="600" t="s">
        <v>2731</v>
      </c>
      <c r="G70" s="1108">
        <v>9.2799999999999994</v>
      </c>
      <c r="H70" s="574" t="s">
        <v>2729</v>
      </c>
      <c r="I70" s="575" t="s">
        <v>792</v>
      </c>
      <c r="J70" s="601" t="e">
        <f>VLOOKUP($C69,電力会社!$I$4:$L$1033,3,FALSE)</f>
        <v>#N/A</v>
      </c>
      <c r="K70" s="601" t="e">
        <f>VLOOKUP($C69,電力会社!$I$4:$L$1033,4,FALSE)</f>
        <v>#N/A</v>
      </c>
      <c r="L70" s="599" t="s">
        <v>2730</v>
      </c>
      <c r="M70" s="577" t="e">
        <f t="shared" si="7"/>
        <v>#N/A</v>
      </c>
      <c r="N70" s="577" t="e">
        <f t="shared" si="7"/>
        <v>#N/A</v>
      </c>
      <c r="O70" s="581" t="str">
        <f t="shared" si="3"/>
        <v>tCO2/千kWh</v>
      </c>
    </row>
    <row r="71" spans="2:15" ht="13.15" customHeight="1">
      <c r="B71" s="3293"/>
      <c r="C71" s="3285" t="str">
        <f>'使用量_1,2'!C71&amp;""</f>
        <v>登録番号+メニュー</v>
      </c>
      <c r="D71" s="3285"/>
      <c r="E71" s="3284" t="e">
        <f>'使用量_1,2'!E71</f>
        <v>#N/A</v>
      </c>
      <c r="F71" s="600" t="s">
        <v>2728</v>
      </c>
      <c r="G71" s="1108">
        <v>9.9700000000000006</v>
      </c>
      <c r="H71" s="574" t="s">
        <v>2729</v>
      </c>
      <c r="I71" s="575" t="s">
        <v>792</v>
      </c>
      <c r="J71" s="601" t="e">
        <f>J72</f>
        <v>#N/A</v>
      </c>
      <c r="K71" s="601" t="e">
        <f>K72</f>
        <v>#N/A</v>
      </c>
      <c r="L71" s="599" t="s">
        <v>2730</v>
      </c>
      <c r="M71" s="577" t="e">
        <f t="shared" si="7"/>
        <v>#N/A</v>
      </c>
      <c r="N71" s="577" t="e">
        <f t="shared" si="7"/>
        <v>#N/A</v>
      </c>
      <c r="O71" s="581" t="str">
        <f t="shared" si="3"/>
        <v>tCO2/千kWh</v>
      </c>
    </row>
    <row r="72" spans="2:15">
      <c r="B72" s="3293"/>
      <c r="C72" s="3286"/>
      <c r="D72" s="3286"/>
      <c r="E72" s="3284"/>
      <c r="F72" s="600" t="s">
        <v>2731</v>
      </c>
      <c r="G72" s="1108">
        <v>9.2799999999999994</v>
      </c>
      <c r="H72" s="574" t="s">
        <v>2729</v>
      </c>
      <c r="I72" s="575" t="s">
        <v>792</v>
      </c>
      <c r="J72" s="601" t="e">
        <f>VLOOKUP($C71,電力会社!$I$4:$L$1033,3,FALSE)</f>
        <v>#N/A</v>
      </c>
      <c r="K72" s="601" t="e">
        <f>VLOOKUP($C71,電力会社!$I$4:$L$1033,4,FALSE)</f>
        <v>#N/A</v>
      </c>
      <c r="L72" s="599" t="s">
        <v>2730</v>
      </c>
      <c r="M72" s="577" t="e">
        <f t="shared" si="7"/>
        <v>#N/A</v>
      </c>
      <c r="N72" s="577" t="e">
        <f t="shared" si="7"/>
        <v>#N/A</v>
      </c>
      <c r="O72" s="581" t="str">
        <f t="shared" si="3"/>
        <v>tCO2/千kWh</v>
      </c>
    </row>
    <row r="73" spans="2:15" ht="13.15" customHeight="1">
      <c r="B73" s="3293"/>
      <c r="C73" s="3285" t="str">
        <f>'使用量_1,2'!C73&amp;""</f>
        <v>登録番号+メニュー</v>
      </c>
      <c r="D73" s="3285"/>
      <c r="E73" s="3284" t="e">
        <f>'使用量_1,2'!E73</f>
        <v>#N/A</v>
      </c>
      <c r="F73" s="600" t="s">
        <v>2728</v>
      </c>
      <c r="G73" s="1108">
        <v>9.9700000000000006</v>
      </c>
      <c r="H73" s="574" t="s">
        <v>2729</v>
      </c>
      <c r="I73" s="575" t="s">
        <v>792</v>
      </c>
      <c r="J73" s="601" t="e">
        <f>J74</f>
        <v>#N/A</v>
      </c>
      <c r="K73" s="601" t="e">
        <f>K74</f>
        <v>#N/A</v>
      </c>
      <c r="L73" s="599" t="s">
        <v>2730</v>
      </c>
      <c r="M73" s="577" t="e">
        <f t="shared" si="7"/>
        <v>#N/A</v>
      </c>
      <c r="N73" s="577" t="e">
        <f t="shared" si="7"/>
        <v>#N/A</v>
      </c>
      <c r="O73" s="581" t="str">
        <f t="shared" si="3"/>
        <v>tCO2/千kWh</v>
      </c>
    </row>
    <row r="74" spans="2:15">
      <c r="B74" s="3293"/>
      <c r="C74" s="3286"/>
      <c r="D74" s="3286"/>
      <c r="E74" s="3284"/>
      <c r="F74" s="600" t="s">
        <v>2731</v>
      </c>
      <c r="G74" s="1108">
        <v>9.2799999999999994</v>
      </c>
      <c r="H74" s="574" t="s">
        <v>2729</v>
      </c>
      <c r="I74" s="575" t="s">
        <v>792</v>
      </c>
      <c r="J74" s="601" t="e">
        <f>VLOOKUP($C73,電力会社!$I$4:$L$1033,3,FALSE)</f>
        <v>#N/A</v>
      </c>
      <c r="K74" s="601" t="e">
        <f>VLOOKUP($C73,電力会社!$I$4:$L$1033,4,FALSE)</f>
        <v>#N/A</v>
      </c>
      <c r="L74" s="599" t="s">
        <v>2730</v>
      </c>
      <c r="M74" s="577" t="e">
        <f t="shared" si="7"/>
        <v>#N/A</v>
      </c>
      <c r="N74" s="577" t="e">
        <f t="shared" si="7"/>
        <v>#N/A</v>
      </c>
      <c r="O74" s="581" t="str">
        <f t="shared" si="3"/>
        <v>tCO2/千kWh</v>
      </c>
    </row>
    <row r="75" spans="2:15" ht="13.15" customHeight="1">
      <c r="B75" s="3293"/>
      <c r="C75" s="3285" t="str">
        <f>'使用量_1,2'!C75&amp;""</f>
        <v>登録番号+メニュー</v>
      </c>
      <c r="D75" s="3285"/>
      <c r="E75" s="3284" t="e">
        <f>'使用量_1,2'!E75</f>
        <v>#N/A</v>
      </c>
      <c r="F75" s="600" t="s">
        <v>2728</v>
      </c>
      <c r="G75" s="1108">
        <v>9.9700000000000006</v>
      </c>
      <c r="H75" s="574" t="s">
        <v>2729</v>
      </c>
      <c r="I75" s="575" t="s">
        <v>792</v>
      </c>
      <c r="J75" s="601" t="e">
        <f>J76</f>
        <v>#N/A</v>
      </c>
      <c r="K75" s="601" t="e">
        <f>K76</f>
        <v>#N/A</v>
      </c>
      <c r="L75" s="599" t="s">
        <v>2730</v>
      </c>
      <c r="M75" s="577" t="e">
        <f t="shared" si="7"/>
        <v>#N/A</v>
      </c>
      <c r="N75" s="577" t="e">
        <f t="shared" si="7"/>
        <v>#N/A</v>
      </c>
      <c r="O75" s="581" t="str">
        <f t="shared" si="3"/>
        <v>tCO2/千kWh</v>
      </c>
    </row>
    <row r="76" spans="2:15">
      <c r="B76" s="3293"/>
      <c r="C76" s="3286"/>
      <c r="D76" s="3286"/>
      <c r="E76" s="3284"/>
      <c r="F76" s="600" t="s">
        <v>2731</v>
      </c>
      <c r="G76" s="1108">
        <v>9.2799999999999994</v>
      </c>
      <c r="H76" s="574" t="s">
        <v>2729</v>
      </c>
      <c r="I76" s="575" t="s">
        <v>792</v>
      </c>
      <c r="J76" s="601" t="e">
        <f>VLOOKUP($C75,電力会社!$I$4:$L$1033,3,FALSE)</f>
        <v>#N/A</v>
      </c>
      <c r="K76" s="601" t="e">
        <f>VLOOKUP($C75,電力会社!$I$4:$L$1033,4,FALSE)</f>
        <v>#N/A</v>
      </c>
      <c r="L76" s="599" t="s">
        <v>2730</v>
      </c>
      <c r="M76" s="577" t="e">
        <f t="shared" si="7"/>
        <v>#N/A</v>
      </c>
      <c r="N76" s="577" t="e">
        <f t="shared" si="7"/>
        <v>#N/A</v>
      </c>
      <c r="O76" s="581" t="str">
        <f t="shared" si="3"/>
        <v>tCO2/千kWh</v>
      </c>
    </row>
    <row r="77" spans="2:15" ht="13.15" customHeight="1">
      <c r="B77" s="3293"/>
      <c r="C77" s="3285" t="str">
        <f>'使用量_1,2'!C77&amp;""</f>
        <v>登録番号+メニュー</v>
      </c>
      <c r="D77" s="3285"/>
      <c r="E77" s="3284" t="e">
        <f>'使用量_1,2'!E77</f>
        <v>#N/A</v>
      </c>
      <c r="F77" s="600" t="s">
        <v>2728</v>
      </c>
      <c r="G77" s="1108">
        <v>9.9700000000000006</v>
      </c>
      <c r="H77" s="574" t="s">
        <v>2729</v>
      </c>
      <c r="I77" s="575" t="s">
        <v>792</v>
      </c>
      <c r="J77" s="601" t="e">
        <f>J78</f>
        <v>#N/A</v>
      </c>
      <c r="K77" s="601" t="e">
        <f>K78</f>
        <v>#N/A</v>
      </c>
      <c r="L77" s="599" t="s">
        <v>2730</v>
      </c>
      <c r="M77" s="577" t="e">
        <f t="shared" si="7"/>
        <v>#N/A</v>
      </c>
      <c r="N77" s="577" t="e">
        <f t="shared" si="7"/>
        <v>#N/A</v>
      </c>
      <c r="O77" s="581" t="str">
        <f t="shared" si="3"/>
        <v>tCO2/千kWh</v>
      </c>
    </row>
    <row r="78" spans="2:15">
      <c r="B78" s="3293"/>
      <c r="C78" s="3286"/>
      <c r="D78" s="3286"/>
      <c r="E78" s="3284"/>
      <c r="F78" s="600" t="s">
        <v>2731</v>
      </c>
      <c r="G78" s="1108">
        <v>9.2799999999999994</v>
      </c>
      <c r="H78" s="574" t="s">
        <v>2729</v>
      </c>
      <c r="I78" s="575" t="s">
        <v>792</v>
      </c>
      <c r="J78" s="601" t="e">
        <f>VLOOKUP($C77,電力会社!$I$4:$L$1033,3,FALSE)</f>
        <v>#N/A</v>
      </c>
      <c r="K78" s="601" t="e">
        <f>VLOOKUP($C77,電力会社!$I$4:$L$1033,4,FALSE)</f>
        <v>#N/A</v>
      </c>
      <c r="L78" s="599" t="s">
        <v>2730</v>
      </c>
      <c r="M78" s="577" t="e">
        <f t="shared" si="7"/>
        <v>#N/A</v>
      </c>
      <c r="N78" s="577" t="e">
        <f t="shared" si="7"/>
        <v>#N/A</v>
      </c>
      <c r="O78" s="581" t="str">
        <f t="shared" si="3"/>
        <v>tCO2/千kWh</v>
      </c>
    </row>
    <row r="79" spans="2:15" ht="13.15" customHeight="1">
      <c r="B79" s="3293"/>
      <c r="C79" s="3285" t="str">
        <f>'使用量_1,2'!C79&amp;""</f>
        <v>登録番号+メニュー</v>
      </c>
      <c r="D79" s="3285"/>
      <c r="E79" s="3284" t="e">
        <f>'使用量_1,2'!E79</f>
        <v>#N/A</v>
      </c>
      <c r="F79" s="600" t="s">
        <v>2728</v>
      </c>
      <c r="G79" s="1108">
        <v>9.9700000000000006</v>
      </c>
      <c r="H79" s="574" t="s">
        <v>2729</v>
      </c>
      <c r="I79" s="575" t="s">
        <v>792</v>
      </c>
      <c r="J79" s="601" t="e">
        <f>J80</f>
        <v>#N/A</v>
      </c>
      <c r="K79" s="601" t="e">
        <f>K80</f>
        <v>#N/A</v>
      </c>
      <c r="L79" s="599" t="s">
        <v>2730</v>
      </c>
      <c r="M79" s="577" t="e">
        <f t="shared" si="7"/>
        <v>#N/A</v>
      </c>
      <c r="N79" s="577" t="e">
        <f t="shared" si="7"/>
        <v>#N/A</v>
      </c>
      <c r="O79" s="581" t="str">
        <f t="shared" si="3"/>
        <v>tCO2/千kWh</v>
      </c>
    </row>
    <row r="80" spans="2:15">
      <c r="B80" s="3293"/>
      <c r="C80" s="3286"/>
      <c r="D80" s="3286"/>
      <c r="E80" s="3284"/>
      <c r="F80" s="600" t="s">
        <v>2731</v>
      </c>
      <c r="G80" s="1108">
        <v>9.2799999999999994</v>
      </c>
      <c r="H80" s="574" t="s">
        <v>2729</v>
      </c>
      <c r="I80" s="575" t="s">
        <v>792</v>
      </c>
      <c r="J80" s="601" t="e">
        <f>VLOOKUP($C79,電力会社!$I$4:$L$1033,3,FALSE)</f>
        <v>#N/A</v>
      </c>
      <c r="K80" s="601" t="e">
        <f>VLOOKUP($C79,電力会社!$I$4:$L$1033,4,FALSE)</f>
        <v>#N/A</v>
      </c>
      <c r="L80" s="599" t="s">
        <v>2730</v>
      </c>
      <c r="M80" s="577" t="e">
        <f t="shared" si="7"/>
        <v>#N/A</v>
      </c>
      <c r="N80" s="577" t="e">
        <f t="shared" si="7"/>
        <v>#N/A</v>
      </c>
      <c r="O80" s="581" t="str">
        <f t="shared" si="3"/>
        <v>tCO2/千kWh</v>
      </c>
    </row>
    <row r="81" spans="2:15" ht="13.15" customHeight="1">
      <c r="B81" s="3293"/>
      <c r="C81" s="3285" t="str">
        <f>'使用量_1,2'!C81&amp;""</f>
        <v>登録番号+メニュー</v>
      </c>
      <c r="D81" s="3285"/>
      <c r="E81" s="3284" t="e">
        <f>'使用量_1,2'!E81</f>
        <v>#N/A</v>
      </c>
      <c r="F81" s="600" t="s">
        <v>2728</v>
      </c>
      <c r="G81" s="1108">
        <v>9.9700000000000006</v>
      </c>
      <c r="H81" s="574" t="s">
        <v>2729</v>
      </c>
      <c r="I81" s="575" t="s">
        <v>792</v>
      </c>
      <c r="J81" s="601" t="e">
        <f>J82</f>
        <v>#N/A</v>
      </c>
      <c r="K81" s="601" t="e">
        <f>K82</f>
        <v>#N/A</v>
      </c>
      <c r="L81" s="599" t="s">
        <v>2730</v>
      </c>
      <c r="M81" s="577" t="e">
        <f t="shared" si="7"/>
        <v>#N/A</v>
      </c>
      <c r="N81" s="577" t="e">
        <f t="shared" si="7"/>
        <v>#N/A</v>
      </c>
      <c r="O81" s="581" t="str">
        <f t="shared" si="3"/>
        <v>tCO2/千kWh</v>
      </c>
    </row>
    <row r="82" spans="2:15">
      <c r="B82" s="3293"/>
      <c r="C82" s="3286"/>
      <c r="D82" s="3286"/>
      <c r="E82" s="3284"/>
      <c r="F82" s="600" t="s">
        <v>2731</v>
      </c>
      <c r="G82" s="1108">
        <v>9.2799999999999994</v>
      </c>
      <c r="H82" s="574" t="s">
        <v>2729</v>
      </c>
      <c r="I82" s="575" t="s">
        <v>792</v>
      </c>
      <c r="J82" s="601" t="e">
        <f>VLOOKUP($C81,電力会社!$I$4:$L$1033,3,FALSE)</f>
        <v>#N/A</v>
      </c>
      <c r="K82" s="601" t="e">
        <f>VLOOKUP($C81,電力会社!$I$4:$L$1033,4,FALSE)</f>
        <v>#N/A</v>
      </c>
      <c r="L82" s="599" t="s">
        <v>2730</v>
      </c>
      <c r="M82" s="577" t="e">
        <f t="shared" si="7"/>
        <v>#N/A</v>
      </c>
      <c r="N82" s="577" t="e">
        <f t="shared" si="7"/>
        <v>#N/A</v>
      </c>
      <c r="O82" s="581" t="str">
        <f t="shared" si="3"/>
        <v>tCO2/千kWh</v>
      </c>
    </row>
    <row r="83" spans="2:15" ht="13.15" customHeight="1">
      <c r="B83" s="3293"/>
      <c r="C83" s="3285" t="str">
        <f>'使用量_1,2'!C83&amp;""</f>
        <v>登録番号+メニュー</v>
      </c>
      <c r="D83" s="3285"/>
      <c r="E83" s="3284" t="e">
        <f>'使用量_1,2'!E83</f>
        <v>#N/A</v>
      </c>
      <c r="F83" s="600" t="s">
        <v>2728</v>
      </c>
      <c r="G83" s="1108">
        <v>9.9700000000000006</v>
      </c>
      <c r="H83" s="574" t="s">
        <v>2729</v>
      </c>
      <c r="I83" s="575" t="s">
        <v>792</v>
      </c>
      <c r="J83" s="601" t="e">
        <f>J84</f>
        <v>#N/A</v>
      </c>
      <c r="K83" s="601" t="e">
        <f>K84</f>
        <v>#N/A</v>
      </c>
      <c r="L83" s="599" t="s">
        <v>2730</v>
      </c>
      <c r="M83" s="577" t="e">
        <f t="shared" si="7"/>
        <v>#N/A</v>
      </c>
      <c r="N83" s="577" t="e">
        <f t="shared" si="7"/>
        <v>#N/A</v>
      </c>
      <c r="O83" s="581" t="str">
        <f t="shared" si="3"/>
        <v>tCO2/千kWh</v>
      </c>
    </row>
    <row r="84" spans="2:15">
      <c r="B84" s="3293"/>
      <c r="C84" s="3286"/>
      <c r="D84" s="3286"/>
      <c r="E84" s="3284"/>
      <c r="F84" s="600" t="s">
        <v>2731</v>
      </c>
      <c r="G84" s="1108">
        <v>9.2799999999999994</v>
      </c>
      <c r="H84" s="574" t="s">
        <v>2729</v>
      </c>
      <c r="I84" s="575" t="s">
        <v>792</v>
      </c>
      <c r="J84" s="601" t="e">
        <f>VLOOKUP($C83,電力会社!$I$4:$L$1033,3,FALSE)</f>
        <v>#N/A</v>
      </c>
      <c r="K84" s="601" t="e">
        <f>VLOOKUP($C83,電力会社!$I$4:$L$1033,4,FALSE)</f>
        <v>#N/A</v>
      </c>
      <c r="L84" s="599" t="s">
        <v>2730</v>
      </c>
      <c r="M84" s="577" t="e">
        <f t="shared" si="7"/>
        <v>#N/A</v>
      </c>
      <c r="N84" s="577" t="e">
        <f t="shared" si="7"/>
        <v>#N/A</v>
      </c>
      <c r="O84" s="581" t="str">
        <f t="shared" si="3"/>
        <v>tCO2/千kWh</v>
      </c>
    </row>
    <row r="85" spans="2:15" ht="13.15" customHeight="1">
      <c r="B85" s="3293"/>
      <c r="C85" s="3285" t="str">
        <f>'使用量_1,2'!C85&amp;""</f>
        <v>登録番号+メニュー</v>
      </c>
      <c r="D85" s="3285"/>
      <c r="E85" s="3284" t="e">
        <f>'使用量_1,2'!E85</f>
        <v>#N/A</v>
      </c>
      <c r="F85" s="600" t="s">
        <v>2728</v>
      </c>
      <c r="G85" s="1108">
        <v>9.9700000000000006</v>
      </c>
      <c r="H85" s="574" t="s">
        <v>2729</v>
      </c>
      <c r="I85" s="575" t="s">
        <v>792</v>
      </c>
      <c r="J85" s="601" t="e">
        <f>J86</f>
        <v>#N/A</v>
      </c>
      <c r="K85" s="601" t="e">
        <f>K86</f>
        <v>#N/A</v>
      </c>
      <c r="L85" s="599" t="s">
        <v>2730</v>
      </c>
      <c r="M85" s="577" t="e">
        <f t="shared" si="7"/>
        <v>#N/A</v>
      </c>
      <c r="N85" s="577" t="e">
        <f t="shared" si="7"/>
        <v>#N/A</v>
      </c>
      <c r="O85" s="581" t="str">
        <f t="shared" si="3"/>
        <v>tCO2/千kWh</v>
      </c>
    </row>
    <row r="86" spans="2:15">
      <c r="B86" s="3293"/>
      <c r="C86" s="3286"/>
      <c r="D86" s="3286"/>
      <c r="E86" s="3284"/>
      <c r="F86" s="600" t="s">
        <v>2731</v>
      </c>
      <c r="G86" s="1108">
        <v>9.2799999999999994</v>
      </c>
      <c r="H86" s="574" t="s">
        <v>2729</v>
      </c>
      <c r="I86" s="575" t="s">
        <v>792</v>
      </c>
      <c r="J86" s="601" t="e">
        <f>VLOOKUP($C85,電力会社!$I$4:$L$1033,3,FALSE)</f>
        <v>#N/A</v>
      </c>
      <c r="K86" s="601" t="e">
        <f>VLOOKUP($C85,電力会社!$I$4:$L$1033,4,FALSE)</f>
        <v>#N/A</v>
      </c>
      <c r="L86" s="599" t="s">
        <v>2730</v>
      </c>
      <c r="M86" s="577" t="e">
        <f t="shared" si="7"/>
        <v>#N/A</v>
      </c>
      <c r="N86" s="577" t="e">
        <f t="shared" si="7"/>
        <v>#N/A</v>
      </c>
      <c r="O86" s="581" t="str">
        <f t="shared" si="3"/>
        <v>tCO2/千kWh</v>
      </c>
    </row>
    <row r="87" spans="2:15" ht="13.15" customHeight="1">
      <c r="B87" s="3293"/>
      <c r="C87" s="3285" t="str">
        <f>'使用量_1,2'!C87&amp;""</f>
        <v>登録番号+メニュー</v>
      </c>
      <c r="D87" s="3285"/>
      <c r="E87" s="3284" t="e">
        <f>'使用量_1,2'!E87</f>
        <v>#N/A</v>
      </c>
      <c r="F87" s="600" t="s">
        <v>2728</v>
      </c>
      <c r="G87" s="1108">
        <v>9.9700000000000006</v>
      </c>
      <c r="H87" s="574" t="s">
        <v>2729</v>
      </c>
      <c r="I87" s="575" t="s">
        <v>792</v>
      </c>
      <c r="J87" s="601" t="e">
        <f>J88</f>
        <v>#N/A</v>
      </c>
      <c r="K87" s="601" t="e">
        <f>K88</f>
        <v>#N/A</v>
      </c>
      <c r="L87" s="599" t="s">
        <v>2730</v>
      </c>
      <c r="M87" s="577" t="e">
        <f t="shared" si="7"/>
        <v>#N/A</v>
      </c>
      <c r="N87" s="577" t="e">
        <f t="shared" si="7"/>
        <v>#N/A</v>
      </c>
      <c r="O87" s="581" t="str">
        <f t="shared" si="3"/>
        <v>tCO2/千kWh</v>
      </c>
    </row>
    <row r="88" spans="2:15">
      <c r="B88" s="3293"/>
      <c r="C88" s="3286"/>
      <c r="D88" s="3286"/>
      <c r="E88" s="3284"/>
      <c r="F88" s="600" t="s">
        <v>2731</v>
      </c>
      <c r="G88" s="1108">
        <v>9.2799999999999994</v>
      </c>
      <c r="H88" s="574" t="s">
        <v>2729</v>
      </c>
      <c r="I88" s="575" t="s">
        <v>792</v>
      </c>
      <c r="J88" s="601" t="e">
        <f>VLOOKUP($C87,電力会社!$I$4:$L$1033,3,FALSE)</f>
        <v>#N/A</v>
      </c>
      <c r="K88" s="601" t="e">
        <f>VLOOKUP($C87,電力会社!$I$4:$L$1033,4,FALSE)</f>
        <v>#N/A</v>
      </c>
      <c r="L88" s="599" t="s">
        <v>2730</v>
      </c>
      <c r="M88" s="577" t="e">
        <f t="shared" si="7"/>
        <v>#N/A</v>
      </c>
      <c r="N88" s="577" t="e">
        <f t="shared" si="7"/>
        <v>#N/A</v>
      </c>
      <c r="O88" s="581" t="str">
        <f t="shared" si="3"/>
        <v>tCO2/千kWh</v>
      </c>
    </row>
    <row r="89" spans="2:15" ht="13.15" customHeight="1">
      <c r="B89" s="3293"/>
      <c r="C89" s="3285" t="str">
        <f>'使用量_1,2'!C89&amp;""</f>
        <v>登録番号+メニュー</v>
      </c>
      <c r="D89" s="3285"/>
      <c r="E89" s="3284" t="e">
        <f>'使用量_1,2'!E89</f>
        <v>#N/A</v>
      </c>
      <c r="F89" s="600" t="s">
        <v>2728</v>
      </c>
      <c r="G89" s="1108">
        <v>9.9700000000000006</v>
      </c>
      <c r="H89" s="574" t="s">
        <v>2729</v>
      </c>
      <c r="I89" s="575" t="s">
        <v>792</v>
      </c>
      <c r="J89" s="601" t="e">
        <f>J90</f>
        <v>#N/A</v>
      </c>
      <c r="K89" s="601" t="e">
        <f>K90</f>
        <v>#N/A</v>
      </c>
      <c r="L89" s="599" t="s">
        <v>2730</v>
      </c>
      <c r="M89" s="577" t="e">
        <f t="shared" si="7"/>
        <v>#N/A</v>
      </c>
      <c r="N89" s="577" t="e">
        <f t="shared" si="7"/>
        <v>#N/A</v>
      </c>
      <c r="O89" s="581" t="str">
        <f t="shared" si="3"/>
        <v>tCO2/千kWh</v>
      </c>
    </row>
    <row r="90" spans="2:15">
      <c r="B90" s="3293"/>
      <c r="C90" s="3286"/>
      <c r="D90" s="3286"/>
      <c r="E90" s="3284"/>
      <c r="F90" s="600" t="s">
        <v>2731</v>
      </c>
      <c r="G90" s="1108">
        <v>9.2799999999999994</v>
      </c>
      <c r="H90" s="574" t="s">
        <v>2729</v>
      </c>
      <c r="I90" s="575" t="s">
        <v>792</v>
      </c>
      <c r="J90" s="601" t="e">
        <f>VLOOKUP($C89,電力会社!$I$4:$L$1033,3,FALSE)</f>
        <v>#N/A</v>
      </c>
      <c r="K90" s="601" t="e">
        <f>VLOOKUP($C89,電力会社!$I$4:$L$1033,4,FALSE)</f>
        <v>#N/A</v>
      </c>
      <c r="L90" s="599" t="s">
        <v>2730</v>
      </c>
      <c r="M90" s="577" t="e">
        <f t="shared" si="7"/>
        <v>#N/A</v>
      </c>
      <c r="N90" s="577" t="e">
        <f t="shared" si="7"/>
        <v>#N/A</v>
      </c>
      <c r="O90" s="581" t="str">
        <f t="shared" si="3"/>
        <v>tCO2/千kWh</v>
      </c>
    </row>
    <row r="91" spans="2:15" ht="13.15" customHeight="1">
      <c r="B91" s="3293"/>
      <c r="C91" s="3285" t="str">
        <f>'使用量_1,2'!C91&amp;""</f>
        <v>登録番号+メニュー</v>
      </c>
      <c r="D91" s="3285"/>
      <c r="E91" s="3284" t="e">
        <f>'使用量_1,2'!E91</f>
        <v>#N/A</v>
      </c>
      <c r="F91" s="600" t="s">
        <v>2728</v>
      </c>
      <c r="G91" s="1108">
        <v>9.9700000000000006</v>
      </c>
      <c r="H91" s="574" t="s">
        <v>2729</v>
      </c>
      <c r="I91" s="575" t="s">
        <v>792</v>
      </c>
      <c r="J91" s="601" t="e">
        <f>J92</f>
        <v>#N/A</v>
      </c>
      <c r="K91" s="601" t="e">
        <f>K92</f>
        <v>#N/A</v>
      </c>
      <c r="L91" s="599" t="s">
        <v>2730</v>
      </c>
      <c r="M91" s="577" t="e">
        <f t="shared" si="7"/>
        <v>#N/A</v>
      </c>
      <c r="N91" s="577" t="e">
        <f t="shared" si="7"/>
        <v>#N/A</v>
      </c>
      <c r="O91" s="581" t="str">
        <f t="shared" si="3"/>
        <v>tCO2/千kWh</v>
      </c>
    </row>
    <row r="92" spans="2:15">
      <c r="B92" s="3293"/>
      <c r="C92" s="3286"/>
      <c r="D92" s="3286"/>
      <c r="E92" s="3284"/>
      <c r="F92" s="600" t="s">
        <v>2731</v>
      </c>
      <c r="G92" s="1108">
        <v>9.2799999999999994</v>
      </c>
      <c r="H92" s="574" t="s">
        <v>2729</v>
      </c>
      <c r="I92" s="575" t="s">
        <v>792</v>
      </c>
      <c r="J92" s="601" t="e">
        <f>VLOOKUP($C91,電力会社!$I$4:$L$1033,3,FALSE)</f>
        <v>#N/A</v>
      </c>
      <c r="K92" s="601" t="e">
        <f>VLOOKUP($C91,電力会社!$I$4:$L$1033,4,FALSE)</f>
        <v>#N/A</v>
      </c>
      <c r="L92" s="599" t="s">
        <v>2730</v>
      </c>
      <c r="M92" s="577" t="e">
        <f t="shared" si="7"/>
        <v>#N/A</v>
      </c>
      <c r="N92" s="577" t="e">
        <f t="shared" si="7"/>
        <v>#N/A</v>
      </c>
      <c r="O92" s="581" t="str">
        <f t="shared" si="3"/>
        <v>tCO2/千kWh</v>
      </c>
    </row>
    <row r="93" spans="2:15" ht="13.15" customHeight="1">
      <c r="B93" s="3293"/>
      <c r="C93" s="3285" t="str">
        <f>'使用量_1,2'!C93&amp;""</f>
        <v>登録番号+メニュー</v>
      </c>
      <c r="D93" s="3285"/>
      <c r="E93" s="3284" t="e">
        <f>'使用量_1,2'!E93</f>
        <v>#N/A</v>
      </c>
      <c r="F93" s="600" t="s">
        <v>2728</v>
      </c>
      <c r="G93" s="1108">
        <v>9.9700000000000006</v>
      </c>
      <c r="H93" s="574" t="s">
        <v>2729</v>
      </c>
      <c r="I93" s="575" t="s">
        <v>792</v>
      </c>
      <c r="J93" s="601" t="e">
        <f>J94</f>
        <v>#N/A</v>
      </c>
      <c r="K93" s="601" t="e">
        <f>K94</f>
        <v>#N/A</v>
      </c>
      <c r="L93" s="599" t="s">
        <v>2730</v>
      </c>
      <c r="M93" s="577" t="e">
        <f t="shared" si="7"/>
        <v>#N/A</v>
      </c>
      <c r="N93" s="577" t="e">
        <f t="shared" si="7"/>
        <v>#N/A</v>
      </c>
      <c r="O93" s="581" t="str">
        <f t="shared" si="3"/>
        <v>tCO2/千kWh</v>
      </c>
    </row>
    <row r="94" spans="2:15">
      <c r="B94" s="3293"/>
      <c r="C94" s="3286"/>
      <c r="D94" s="3286"/>
      <c r="E94" s="3284"/>
      <c r="F94" s="600" t="s">
        <v>2731</v>
      </c>
      <c r="G94" s="1108">
        <v>9.2799999999999994</v>
      </c>
      <c r="H94" s="574" t="s">
        <v>2729</v>
      </c>
      <c r="I94" s="575" t="s">
        <v>792</v>
      </c>
      <c r="J94" s="601" t="e">
        <f>VLOOKUP($C93,電力会社!$I$4:$L$1033,3,FALSE)</f>
        <v>#N/A</v>
      </c>
      <c r="K94" s="601" t="e">
        <f>VLOOKUP($C93,電力会社!$I$4:$L$1033,4,FALSE)</f>
        <v>#N/A</v>
      </c>
      <c r="L94" s="599" t="s">
        <v>2730</v>
      </c>
      <c r="M94" s="577" t="e">
        <f t="shared" si="7"/>
        <v>#N/A</v>
      </c>
      <c r="N94" s="577" t="e">
        <f t="shared" si="7"/>
        <v>#N/A</v>
      </c>
      <c r="O94" s="581" t="str">
        <f t="shared" si="3"/>
        <v>tCO2/千kWh</v>
      </c>
    </row>
    <row r="95" spans="2:15" ht="13.15" customHeight="1">
      <c r="B95" s="3293"/>
      <c r="C95" s="3285" t="str">
        <f>'使用量_1,2'!C95&amp;""</f>
        <v>登録番号+メニュー</v>
      </c>
      <c r="D95" s="3285"/>
      <c r="E95" s="3284" t="e">
        <f>'使用量_1,2'!E95</f>
        <v>#N/A</v>
      </c>
      <c r="F95" s="600" t="s">
        <v>2728</v>
      </c>
      <c r="G95" s="1108">
        <v>9.9700000000000006</v>
      </c>
      <c r="H95" s="574" t="s">
        <v>2729</v>
      </c>
      <c r="I95" s="575" t="s">
        <v>792</v>
      </c>
      <c r="J95" s="601" t="e">
        <f>J96</f>
        <v>#N/A</v>
      </c>
      <c r="K95" s="601" t="e">
        <f>K96</f>
        <v>#N/A</v>
      </c>
      <c r="L95" s="599" t="s">
        <v>2730</v>
      </c>
      <c r="M95" s="577" t="e">
        <f t="shared" si="7"/>
        <v>#N/A</v>
      </c>
      <c r="N95" s="577" t="e">
        <f t="shared" si="7"/>
        <v>#N/A</v>
      </c>
      <c r="O95" s="581" t="str">
        <f t="shared" si="3"/>
        <v>tCO2/千kWh</v>
      </c>
    </row>
    <row r="96" spans="2:15">
      <c r="B96" s="3293"/>
      <c r="C96" s="3286"/>
      <c r="D96" s="3286"/>
      <c r="E96" s="3284"/>
      <c r="F96" s="600" t="s">
        <v>2731</v>
      </c>
      <c r="G96" s="1108">
        <v>9.2799999999999994</v>
      </c>
      <c r="H96" s="574" t="s">
        <v>2729</v>
      </c>
      <c r="I96" s="575" t="s">
        <v>792</v>
      </c>
      <c r="J96" s="601" t="e">
        <f>VLOOKUP($C95,電力会社!$I$4:$L$1033,3,FALSE)</f>
        <v>#N/A</v>
      </c>
      <c r="K96" s="601" t="e">
        <f>VLOOKUP($C95,電力会社!$I$4:$L$1033,4,FALSE)</f>
        <v>#N/A</v>
      </c>
      <c r="L96" s="599" t="s">
        <v>2730</v>
      </c>
      <c r="M96" s="577" t="e">
        <f t="shared" si="7"/>
        <v>#N/A</v>
      </c>
      <c r="N96" s="577" t="e">
        <f t="shared" si="7"/>
        <v>#N/A</v>
      </c>
      <c r="O96" s="581" t="str">
        <f t="shared" si="3"/>
        <v>tCO2/千kWh</v>
      </c>
    </row>
    <row r="97" spans="2:15" ht="13.15" customHeight="1">
      <c r="B97" s="3293"/>
      <c r="C97" s="3285" t="str">
        <f>'使用量_1,2'!C97&amp;""</f>
        <v>登録番号+メニュー</v>
      </c>
      <c r="D97" s="3285"/>
      <c r="E97" s="3284" t="e">
        <f>'使用量_1,2'!E97</f>
        <v>#N/A</v>
      </c>
      <c r="F97" s="600" t="s">
        <v>2728</v>
      </c>
      <c r="G97" s="1108">
        <v>9.9700000000000006</v>
      </c>
      <c r="H97" s="574" t="s">
        <v>2729</v>
      </c>
      <c r="I97" s="575" t="s">
        <v>792</v>
      </c>
      <c r="J97" s="601" t="e">
        <f>J98</f>
        <v>#N/A</v>
      </c>
      <c r="K97" s="601" t="e">
        <f>K98</f>
        <v>#N/A</v>
      </c>
      <c r="L97" s="599" t="s">
        <v>2730</v>
      </c>
      <c r="M97" s="577" t="e">
        <f t="shared" si="7"/>
        <v>#N/A</v>
      </c>
      <c r="N97" s="577" t="e">
        <f t="shared" si="7"/>
        <v>#N/A</v>
      </c>
      <c r="O97" s="581" t="str">
        <f t="shared" si="3"/>
        <v>tCO2/千kWh</v>
      </c>
    </row>
    <row r="98" spans="2:15">
      <c r="B98" s="3293"/>
      <c r="C98" s="3286"/>
      <c r="D98" s="3286"/>
      <c r="E98" s="3284"/>
      <c r="F98" s="600" t="s">
        <v>2731</v>
      </c>
      <c r="G98" s="1108">
        <v>9.2799999999999994</v>
      </c>
      <c r="H98" s="574" t="s">
        <v>2729</v>
      </c>
      <c r="I98" s="575" t="s">
        <v>792</v>
      </c>
      <c r="J98" s="601" t="e">
        <f>VLOOKUP($C97,電力会社!$I$4:$L$1033,3,FALSE)</f>
        <v>#N/A</v>
      </c>
      <c r="K98" s="601" t="e">
        <f>VLOOKUP($C97,電力会社!$I$4:$L$1033,4,FALSE)</f>
        <v>#N/A</v>
      </c>
      <c r="L98" s="599" t="s">
        <v>2730</v>
      </c>
      <c r="M98" s="577" t="e">
        <f t="shared" si="7"/>
        <v>#N/A</v>
      </c>
      <c r="N98" s="577" t="e">
        <f t="shared" si="7"/>
        <v>#N/A</v>
      </c>
      <c r="O98" s="581" t="str">
        <f t="shared" si="3"/>
        <v>tCO2/千kWh</v>
      </c>
    </row>
    <row r="99" spans="2:15" ht="13.15" customHeight="1">
      <c r="B99" s="3293"/>
      <c r="C99" s="3285" t="str">
        <f>'使用量_1,2'!C99&amp;""</f>
        <v>登録番号+メニュー</v>
      </c>
      <c r="D99" s="3285"/>
      <c r="E99" s="3284" t="e">
        <f>'使用量_1,2'!E99</f>
        <v>#N/A</v>
      </c>
      <c r="F99" s="600" t="s">
        <v>2728</v>
      </c>
      <c r="G99" s="1108">
        <v>9.9700000000000006</v>
      </c>
      <c r="H99" s="574" t="s">
        <v>2729</v>
      </c>
      <c r="I99" s="575" t="s">
        <v>792</v>
      </c>
      <c r="J99" s="601" t="e">
        <f>J100</f>
        <v>#N/A</v>
      </c>
      <c r="K99" s="601" t="e">
        <f>K100</f>
        <v>#N/A</v>
      </c>
      <c r="L99" s="599" t="s">
        <v>2730</v>
      </c>
      <c r="M99" s="577" t="e">
        <f t="shared" si="7"/>
        <v>#N/A</v>
      </c>
      <c r="N99" s="577" t="e">
        <f t="shared" si="7"/>
        <v>#N/A</v>
      </c>
      <c r="O99" s="581" t="str">
        <f t="shared" si="3"/>
        <v>tCO2/千kWh</v>
      </c>
    </row>
    <row r="100" spans="2:15">
      <c r="B100" s="3293"/>
      <c r="C100" s="3286"/>
      <c r="D100" s="3286"/>
      <c r="E100" s="3284"/>
      <c r="F100" s="600" t="s">
        <v>2731</v>
      </c>
      <c r="G100" s="1108">
        <v>9.2799999999999994</v>
      </c>
      <c r="H100" s="574" t="s">
        <v>2729</v>
      </c>
      <c r="I100" s="575" t="s">
        <v>792</v>
      </c>
      <c r="J100" s="601" t="e">
        <f>VLOOKUP($C99,電力会社!$I$4:$L$1033,3,FALSE)</f>
        <v>#N/A</v>
      </c>
      <c r="K100" s="601" t="e">
        <f>VLOOKUP($C99,電力会社!$I$4:$L$1033,4,FALSE)</f>
        <v>#N/A</v>
      </c>
      <c r="L100" s="599" t="s">
        <v>2730</v>
      </c>
      <c r="M100" s="577" t="e">
        <f t="shared" si="7"/>
        <v>#N/A</v>
      </c>
      <c r="N100" s="577" t="e">
        <f t="shared" si="7"/>
        <v>#N/A</v>
      </c>
      <c r="O100" s="581" t="str">
        <f t="shared" si="3"/>
        <v>tCO2/千kWh</v>
      </c>
    </row>
    <row r="101" spans="2:15" ht="13.15" customHeight="1">
      <c r="B101" s="3293"/>
      <c r="C101" s="3285" t="str">
        <f>'使用量_1,2'!C101&amp;""</f>
        <v>登録番号+メニュー</v>
      </c>
      <c r="D101" s="3285"/>
      <c r="E101" s="3284" t="e">
        <f>'使用量_1,2'!E101</f>
        <v>#N/A</v>
      </c>
      <c r="F101" s="600" t="s">
        <v>2728</v>
      </c>
      <c r="G101" s="1108">
        <v>9.9700000000000006</v>
      </c>
      <c r="H101" s="574" t="s">
        <v>2729</v>
      </c>
      <c r="I101" s="575" t="s">
        <v>792</v>
      </c>
      <c r="J101" s="601" t="e">
        <f>J102</f>
        <v>#N/A</v>
      </c>
      <c r="K101" s="601" t="e">
        <f>K102</f>
        <v>#N/A</v>
      </c>
      <c r="L101" s="599" t="s">
        <v>2730</v>
      </c>
      <c r="M101" s="577" t="e">
        <f t="shared" si="7"/>
        <v>#N/A</v>
      </c>
      <c r="N101" s="577" t="e">
        <f t="shared" si="7"/>
        <v>#N/A</v>
      </c>
      <c r="O101" s="581" t="str">
        <f t="shared" si="3"/>
        <v>tCO2/千kWh</v>
      </c>
    </row>
    <row r="102" spans="2:15">
      <c r="B102" s="3293"/>
      <c r="C102" s="3286"/>
      <c r="D102" s="3286"/>
      <c r="E102" s="3284"/>
      <c r="F102" s="600" t="s">
        <v>2731</v>
      </c>
      <c r="G102" s="1108">
        <v>9.2799999999999994</v>
      </c>
      <c r="H102" s="574" t="s">
        <v>2729</v>
      </c>
      <c r="I102" s="575" t="s">
        <v>792</v>
      </c>
      <c r="J102" s="601" t="e">
        <f>VLOOKUP($C101,電力会社!$I$4:$L$1033,3,FALSE)</f>
        <v>#N/A</v>
      </c>
      <c r="K102" s="601" t="e">
        <f>VLOOKUP($C101,電力会社!$I$4:$L$1033,4,FALSE)</f>
        <v>#N/A</v>
      </c>
      <c r="L102" s="599" t="s">
        <v>2730</v>
      </c>
      <c r="M102" s="577" t="e">
        <f t="shared" si="7"/>
        <v>#N/A</v>
      </c>
      <c r="N102" s="577" t="e">
        <f t="shared" si="7"/>
        <v>#N/A</v>
      </c>
      <c r="O102" s="581" t="str">
        <f t="shared" si="3"/>
        <v>tCO2/千kWh</v>
      </c>
    </row>
    <row r="103" spans="2:15" ht="13.15" customHeight="1">
      <c r="B103" s="3293"/>
      <c r="C103" s="3285" t="str">
        <f>'使用量_1,2'!C103&amp;""</f>
        <v>登録番号+メニュー</v>
      </c>
      <c r="D103" s="3285"/>
      <c r="E103" s="3284" t="e">
        <f>'使用量_1,2'!E103</f>
        <v>#N/A</v>
      </c>
      <c r="F103" s="600" t="s">
        <v>2728</v>
      </c>
      <c r="G103" s="1108">
        <v>9.9700000000000006</v>
      </c>
      <c r="H103" s="574" t="s">
        <v>2729</v>
      </c>
      <c r="I103" s="575" t="s">
        <v>792</v>
      </c>
      <c r="J103" s="601" t="e">
        <f>J104</f>
        <v>#N/A</v>
      </c>
      <c r="K103" s="601" t="e">
        <f>K104</f>
        <v>#N/A</v>
      </c>
      <c r="L103" s="599" t="s">
        <v>2730</v>
      </c>
      <c r="M103" s="577" t="e">
        <f t="shared" si="7"/>
        <v>#N/A</v>
      </c>
      <c r="N103" s="577" t="e">
        <f t="shared" si="7"/>
        <v>#N/A</v>
      </c>
      <c r="O103" s="581" t="str">
        <f t="shared" si="3"/>
        <v>tCO2/千kWh</v>
      </c>
    </row>
    <row r="104" spans="2:15">
      <c r="B104" s="3293"/>
      <c r="C104" s="3286"/>
      <c r="D104" s="3286"/>
      <c r="E104" s="3284"/>
      <c r="F104" s="600" t="s">
        <v>2731</v>
      </c>
      <c r="G104" s="1108">
        <v>9.2799999999999994</v>
      </c>
      <c r="H104" s="574" t="s">
        <v>2729</v>
      </c>
      <c r="I104" s="575" t="s">
        <v>792</v>
      </c>
      <c r="J104" s="601" t="e">
        <f>VLOOKUP($C103,電力会社!$I$4:$L$1033,3,FALSE)</f>
        <v>#N/A</v>
      </c>
      <c r="K104" s="601" t="e">
        <f>VLOOKUP($C103,電力会社!$I$4:$L$1033,4,FALSE)</f>
        <v>#N/A</v>
      </c>
      <c r="L104" s="599" t="s">
        <v>2730</v>
      </c>
      <c r="M104" s="577" t="e">
        <f t="shared" si="7"/>
        <v>#N/A</v>
      </c>
      <c r="N104" s="577" t="e">
        <f t="shared" si="7"/>
        <v>#N/A</v>
      </c>
      <c r="O104" s="581" t="str">
        <f t="shared" si="3"/>
        <v>tCO2/千kWh</v>
      </c>
    </row>
    <row r="105" spans="2:15">
      <c r="B105" s="3293"/>
      <c r="C105" s="759" t="s">
        <v>123</v>
      </c>
      <c r="D105" s="3289" t="s">
        <v>2732</v>
      </c>
      <c r="E105" s="3289"/>
      <c r="F105" s="3290"/>
      <c r="G105" s="753"/>
      <c r="H105" s="753"/>
      <c r="I105" s="754"/>
      <c r="J105" s="755"/>
      <c r="K105" s="755"/>
      <c r="L105" s="756"/>
      <c r="M105" s="757"/>
      <c r="N105" s="757"/>
      <c r="O105" s="758"/>
    </row>
    <row r="106" spans="2:15">
      <c r="B106" s="3293"/>
      <c r="C106" s="3288" t="str">
        <f>'使用量_1,2'!C106:E106&amp;""</f>
        <v/>
      </c>
      <c r="D106" s="3288"/>
      <c r="E106" s="3288"/>
      <c r="F106" s="53" t="s">
        <v>2741</v>
      </c>
      <c r="G106" s="1108">
        <v>9.76</v>
      </c>
      <c r="H106" s="574" t="s">
        <v>2729</v>
      </c>
      <c r="I106" s="575" t="s">
        <v>792</v>
      </c>
      <c r="J106" s="719">
        <f>'使用量_1,2'!F106</f>
        <v>0</v>
      </c>
      <c r="K106" s="719">
        <f>'使用量_1,2'!G106</f>
        <v>0</v>
      </c>
      <c r="L106" s="599" t="s">
        <v>2730</v>
      </c>
      <c r="M106" s="577">
        <f t="shared" si="7"/>
        <v>0</v>
      </c>
      <c r="N106" s="577">
        <f t="shared" si="7"/>
        <v>0</v>
      </c>
      <c r="O106" s="581" t="str">
        <f t="shared" si="3"/>
        <v>tCO2/千kWh</v>
      </c>
    </row>
    <row r="107" spans="2:15">
      <c r="B107" s="3293"/>
      <c r="C107" s="3288" t="str">
        <f>'使用量_1,2'!C107:E107&amp;""</f>
        <v/>
      </c>
      <c r="D107" s="3288"/>
      <c r="E107" s="3288"/>
      <c r="F107" s="53" t="s">
        <v>2741</v>
      </c>
      <c r="G107" s="1108">
        <v>9.76</v>
      </c>
      <c r="H107" s="574" t="s">
        <v>2729</v>
      </c>
      <c r="I107" s="575" t="s">
        <v>792</v>
      </c>
      <c r="J107" s="719">
        <f>'使用量_1,2'!F107</f>
        <v>0</v>
      </c>
      <c r="K107" s="719">
        <f>'使用量_1,2'!G107</f>
        <v>0</v>
      </c>
      <c r="L107" s="599" t="s">
        <v>2730</v>
      </c>
      <c r="M107" s="577">
        <f t="shared" ref="M107:M110" si="8">IF(J107="","",$G107*J107*44/12)</f>
        <v>0</v>
      </c>
      <c r="N107" s="577">
        <f t="shared" ref="N107:N110" si="9">IF(K107="","",$G107*K107*44/12)</f>
        <v>0</v>
      </c>
      <c r="O107" s="581" t="str">
        <f t="shared" ref="O107:O110" si="10">"tCO2/"&amp;I107</f>
        <v>tCO2/千kWh</v>
      </c>
    </row>
    <row r="108" spans="2:15">
      <c r="B108" s="3293"/>
      <c r="C108" s="3288" t="str">
        <f>'使用量_1,2'!C108:E108&amp;""</f>
        <v/>
      </c>
      <c r="D108" s="3288"/>
      <c r="E108" s="3288"/>
      <c r="F108" s="53" t="s">
        <v>2741</v>
      </c>
      <c r="G108" s="1108">
        <v>9.76</v>
      </c>
      <c r="H108" s="574" t="s">
        <v>2729</v>
      </c>
      <c r="I108" s="575" t="s">
        <v>792</v>
      </c>
      <c r="J108" s="719">
        <f>'使用量_1,2'!F108</f>
        <v>0</v>
      </c>
      <c r="K108" s="719">
        <f>'使用量_1,2'!G108</f>
        <v>0</v>
      </c>
      <c r="L108" s="599" t="s">
        <v>2730</v>
      </c>
      <c r="M108" s="577">
        <f t="shared" si="8"/>
        <v>0</v>
      </c>
      <c r="N108" s="577">
        <f t="shared" si="9"/>
        <v>0</v>
      </c>
      <c r="O108" s="581" t="str">
        <f t="shared" si="10"/>
        <v>tCO2/千kWh</v>
      </c>
    </row>
    <row r="109" spans="2:15">
      <c r="B109" s="3293"/>
      <c r="C109" s="3288" t="str">
        <f>'使用量_1,2'!C109:E109&amp;""</f>
        <v/>
      </c>
      <c r="D109" s="3288"/>
      <c r="E109" s="3288"/>
      <c r="F109" s="53" t="s">
        <v>2741</v>
      </c>
      <c r="G109" s="1108">
        <v>9.76</v>
      </c>
      <c r="H109" s="574" t="s">
        <v>2729</v>
      </c>
      <c r="I109" s="575" t="s">
        <v>792</v>
      </c>
      <c r="J109" s="719">
        <f>'使用量_1,2'!F109</f>
        <v>0</v>
      </c>
      <c r="K109" s="719">
        <f>'使用量_1,2'!G109</f>
        <v>0</v>
      </c>
      <c r="L109" s="599" t="s">
        <v>2730</v>
      </c>
      <c r="M109" s="577">
        <f t="shared" si="8"/>
        <v>0</v>
      </c>
      <c r="N109" s="577">
        <f t="shared" si="9"/>
        <v>0</v>
      </c>
      <c r="O109" s="581" t="str">
        <f t="shared" si="10"/>
        <v>tCO2/千kWh</v>
      </c>
    </row>
    <row r="110" spans="2:15">
      <c r="B110" s="3293"/>
      <c r="C110" s="3288" t="str">
        <f>'使用量_1,2'!C110:E110&amp;""</f>
        <v/>
      </c>
      <c r="D110" s="3288"/>
      <c r="E110" s="3288"/>
      <c r="F110" s="53" t="s">
        <v>2741</v>
      </c>
      <c r="G110" s="1108">
        <v>9.76</v>
      </c>
      <c r="H110" s="574" t="s">
        <v>2729</v>
      </c>
      <c r="I110" s="575" t="s">
        <v>792</v>
      </c>
      <c r="J110" s="719">
        <f>'使用量_1,2'!F110</f>
        <v>0</v>
      </c>
      <c r="K110" s="719">
        <f>'使用量_1,2'!G110</f>
        <v>0</v>
      </c>
      <c r="L110" s="599" t="s">
        <v>2730</v>
      </c>
      <c r="M110" s="577">
        <f t="shared" si="8"/>
        <v>0</v>
      </c>
      <c r="N110" s="577">
        <f t="shared" si="9"/>
        <v>0</v>
      </c>
      <c r="O110" s="581" t="str">
        <f t="shared" si="10"/>
        <v>tCO2/千kWh</v>
      </c>
    </row>
    <row r="111" spans="2:15">
      <c r="B111" s="3293"/>
      <c r="C111" s="3287" t="s">
        <v>2721</v>
      </c>
      <c r="D111" s="3287"/>
      <c r="E111" s="3287"/>
      <c r="F111" s="3287"/>
      <c r="G111" s="602"/>
      <c r="H111" s="603" t="s">
        <v>2729</v>
      </c>
      <c r="I111" s="603" t="s">
        <v>792</v>
      </c>
      <c r="J111" s="604"/>
      <c r="K111" s="604"/>
      <c r="L111" s="605"/>
      <c r="M111" s="606"/>
      <c r="N111" s="606"/>
      <c r="O111" s="607"/>
    </row>
  </sheetData>
  <sheetProtection algorithmName="SHA-512" hashValue="Lftsil8LXI6RJdmTPHBUmt8Gib/092dUebmjxZhhuIBsViokJN+Yb3g6vu2/9ARyOXevPRWCYEzusRXIkEsnpw==" saltValue="NXPdJLjuTlZWNoXDc8SVVA==" spinCount="100000" sheet="1" formatColumns="0" formatRows="0"/>
  <mergeCells count="86">
    <mergeCell ref="G30:H30"/>
    <mergeCell ref="J30:L30"/>
    <mergeCell ref="B32:B57"/>
    <mergeCell ref="C32:F32"/>
    <mergeCell ref="C33:F33"/>
    <mergeCell ref="C34:F34"/>
    <mergeCell ref="C35:F35"/>
    <mergeCell ref="C36:F36"/>
    <mergeCell ref="C37:F37"/>
    <mergeCell ref="C38:F38"/>
    <mergeCell ref="C39:F39"/>
    <mergeCell ref="C40:F40"/>
    <mergeCell ref="C50:F50"/>
    <mergeCell ref="C41:F41"/>
    <mergeCell ref="C42:C43"/>
    <mergeCell ref="D42:F42"/>
    <mergeCell ref="D43:F43"/>
    <mergeCell ref="C44:C45"/>
    <mergeCell ref="D44:F44"/>
    <mergeCell ref="D45:F45"/>
    <mergeCell ref="C46:C48"/>
    <mergeCell ref="D46:F46"/>
    <mergeCell ref="D47:F47"/>
    <mergeCell ref="D48:F48"/>
    <mergeCell ref="C49:F49"/>
    <mergeCell ref="C51:F51"/>
    <mergeCell ref="C52:F52"/>
    <mergeCell ref="C53:F53"/>
    <mergeCell ref="D54:F54"/>
    <mergeCell ref="C55:C57"/>
    <mergeCell ref="D55:F55"/>
    <mergeCell ref="D56:F56"/>
    <mergeCell ref="D57:F57"/>
    <mergeCell ref="C79:D80"/>
    <mergeCell ref="E79:E80"/>
    <mergeCell ref="C65:D66"/>
    <mergeCell ref="E65:E66"/>
    <mergeCell ref="C67:D68"/>
    <mergeCell ref="E67:E68"/>
    <mergeCell ref="C69:D70"/>
    <mergeCell ref="E69:E70"/>
    <mergeCell ref="C71:D72"/>
    <mergeCell ref="E71:E72"/>
    <mergeCell ref="C73:D74"/>
    <mergeCell ref="B65:B111"/>
    <mergeCell ref="B59:B62"/>
    <mergeCell ref="C59:F59"/>
    <mergeCell ref="C60:F60"/>
    <mergeCell ref="C61:F61"/>
    <mergeCell ref="C62:F62"/>
    <mergeCell ref="E73:E74"/>
    <mergeCell ref="C75:D76"/>
    <mergeCell ref="E75:E76"/>
    <mergeCell ref="C77:D78"/>
    <mergeCell ref="E77:E78"/>
    <mergeCell ref="C81:D82"/>
    <mergeCell ref="E81:E82"/>
    <mergeCell ref="C83:D84"/>
    <mergeCell ref="E83:E84"/>
    <mergeCell ref="C85:D86"/>
    <mergeCell ref="E85:E86"/>
    <mergeCell ref="C87:D88"/>
    <mergeCell ref="E87:E88"/>
    <mergeCell ref="C89:D90"/>
    <mergeCell ref="E89:E90"/>
    <mergeCell ref="C91:D92"/>
    <mergeCell ref="E91:E92"/>
    <mergeCell ref="C111:F111"/>
    <mergeCell ref="C99:D100"/>
    <mergeCell ref="E99:E100"/>
    <mergeCell ref="C101:D102"/>
    <mergeCell ref="E101:E102"/>
    <mergeCell ref="C103:D104"/>
    <mergeCell ref="E103:E104"/>
    <mergeCell ref="C110:E110"/>
    <mergeCell ref="D105:F105"/>
    <mergeCell ref="C106:E106"/>
    <mergeCell ref="C107:E107"/>
    <mergeCell ref="C108:E108"/>
    <mergeCell ref="C109:E109"/>
    <mergeCell ref="C93:D94"/>
    <mergeCell ref="E93:E94"/>
    <mergeCell ref="C95:D96"/>
    <mergeCell ref="E95:E96"/>
    <mergeCell ref="C97:D98"/>
    <mergeCell ref="E97:E98"/>
  </mergeCells>
  <phoneticPr fontId="15"/>
  <conditionalFormatting sqref="L65:L106 B111:O111 B106:C106 B65:B105 F65:H104 G105:H106">
    <cfRule type="containsErrors" dxfId="7" priority="36">
      <formula>ISERROR(B65)</formula>
    </cfRule>
  </conditionalFormatting>
  <conditionalFormatting sqref="J65:K105">
    <cfRule type="containsErrors" dxfId="6" priority="35">
      <formula>ISERROR(J65)</formula>
    </cfRule>
  </conditionalFormatting>
  <conditionalFormatting sqref="C65">
    <cfRule type="cellIs" dxfId="5" priority="32" operator="equal">
      <formula>"電気事業者名を選択"</formula>
    </cfRule>
  </conditionalFormatting>
  <conditionalFormatting sqref="L107:L110 B107:B110 G107:H110">
    <cfRule type="containsErrors" dxfId="4" priority="28">
      <formula>ISERROR(B107)</formula>
    </cfRule>
  </conditionalFormatting>
  <conditionalFormatting sqref="J106:K110">
    <cfRule type="containsErrors" dxfId="3" priority="26">
      <formula>ISERROR(J106)</formula>
    </cfRule>
  </conditionalFormatting>
  <conditionalFormatting sqref="C67 C69 C71 C73 C75 C77 C79 C81 C83 C85 C87 C89 C91 C93 C95 C97 C99 C101 C103">
    <cfRule type="cellIs" dxfId="2" priority="4" operator="equal">
      <formula>"電気事業者名を選択"</formula>
    </cfRule>
  </conditionalFormatting>
  <conditionalFormatting sqref="C105:F105">
    <cfRule type="containsErrors" dxfId="1" priority="3">
      <formula>ISERROR(C105)</formula>
    </cfRule>
  </conditionalFormatting>
  <conditionalFormatting sqref="C107:C110">
    <cfRule type="containsErrors" dxfId="0" priority="1">
      <formula>ISERROR(C107)</formula>
    </cfRule>
  </conditionalFormatting>
  <pageMargins left="0.70866141732283472" right="0.70866141732283472" top="0.74803149606299213" bottom="0.74803149606299213" header="0.31496062992125984" footer="0.31496062992125984"/>
  <pageSetup paperSize="9" scale="63" fitToWidth="0" orientation="portrait" horizontalDpi="300" verticalDpi="3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outlinePr summaryBelow="0" summaryRight="0"/>
    <pageSetUpPr fitToPage="1"/>
  </sheetPr>
  <dimension ref="A1:BJ130"/>
  <sheetViews>
    <sheetView showGridLines="0" zoomScaleNormal="100" workbookViewId="0">
      <selection activeCell="B6" sqref="B6"/>
    </sheetView>
  </sheetViews>
  <sheetFormatPr defaultColWidth="8.875" defaultRowHeight="13.5"/>
  <cols>
    <col min="1" max="1" width="2.125" style="561" customWidth="1"/>
    <col min="2" max="2" width="5.25" style="561" customWidth="1"/>
    <col min="3" max="3" width="8.875" style="561"/>
    <col min="4" max="4" width="4.125" style="561" customWidth="1"/>
    <col min="5" max="5" width="12.375" style="561" customWidth="1"/>
    <col min="6" max="7" width="7.5" style="561" customWidth="1"/>
    <col min="8" max="8" width="6.875" style="561" customWidth="1"/>
    <col min="9" max="9" width="5.625" style="561" customWidth="1"/>
    <col min="10" max="10" width="11.375" style="561" customWidth="1"/>
    <col min="11" max="11" width="10.125" style="561" customWidth="1"/>
    <col min="12" max="16384" width="8.875" style="561"/>
  </cols>
  <sheetData>
    <row r="1" spans="1:62" ht="24.95" customHeight="1">
      <c r="B1" s="608" t="s">
        <v>2733</v>
      </c>
      <c r="Q1" s="1615" t="str">
        <f>はじめに!P1</f>
        <v>2024年度提出用（2023年度実績値）</v>
      </c>
    </row>
    <row r="2" spans="1:62" ht="18.75">
      <c r="B2" s="608"/>
    </row>
    <row r="3" spans="1:62" ht="22.5" customHeight="1">
      <c r="B3" s="609" t="s">
        <v>4408</v>
      </c>
      <c r="C3" s="610"/>
      <c r="D3" s="610"/>
      <c r="E3" s="610"/>
      <c r="F3" s="610"/>
      <c r="G3" s="610"/>
      <c r="H3" s="611"/>
      <c r="I3" s="611"/>
      <c r="J3" s="611"/>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610"/>
      <c r="AL3" s="610"/>
      <c r="AM3" s="610"/>
      <c r="AN3" s="610"/>
      <c r="AO3" s="610"/>
      <c r="AP3" s="610"/>
      <c r="AQ3" s="610"/>
      <c r="AR3" s="610"/>
      <c r="AS3" s="610"/>
      <c r="AT3" s="610"/>
      <c r="AU3" s="610"/>
      <c r="AV3" s="610"/>
      <c r="AW3" s="610"/>
      <c r="AX3" s="610"/>
      <c r="AY3" s="610"/>
      <c r="AZ3" s="610"/>
      <c r="BA3" s="610"/>
      <c r="BB3" s="612"/>
      <c r="BD3" s="563"/>
      <c r="BE3" s="560"/>
      <c r="BF3" s="560"/>
      <c r="BH3" s="563"/>
      <c r="BI3" s="560"/>
      <c r="BJ3" s="560"/>
    </row>
    <row r="4" spans="1:62" ht="10.9" hidden="1" customHeight="1">
      <c r="A4" s="1315"/>
      <c r="B4" s="559"/>
      <c r="C4" s="613"/>
      <c r="D4" s="614"/>
      <c r="BE4" s="560"/>
      <c r="BF4" s="560"/>
      <c r="BH4" s="563"/>
      <c r="BI4" s="560"/>
      <c r="BJ4" s="560"/>
    </row>
    <row r="5" spans="1:62" ht="10.9" hidden="1" customHeight="1">
      <c r="A5" s="1315"/>
      <c r="BE5" s="560"/>
      <c r="BF5" s="560"/>
      <c r="BH5" s="563"/>
      <c r="BI5" s="560"/>
      <c r="BJ5" s="560"/>
    </row>
    <row r="6" spans="1:62" ht="10.9" hidden="1" customHeight="1">
      <c r="A6" s="1315"/>
      <c r="N6" s="559"/>
      <c r="BE6" s="560"/>
      <c r="BF6" s="560"/>
      <c r="BH6" s="563"/>
      <c r="BI6" s="560"/>
      <c r="BJ6" s="560"/>
    </row>
    <row r="7" spans="1:62" ht="22.5" customHeight="1" thickBot="1">
      <c r="B7" s="559">
        <v>1</v>
      </c>
      <c r="C7" s="560" t="s">
        <v>4693</v>
      </c>
      <c r="D7" s="562"/>
      <c r="E7" s="562"/>
      <c r="BE7" s="560"/>
      <c r="BF7" s="560"/>
      <c r="BH7" s="563"/>
      <c r="BI7" s="560"/>
      <c r="BJ7" s="560"/>
    </row>
    <row r="8" spans="1:62" ht="22.5" customHeight="1" thickTop="1" thickBot="1">
      <c r="B8" s="615"/>
      <c r="C8" s="564" t="s">
        <v>4534</v>
      </c>
      <c r="E8" s="1952" t="str">
        <f>IF(C8="有り","【注意】このシート以外に、「外部供給」シートにも入力が必要です！","")</f>
        <v/>
      </c>
      <c r="F8" s="1952"/>
      <c r="G8" s="1952"/>
      <c r="H8" s="1952"/>
      <c r="I8" s="1952"/>
      <c r="J8" s="1952"/>
      <c r="K8" s="1952"/>
      <c r="L8" s="1952"/>
      <c r="M8" s="1952"/>
      <c r="N8" s="1952"/>
      <c r="O8" s="1952"/>
      <c r="Q8" s="565"/>
      <c r="R8" s="565"/>
      <c r="BE8" s="560"/>
      <c r="BF8" s="560"/>
      <c r="BH8" s="563"/>
      <c r="BI8" s="560"/>
      <c r="BJ8" s="560"/>
    </row>
    <row r="9" spans="1:62" ht="4.9000000000000004" hidden="1" customHeight="1" thickTop="1">
      <c r="BE9" s="560"/>
      <c r="BF9" s="560"/>
      <c r="BH9" s="563"/>
      <c r="BI9" s="560"/>
      <c r="BJ9" s="560"/>
    </row>
    <row r="10" spans="1:62" ht="22.5" hidden="1" customHeight="1"/>
    <row r="11" spans="1:62" ht="22.5" hidden="1" customHeight="1"/>
    <row r="12" spans="1:62" ht="30" hidden="1" customHeight="1"/>
    <row r="13" spans="1:62" ht="30.75" hidden="1" customHeight="1"/>
    <row r="14" spans="1:62" ht="22.5" hidden="1" customHeight="1">
      <c r="I14" s="1731"/>
      <c r="J14" s="1732" t="s">
        <v>5392</v>
      </c>
    </row>
    <row r="15" spans="1:62" ht="22.5" hidden="1" customHeight="1"/>
    <row r="16" spans="1:62" ht="9.6" customHeight="1" thickTop="1"/>
    <row r="17" spans="1:62" ht="19.899999999999999" customHeight="1" thickBot="1">
      <c r="B17" s="559">
        <v>2</v>
      </c>
      <c r="C17" s="560" t="s">
        <v>6050</v>
      </c>
    </row>
    <row r="18" spans="1:62" ht="19.899999999999999" customHeight="1" thickTop="1" thickBot="1">
      <c r="B18" s="1898" t="s">
        <v>4096</v>
      </c>
      <c r="C18" s="1899"/>
      <c r="D18" s="1899"/>
      <c r="E18" s="1899"/>
      <c r="F18" s="1899"/>
      <c r="G18" s="1899"/>
      <c r="H18" s="1401">
        <f>IF(参照元!G14="新規",0,参照元!$V$14)</f>
        <v>0</v>
      </c>
      <c r="I18" s="560"/>
    </row>
    <row r="19" spans="1:62" ht="19.899999999999999" customHeight="1" thickTop="1" thickBot="1">
      <c r="B19" s="1969" t="s">
        <v>4097</v>
      </c>
      <c r="C19" s="1970"/>
      <c r="D19" s="1970"/>
      <c r="E19" s="1970"/>
      <c r="F19" s="1970"/>
      <c r="G19" s="1970"/>
      <c r="H19" s="1268">
        <f>IF(参照元!G14="新規",0,参照元!$W$14)</f>
        <v>0</v>
      </c>
      <c r="I19" s="560"/>
      <c r="J19" s="1977" t="s">
        <v>4492</v>
      </c>
      <c r="K19" s="1978"/>
      <c r="L19" s="1350">
        <f>IFERROR(H18-H19,"")</f>
        <v>0</v>
      </c>
      <c r="M19" s="560"/>
    </row>
    <row r="20" spans="1:62" ht="21" customHeight="1" thickTop="1">
      <c r="B20" s="559">
        <v>3</v>
      </c>
      <c r="C20" s="560" t="s">
        <v>4410</v>
      </c>
      <c r="H20" s="1116"/>
    </row>
    <row r="21" spans="1:62" ht="19.899999999999999" customHeight="1">
      <c r="B21" s="1306"/>
      <c r="C21" s="1955" t="s">
        <v>4395</v>
      </c>
      <c r="D21" s="1955"/>
      <c r="E21" s="1955"/>
      <c r="F21" s="1955"/>
      <c r="G21" s="1955"/>
      <c r="H21" s="1956"/>
    </row>
    <row r="22" spans="1:62" ht="19.899999999999999" customHeight="1">
      <c r="B22" s="1306"/>
      <c r="C22" s="1955" t="s">
        <v>4396</v>
      </c>
      <c r="D22" s="1955"/>
      <c r="E22" s="1955"/>
      <c r="F22" s="1955"/>
      <c r="G22" s="1955"/>
      <c r="H22" s="1956"/>
    </row>
    <row r="23" spans="1:62" ht="19.899999999999999" customHeight="1">
      <c r="B23" s="1306"/>
      <c r="C23" s="1955" t="s">
        <v>4397</v>
      </c>
      <c r="D23" s="1955"/>
      <c r="E23" s="1955"/>
      <c r="F23" s="1955"/>
      <c r="G23" s="1955"/>
      <c r="H23" s="1956"/>
    </row>
    <row r="24" spans="1:62" ht="21" customHeight="1">
      <c r="A24" s="1315"/>
      <c r="B24" s="1306"/>
      <c r="C24" s="1979" t="s">
        <v>4773</v>
      </c>
      <c r="D24" s="1955"/>
      <c r="E24" s="1955"/>
      <c r="F24" s="1955"/>
      <c r="G24" s="1955"/>
      <c r="H24" s="1956"/>
    </row>
    <row r="25" spans="1:62" ht="10.15" customHeight="1"/>
    <row r="26" spans="1:62" ht="20.45" customHeight="1">
      <c r="B26" s="1980" t="s">
        <v>4409</v>
      </c>
      <c r="C26" s="1980"/>
      <c r="D26" s="1980"/>
      <c r="E26" s="1980"/>
      <c r="F26" s="1980"/>
      <c r="G26" s="1980"/>
      <c r="H26" s="1980"/>
      <c r="I26" s="1980"/>
      <c r="J26" s="1980"/>
      <c r="K26" s="1980"/>
      <c r="L26" s="1980"/>
      <c r="M26" s="1980"/>
      <c r="N26" s="1980"/>
      <c r="O26" s="1980"/>
      <c r="P26" s="1980"/>
      <c r="Q26" s="619"/>
      <c r="R26" s="619"/>
      <c r="S26" s="619"/>
      <c r="T26" s="619"/>
      <c r="U26" s="619"/>
      <c r="V26" s="619"/>
      <c r="W26" s="619"/>
      <c r="X26" s="619"/>
      <c r="Y26" s="619"/>
      <c r="Z26" s="619"/>
      <c r="AA26" s="619"/>
      <c r="AB26" s="619"/>
      <c r="AC26" s="619"/>
      <c r="AD26" s="619"/>
      <c r="AE26" s="619"/>
      <c r="AF26" s="619"/>
      <c r="AG26" s="619"/>
      <c r="AH26" s="619"/>
      <c r="AI26" s="619"/>
      <c r="AJ26" s="619"/>
      <c r="AK26" s="619"/>
      <c r="AL26" s="619"/>
      <c r="AM26" s="619"/>
      <c r="AN26" s="619"/>
      <c r="AO26" s="619"/>
      <c r="AP26" s="619"/>
      <c r="AQ26" s="619"/>
      <c r="AR26" s="619"/>
      <c r="AS26" s="619"/>
      <c r="AT26" s="619"/>
      <c r="AU26" s="619"/>
      <c r="AV26" s="619"/>
      <c r="AW26" s="619"/>
      <c r="AX26" s="619"/>
      <c r="AY26" s="619"/>
      <c r="AZ26" s="619"/>
      <c r="BA26" s="619"/>
      <c r="BB26" s="612"/>
      <c r="BD26" s="563"/>
      <c r="BE26" s="560"/>
      <c r="BF26" s="560"/>
      <c r="BH26" s="563"/>
      <c r="BI26" s="560"/>
      <c r="BJ26" s="560"/>
    </row>
    <row r="27" spans="1:62" ht="30" customHeight="1">
      <c r="B27" s="612"/>
      <c r="C27" s="612"/>
      <c r="D27" s="612"/>
      <c r="E27" s="612"/>
      <c r="F27" s="612"/>
      <c r="G27" s="612"/>
      <c r="H27" s="612"/>
      <c r="I27" s="612"/>
      <c r="J27" s="612"/>
      <c r="K27" s="612"/>
      <c r="L27" s="612"/>
      <c r="M27" s="612"/>
      <c r="N27" s="1409" t="s">
        <v>6052</v>
      </c>
      <c r="O27" s="1409" t="s">
        <v>6051</v>
      </c>
      <c r="P27" s="1409" t="s">
        <v>6051</v>
      </c>
      <c r="Q27" s="1409" t="s">
        <v>6051</v>
      </c>
      <c r="R27" s="1409" t="s">
        <v>6051</v>
      </c>
      <c r="S27" s="1409" t="s">
        <v>6051</v>
      </c>
      <c r="T27" s="1409" t="s">
        <v>6051</v>
      </c>
      <c r="U27" s="1409" t="s">
        <v>6051</v>
      </c>
      <c r="V27" s="1409" t="s">
        <v>6051</v>
      </c>
      <c r="W27" s="1409" t="s">
        <v>6051</v>
      </c>
      <c r="X27" s="1409" t="s">
        <v>6051</v>
      </c>
      <c r="Y27" s="1409" t="s">
        <v>6051</v>
      </c>
      <c r="Z27" s="1409" t="s">
        <v>6051</v>
      </c>
      <c r="AA27" s="1409" t="s">
        <v>6051</v>
      </c>
      <c r="AB27" s="1409" t="s">
        <v>6051</v>
      </c>
      <c r="AC27" s="1409" t="s">
        <v>6051</v>
      </c>
      <c r="AD27" s="1409" t="s">
        <v>6051</v>
      </c>
      <c r="AE27" s="1409" t="s">
        <v>6051</v>
      </c>
      <c r="AF27" s="1409" t="s">
        <v>6051</v>
      </c>
      <c r="AG27" s="1409" t="s">
        <v>6051</v>
      </c>
      <c r="AH27" s="1409" t="s">
        <v>6051</v>
      </c>
      <c r="AI27" s="1409" t="s">
        <v>6051</v>
      </c>
      <c r="AJ27" s="1409" t="s">
        <v>6051</v>
      </c>
      <c r="AK27" s="1409" t="s">
        <v>6051</v>
      </c>
      <c r="AL27" s="1409" t="s">
        <v>6051</v>
      </c>
      <c r="AM27" s="1409" t="s">
        <v>6051</v>
      </c>
      <c r="AN27" s="1409" t="s">
        <v>6051</v>
      </c>
      <c r="AO27" s="1409" t="s">
        <v>6051</v>
      </c>
      <c r="AP27" s="1409" t="s">
        <v>6051</v>
      </c>
      <c r="AQ27" s="1409" t="s">
        <v>6051</v>
      </c>
      <c r="AR27" s="1409" t="s">
        <v>6051</v>
      </c>
      <c r="AS27" s="1409" t="s">
        <v>6051</v>
      </c>
      <c r="AT27" s="1409" t="s">
        <v>6051</v>
      </c>
      <c r="AU27" s="1409" t="s">
        <v>6051</v>
      </c>
      <c r="AV27" s="1409" t="s">
        <v>6051</v>
      </c>
      <c r="AW27" s="1409" t="s">
        <v>6051</v>
      </c>
      <c r="AX27" s="1409" t="s">
        <v>6051</v>
      </c>
      <c r="AY27" s="1409" t="s">
        <v>6051</v>
      </c>
      <c r="AZ27" s="1409" t="s">
        <v>6051</v>
      </c>
      <c r="BA27" s="1409" t="s">
        <v>6051</v>
      </c>
      <c r="BB27" s="612"/>
      <c r="BD27" s="563"/>
      <c r="BE27" s="560"/>
      <c r="BF27" s="560"/>
      <c r="BH27" s="563"/>
      <c r="BI27" s="560"/>
      <c r="BJ27" s="560"/>
    </row>
    <row r="28" spans="1:62" ht="19.899999999999999" hidden="1" customHeight="1">
      <c r="B28" s="618"/>
      <c r="C28" s="618"/>
      <c r="D28" s="618"/>
      <c r="E28" s="618"/>
      <c r="F28" s="618"/>
      <c r="G28" s="618"/>
      <c r="H28" s="618"/>
      <c r="I28" s="620"/>
      <c r="J28" s="620"/>
      <c r="K28" s="752">
        <v>1</v>
      </c>
      <c r="L28" s="621">
        <v>2</v>
      </c>
      <c r="M28" s="622">
        <v>3</v>
      </c>
      <c r="N28" s="1104">
        <v>4</v>
      </c>
      <c r="O28" s="1104">
        <v>5</v>
      </c>
      <c r="P28" s="1104">
        <v>6</v>
      </c>
      <c r="Q28" s="1104">
        <v>7</v>
      </c>
      <c r="R28" s="1104">
        <v>8</v>
      </c>
      <c r="S28" s="1104">
        <v>9</v>
      </c>
      <c r="T28" s="1104">
        <v>10</v>
      </c>
      <c r="U28" s="1104">
        <v>11</v>
      </c>
      <c r="V28" s="1104">
        <v>12</v>
      </c>
      <c r="W28" s="1104">
        <v>13</v>
      </c>
      <c r="X28" s="1104">
        <v>14</v>
      </c>
      <c r="Y28" s="1104">
        <v>15</v>
      </c>
      <c r="Z28" s="1104">
        <v>16</v>
      </c>
      <c r="AA28" s="1104">
        <v>17</v>
      </c>
      <c r="AB28" s="1104">
        <v>18</v>
      </c>
      <c r="AC28" s="1104">
        <v>19</v>
      </c>
      <c r="AD28" s="1104">
        <v>20</v>
      </c>
      <c r="AE28" s="1104">
        <v>21</v>
      </c>
      <c r="AF28" s="1104">
        <v>22</v>
      </c>
      <c r="AG28" s="1104">
        <v>23</v>
      </c>
      <c r="AH28" s="1104">
        <v>24</v>
      </c>
      <c r="AI28" s="1104">
        <v>25</v>
      </c>
      <c r="AJ28" s="1104">
        <v>26</v>
      </c>
      <c r="AK28" s="1104">
        <v>27</v>
      </c>
      <c r="AL28" s="1104">
        <v>28</v>
      </c>
      <c r="AM28" s="1104">
        <v>29</v>
      </c>
      <c r="AN28" s="1104">
        <v>30</v>
      </c>
      <c r="AO28" s="1104">
        <v>31</v>
      </c>
      <c r="AP28" s="1104">
        <v>32</v>
      </c>
      <c r="AQ28" s="1104">
        <v>33</v>
      </c>
      <c r="AR28" s="1104">
        <v>34</v>
      </c>
      <c r="AS28" s="1104">
        <v>35</v>
      </c>
      <c r="AT28" s="1104">
        <v>36</v>
      </c>
      <c r="AU28" s="1104">
        <v>37</v>
      </c>
      <c r="AV28" s="1104">
        <v>38</v>
      </c>
      <c r="AW28" s="1104">
        <v>39</v>
      </c>
      <c r="AX28" s="1104">
        <v>40</v>
      </c>
      <c r="AY28" s="1104">
        <v>41</v>
      </c>
      <c r="AZ28" s="1104">
        <v>42</v>
      </c>
      <c r="BA28" s="1104">
        <v>43</v>
      </c>
    </row>
    <row r="29" spans="1:62" ht="22.5" customHeight="1" thickBot="1">
      <c r="B29" s="1191"/>
      <c r="C29" s="1192"/>
      <c r="D29" s="1192"/>
      <c r="E29" s="1192"/>
      <c r="F29" s="1192"/>
      <c r="G29" s="1192"/>
      <c r="H29" s="1187"/>
      <c r="I29" s="1185"/>
      <c r="J29" s="1953" t="s">
        <v>2735</v>
      </c>
      <c r="K29" s="1957" t="s">
        <v>4487</v>
      </c>
      <c r="L29" s="1958"/>
      <c r="M29" s="1959"/>
      <c r="N29" s="1136" t="s">
        <v>2736</v>
      </c>
      <c r="O29" s="1137"/>
      <c r="P29" s="1137"/>
      <c r="Q29" s="1137"/>
      <c r="R29" s="1137"/>
      <c r="S29" s="1137"/>
      <c r="T29" s="1137"/>
      <c r="U29" s="1137"/>
      <c r="V29" s="1137"/>
      <c r="W29" s="1138"/>
      <c r="X29" s="1138"/>
      <c r="Y29" s="1138"/>
      <c r="Z29" s="1138"/>
      <c r="AA29" s="1138"/>
      <c r="AB29" s="1138"/>
      <c r="AC29" s="1138"/>
      <c r="AD29" s="1138"/>
      <c r="AE29" s="1138"/>
      <c r="AF29" s="1138"/>
      <c r="AG29" s="1138"/>
      <c r="AH29" s="1138"/>
      <c r="AI29" s="1138"/>
      <c r="AJ29" s="1138"/>
      <c r="AK29" s="1138"/>
      <c r="AL29" s="1138"/>
      <c r="AM29" s="1138"/>
      <c r="AN29" s="1138"/>
      <c r="AO29" s="1138"/>
      <c r="AP29" s="1138"/>
      <c r="AQ29" s="1138"/>
      <c r="AR29" s="1138"/>
      <c r="AS29" s="1138"/>
      <c r="AT29" s="1138"/>
      <c r="AU29" s="1138"/>
      <c r="AV29" s="1138"/>
      <c r="AW29" s="1138"/>
      <c r="AX29" s="1138"/>
      <c r="AY29" s="1138"/>
      <c r="AZ29" s="1138"/>
      <c r="BA29" s="1139"/>
      <c r="BD29" s="563"/>
      <c r="BE29" s="560"/>
      <c r="BF29" s="560"/>
      <c r="BH29" s="563"/>
      <c r="BI29" s="560"/>
      <c r="BJ29" s="560"/>
    </row>
    <row r="30" spans="1:62" ht="32.450000000000003" customHeight="1" thickTop="1" thickBot="1">
      <c r="B30" s="1193"/>
      <c r="C30" s="1194"/>
      <c r="D30" s="1194"/>
      <c r="E30" s="1194"/>
      <c r="F30" s="1194"/>
      <c r="G30" s="1194"/>
      <c r="H30" s="1195"/>
      <c r="I30" s="1196"/>
      <c r="J30" s="1954"/>
      <c r="K30" s="1960"/>
      <c r="L30" s="1961"/>
      <c r="M30" s="1962"/>
      <c r="N30" s="973" t="s">
        <v>4482</v>
      </c>
      <c r="O30" s="973" t="s">
        <v>4483</v>
      </c>
      <c r="P30" s="973" t="s">
        <v>4352</v>
      </c>
      <c r="Q30" s="973" t="s">
        <v>4353</v>
      </c>
      <c r="R30" s="973" t="s">
        <v>4354</v>
      </c>
      <c r="S30" s="973" t="s">
        <v>4355</v>
      </c>
      <c r="T30" s="973" t="s">
        <v>4356</v>
      </c>
      <c r="U30" s="973" t="s">
        <v>4357</v>
      </c>
      <c r="V30" s="973" t="s">
        <v>4358</v>
      </c>
      <c r="W30" s="973" t="s">
        <v>4359</v>
      </c>
      <c r="X30" s="973" t="s">
        <v>4360</v>
      </c>
      <c r="Y30" s="973" t="s">
        <v>4361</v>
      </c>
      <c r="Z30" s="973" t="s">
        <v>4362</v>
      </c>
      <c r="AA30" s="973" t="s">
        <v>4363</v>
      </c>
      <c r="AB30" s="973" t="s">
        <v>4364</v>
      </c>
      <c r="AC30" s="973" t="s">
        <v>4365</v>
      </c>
      <c r="AD30" s="973" t="s">
        <v>4366</v>
      </c>
      <c r="AE30" s="973" t="s">
        <v>4367</v>
      </c>
      <c r="AF30" s="973" t="s">
        <v>4368</v>
      </c>
      <c r="AG30" s="973" t="s">
        <v>4369</v>
      </c>
      <c r="AH30" s="973" t="s">
        <v>4370</v>
      </c>
      <c r="AI30" s="973" t="s">
        <v>4371</v>
      </c>
      <c r="AJ30" s="973" t="s">
        <v>4372</v>
      </c>
      <c r="AK30" s="973" t="s">
        <v>4373</v>
      </c>
      <c r="AL30" s="973" t="s">
        <v>4374</v>
      </c>
      <c r="AM30" s="973" t="s">
        <v>4375</v>
      </c>
      <c r="AN30" s="973" t="s">
        <v>4376</v>
      </c>
      <c r="AO30" s="973" t="s">
        <v>4377</v>
      </c>
      <c r="AP30" s="973" t="s">
        <v>4378</v>
      </c>
      <c r="AQ30" s="973" t="s">
        <v>4379</v>
      </c>
      <c r="AR30" s="973" t="s">
        <v>4380</v>
      </c>
      <c r="AS30" s="973" t="s">
        <v>4381</v>
      </c>
      <c r="AT30" s="973" t="s">
        <v>4382</v>
      </c>
      <c r="AU30" s="973" t="s">
        <v>4383</v>
      </c>
      <c r="AV30" s="973" t="s">
        <v>4384</v>
      </c>
      <c r="AW30" s="973" t="s">
        <v>4385</v>
      </c>
      <c r="AX30" s="973" t="s">
        <v>4386</v>
      </c>
      <c r="AY30" s="973" t="s">
        <v>4387</v>
      </c>
      <c r="AZ30" s="973" t="s">
        <v>4388</v>
      </c>
      <c r="BA30" s="973" t="s">
        <v>4389</v>
      </c>
    </row>
    <row r="31" spans="1:62" ht="15.75" thickTop="1" thickBot="1">
      <c r="B31" s="1974" t="s">
        <v>2737</v>
      </c>
      <c r="C31" s="1975"/>
      <c r="D31" s="1975"/>
      <c r="E31" s="1975"/>
      <c r="F31" s="1975"/>
      <c r="G31" s="1975"/>
      <c r="H31" s="1976"/>
      <c r="I31" s="1197" t="s">
        <v>2738</v>
      </c>
      <c r="J31" s="1198" t="s">
        <v>2739</v>
      </c>
      <c r="K31" s="1963"/>
      <c r="L31" s="1964"/>
      <c r="M31" s="1965"/>
      <c r="N31" s="1119" t="s">
        <v>4311</v>
      </c>
      <c r="O31" s="1118"/>
      <c r="P31" s="1118"/>
      <c r="Q31" s="1118"/>
      <c r="R31" s="1118"/>
      <c r="S31" s="1118"/>
      <c r="T31" s="1118"/>
      <c r="U31" s="1118"/>
      <c r="V31" s="1118"/>
      <c r="W31" s="1118"/>
      <c r="X31" s="1118"/>
      <c r="Y31" s="1118"/>
      <c r="Z31" s="1118"/>
      <c r="AA31" s="1118"/>
      <c r="AB31" s="1118"/>
      <c r="AC31" s="1118"/>
      <c r="AD31" s="1118"/>
      <c r="AE31" s="1118"/>
      <c r="AF31" s="1118"/>
      <c r="AG31" s="1118"/>
      <c r="AH31" s="1118"/>
      <c r="AI31" s="1118"/>
      <c r="AJ31" s="1118"/>
      <c r="AK31" s="1118"/>
      <c r="AL31" s="1118"/>
      <c r="AM31" s="1118"/>
      <c r="AN31" s="1118"/>
      <c r="AO31" s="1118"/>
      <c r="AP31" s="1118"/>
      <c r="AQ31" s="1118"/>
      <c r="AR31" s="1118"/>
      <c r="AS31" s="1118"/>
      <c r="AT31" s="1118"/>
      <c r="AU31" s="1118"/>
      <c r="AV31" s="1118"/>
      <c r="AW31" s="1118"/>
      <c r="AX31" s="1118"/>
      <c r="AY31" s="1118"/>
      <c r="AZ31" s="1118"/>
      <c r="BA31" s="1117"/>
    </row>
    <row r="32" spans="1:62" ht="15" thickTop="1">
      <c r="B32" s="1944" t="s">
        <v>2686</v>
      </c>
      <c r="C32" s="1966" t="s">
        <v>2687</v>
      </c>
      <c r="D32" s="1967"/>
      <c r="E32" s="1967"/>
      <c r="F32" s="1967"/>
      <c r="G32" s="1967"/>
      <c r="H32" s="1968"/>
      <c r="I32" s="623" t="str">
        <f>係数!I32</f>
        <v>kL</v>
      </c>
      <c r="J32" s="881">
        <f>SUM(K32:BA32)</f>
        <v>0</v>
      </c>
      <c r="K32" s="720"/>
      <c r="L32" s="624"/>
      <c r="M32" s="625"/>
      <c r="N32" s="626"/>
      <c r="O32" s="627"/>
      <c r="P32" s="627"/>
      <c r="Q32" s="627"/>
      <c r="R32" s="627"/>
      <c r="S32" s="627"/>
      <c r="T32" s="627"/>
      <c r="U32" s="627"/>
      <c r="V32" s="627"/>
      <c r="W32" s="627"/>
      <c r="X32" s="627"/>
      <c r="Y32" s="627"/>
      <c r="Z32" s="627"/>
      <c r="AA32" s="627"/>
      <c r="AB32" s="627"/>
      <c r="AC32" s="627"/>
      <c r="AD32" s="627"/>
      <c r="AE32" s="627"/>
      <c r="AF32" s="627"/>
      <c r="AG32" s="627"/>
      <c r="AH32" s="627"/>
      <c r="AI32" s="627"/>
      <c r="AJ32" s="627"/>
      <c r="AK32" s="627"/>
      <c r="AL32" s="627"/>
      <c r="AM32" s="627"/>
      <c r="AN32" s="627"/>
      <c r="AO32" s="627"/>
      <c r="AP32" s="627"/>
      <c r="AQ32" s="627"/>
      <c r="AR32" s="627"/>
      <c r="AS32" s="627"/>
      <c r="AT32" s="627"/>
      <c r="AU32" s="627"/>
      <c r="AV32" s="627"/>
      <c r="AW32" s="627"/>
      <c r="AX32" s="627"/>
      <c r="AY32" s="627"/>
      <c r="AZ32" s="627"/>
      <c r="BA32" s="628"/>
    </row>
    <row r="33" spans="2:53" ht="14.25">
      <c r="B33" s="1940"/>
      <c r="C33" s="1966" t="s">
        <v>2691</v>
      </c>
      <c r="D33" s="1967"/>
      <c r="E33" s="1967"/>
      <c r="F33" s="1967"/>
      <c r="G33" s="1967"/>
      <c r="H33" s="1968"/>
      <c r="I33" s="623" t="str">
        <f>係数!I33</f>
        <v>kL</v>
      </c>
      <c r="J33" s="881">
        <f t="shared" ref="J33:J57" si="0">SUM(K33:BA33)</f>
        <v>0</v>
      </c>
      <c r="K33" s="721"/>
      <c r="L33" s="629"/>
      <c r="M33" s="630"/>
      <c r="N33" s="631"/>
      <c r="O33" s="632"/>
      <c r="P33" s="632"/>
      <c r="Q33" s="632"/>
      <c r="R33" s="632"/>
      <c r="S33" s="632"/>
      <c r="T33" s="632"/>
      <c r="U33" s="632"/>
      <c r="V33" s="632"/>
      <c r="W33" s="632"/>
      <c r="X33" s="632"/>
      <c r="Y33" s="632"/>
      <c r="Z33" s="632"/>
      <c r="AA33" s="632"/>
      <c r="AB33" s="632"/>
      <c r="AC33" s="632"/>
      <c r="AD33" s="632"/>
      <c r="AE33" s="632"/>
      <c r="AF33" s="632"/>
      <c r="AG33" s="632"/>
      <c r="AH33" s="632"/>
      <c r="AI33" s="632"/>
      <c r="AJ33" s="632"/>
      <c r="AK33" s="632"/>
      <c r="AL33" s="632"/>
      <c r="AM33" s="632"/>
      <c r="AN33" s="632"/>
      <c r="AO33" s="632"/>
      <c r="AP33" s="632"/>
      <c r="AQ33" s="632"/>
      <c r="AR33" s="632"/>
      <c r="AS33" s="632"/>
      <c r="AT33" s="632"/>
      <c r="AU33" s="632"/>
      <c r="AV33" s="632"/>
      <c r="AW33" s="632"/>
      <c r="AX33" s="632"/>
      <c r="AY33" s="632"/>
      <c r="AZ33" s="632"/>
      <c r="BA33" s="633"/>
    </row>
    <row r="34" spans="2:53" ht="14.25">
      <c r="B34" s="1940"/>
      <c r="C34" s="1966" t="s">
        <v>2692</v>
      </c>
      <c r="D34" s="1967"/>
      <c r="E34" s="1967"/>
      <c r="F34" s="1967"/>
      <c r="G34" s="1967"/>
      <c r="H34" s="1968"/>
      <c r="I34" s="623" t="str">
        <f>係数!I34</f>
        <v>kL</v>
      </c>
      <c r="J34" s="881">
        <f t="shared" si="0"/>
        <v>0</v>
      </c>
      <c r="K34" s="721"/>
      <c r="L34" s="629"/>
      <c r="M34" s="630"/>
      <c r="N34" s="631"/>
      <c r="O34" s="632"/>
      <c r="P34" s="632"/>
      <c r="Q34" s="632"/>
      <c r="R34" s="632"/>
      <c r="S34" s="632"/>
      <c r="T34" s="632"/>
      <c r="U34" s="632"/>
      <c r="V34" s="632"/>
      <c r="W34" s="632"/>
      <c r="X34" s="632"/>
      <c r="Y34" s="632"/>
      <c r="Z34" s="632"/>
      <c r="AA34" s="632"/>
      <c r="AB34" s="632"/>
      <c r="AC34" s="632"/>
      <c r="AD34" s="632"/>
      <c r="AE34" s="632"/>
      <c r="AF34" s="632"/>
      <c r="AG34" s="632"/>
      <c r="AH34" s="632"/>
      <c r="AI34" s="632"/>
      <c r="AJ34" s="632"/>
      <c r="AK34" s="632"/>
      <c r="AL34" s="632"/>
      <c r="AM34" s="632"/>
      <c r="AN34" s="632"/>
      <c r="AO34" s="632"/>
      <c r="AP34" s="632"/>
      <c r="AQ34" s="632"/>
      <c r="AR34" s="632"/>
      <c r="AS34" s="632"/>
      <c r="AT34" s="632"/>
      <c r="AU34" s="632"/>
      <c r="AV34" s="632"/>
      <c r="AW34" s="632"/>
      <c r="AX34" s="632"/>
      <c r="AY34" s="632"/>
      <c r="AZ34" s="632"/>
      <c r="BA34" s="633"/>
    </row>
    <row r="35" spans="2:53" ht="14.25">
      <c r="B35" s="1940"/>
      <c r="C35" s="1966" t="s">
        <v>2693</v>
      </c>
      <c r="D35" s="1967"/>
      <c r="E35" s="1967"/>
      <c r="F35" s="1967"/>
      <c r="G35" s="1967"/>
      <c r="H35" s="1968"/>
      <c r="I35" s="623" t="str">
        <f>係数!I35</f>
        <v>kL</v>
      </c>
      <c r="J35" s="881">
        <f t="shared" si="0"/>
        <v>0</v>
      </c>
      <c r="K35" s="721"/>
      <c r="L35" s="629"/>
      <c r="M35" s="630"/>
      <c r="N35" s="631"/>
      <c r="O35" s="632"/>
      <c r="P35" s="632"/>
      <c r="Q35" s="632"/>
      <c r="R35" s="632"/>
      <c r="S35" s="632"/>
      <c r="T35" s="632"/>
      <c r="U35" s="632"/>
      <c r="V35" s="632"/>
      <c r="W35" s="632"/>
      <c r="X35" s="632"/>
      <c r="Y35" s="632"/>
      <c r="Z35" s="632"/>
      <c r="AA35" s="632"/>
      <c r="AB35" s="632"/>
      <c r="AC35" s="632"/>
      <c r="AD35" s="632"/>
      <c r="AE35" s="632"/>
      <c r="AF35" s="632"/>
      <c r="AG35" s="632"/>
      <c r="AH35" s="632"/>
      <c r="AI35" s="632"/>
      <c r="AJ35" s="632"/>
      <c r="AK35" s="632"/>
      <c r="AL35" s="632"/>
      <c r="AM35" s="632"/>
      <c r="AN35" s="632"/>
      <c r="AO35" s="632"/>
      <c r="AP35" s="632"/>
      <c r="AQ35" s="632"/>
      <c r="AR35" s="632"/>
      <c r="AS35" s="632"/>
      <c r="AT35" s="632"/>
      <c r="AU35" s="632"/>
      <c r="AV35" s="632"/>
      <c r="AW35" s="632"/>
      <c r="AX35" s="632"/>
      <c r="AY35" s="632"/>
      <c r="AZ35" s="632"/>
      <c r="BA35" s="633"/>
    </row>
    <row r="36" spans="2:53" ht="14.25">
      <c r="B36" s="1940"/>
      <c r="C36" s="1945" t="s">
        <v>2694</v>
      </c>
      <c r="D36" s="1946"/>
      <c r="E36" s="1946"/>
      <c r="F36" s="1946"/>
      <c r="G36" s="1946"/>
      <c r="H36" s="1947"/>
      <c r="I36" s="623" t="str">
        <f>係数!I36</f>
        <v>kL</v>
      </c>
      <c r="J36" s="882">
        <f t="shared" si="0"/>
        <v>0</v>
      </c>
      <c r="K36" s="721"/>
      <c r="L36" s="629"/>
      <c r="M36" s="630"/>
      <c r="N36" s="631"/>
      <c r="O36" s="632"/>
      <c r="P36" s="632"/>
      <c r="Q36" s="632"/>
      <c r="R36" s="632"/>
      <c r="S36" s="632"/>
      <c r="T36" s="632"/>
      <c r="U36" s="632"/>
      <c r="V36" s="632"/>
      <c r="W36" s="632"/>
      <c r="X36" s="632"/>
      <c r="Y36" s="632"/>
      <c r="Z36" s="632"/>
      <c r="AA36" s="632"/>
      <c r="AB36" s="632"/>
      <c r="AC36" s="632"/>
      <c r="AD36" s="632"/>
      <c r="AE36" s="632"/>
      <c r="AF36" s="632"/>
      <c r="AG36" s="632"/>
      <c r="AH36" s="632"/>
      <c r="AI36" s="632"/>
      <c r="AJ36" s="632"/>
      <c r="AK36" s="632"/>
      <c r="AL36" s="632"/>
      <c r="AM36" s="632"/>
      <c r="AN36" s="632"/>
      <c r="AO36" s="632"/>
      <c r="AP36" s="632"/>
      <c r="AQ36" s="632"/>
      <c r="AR36" s="632"/>
      <c r="AS36" s="632"/>
      <c r="AT36" s="632"/>
      <c r="AU36" s="632"/>
      <c r="AV36" s="632"/>
      <c r="AW36" s="632"/>
      <c r="AX36" s="632"/>
      <c r="AY36" s="632"/>
      <c r="AZ36" s="632"/>
      <c r="BA36" s="633"/>
    </row>
    <row r="37" spans="2:53" ht="14.25">
      <c r="B37" s="1940"/>
      <c r="C37" s="1945" t="s">
        <v>2695</v>
      </c>
      <c r="D37" s="1946"/>
      <c r="E37" s="1946"/>
      <c r="F37" s="1946"/>
      <c r="G37" s="1946"/>
      <c r="H37" s="1947"/>
      <c r="I37" s="623" t="str">
        <f>係数!I37</f>
        <v>kL</v>
      </c>
      <c r="J37" s="882">
        <f t="shared" si="0"/>
        <v>0</v>
      </c>
      <c r="K37" s="721"/>
      <c r="L37" s="629"/>
      <c r="M37" s="630"/>
      <c r="N37" s="631"/>
      <c r="O37" s="632"/>
      <c r="P37" s="632"/>
      <c r="Q37" s="632"/>
      <c r="R37" s="632"/>
      <c r="S37" s="632"/>
      <c r="T37" s="632"/>
      <c r="U37" s="632"/>
      <c r="V37" s="632"/>
      <c r="W37" s="632"/>
      <c r="X37" s="632"/>
      <c r="Y37" s="632"/>
      <c r="Z37" s="632"/>
      <c r="AA37" s="632"/>
      <c r="AB37" s="632"/>
      <c r="AC37" s="632"/>
      <c r="AD37" s="632"/>
      <c r="AE37" s="632"/>
      <c r="AF37" s="632"/>
      <c r="AG37" s="632"/>
      <c r="AH37" s="632"/>
      <c r="AI37" s="632"/>
      <c r="AJ37" s="632"/>
      <c r="AK37" s="632"/>
      <c r="AL37" s="632"/>
      <c r="AM37" s="632"/>
      <c r="AN37" s="632"/>
      <c r="AO37" s="632"/>
      <c r="AP37" s="632"/>
      <c r="AQ37" s="632"/>
      <c r="AR37" s="632"/>
      <c r="AS37" s="632"/>
      <c r="AT37" s="632"/>
      <c r="AU37" s="632"/>
      <c r="AV37" s="632"/>
      <c r="AW37" s="632"/>
      <c r="AX37" s="632"/>
      <c r="AY37" s="632"/>
      <c r="AZ37" s="632"/>
      <c r="BA37" s="633"/>
    </row>
    <row r="38" spans="2:53" ht="14.25">
      <c r="B38" s="1940"/>
      <c r="C38" s="1945" t="s">
        <v>2696</v>
      </c>
      <c r="D38" s="1946"/>
      <c r="E38" s="1946"/>
      <c r="F38" s="1946"/>
      <c r="G38" s="1946"/>
      <c r="H38" s="1947"/>
      <c r="I38" s="623" t="str">
        <f>係数!I38</f>
        <v>kL</v>
      </c>
      <c r="J38" s="882">
        <f t="shared" si="0"/>
        <v>0</v>
      </c>
      <c r="K38" s="721"/>
      <c r="L38" s="629"/>
      <c r="M38" s="630"/>
      <c r="N38" s="631"/>
      <c r="O38" s="632"/>
      <c r="P38" s="632"/>
      <c r="Q38" s="632"/>
      <c r="R38" s="632"/>
      <c r="S38" s="632"/>
      <c r="T38" s="632"/>
      <c r="U38" s="632"/>
      <c r="V38" s="632"/>
      <c r="W38" s="632"/>
      <c r="X38" s="632"/>
      <c r="Y38" s="632"/>
      <c r="Z38" s="632"/>
      <c r="AA38" s="632"/>
      <c r="AB38" s="632"/>
      <c r="AC38" s="632"/>
      <c r="AD38" s="632"/>
      <c r="AE38" s="632"/>
      <c r="AF38" s="632"/>
      <c r="AG38" s="632"/>
      <c r="AH38" s="632"/>
      <c r="AI38" s="632"/>
      <c r="AJ38" s="632"/>
      <c r="AK38" s="632"/>
      <c r="AL38" s="632"/>
      <c r="AM38" s="632"/>
      <c r="AN38" s="632"/>
      <c r="AO38" s="632"/>
      <c r="AP38" s="632"/>
      <c r="AQ38" s="632"/>
      <c r="AR38" s="632"/>
      <c r="AS38" s="632"/>
      <c r="AT38" s="632"/>
      <c r="AU38" s="632"/>
      <c r="AV38" s="632"/>
      <c r="AW38" s="632"/>
      <c r="AX38" s="632"/>
      <c r="AY38" s="632"/>
      <c r="AZ38" s="632"/>
      <c r="BA38" s="633"/>
    </row>
    <row r="39" spans="2:53" ht="14.25">
      <c r="B39" s="1940"/>
      <c r="C39" s="1945" t="s">
        <v>2697</v>
      </c>
      <c r="D39" s="1946"/>
      <c r="E39" s="1946"/>
      <c r="F39" s="1946"/>
      <c r="G39" s="1946"/>
      <c r="H39" s="1947"/>
      <c r="I39" s="623" t="str">
        <f>係数!I39</f>
        <v>kL</v>
      </c>
      <c r="J39" s="882">
        <f t="shared" si="0"/>
        <v>0</v>
      </c>
      <c r="K39" s="721"/>
      <c r="L39" s="629"/>
      <c r="M39" s="630"/>
      <c r="N39" s="631"/>
      <c r="O39" s="632"/>
      <c r="P39" s="632"/>
      <c r="Q39" s="632"/>
      <c r="R39" s="63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32"/>
      <c r="AP39" s="632"/>
      <c r="AQ39" s="632"/>
      <c r="AR39" s="632"/>
      <c r="AS39" s="632"/>
      <c r="AT39" s="632"/>
      <c r="AU39" s="632"/>
      <c r="AV39" s="632"/>
      <c r="AW39" s="632"/>
      <c r="AX39" s="632"/>
      <c r="AY39" s="632"/>
      <c r="AZ39" s="632"/>
      <c r="BA39" s="633"/>
    </row>
    <row r="40" spans="2:53" ht="14.25">
      <c r="B40" s="1940"/>
      <c r="C40" s="1945" t="s">
        <v>2698</v>
      </c>
      <c r="D40" s="1946"/>
      <c r="E40" s="1946"/>
      <c r="F40" s="1946"/>
      <c r="G40" s="1946"/>
      <c r="H40" s="1947"/>
      <c r="I40" s="623" t="str">
        <f>係数!I40</f>
        <v>t</v>
      </c>
      <c r="J40" s="882">
        <f t="shared" si="0"/>
        <v>0</v>
      </c>
      <c r="K40" s="721"/>
      <c r="L40" s="629"/>
      <c r="M40" s="630"/>
      <c r="N40" s="631"/>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3"/>
    </row>
    <row r="41" spans="2:53" ht="14.25">
      <c r="B41" s="1940"/>
      <c r="C41" s="1945" t="s">
        <v>2700</v>
      </c>
      <c r="D41" s="1946"/>
      <c r="E41" s="1946"/>
      <c r="F41" s="1946"/>
      <c r="G41" s="1946"/>
      <c r="H41" s="1947"/>
      <c r="I41" s="623" t="str">
        <f>係数!I41</f>
        <v>t</v>
      </c>
      <c r="J41" s="882">
        <f t="shared" si="0"/>
        <v>0</v>
      </c>
      <c r="K41" s="721"/>
      <c r="L41" s="629"/>
      <c r="M41" s="630"/>
      <c r="N41" s="631"/>
      <c r="O41" s="632"/>
      <c r="P41" s="632"/>
      <c r="Q41" s="632"/>
      <c r="R41" s="632"/>
      <c r="S41" s="632"/>
      <c r="T41" s="632"/>
      <c r="U41" s="632"/>
      <c r="V41" s="632"/>
      <c r="W41" s="632"/>
      <c r="X41" s="632"/>
      <c r="Y41" s="632"/>
      <c r="Z41" s="632"/>
      <c r="AA41" s="632"/>
      <c r="AB41" s="632"/>
      <c r="AC41" s="632"/>
      <c r="AD41" s="632"/>
      <c r="AE41" s="632"/>
      <c r="AF41" s="632"/>
      <c r="AG41" s="632"/>
      <c r="AH41" s="632"/>
      <c r="AI41" s="632"/>
      <c r="AJ41" s="632"/>
      <c r="AK41" s="632"/>
      <c r="AL41" s="632"/>
      <c r="AM41" s="632"/>
      <c r="AN41" s="632"/>
      <c r="AO41" s="632"/>
      <c r="AP41" s="632"/>
      <c r="AQ41" s="632"/>
      <c r="AR41" s="632"/>
      <c r="AS41" s="632"/>
      <c r="AT41" s="632"/>
      <c r="AU41" s="632"/>
      <c r="AV41" s="632"/>
      <c r="AW41" s="632"/>
      <c r="AX41" s="632"/>
      <c r="AY41" s="632"/>
      <c r="AZ41" s="632"/>
      <c r="BA41" s="633"/>
    </row>
    <row r="42" spans="2:53" ht="14.25">
      <c r="B42" s="1940"/>
      <c r="C42" s="1971" t="s">
        <v>2701</v>
      </c>
      <c r="D42" s="1973" t="s">
        <v>2702</v>
      </c>
      <c r="E42" s="1973"/>
      <c r="F42" s="1973"/>
      <c r="G42" s="1973"/>
      <c r="H42" s="1973"/>
      <c r="I42" s="623" t="str">
        <f>係数!I42</f>
        <v>t</v>
      </c>
      <c r="J42" s="881">
        <f t="shared" si="0"/>
        <v>0</v>
      </c>
      <c r="K42" s="721"/>
      <c r="L42" s="629"/>
      <c r="M42" s="630"/>
      <c r="N42" s="631"/>
      <c r="O42" s="632"/>
      <c r="P42" s="632"/>
      <c r="Q42" s="632"/>
      <c r="R42" s="632"/>
      <c r="S42" s="632"/>
      <c r="T42" s="632"/>
      <c r="U42" s="632"/>
      <c r="V42" s="632"/>
      <c r="W42" s="632"/>
      <c r="X42" s="632"/>
      <c r="Y42" s="632"/>
      <c r="Z42" s="632"/>
      <c r="AA42" s="632"/>
      <c r="AB42" s="632"/>
      <c r="AC42" s="632"/>
      <c r="AD42" s="632"/>
      <c r="AE42" s="632"/>
      <c r="AF42" s="632"/>
      <c r="AG42" s="632"/>
      <c r="AH42" s="632"/>
      <c r="AI42" s="632"/>
      <c r="AJ42" s="632"/>
      <c r="AK42" s="632"/>
      <c r="AL42" s="632"/>
      <c r="AM42" s="632"/>
      <c r="AN42" s="632"/>
      <c r="AO42" s="632"/>
      <c r="AP42" s="632"/>
      <c r="AQ42" s="632"/>
      <c r="AR42" s="632"/>
      <c r="AS42" s="632"/>
      <c r="AT42" s="632"/>
      <c r="AU42" s="632"/>
      <c r="AV42" s="632"/>
      <c r="AW42" s="632"/>
      <c r="AX42" s="632"/>
      <c r="AY42" s="632"/>
      <c r="AZ42" s="632"/>
      <c r="BA42" s="633"/>
    </row>
    <row r="43" spans="2:53" ht="14.25">
      <c r="B43" s="1940"/>
      <c r="C43" s="1972"/>
      <c r="D43" s="1973" t="s">
        <v>2703</v>
      </c>
      <c r="E43" s="1973"/>
      <c r="F43" s="1973"/>
      <c r="G43" s="1973"/>
      <c r="H43" s="1973"/>
      <c r="I43" s="623" t="str">
        <f>係数!I43</f>
        <v>千㎥</v>
      </c>
      <c r="J43" s="881">
        <f t="shared" si="0"/>
        <v>0</v>
      </c>
      <c r="K43" s="721"/>
      <c r="L43" s="629"/>
      <c r="M43" s="630"/>
      <c r="N43" s="631"/>
      <c r="O43" s="632"/>
      <c r="P43" s="632"/>
      <c r="Q43" s="632"/>
      <c r="R43" s="632"/>
      <c r="S43" s="632"/>
      <c r="T43" s="632"/>
      <c r="U43" s="632"/>
      <c r="V43" s="632"/>
      <c r="W43" s="632"/>
      <c r="X43" s="632"/>
      <c r="Y43" s="632"/>
      <c r="Z43" s="632"/>
      <c r="AA43" s="632"/>
      <c r="AB43" s="632"/>
      <c r="AC43" s="632"/>
      <c r="AD43" s="632"/>
      <c r="AE43" s="632"/>
      <c r="AF43" s="632"/>
      <c r="AG43" s="632"/>
      <c r="AH43" s="632"/>
      <c r="AI43" s="632"/>
      <c r="AJ43" s="632"/>
      <c r="AK43" s="632"/>
      <c r="AL43" s="632"/>
      <c r="AM43" s="632"/>
      <c r="AN43" s="632"/>
      <c r="AO43" s="632"/>
      <c r="AP43" s="632"/>
      <c r="AQ43" s="632"/>
      <c r="AR43" s="632"/>
      <c r="AS43" s="632"/>
      <c r="AT43" s="632"/>
      <c r="AU43" s="632"/>
      <c r="AV43" s="632"/>
      <c r="AW43" s="632"/>
      <c r="AX43" s="632"/>
      <c r="AY43" s="632"/>
      <c r="AZ43" s="632"/>
      <c r="BA43" s="633"/>
    </row>
    <row r="44" spans="2:53" ht="14.25">
      <c r="B44" s="1940"/>
      <c r="C44" s="1987" t="s">
        <v>2705</v>
      </c>
      <c r="D44" s="1973" t="s">
        <v>2706</v>
      </c>
      <c r="E44" s="1973"/>
      <c r="F44" s="1973"/>
      <c r="G44" s="1973"/>
      <c r="H44" s="1973"/>
      <c r="I44" s="623" t="str">
        <f>係数!I44</f>
        <v>t</v>
      </c>
      <c r="J44" s="881">
        <f t="shared" si="0"/>
        <v>0</v>
      </c>
      <c r="K44" s="721"/>
      <c r="L44" s="629"/>
      <c r="M44" s="630"/>
      <c r="N44" s="631"/>
      <c r="O44" s="632"/>
      <c r="P44" s="632"/>
      <c r="Q44" s="632"/>
      <c r="R44" s="632"/>
      <c r="S44" s="632"/>
      <c r="T44" s="632"/>
      <c r="U44" s="632"/>
      <c r="V44" s="632"/>
      <c r="W44" s="632"/>
      <c r="X44" s="632"/>
      <c r="Y44" s="632"/>
      <c r="Z44" s="632"/>
      <c r="AA44" s="632"/>
      <c r="AB44" s="632"/>
      <c r="AC44" s="632"/>
      <c r="AD44" s="632"/>
      <c r="AE44" s="632"/>
      <c r="AF44" s="632"/>
      <c r="AG44" s="632"/>
      <c r="AH44" s="632"/>
      <c r="AI44" s="632"/>
      <c r="AJ44" s="632"/>
      <c r="AK44" s="632"/>
      <c r="AL44" s="632"/>
      <c r="AM44" s="632"/>
      <c r="AN44" s="632"/>
      <c r="AO44" s="632"/>
      <c r="AP44" s="632"/>
      <c r="AQ44" s="632"/>
      <c r="AR44" s="632"/>
      <c r="AS44" s="632"/>
      <c r="AT44" s="632"/>
      <c r="AU44" s="632"/>
      <c r="AV44" s="632"/>
      <c r="AW44" s="632"/>
      <c r="AX44" s="632"/>
      <c r="AY44" s="632"/>
      <c r="AZ44" s="632"/>
      <c r="BA44" s="633"/>
    </row>
    <row r="45" spans="2:53" ht="14.25">
      <c r="B45" s="1940"/>
      <c r="C45" s="1972"/>
      <c r="D45" s="1973" t="s">
        <v>2707</v>
      </c>
      <c r="E45" s="1973"/>
      <c r="F45" s="1973"/>
      <c r="G45" s="1973"/>
      <c r="H45" s="1973"/>
      <c r="I45" s="623" t="str">
        <f>係数!I45</f>
        <v>千㎥</v>
      </c>
      <c r="J45" s="881">
        <f t="shared" si="0"/>
        <v>0</v>
      </c>
      <c r="K45" s="721"/>
      <c r="L45" s="629"/>
      <c r="M45" s="630"/>
      <c r="N45" s="631"/>
      <c r="O45" s="632"/>
      <c r="P45" s="632"/>
      <c r="Q45" s="632"/>
      <c r="R45" s="632"/>
      <c r="S45" s="632"/>
      <c r="T45" s="632"/>
      <c r="U45" s="632"/>
      <c r="V45" s="632"/>
      <c r="W45" s="632"/>
      <c r="X45" s="632"/>
      <c r="Y45" s="632"/>
      <c r="Z45" s="632"/>
      <c r="AA45" s="632"/>
      <c r="AB45" s="632"/>
      <c r="AC45" s="632"/>
      <c r="AD45" s="632"/>
      <c r="AE45" s="632"/>
      <c r="AF45" s="632"/>
      <c r="AG45" s="632"/>
      <c r="AH45" s="632"/>
      <c r="AI45" s="632"/>
      <c r="AJ45" s="632"/>
      <c r="AK45" s="632"/>
      <c r="AL45" s="632"/>
      <c r="AM45" s="632"/>
      <c r="AN45" s="632"/>
      <c r="AO45" s="632"/>
      <c r="AP45" s="632"/>
      <c r="AQ45" s="632"/>
      <c r="AR45" s="632"/>
      <c r="AS45" s="632"/>
      <c r="AT45" s="632"/>
      <c r="AU45" s="632"/>
      <c r="AV45" s="632"/>
      <c r="AW45" s="632"/>
      <c r="AX45" s="632"/>
      <c r="AY45" s="632"/>
      <c r="AZ45" s="632"/>
      <c r="BA45" s="633"/>
    </row>
    <row r="46" spans="2:53" ht="14.25">
      <c r="B46" s="1940"/>
      <c r="C46" s="1988" t="s">
        <v>2708</v>
      </c>
      <c r="D46" s="1973" t="s">
        <v>2709</v>
      </c>
      <c r="E46" s="1973"/>
      <c r="F46" s="1973"/>
      <c r="G46" s="1973"/>
      <c r="H46" s="1973"/>
      <c r="I46" s="623" t="str">
        <f>係数!I46</f>
        <v>t</v>
      </c>
      <c r="J46" s="881">
        <f t="shared" si="0"/>
        <v>0</v>
      </c>
      <c r="K46" s="721"/>
      <c r="L46" s="629"/>
      <c r="M46" s="630"/>
      <c r="N46" s="631"/>
      <c r="O46" s="632"/>
      <c r="P46" s="632"/>
      <c r="Q46" s="632"/>
      <c r="R46" s="632"/>
      <c r="S46" s="632"/>
      <c r="T46" s="632"/>
      <c r="U46" s="632"/>
      <c r="V46" s="632"/>
      <c r="W46" s="632"/>
      <c r="X46" s="632"/>
      <c r="Y46" s="632"/>
      <c r="Z46" s="632"/>
      <c r="AA46" s="632"/>
      <c r="AB46" s="632"/>
      <c r="AC46" s="632"/>
      <c r="AD46" s="632"/>
      <c r="AE46" s="632"/>
      <c r="AF46" s="632"/>
      <c r="AG46" s="632"/>
      <c r="AH46" s="632"/>
      <c r="AI46" s="632"/>
      <c r="AJ46" s="632"/>
      <c r="AK46" s="632"/>
      <c r="AL46" s="632"/>
      <c r="AM46" s="632"/>
      <c r="AN46" s="632"/>
      <c r="AO46" s="632"/>
      <c r="AP46" s="632"/>
      <c r="AQ46" s="632"/>
      <c r="AR46" s="632"/>
      <c r="AS46" s="632"/>
      <c r="AT46" s="632"/>
      <c r="AU46" s="632"/>
      <c r="AV46" s="632"/>
      <c r="AW46" s="632"/>
      <c r="AX46" s="632"/>
      <c r="AY46" s="632"/>
      <c r="AZ46" s="632"/>
      <c r="BA46" s="633"/>
    </row>
    <row r="47" spans="2:53" ht="14.25">
      <c r="B47" s="1940"/>
      <c r="C47" s="1989"/>
      <c r="D47" s="1973" t="s">
        <v>2710</v>
      </c>
      <c r="E47" s="1973"/>
      <c r="F47" s="1973"/>
      <c r="G47" s="1973"/>
      <c r="H47" s="1973"/>
      <c r="I47" s="623" t="str">
        <f>係数!I47</f>
        <v>t</v>
      </c>
      <c r="J47" s="881">
        <f t="shared" si="0"/>
        <v>0</v>
      </c>
      <c r="K47" s="721"/>
      <c r="L47" s="629"/>
      <c r="M47" s="630"/>
      <c r="N47" s="631"/>
      <c r="O47" s="632"/>
      <c r="P47" s="632"/>
      <c r="Q47" s="632"/>
      <c r="R47" s="632"/>
      <c r="S47" s="632"/>
      <c r="T47" s="632"/>
      <c r="U47" s="632"/>
      <c r="V47" s="632"/>
      <c r="W47" s="632"/>
      <c r="X47" s="632"/>
      <c r="Y47" s="632"/>
      <c r="Z47" s="632"/>
      <c r="AA47" s="632"/>
      <c r="AB47" s="632"/>
      <c r="AC47" s="632"/>
      <c r="AD47" s="632"/>
      <c r="AE47" s="632"/>
      <c r="AF47" s="632"/>
      <c r="AG47" s="632"/>
      <c r="AH47" s="632"/>
      <c r="AI47" s="632"/>
      <c r="AJ47" s="632"/>
      <c r="AK47" s="632"/>
      <c r="AL47" s="632"/>
      <c r="AM47" s="632"/>
      <c r="AN47" s="632"/>
      <c r="AO47" s="632"/>
      <c r="AP47" s="632"/>
      <c r="AQ47" s="632"/>
      <c r="AR47" s="632"/>
      <c r="AS47" s="632"/>
      <c r="AT47" s="632"/>
      <c r="AU47" s="632"/>
      <c r="AV47" s="632"/>
      <c r="AW47" s="632"/>
      <c r="AX47" s="632"/>
      <c r="AY47" s="632"/>
      <c r="AZ47" s="632"/>
      <c r="BA47" s="633"/>
    </row>
    <row r="48" spans="2:53" ht="14.25">
      <c r="B48" s="1940"/>
      <c r="C48" s="1990"/>
      <c r="D48" s="1973" t="s">
        <v>2711</v>
      </c>
      <c r="E48" s="1973"/>
      <c r="F48" s="1973"/>
      <c r="G48" s="1973"/>
      <c r="H48" s="1973"/>
      <c r="I48" s="623" t="str">
        <f>係数!I48</f>
        <v>t</v>
      </c>
      <c r="J48" s="881">
        <f t="shared" si="0"/>
        <v>0</v>
      </c>
      <c r="K48" s="721"/>
      <c r="L48" s="629"/>
      <c r="M48" s="630"/>
      <c r="N48" s="631"/>
      <c r="O48" s="632"/>
      <c r="P48" s="632"/>
      <c r="Q48" s="632"/>
      <c r="R48" s="632"/>
      <c r="S48" s="632"/>
      <c r="T48" s="632"/>
      <c r="U48" s="632"/>
      <c r="V48" s="632"/>
      <c r="W48" s="632"/>
      <c r="X48" s="632"/>
      <c r="Y48" s="632"/>
      <c r="Z48" s="632"/>
      <c r="AA48" s="632"/>
      <c r="AB48" s="632"/>
      <c r="AC48" s="632"/>
      <c r="AD48" s="632"/>
      <c r="AE48" s="632"/>
      <c r="AF48" s="632"/>
      <c r="AG48" s="632"/>
      <c r="AH48" s="632"/>
      <c r="AI48" s="632"/>
      <c r="AJ48" s="632"/>
      <c r="AK48" s="632"/>
      <c r="AL48" s="632"/>
      <c r="AM48" s="632"/>
      <c r="AN48" s="632"/>
      <c r="AO48" s="632"/>
      <c r="AP48" s="632"/>
      <c r="AQ48" s="632"/>
      <c r="AR48" s="632"/>
      <c r="AS48" s="632"/>
      <c r="AT48" s="632"/>
      <c r="AU48" s="632"/>
      <c r="AV48" s="632"/>
      <c r="AW48" s="632"/>
      <c r="AX48" s="632"/>
      <c r="AY48" s="632"/>
      <c r="AZ48" s="632"/>
      <c r="BA48" s="633"/>
    </row>
    <row r="49" spans="2:53" ht="14.25">
      <c r="B49" s="1940"/>
      <c r="C49" s="1945" t="s">
        <v>2712</v>
      </c>
      <c r="D49" s="1946"/>
      <c r="E49" s="1946"/>
      <c r="F49" s="1946"/>
      <c r="G49" s="1946"/>
      <c r="H49" s="1947"/>
      <c r="I49" s="623" t="str">
        <f>係数!I49</f>
        <v>t</v>
      </c>
      <c r="J49" s="882">
        <f t="shared" si="0"/>
        <v>0</v>
      </c>
      <c r="K49" s="721"/>
      <c r="L49" s="629"/>
      <c r="M49" s="630"/>
      <c r="N49" s="631"/>
      <c r="O49" s="632"/>
      <c r="P49" s="632"/>
      <c r="Q49" s="632"/>
      <c r="R49" s="632"/>
      <c r="S49" s="632"/>
      <c r="T49" s="632"/>
      <c r="U49" s="632"/>
      <c r="V49" s="632"/>
      <c r="W49" s="632"/>
      <c r="X49" s="632"/>
      <c r="Y49" s="632"/>
      <c r="Z49" s="632"/>
      <c r="AA49" s="632"/>
      <c r="AB49" s="632"/>
      <c r="AC49" s="632"/>
      <c r="AD49" s="632"/>
      <c r="AE49" s="632"/>
      <c r="AF49" s="632"/>
      <c r="AG49" s="632"/>
      <c r="AH49" s="632"/>
      <c r="AI49" s="632"/>
      <c r="AJ49" s="632"/>
      <c r="AK49" s="632"/>
      <c r="AL49" s="632"/>
      <c r="AM49" s="632"/>
      <c r="AN49" s="632"/>
      <c r="AO49" s="632"/>
      <c r="AP49" s="632"/>
      <c r="AQ49" s="632"/>
      <c r="AR49" s="632"/>
      <c r="AS49" s="632"/>
      <c r="AT49" s="632"/>
      <c r="AU49" s="632"/>
      <c r="AV49" s="632"/>
      <c r="AW49" s="632"/>
      <c r="AX49" s="632"/>
      <c r="AY49" s="632"/>
      <c r="AZ49" s="632"/>
      <c r="BA49" s="633"/>
    </row>
    <row r="50" spans="2:53" ht="14.25">
      <c r="B50" s="1940"/>
      <c r="C50" s="1945" t="s">
        <v>2713</v>
      </c>
      <c r="D50" s="1946"/>
      <c r="E50" s="1946"/>
      <c r="F50" s="1946"/>
      <c r="G50" s="1946"/>
      <c r="H50" s="1947"/>
      <c r="I50" s="623" t="str">
        <f>係数!I50</f>
        <v>t</v>
      </c>
      <c r="J50" s="882">
        <f t="shared" si="0"/>
        <v>0</v>
      </c>
      <c r="K50" s="721"/>
      <c r="L50" s="629"/>
      <c r="M50" s="630"/>
      <c r="N50" s="631"/>
      <c r="O50" s="632"/>
      <c r="P50" s="632"/>
      <c r="Q50" s="632"/>
      <c r="R50" s="632"/>
      <c r="S50" s="632"/>
      <c r="T50" s="632"/>
      <c r="U50" s="632"/>
      <c r="V50" s="632"/>
      <c r="W50" s="632"/>
      <c r="X50" s="632"/>
      <c r="Y50" s="632"/>
      <c r="Z50" s="632"/>
      <c r="AA50" s="632"/>
      <c r="AB50" s="632"/>
      <c r="AC50" s="632"/>
      <c r="AD50" s="632"/>
      <c r="AE50" s="632"/>
      <c r="AF50" s="632"/>
      <c r="AG50" s="632"/>
      <c r="AH50" s="632"/>
      <c r="AI50" s="632"/>
      <c r="AJ50" s="632"/>
      <c r="AK50" s="632"/>
      <c r="AL50" s="632"/>
      <c r="AM50" s="632"/>
      <c r="AN50" s="632"/>
      <c r="AO50" s="632"/>
      <c r="AP50" s="632"/>
      <c r="AQ50" s="632"/>
      <c r="AR50" s="632"/>
      <c r="AS50" s="632"/>
      <c r="AT50" s="632"/>
      <c r="AU50" s="632"/>
      <c r="AV50" s="632"/>
      <c r="AW50" s="632"/>
      <c r="AX50" s="632"/>
      <c r="AY50" s="632"/>
      <c r="AZ50" s="632"/>
      <c r="BA50" s="633"/>
    </row>
    <row r="51" spans="2:53" ht="14.25">
      <c r="B51" s="1940"/>
      <c r="C51" s="1945" t="s">
        <v>2714</v>
      </c>
      <c r="D51" s="1946"/>
      <c r="E51" s="1946"/>
      <c r="F51" s="1946"/>
      <c r="G51" s="1946"/>
      <c r="H51" s="1947"/>
      <c r="I51" s="623" t="str">
        <f>係数!I51</f>
        <v>千㎥</v>
      </c>
      <c r="J51" s="881">
        <f t="shared" si="0"/>
        <v>0</v>
      </c>
      <c r="K51" s="721"/>
      <c r="L51" s="629"/>
      <c r="M51" s="630"/>
      <c r="N51" s="631"/>
      <c r="O51" s="632"/>
      <c r="P51" s="632"/>
      <c r="Q51" s="632"/>
      <c r="R51" s="632"/>
      <c r="S51" s="632"/>
      <c r="T51" s="632"/>
      <c r="U51" s="632"/>
      <c r="V51" s="632"/>
      <c r="W51" s="632"/>
      <c r="X51" s="632"/>
      <c r="Y51" s="632"/>
      <c r="Z51" s="632"/>
      <c r="AA51" s="632"/>
      <c r="AB51" s="632"/>
      <c r="AC51" s="632"/>
      <c r="AD51" s="632"/>
      <c r="AE51" s="632"/>
      <c r="AF51" s="632"/>
      <c r="AG51" s="632"/>
      <c r="AH51" s="632"/>
      <c r="AI51" s="632"/>
      <c r="AJ51" s="632"/>
      <c r="AK51" s="632"/>
      <c r="AL51" s="632"/>
      <c r="AM51" s="632"/>
      <c r="AN51" s="632"/>
      <c r="AO51" s="632"/>
      <c r="AP51" s="632"/>
      <c r="AQ51" s="632"/>
      <c r="AR51" s="632"/>
      <c r="AS51" s="632"/>
      <c r="AT51" s="632"/>
      <c r="AU51" s="632"/>
      <c r="AV51" s="632"/>
      <c r="AW51" s="632"/>
      <c r="AX51" s="632"/>
      <c r="AY51" s="632"/>
      <c r="AZ51" s="632"/>
      <c r="BA51" s="633"/>
    </row>
    <row r="52" spans="2:53" ht="14.25">
      <c r="B52" s="1940"/>
      <c r="C52" s="1945" t="s">
        <v>2715</v>
      </c>
      <c r="D52" s="1946"/>
      <c r="E52" s="1946"/>
      <c r="F52" s="1946"/>
      <c r="G52" s="1946"/>
      <c r="H52" s="1947"/>
      <c r="I52" s="623" t="str">
        <f>係数!I52</f>
        <v>千㎥</v>
      </c>
      <c r="J52" s="881">
        <f t="shared" si="0"/>
        <v>0</v>
      </c>
      <c r="K52" s="721"/>
      <c r="L52" s="629"/>
      <c r="M52" s="630"/>
      <c r="N52" s="631"/>
      <c r="O52" s="632"/>
      <c r="P52" s="632"/>
      <c r="Q52" s="632"/>
      <c r="R52" s="632"/>
      <c r="S52" s="632"/>
      <c r="T52" s="632"/>
      <c r="U52" s="632"/>
      <c r="V52" s="632"/>
      <c r="W52" s="632"/>
      <c r="X52" s="632"/>
      <c r="Y52" s="632"/>
      <c r="Z52" s="632"/>
      <c r="AA52" s="632"/>
      <c r="AB52" s="632"/>
      <c r="AC52" s="632"/>
      <c r="AD52" s="632"/>
      <c r="AE52" s="632"/>
      <c r="AF52" s="632"/>
      <c r="AG52" s="632"/>
      <c r="AH52" s="632"/>
      <c r="AI52" s="632"/>
      <c r="AJ52" s="632"/>
      <c r="AK52" s="632"/>
      <c r="AL52" s="632"/>
      <c r="AM52" s="632"/>
      <c r="AN52" s="632"/>
      <c r="AO52" s="632"/>
      <c r="AP52" s="632"/>
      <c r="AQ52" s="632"/>
      <c r="AR52" s="632"/>
      <c r="AS52" s="632"/>
      <c r="AT52" s="632"/>
      <c r="AU52" s="632"/>
      <c r="AV52" s="632"/>
      <c r="AW52" s="632"/>
      <c r="AX52" s="632"/>
      <c r="AY52" s="632"/>
      <c r="AZ52" s="632"/>
      <c r="BA52" s="633"/>
    </row>
    <row r="53" spans="2:53" ht="15" thickBot="1">
      <c r="B53" s="1940"/>
      <c r="C53" s="1945" t="s">
        <v>2716</v>
      </c>
      <c r="D53" s="1946"/>
      <c r="E53" s="1946"/>
      <c r="F53" s="1946"/>
      <c r="G53" s="1981"/>
      <c r="H53" s="1982"/>
      <c r="I53" s="623" t="str">
        <f>係数!I53</f>
        <v>千㎥</v>
      </c>
      <c r="J53" s="881">
        <f t="shared" si="0"/>
        <v>0</v>
      </c>
      <c r="K53" s="721"/>
      <c r="L53" s="629"/>
      <c r="M53" s="630"/>
      <c r="N53" s="631"/>
      <c r="O53" s="632"/>
      <c r="P53" s="632"/>
      <c r="Q53" s="632"/>
      <c r="R53" s="632"/>
      <c r="S53" s="632"/>
      <c r="T53" s="632"/>
      <c r="U53" s="632"/>
      <c r="V53" s="632"/>
      <c r="W53" s="632"/>
      <c r="X53" s="632"/>
      <c r="Y53" s="632"/>
      <c r="Z53" s="632"/>
      <c r="AA53" s="632"/>
      <c r="AB53" s="632"/>
      <c r="AC53" s="632"/>
      <c r="AD53" s="632"/>
      <c r="AE53" s="632"/>
      <c r="AF53" s="632"/>
      <c r="AG53" s="632"/>
      <c r="AH53" s="632"/>
      <c r="AI53" s="632"/>
      <c r="AJ53" s="632"/>
      <c r="AK53" s="632"/>
      <c r="AL53" s="632"/>
      <c r="AM53" s="632"/>
      <c r="AN53" s="632"/>
      <c r="AO53" s="632"/>
      <c r="AP53" s="632"/>
      <c r="AQ53" s="632"/>
      <c r="AR53" s="632"/>
      <c r="AS53" s="632"/>
      <c r="AT53" s="632"/>
      <c r="AU53" s="632"/>
      <c r="AV53" s="632"/>
      <c r="AW53" s="632"/>
      <c r="AX53" s="632"/>
      <c r="AY53" s="632"/>
      <c r="AZ53" s="632"/>
      <c r="BA53" s="633"/>
    </row>
    <row r="54" spans="2:53" ht="15.75" thickTop="1" thickBot="1">
      <c r="B54" s="1940"/>
      <c r="C54" s="634" t="s">
        <v>2717</v>
      </c>
      <c r="D54" s="1983" t="s">
        <v>2718</v>
      </c>
      <c r="E54" s="1984"/>
      <c r="F54" s="1984"/>
      <c r="G54" s="1985">
        <v>44.8</v>
      </c>
      <c r="H54" s="1986"/>
      <c r="I54" s="623" t="str">
        <f>係数!I54</f>
        <v>千㎥</v>
      </c>
      <c r="J54" s="881">
        <f t="shared" si="0"/>
        <v>0</v>
      </c>
      <c r="K54" s="721"/>
      <c r="L54" s="629"/>
      <c r="M54" s="630"/>
      <c r="N54" s="631"/>
      <c r="O54" s="632"/>
      <c r="P54" s="632"/>
      <c r="Q54" s="632"/>
      <c r="R54" s="632"/>
      <c r="S54" s="632"/>
      <c r="T54" s="632"/>
      <c r="U54" s="632"/>
      <c r="V54" s="632"/>
      <c r="W54" s="632"/>
      <c r="X54" s="632"/>
      <c r="Y54" s="632"/>
      <c r="Z54" s="632"/>
      <c r="AA54" s="632"/>
      <c r="AB54" s="632"/>
      <c r="AC54" s="632"/>
      <c r="AD54" s="632"/>
      <c r="AE54" s="632"/>
      <c r="AF54" s="632"/>
      <c r="AG54" s="632"/>
      <c r="AH54" s="632"/>
      <c r="AI54" s="632"/>
      <c r="AJ54" s="632"/>
      <c r="AK54" s="632"/>
      <c r="AL54" s="632"/>
      <c r="AM54" s="632"/>
      <c r="AN54" s="632"/>
      <c r="AO54" s="632"/>
      <c r="AP54" s="632"/>
      <c r="AQ54" s="632"/>
      <c r="AR54" s="632"/>
      <c r="AS54" s="632"/>
      <c r="AT54" s="632"/>
      <c r="AU54" s="632"/>
      <c r="AV54" s="632"/>
      <c r="AW54" s="632"/>
      <c r="AX54" s="632"/>
      <c r="AY54" s="632"/>
      <c r="AZ54" s="632"/>
      <c r="BA54" s="633"/>
    </row>
    <row r="55" spans="2:53" ht="15" thickTop="1">
      <c r="B55" s="1940"/>
      <c r="C55" s="1991" t="s">
        <v>123</v>
      </c>
      <c r="D55" s="1942" t="str">
        <f>係数!D55&amp;""</f>
        <v/>
      </c>
      <c r="E55" s="1942"/>
      <c r="F55" s="1942"/>
      <c r="G55" s="1943"/>
      <c r="H55" s="1943"/>
      <c r="I55" s="623" t="str">
        <f>係数!I55&amp;""</f>
        <v/>
      </c>
      <c r="J55" s="881">
        <f t="shared" si="0"/>
        <v>0</v>
      </c>
      <c r="K55" s="721"/>
      <c r="L55" s="629"/>
      <c r="M55" s="630"/>
      <c r="N55" s="631"/>
      <c r="O55" s="632"/>
      <c r="P55" s="632"/>
      <c r="Q55" s="632"/>
      <c r="R55" s="632"/>
      <c r="S55" s="632"/>
      <c r="T55" s="632"/>
      <c r="U55" s="632"/>
      <c r="V55" s="632"/>
      <c r="W55" s="632"/>
      <c r="X55" s="632"/>
      <c r="Y55" s="632"/>
      <c r="Z55" s="632"/>
      <c r="AA55" s="632"/>
      <c r="AB55" s="632"/>
      <c r="AC55" s="632"/>
      <c r="AD55" s="632"/>
      <c r="AE55" s="632"/>
      <c r="AF55" s="632"/>
      <c r="AG55" s="632"/>
      <c r="AH55" s="632"/>
      <c r="AI55" s="632"/>
      <c r="AJ55" s="632"/>
      <c r="AK55" s="632"/>
      <c r="AL55" s="632"/>
      <c r="AM55" s="632"/>
      <c r="AN55" s="632"/>
      <c r="AO55" s="632"/>
      <c r="AP55" s="632"/>
      <c r="AQ55" s="632"/>
      <c r="AR55" s="632"/>
      <c r="AS55" s="632"/>
      <c r="AT55" s="632"/>
      <c r="AU55" s="632"/>
      <c r="AV55" s="632"/>
      <c r="AW55" s="632"/>
      <c r="AX55" s="632"/>
      <c r="AY55" s="632"/>
      <c r="AZ55" s="632"/>
      <c r="BA55" s="633"/>
    </row>
    <row r="56" spans="2:53" ht="14.25">
      <c r="B56" s="1940"/>
      <c r="C56" s="1992"/>
      <c r="D56" s="1942" t="str">
        <f>係数!D56&amp;""</f>
        <v/>
      </c>
      <c r="E56" s="1942"/>
      <c r="F56" s="1942"/>
      <c r="G56" s="1943"/>
      <c r="H56" s="1943"/>
      <c r="I56" s="623" t="str">
        <f>係数!I56&amp;""</f>
        <v/>
      </c>
      <c r="J56" s="881">
        <f t="shared" si="0"/>
        <v>0</v>
      </c>
      <c r="K56" s="721"/>
      <c r="L56" s="629"/>
      <c r="M56" s="630"/>
      <c r="N56" s="631"/>
      <c r="O56" s="632"/>
      <c r="P56" s="632"/>
      <c r="Q56" s="632"/>
      <c r="R56" s="632"/>
      <c r="S56" s="632"/>
      <c r="T56" s="632"/>
      <c r="U56" s="632"/>
      <c r="V56" s="632"/>
      <c r="W56" s="632"/>
      <c r="X56" s="632"/>
      <c r="Y56" s="632"/>
      <c r="Z56" s="632"/>
      <c r="AA56" s="632"/>
      <c r="AB56" s="632"/>
      <c r="AC56" s="632"/>
      <c r="AD56" s="632"/>
      <c r="AE56" s="632"/>
      <c r="AF56" s="632"/>
      <c r="AG56" s="632"/>
      <c r="AH56" s="632"/>
      <c r="AI56" s="632"/>
      <c r="AJ56" s="632"/>
      <c r="AK56" s="632"/>
      <c r="AL56" s="632"/>
      <c r="AM56" s="632"/>
      <c r="AN56" s="632"/>
      <c r="AO56" s="632"/>
      <c r="AP56" s="632"/>
      <c r="AQ56" s="632"/>
      <c r="AR56" s="632"/>
      <c r="AS56" s="632"/>
      <c r="AT56" s="632"/>
      <c r="AU56" s="632"/>
      <c r="AV56" s="632"/>
      <c r="AW56" s="632"/>
      <c r="AX56" s="632"/>
      <c r="AY56" s="632"/>
      <c r="AZ56" s="632"/>
      <c r="BA56" s="633"/>
    </row>
    <row r="57" spans="2:53" ht="14.25">
      <c r="B57" s="1940"/>
      <c r="C57" s="1993"/>
      <c r="D57" s="1942" t="str">
        <f>係数!D57&amp;""</f>
        <v/>
      </c>
      <c r="E57" s="1942"/>
      <c r="F57" s="1942"/>
      <c r="G57" s="1943"/>
      <c r="H57" s="1943"/>
      <c r="I57" s="623" t="str">
        <f>係数!I57&amp;""</f>
        <v/>
      </c>
      <c r="J57" s="881">
        <f t="shared" si="0"/>
        <v>0</v>
      </c>
      <c r="K57" s="721"/>
      <c r="L57" s="629"/>
      <c r="M57" s="630"/>
      <c r="N57" s="631"/>
      <c r="O57" s="632"/>
      <c r="P57" s="632"/>
      <c r="Q57" s="632"/>
      <c r="R57" s="632"/>
      <c r="S57" s="632"/>
      <c r="T57" s="632"/>
      <c r="U57" s="632"/>
      <c r="V57" s="632"/>
      <c r="W57" s="632"/>
      <c r="X57" s="632"/>
      <c r="Y57" s="632"/>
      <c r="Z57" s="632"/>
      <c r="AA57" s="632"/>
      <c r="AB57" s="632"/>
      <c r="AC57" s="632"/>
      <c r="AD57" s="632"/>
      <c r="AE57" s="632"/>
      <c r="AF57" s="632"/>
      <c r="AG57" s="632"/>
      <c r="AH57" s="632"/>
      <c r="AI57" s="632"/>
      <c r="AJ57" s="632"/>
      <c r="AK57" s="632"/>
      <c r="AL57" s="632"/>
      <c r="AM57" s="632"/>
      <c r="AN57" s="632"/>
      <c r="AO57" s="632"/>
      <c r="AP57" s="632"/>
      <c r="AQ57" s="632"/>
      <c r="AR57" s="632"/>
      <c r="AS57" s="632"/>
      <c r="AT57" s="632"/>
      <c r="AU57" s="632"/>
      <c r="AV57" s="632"/>
      <c r="AW57" s="632"/>
      <c r="AX57" s="632"/>
      <c r="AY57" s="632"/>
      <c r="AZ57" s="632"/>
      <c r="BA57" s="633"/>
    </row>
    <row r="58" spans="2:53">
      <c r="B58" s="1188"/>
      <c r="C58" s="1948" t="s">
        <v>2721</v>
      </c>
      <c r="D58" s="1949"/>
      <c r="E58" s="1949"/>
      <c r="F58" s="1949"/>
      <c r="G58" s="1949"/>
      <c r="H58" s="1951"/>
      <c r="I58" s="1816" t="s">
        <v>6029</v>
      </c>
      <c r="J58" s="1183"/>
      <c r="K58" s="1179"/>
      <c r="L58" s="1180"/>
      <c r="M58" s="1181"/>
      <c r="N58" s="1182"/>
      <c r="O58" s="1180"/>
      <c r="P58" s="1180"/>
      <c r="Q58" s="1180"/>
      <c r="R58" s="1180"/>
      <c r="S58" s="1180"/>
      <c r="T58" s="1180"/>
      <c r="U58" s="1180"/>
      <c r="V58" s="1180"/>
      <c r="W58" s="1180"/>
      <c r="X58" s="1180"/>
      <c r="Y58" s="1180"/>
      <c r="Z58" s="1180"/>
      <c r="AA58" s="1180"/>
      <c r="AB58" s="1180"/>
      <c r="AC58" s="1180"/>
      <c r="AD58" s="1180"/>
      <c r="AE58" s="1180"/>
      <c r="AF58" s="1180"/>
      <c r="AG58" s="1180"/>
      <c r="AH58" s="1180"/>
      <c r="AI58" s="1180"/>
      <c r="AJ58" s="1180"/>
      <c r="AK58" s="1180"/>
      <c r="AL58" s="1180"/>
      <c r="AM58" s="1180"/>
      <c r="AN58" s="1180"/>
      <c r="AO58" s="1180"/>
      <c r="AP58" s="1180"/>
      <c r="AQ58" s="1180"/>
      <c r="AR58" s="1180"/>
      <c r="AS58" s="1180"/>
      <c r="AT58" s="1180"/>
      <c r="AU58" s="1180"/>
      <c r="AV58" s="1180"/>
      <c r="AW58" s="1180"/>
      <c r="AX58" s="1180"/>
      <c r="AY58" s="1180"/>
      <c r="AZ58" s="1180"/>
      <c r="BA58" s="1181"/>
    </row>
    <row r="59" spans="2:53" ht="14.25">
      <c r="B59" s="1944" t="s">
        <v>220</v>
      </c>
      <c r="C59" s="1945" t="s">
        <v>2722</v>
      </c>
      <c r="D59" s="1946"/>
      <c r="E59" s="1946"/>
      <c r="F59" s="1946"/>
      <c r="G59" s="1946"/>
      <c r="H59" s="1947"/>
      <c r="I59" s="623" t="str">
        <f>係数!I59</f>
        <v>GJ</v>
      </c>
      <c r="J59" s="882">
        <f t="shared" ref="J59:J62" si="1">SUM(K59:BA59)</f>
        <v>0</v>
      </c>
      <c r="K59" s="721"/>
      <c r="L59" s="629"/>
      <c r="M59" s="630"/>
      <c r="N59" s="631"/>
      <c r="O59" s="632"/>
      <c r="P59" s="632"/>
      <c r="Q59" s="632"/>
      <c r="R59" s="632"/>
      <c r="S59" s="632"/>
      <c r="T59" s="632"/>
      <c r="U59" s="632"/>
      <c r="V59" s="632"/>
      <c r="W59" s="632"/>
      <c r="X59" s="632"/>
      <c r="Y59" s="632"/>
      <c r="Z59" s="632"/>
      <c r="AA59" s="632"/>
      <c r="AB59" s="632"/>
      <c r="AC59" s="632"/>
      <c r="AD59" s="632"/>
      <c r="AE59" s="632"/>
      <c r="AF59" s="632"/>
      <c r="AG59" s="632"/>
      <c r="AH59" s="632"/>
      <c r="AI59" s="632"/>
      <c r="AJ59" s="632"/>
      <c r="AK59" s="632"/>
      <c r="AL59" s="632"/>
      <c r="AM59" s="632"/>
      <c r="AN59" s="632"/>
      <c r="AO59" s="632"/>
      <c r="AP59" s="632"/>
      <c r="AQ59" s="632"/>
      <c r="AR59" s="632"/>
      <c r="AS59" s="632"/>
      <c r="AT59" s="632"/>
      <c r="AU59" s="632"/>
      <c r="AV59" s="632"/>
      <c r="AW59" s="632"/>
      <c r="AX59" s="632"/>
      <c r="AY59" s="632"/>
      <c r="AZ59" s="632"/>
      <c r="BA59" s="633"/>
    </row>
    <row r="60" spans="2:53" ht="14.25">
      <c r="B60" s="1940"/>
      <c r="C60" s="1945" t="s">
        <v>2724</v>
      </c>
      <c r="D60" s="1946"/>
      <c r="E60" s="1946"/>
      <c r="F60" s="1946"/>
      <c r="G60" s="1946"/>
      <c r="H60" s="1947"/>
      <c r="I60" s="623" t="str">
        <f>係数!I60</f>
        <v>GJ</v>
      </c>
      <c r="J60" s="882">
        <f t="shared" si="1"/>
        <v>0</v>
      </c>
      <c r="K60" s="721"/>
      <c r="L60" s="629"/>
      <c r="M60" s="630"/>
      <c r="N60" s="631"/>
      <c r="O60" s="632"/>
      <c r="P60" s="632"/>
      <c r="Q60" s="632"/>
      <c r="R60" s="632"/>
      <c r="S60" s="632"/>
      <c r="T60" s="632"/>
      <c r="U60" s="632"/>
      <c r="V60" s="632"/>
      <c r="W60" s="632"/>
      <c r="X60" s="632"/>
      <c r="Y60" s="632"/>
      <c r="Z60" s="632"/>
      <c r="AA60" s="632"/>
      <c r="AB60" s="632"/>
      <c r="AC60" s="632"/>
      <c r="AD60" s="632"/>
      <c r="AE60" s="632"/>
      <c r="AF60" s="632"/>
      <c r="AG60" s="632"/>
      <c r="AH60" s="632"/>
      <c r="AI60" s="632"/>
      <c r="AJ60" s="632"/>
      <c r="AK60" s="632"/>
      <c r="AL60" s="632"/>
      <c r="AM60" s="632"/>
      <c r="AN60" s="632"/>
      <c r="AO60" s="632"/>
      <c r="AP60" s="632"/>
      <c r="AQ60" s="632"/>
      <c r="AR60" s="632"/>
      <c r="AS60" s="632"/>
      <c r="AT60" s="632"/>
      <c r="AU60" s="632"/>
      <c r="AV60" s="632"/>
      <c r="AW60" s="632"/>
      <c r="AX60" s="632"/>
      <c r="AY60" s="632"/>
      <c r="AZ60" s="632"/>
      <c r="BA60" s="633"/>
    </row>
    <row r="61" spans="2:53" ht="14.25">
      <c r="B61" s="1940"/>
      <c r="C61" s="1945" t="s">
        <v>2725</v>
      </c>
      <c r="D61" s="1946"/>
      <c r="E61" s="1946"/>
      <c r="F61" s="1946"/>
      <c r="G61" s="1946"/>
      <c r="H61" s="1947"/>
      <c r="I61" s="623" t="str">
        <f>係数!I61</f>
        <v>GJ</v>
      </c>
      <c r="J61" s="882">
        <f t="shared" si="1"/>
        <v>0</v>
      </c>
      <c r="K61" s="721"/>
      <c r="L61" s="629"/>
      <c r="M61" s="630"/>
      <c r="N61" s="631"/>
      <c r="O61" s="632"/>
      <c r="P61" s="632"/>
      <c r="Q61" s="632"/>
      <c r="R61" s="632"/>
      <c r="S61" s="632"/>
      <c r="T61" s="632"/>
      <c r="U61" s="632"/>
      <c r="V61" s="632"/>
      <c r="W61" s="632"/>
      <c r="X61" s="632"/>
      <c r="Y61" s="632"/>
      <c r="Z61" s="632"/>
      <c r="AA61" s="632"/>
      <c r="AB61" s="632"/>
      <c r="AC61" s="632"/>
      <c r="AD61" s="632"/>
      <c r="AE61" s="632"/>
      <c r="AF61" s="632"/>
      <c r="AG61" s="632"/>
      <c r="AH61" s="632"/>
      <c r="AI61" s="632"/>
      <c r="AJ61" s="632"/>
      <c r="AK61" s="632"/>
      <c r="AL61" s="632"/>
      <c r="AM61" s="632"/>
      <c r="AN61" s="632"/>
      <c r="AO61" s="632"/>
      <c r="AP61" s="632"/>
      <c r="AQ61" s="632"/>
      <c r="AR61" s="632"/>
      <c r="AS61" s="632"/>
      <c r="AT61" s="632"/>
      <c r="AU61" s="632"/>
      <c r="AV61" s="632"/>
      <c r="AW61" s="632"/>
      <c r="AX61" s="632"/>
      <c r="AY61" s="632"/>
      <c r="AZ61" s="632"/>
      <c r="BA61" s="633"/>
    </row>
    <row r="62" spans="2:53" ht="14.25">
      <c r="B62" s="1940"/>
      <c r="C62" s="1945" t="s">
        <v>2726</v>
      </c>
      <c r="D62" s="1946"/>
      <c r="E62" s="1946"/>
      <c r="F62" s="1946"/>
      <c r="G62" s="1946"/>
      <c r="H62" s="1947"/>
      <c r="I62" s="623" t="str">
        <f>係数!I62</f>
        <v>GJ</v>
      </c>
      <c r="J62" s="882">
        <f t="shared" si="1"/>
        <v>0</v>
      </c>
      <c r="K62" s="721"/>
      <c r="L62" s="629"/>
      <c r="M62" s="630"/>
      <c r="N62" s="631"/>
      <c r="O62" s="632"/>
      <c r="P62" s="632"/>
      <c r="Q62" s="632"/>
      <c r="R62" s="632"/>
      <c r="S62" s="632"/>
      <c r="T62" s="632"/>
      <c r="U62" s="632"/>
      <c r="V62" s="632"/>
      <c r="W62" s="632"/>
      <c r="X62" s="632"/>
      <c r="Y62" s="632"/>
      <c r="Z62" s="632"/>
      <c r="AA62" s="632"/>
      <c r="AB62" s="632"/>
      <c r="AC62" s="632"/>
      <c r="AD62" s="632"/>
      <c r="AE62" s="632"/>
      <c r="AF62" s="632"/>
      <c r="AG62" s="632"/>
      <c r="AH62" s="632"/>
      <c r="AI62" s="632"/>
      <c r="AJ62" s="632"/>
      <c r="AK62" s="632"/>
      <c r="AL62" s="632"/>
      <c r="AM62" s="632"/>
      <c r="AN62" s="632"/>
      <c r="AO62" s="632"/>
      <c r="AP62" s="632"/>
      <c r="AQ62" s="632"/>
      <c r="AR62" s="632"/>
      <c r="AS62" s="632"/>
      <c r="AT62" s="632"/>
      <c r="AU62" s="632"/>
      <c r="AV62" s="632"/>
      <c r="AW62" s="632"/>
      <c r="AX62" s="632"/>
      <c r="AY62" s="632"/>
      <c r="AZ62" s="632"/>
      <c r="BA62" s="633"/>
    </row>
    <row r="63" spans="2:53">
      <c r="B63" s="1188"/>
      <c r="C63" s="1948" t="s">
        <v>2721</v>
      </c>
      <c r="D63" s="1949"/>
      <c r="E63" s="1949"/>
      <c r="F63" s="1949"/>
      <c r="G63" s="1949"/>
      <c r="H63" s="1950"/>
      <c r="I63" s="1183" t="s">
        <v>2740</v>
      </c>
      <c r="J63" s="1183">
        <f>SUM(K63:BA63)</f>
        <v>0</v>
      </c>
      <c r="K63" s="1184">
        <f>SUM(K59:K62)</f>
        <v>0</v>
      </c>
      <c r="L63" s="1185">
        <f t="shared" ref="L63:U63" si="2">SUM(L59:L62)</f>
        <v>0</v>
      </c>
      <c r="M63" s="1186">
        <f t="shared" si="2"/>
        <v>0</v>
      </c>
      <c r="N63" s="1187">
        <f t="shared" si="2"/>
        <v>0</v>
      </c>
      <c r="O63" s="1185">
        <f t="shared" si="2"/>
        <v>0</v>
      </c>
      <c r="P63" s="1185">
        <f t="shared" si="2"/>
        <v>0</v>
      </c>
      <c r="Q63" s="1185">
        <f t="shared" si="2"/>
        <v>0</v>
      </c>
      <c r="R63" s="1185">
        <f t="shared" si="2"/>
        <v>0</v>
      </c>
      <c r="S63" s="1185">
        <f t="shared" si="2"/>
        <v>0</v>
      </c>
      <c r="T63" s="1185">
        <f t="shared" si="2"/>
        <v>0</v>
      </c>
      <c r="U63" s="1185">
        <f t="shared" si="2"/>
        <v>0</v>
      </c>
      <c r="V63" s="1185">
        <f t="shared" ref="V63:AZ63" si="3">SUM(V59:V62)</f>
        <v>0</v>
      </c>
      <c r="W63" s="1185">
        <f t="shared" ref="W63:AM63" si="4">SUM(W59:W62)</f>
        <v>0</v>
      </c>
      <c r="X63" s="1185">
        <f t="shared" si="4"/>
        <v>0</v>
      </c>
      <c r="Y63" s="1185">
        <f t="shared" si="4"/>
        <v>0</v>
      </c>
      <c r="Z63" s="1185">
        <f t="shared" ref="Z63:AF63" si="5">SUM(Z59:Z62)</f>
        <v>0</v>
      </c>
      <c r="AA63" s="1185">
        <f t="shared" si="5"/>
        <v>0</v>
      </c>
      <c r="AB63" s="1185">
        <f t="shared" si="5"/>
        <v>0</v>
      </c>
      <c r="AC63" s="1185">
        <f t="shared" si="5"/>
        <v>0</v>
      </c>
      <c r="AD63" s="1185">
        <f t="shared" si="5"/>
        <v>0</v>
      </c>
      <c r="AE63" s="1185">
        <f t="shared" si="5"/>
        <v>0</v>
      </c>
      <c r="AF63" s="1185">
        <f t="shared" si="5"/>
        <v>0</v>
      </c>
      <c r="AG63" s="1185">
        <f t="shared" si="4"/>
        <v>0</v>
      </c>
      <c r="AH63" s="1185">
        <f t="shared" si="4"/>
        <v>0</v>
      </c>
      <c r="AI63" s="1185">
        <f t="shared" si="4"/>
        <v>0</v>
      </c>
      <c r="AJ63" s="1185">
        <f t="shared" si="4"/>
        <v>0</v>
      </c>
      <c r="AK63" s="1185">
        <f t="shared" si="4"/>
        <v>0</v>
      </c>
      <c r="AL63" s="1185">
        <f t="shared" si="4"/>
        <v>0</v>
      </c>
      <c r="AM63" s="1185">
        <f t="shared" si="4"/>
        <v>0</v>
      </c>
      <c r="AN63" s="1185">
        <f t="shared" si="3"/>
        <v>0</v>
      </c>
      <c r="AO63" s="1185">
        <f t="shared" si="3"/>
        <v>0</v>
      </c>
      <c r="AP63" s="1185">
        <f t="shared" si="3"/>
        <v>0</v>
      </c>
      <c r="AQ63" s="1185">
        <f t="shared" si="3"/>
        <v>0</v>
      </c>
      <c r="AR63" s="1185">
        <f t="shared" si="3"/>
        <v>0</v>
      </c>
      <c r="AS63" s="1185">
        <f t="shared" ref="AS63:AU63" si="6">SUM(AS59:AS62)</f>
        <v>0</v>
      </c>
      <c r="AT63" s="1185">
        <f t="shared" si="6"/>
        <v>0</v>
      </c>
      <c r="AU63" s="1185">
        <f t="shared" si="6"/>
        <v>0</v>
      </c>
      <c r="AV63" s="1185">
        <f t="shared" si="3"/>
        <v>0</v>
      </c>
      <c r="AW63" s="1185">
        <f t="shared" si="3"/>
        <v>0</v>
      </c>
      <c r="AX63" s="1185">
        <f t="shared" si="3"/>
        <v>0</v>
      </c>
      <c r="AY63" s="1185">
        <f t="shared" si="3"/>
        <v>0</v>
      </c>
      <c r="AZ63" s="1185">
        <f t="shared" si="3"/>
        <v>0</v>
      </c>
      <c r="BA63" s="1186">
        <f t="shared" ref="BA63" si="7">SUM(BA59:BA62)</f>
        <v>0</v>
      </c>
    </row>
    <row r="64" spans="2:53" ht="70.150000000000006" customHeight="1" thickBot="1">
      <c r="B64" s="1189"/>
      <c r="C64" s="1175"/>
      <c r="D64" s="1175"/>
      <c r="E64" s="1175"/>
      <c r="F64" s="1175"/>
      <c r="G64" s="1175"/>
      <c r="H64" s="1176"/>
      <c r="I64" s="1177"/>
      <c r="J64" s="1178"/>
      <c r="K64" s="1179"/>
      <c r="L64" s="1180"/>
      <c r="M64" s="1181"/>
      <c r="N64" s="1182"/>
      <c r="O64" s="1180"/>
      <c r="P64" s="1180"/>
      <c r="Q64" s="1180"/>
      <c r="R64" s="1180"/>
      <c r="S64" s="1180"/>
      <c r="T64" s="1180"/>
      <c r="U64" s="1180"/>
      <c r="V64" s="1180"/>
      <c r="W64" s="1180"/>
      <c r="X64" s="1180"/>
      <c r="Y64" s="1180"/>
      <c r="Z64" s="1180"/>
      <c r="AA64" s="1180"/>
      <c r="AB64" s="1180"/>
      <c r="AC64" s="1180"/>
      <c r="AD64" s="1180"/>
      <c r="AE64" s="1180"/>
      <c r="AF64" s="1180"/>
      <c r="AG64" s="1180"/>
      <c r="AH64" s="1180"/>
      <c r="AI64" s="1180"/>
      <c r="AJ64" s="1180"/>
      <c r="AK64" s="1180"/>
      <c r="AL64" s="1180"/>
      <c r="AM64" s="1180"/>
      <c r="AN64" s="1180"/>
      <c r="AO64" s="1180"/>
      <c r="AP64" s="1180"/>
      <c r="AQ64" s="1180"/>
      <c r="AR64" s="1180"/>
      <c r="AS64" s="1180"/>
      <c r="AT64" s="1180"/>
      <c r="AU64" s="1180"/>
      <c r="AV64" s="1180"/>
      <c r="AW64" s="1180"/>
      <c r="AX64" s="1180"/>
      <c r="AY64" s="1180"/>
      <c r="AZ64" s="1180"/>
      <c r="BA64" s="1181"/>
    </row>
    <row r="65" spans="2:53" ht="17.45" customHeight="1" thickTop="1">
      <c r="B65" s="1938" t="s">
        <v>2727</v>
      </c>
      <c r="C65" s="1926" t="s">
        <v>4301</v>
      </c>
      <c r="D65" s="1927"/>
      <c r="E65" s="1891" t="e">
        <f>VLOOKUP($C65,電力会社!$I$4:$L$1033,2,FALSE)</f>
        <v>#N/A</v>
      </c>
      <c r="F65" s="1213" t="s">
        <v>2684</v>
      </c>
      <c r="G65" s="1213" t="s">
        <v>571</v>
      </c>
      <c r="H65" s="1210" t="s">
        <v>2728</v>
      </c>
      <c r="I65" s="623" t="str">
        <f>係数!I65</f>
        <v>千kWh</v>
      </c>
      <c r="J65" s="883">
        <f t="shared" ref="J65:J104" si="8">SUM(K65:BA65)</f>
        <v>0</v>
      </c>
      <c r="K65" s="721"/>
      <c r="L65" s="629"/>
      <c r="M65" s="630"/>
      <c r="N65" s="631"/>
      <c r="O65" s="632"/>
      <c r="P65" s="632"/>
      <c r="Q65" s="632"/>
      <c r="R65" s="632"/>
      <c r="S65" s="632"/>
      <c r="T65" s="632"/>
      <c r="U65" s="632"/>
      <c r="V65" s="632"/>
      <c r="W65" s="632"/>
      <c r="X65" s="632"/>
      <c r="Y65" s="632"/>
      <c r="Z65" s="632"/>
      <c r="AA65" s="632"/>
      <c r="AB65" s="632"/>
      <c r="AC65" s="632"/>
      <c r="AD65" s="632"/>
      <c r="AE65" s="632"/>
      <c r="AF65" s="632"/>
      <c r="AG65" s="632"/>
      <c r="AH65" s="632"/>
      <c r="AI65" s="632"/>
      <c r="AJ65" s="632"/>
      <c r="AK65" s="632"/>
      <c r="AL65" s="632"/>
      <c r="AM65" s="632"/>
      <c r="AN65" s="632"/>
      <c r="AO65" s="632"/>
      <c r="AP65" s="632"/>
      <c r="AQ65" s="632"/>
      <c r="AR65" s="632"/>
      <c r="AS65" s="632"/>
      <c r="AT65" s="632"/>
      <c r="AU65" s="632"/>
      <c r="AV65" s="632"/>
      <c r="AW65" s="632"/>
      <c r="AX65" s="632"/>
      <c r="AY65" s="632"/>
      <c r="AZ65" s="632"/>
      <c r="BA65" s="633"/>
    </row>
    <row r="66" spans="2:53" ht="17.45" customHeight="1" thickBot="1">
      <c r="B66" s="1939"/>
      <c r="C66" s="1928"/>
      <c r="D66" s="1929"/>
      <c r="E66" s="1891"/>
      <c r="F66" s="975" t="e">
        <f>VLOOKUP($C65,電力会社!$I$4:$L$1033,3,FALSE)</f>
        <v>#N/A</v>
      </c>
      <c r="G66" s="976" t="e">
        <f>VLOOKUP($C65,電力会社!$I$4:$L$1033,4,FALSE)</f>
        <v>#N/A</v>
      </c>
      <c r="H66" s="1210" t="s">
        <v>2731</v>
      </c>
      <c r="I66" s="623" t="str">
        <f>係数!I66</f>
        <v>千kWh</v>
      </c>
      <c r="J66" s="883">
        <f t="shared" si="8"/>
        <v>0</v>
      </c>
      <c r="K66" s="721"/>
      <c r="L66" s="629"/>
      <c r="M66" s="630"/>
      <c r="N66" s="631"/>
      <c r="O66" s="632"/>
      <c r="P66" s="632"/>
      <c r="Q66" s="632"/>
      <c r="R66" s="632"/>
      <c r="S66" s="632"/>
      <c r="T66" s="632"/>
      <c r="U66" s="632"/>
      <c r="V66" s="632"/>
      <c r="W66" s="632"/>
      <c r="X66" s="632"/>
      <c r="Y66" s="632"/>
      <c r="Z66" s="632"/>
      <c r="AA66" s="632"/>
      <c r="AB66" s="632"/>
      <c r="AC66" s="632"/>
      <c r="AD66" s="632"/>
      <c r="AE66" s="632"/>
      <c r="AF66" s="632"/>
      <c r="AG66" s="632"/>
      <c r="AH66" s="632"/>
      <c r="AI66" s="632"/>
      <c r="AJ66" s="632"/>
      <c r="AK66" s="632"/>
      <c r="AL66" s="632"/>
      <c r="AM66" s="632"/>
      <c r="AN66" s="632"/>
      <c r="AO66" s="632"/>
      <c r="AP66" s="632"/>
      <c r="AQ66" s="632"/>
      <c r="AR66" s="632"/>
      <c r="AS66" s="632"/>
      <c r="AT66" s="632"/>
      <c r="AU66" s="632"/>
      <c r="AV66" s="632"/>
      <c r="AW66" s="632"/>
      <c r="AX66" s="632"/>
      <c r="AY66" s="632"/>
      <c r="AZ66" s="632"/>
      <c r="BA66" s="633"/>
    </row>
    <row r="67" spans="2:53" ht="17.45" customHeight="1" thickTop="1">
      <c r="B67" s="1939"/>
      <c r="C67" s="1926" t="s">
        <v>2756</v>
      </c>
      <c r="D67" s="1927"/>
      <c r="E67" s="1891" t="e">
        <f>VLOOKUP($C67,電力会社!$I$4:$L$1033,2,FALSE)</f>
        <v>#N/A</v>
      </c>
      <c r="F67" s="1213" t="s">
        <v>2684</v>
      </c>
      <c r="G67" s="1213" t="s">
        <v>571</v>
      </c>
      <c r="H67" s="1210" t="s">
        <v>2728</v>
      </c>
      <c r="I67" s="623" t="str">
        <f>係数!I67</f>
        <v>千kWh</v>
      </c>
      <c r="J67" s="883">
        <f t="shared" si="8"/>
        <v>0</v>
      </c>
      <c r="K67" s="721"/>
      <c r="L67" s="629"/>
      <c r="M67" s="630"/>
      <c r="N67" s="631"/>
      <c r="O67" s="632"/>
      <c r="P67" s="632"/>
      <c r="Q67" s="632"/>
      <c r="R67" s="632"/>
      <c r="S67" s="632"/>
      <c r="T67" s="632"/>
      <c r="U67" s="632"/>
      <c r="V67" s="632"/>
      <c r="W67" s="632"/>
      <c r="X67" s="632"/>
      <c r="Y67" s="632"/>
      <c r="Z67" s="632"/>
      <c r="AA67" s="632"/>
      <c r="AB67" s="632"/>
      <c r="AC67" s="632"/>
      <c r="AD67" s="632"/>
      <c r="AE67" s="632"/>
      <c r="AF67" s="632"/>
      <c r="AG67" s="632"/>
      <c r="AH67" s="632"/>
      <c r="AI67" s="632"/>
      <c r="AJ67" s="632"/>
      <c r="AK67" s="632"/>
      <c r="AL67" s="632"/>
      <c r="AM67" s="632"/>
      <c r="AN67" s="632"/>
      <c r="AO67" s="632"/>
      <c r="AP67" s="632"/>
      <c r="AQ67" s="632"/>
      <c r="AR67" s="632"/>
      <c r="AS67" s="632"/>
      <c r="AT67" s="632"/>
      <c r="AU67" s="632"/>
      <c r="AV67" s="632"/>
      <c r="AW67" s="632"/>
      <c r="AX67" s="632"/>
      <c r="AY67" s="632"/>
      <c r="AZ67" s="632"/>
      <c r="BA67" s="633"/>
    </row>
    <row r="68" spans="2:53" ht="17.45" customHeight="1" thickBot="1">
      <c r="B68" s="1939"/>
      <c r="C68" s="1928"/>
      <c r="D68" s="1929"/>
      <c r="E68" s="1891"/>
      <c r="F68" s="975" t="e">
        <f>VLOOKUP($C67,電力会社!$I$4:$L$1033,3,FALSE)</f>
        <v>#N/A</v>
      </c>
      <c r="G68" s="976" t="e">
        <f>VLOOKUP($C67,電力会社!$I$4:$L$1033,4,FALSE)</f>
        <v>#N/A</v>
      </c>
      <c r="H68" s="1210" t="s">
        <v>2731</v>
      </c>
      <c r="I68" s="623" t="str">
        <f>係数!I68</f>
        <v>千kWh</v>
      </c>
      <c r="J68" s="883">
        <f t="shared" si="8"/>
        <v>0</v>
      </c>
      <c r="K68" s="721"/>
      <c r="L68" s="629"/>
      <c r="M68" s="630"/>
      <c r="N68" s="631"/>
      <c r="O68" s="632"/>
      <c r="P68" s="632"/>
      <c r="Q68" s="632"/>
      <c r="R68" s="632"/>
      <c r="S68" s="632"/>
      <c r="T68" s="632"/>
      <c r="U68" s="632"/>
      <c r="V68" s="632"/>
      <c r="W68" s="632"/>
      <c r="X68" s="632"/>
      <c r="Y68" s="632"/>
      <c r="Z68" s="632"/>
      <c r="AA68" s="632"/>
      <c r="AB68" s="632"/>
      <c r="AC68" s="632"/>
      <c r="AD68" s="632"/>
      <c r="AE68" s="632"/>
      <c r="AF68" s="632"/>
      <c r="AG68" s="632"/>
      <c r="AH68" s="632"/>
      <c r="AI68" s="632"/>
      <c r="AJ68" s="632"/>
      <c r="AK68" s="632"/>
      <c r="AL68" s="632"/>
      <c r="AM68" s="632"/>
      <c r="AN68" s="632"/>
      <c r="AO68" s="632"/>
      <c r="AP68" s="632"/>
      <c r="AQ68" s="632"/>
      <c r="AR68" s="632"/>
      <c r="AS68" s="632"/>
      <c r="AT68" s="632"/>
      <c r="AU68" s="632"/>
      <c r="AV68" s="632"/>
      <c r="AW68" s="632"/>
      <c r="AX68" s="632"/>
      <c r="AY68" s="632"/>
      <c r="AZ68" s="632"/>
      <c r="BA68" s="633"/>
    </row>
    <row r="69" spans="2:53" ht="17.45" customHeight="1" thickTop="1">
      <c r="B69" s="1939"/>
      <c r="C69" s="1926" t="s">
        <v>2756</v>
      </c>
      <c r="D69" s="1927"/>
      <c r="E69" s="1891" t="e">
        <f>VLOOKUP($C69,電力会社!$I$4:$L$1033,2,FALSE)</f>
        <v>#N/A</v>
      </c>
      <c r="F69" s="1213" t="s">
        <v>2684</v>
      </c>
      <c r="G69" s="1213" t="s">
        <v>571</v>
      </c>
      <c r="H69" s="1210" t="s">
        <v>2728</v>
      </c>
      <c r="I69" s="623" t="str">
        <f>係数!I69</f>
        <v>千kWh</v>
      </c>
      <c r="J69" s="883">
        <f t="shared" si="8"/>
        <v>0</v>
      </c>
      <c r="K69" s="721"/>
      <c r="L69" s="629"/>
      <c r="M69" s="630"/>
      <c r="N69" s="631"/>
      <c r="O69" s="632"/>
      <c r="P69" s="632"/>
      <c r="Q69" s="632"/>
      <c r="R69" s="632"/>
      <c r="S69" s="632"/>
      <c r="T69" s="632"/>
      <c r="U69" s="632"/>
      <c r="V69" s="632"/>
      <c r="W69" s="632"/>
      <c r="X69" s="632"/>
      <c r="Y69" s="632"/>
      <c r="Z69" s="632"/>
      <c r="AA69" s="632"/>
      <c r="AB69" s="632"/>
      <c r="AC69" s="632"/>
      <c r="AD69" s="632"/>
      <c r="AE69" s="632"/>
      <c r="AF69" s="632"/>
      <c r="AG69" s="632"/>
      <c r="AH69" s="632"/>
      <c r="AI69" s="632"/>
      <c r="AJ69" s="632"/>
      <c r="AK69" s="632"/>
      <c r="AL69" s="632"/>
      <c r="AM69" s="632"/>
      <c r="AN69" s="632"/>
      <c r="AO69" s="632"/>
      <c r="AP69" s="632"/>
      <c r="AQ69" s="632"/>
      <c r="AR69" s="632"/>
      <c r="AS69" s="632"/>
      <c r="AT69" s="632"/>
      <c r="AU69" s="632"/>
      <c r="AV69" s="632"/>
      <c r="AW69" s="632"/>
      <c r="AX69" s="632"/>
      <c r="AY69" s="632"/>
      <c r="AZ69" s="632"/>
      <c r="BA69" s="633"/>
    </row>
    <row r="70" spans="2:53" ht="17.45" customHeight="1" thickBot="1">
      <c r="B70" s="1939"/>
      <c r="C70" s="1928"/>
      <c r="D70" s="1929"/>
      <c r="E70" s="1891"/>
      <c r="F70" s="975" t="e">
        <f>VLOOKUP($C69,電力会社!$I$4:$L$1033,3,FALSE)</f>
        <v>#N/A</v>
      </c>
      <c r="G70" s="976" t="e">
        <f>VLOOKUP($C69,電力会社!$I$4:$L$1033,4,FALSE)</f>
        <v>#N/A</v>
      </c>
      <c r="H70" s="1210" t="s">
        <v>2731</v>
      </c>
      <c r="I70" s="623" t="str">
        <f>係数!I70</f>
        <v>千kWh</v>
      </c>
      <c r="J70" s="883">
        <f t="shared" si="8"/>
        <v>0</v>
      </c>
      <c r="K70" s="721"/>
      <c r="L70" s="629"/>
      <c r="M70" s="630"/>
      <c r="N70" s="631"/>
      <c r="O70" s="632"/>
      <c r="P70" s="632"/>
      <c r="Q70" s="632"/>
      <c r="R70" s="632"/>
      <c r="S70" s="632"/>
      <c r="T70" s="632"/>
      <c r="U70" s="632"/>
      <c r="V70" s="632"/>
      <c r="W70" s="632"/>
      <c r="X70" s="632"/>
      <c r="Y70" s="632"/>
      <c r="Z70" s="632"/>
      <c r="AA70" s="632"/>
      <c r="AB70" s="632"/>
      <c r="AC70" s="632"/>
      <c r="AD70" s="632"/>
      <c r="AE70" s="632"/>
      <c r="AF70" s="632"/>
      <c r="AG70" s="632"/>
      <c r="AH70" s="632"/>
      <c r="AI70" s="632"/>
      <c r="AJ70" s="632"/>
      <c r="AK70" s="632"/>
      <c r="AL70" s="632"/>
      <c r="AM70" s="632"/>
      <c r="AN70" s="632"/>
      <c r="AO70" s="632"/>
      <c r="AP70" s="632"/>
      <c r="AQ70" s="632"/>
      <c r="AR70" s="632"/>
      <c r="AS70" s="632"/>
      <c r="AT70" s="632"/>
      <c r="AU70" s="632"/>
      <c r="AV70" s="632"/>
      <c r="AW70" s="632"/>
      <c r="AX70" s="632"/>
      <c r="AY70" s="632"/>
      <c r="AZ70" s="632"/>
      <c r="BA70" s="633"/>
    </row>
    <row r="71" spans="2:53" ht="17.45" customHeight="1" thickTop="1">
      <c r="B71" s="1939"/>
      <c r="C71" s="1926" t="s">
        <v>2756</v>
      </c>
      <c r="D71" s="1927"/>
      <c r="E71" s="1891" t="e">
        <f>VLOOKUP($C71,電力会社!$I$4:$L$1033,2,FALSE)</f>
        <v>#N/A</v>
      </c>
      <c r="F71" s="1213" t="s">
        <v>2684</v>
      </c>
      <c r="G71" s="1213" t="s">
        <v>571</v>
      </c>
      <c r="H71" s="1210" t="s">
        <v>2728</v>
      </c>
      <c r="I71" s="623" t="str">
        <f>係数!I71</f>
        <v>千kWh</v>
      </c>
      <c r="J71" s="883">
        <f t="shared" si="8"/>
        <v>0</v>
      </c>
      <c r="K71" s="721"/>
      <c r="L71" s="629"/>
      <c r="M71" s="630"/>
      <c r="N71" s="631"/>
      <c r="O71" s="632"/>
      <c r="P71" s="632"/>
      <c r="Q71" s="632"/>
      <c r="R71" s="632"/>
      <c r="S71" s="632"/>
      <c r="T71" s="632"/>
      <c r="U71" s="632"/>
      <c r="V71" s="632"/>
      <c r="W71" s="632"/>
      <c r="X71" s="632"/>
      <c r="Y71" s="632"/>
      <c r="Z71" s="632"/>
      <c r="AA71" s="632"/>
      <c r="AB71" s="632"/>
      <c r="AC71" s="632"/>
      <c r="AD71" s="632"/>
      <c r="AE71" s="632"/>
      <c r="AF71" s="632"/>
      <c r="AG71" s="632"/>
      <c r="AH71" s="632"/>
      <c r="AI71" s="632"/>
      <c r="AJ71" s="632"/>
      <c r="AK71" s="632"/>
      <c r="AL71" s="632"/>
      <c r="AM71" s="632"/>
      <c r="AN71" s="632"/>
      <c r="AO71" s="632"/>
      <c r="AP71" s="632"/>
      <c r="AQ71" s="632"/>
      <c r="AR71" s="632"/>
      <c r="AS71" s="632"/>
      <c r="AT71" s="632"/>
      <c r="AU71" s="632"/>
      <c r="AV71" s="632"/>
      <c r="AW71" s="632"/>
      <c r="AX71" s="632"/>
      <c r="AY71" s="632"/>
      <c r="AZ71" s="632"/>
      <c r="BA71" s="633"/>
    </row>
    <row r="72" spans="2:53" ht="17.45" customHeight="1" thickBot="1">
      <c r="B72" s="1939"/>
      <c r="C72" s="1928"/>
      <c r="D72" s="1929"/>
      <c r="E72" s="1891"/>
      <c r="F72" s="975" t="e">
        <f>VLOOKUP($C71,電力会社!$I$4:$L$1033,3,FALSE)</f>
        <v>#N/A</v>
      </c>
      <c r="G72" s="976" t="e">
        <f>VLOOKUP($C71,電力会社!$I$4:$L$1033,4,FALSE)</f>
        <v>#N/A</v>
      </c>
      <c r="H72" s="1210" t="s">
        <v>2731</v>
      </c>
      <c r="I72" s="623" t="str">
        <f>係数!I72</f>
        <v>千kWh</v>
      </c>
      <c r="J72" s="883">
        <f t="shared" si="8"/>
        <v>0</v>
      </c>
      <c r="K72" s="721"/>
      <c r="L72" s="629"/>
      <c r="M72" s="630"/>
      <c r="N72" s="631"/>
      <c r="O72" s="632"/>
      <c r="P72" s="632"/>
      <c r="Q72" s="632"/>
      <c r="R72" s="632"/>
      <c r="S72" s="632"/>
      <c r="T72" s="632"/>
      <c r="U72" s="632"/>
      <c r="V72" s="632"/>
      <c r="W72" s="632"/>
      <c r="X72" s="632"/>
      <c r="Y72" s="632"/>
      <c r="Z72" s="632"/>
      <c r="AA72" s="632"/>
      <c r="AB72" s="632"/>
      <c r="AC72" s="632"/>
      <c r="AD72" s="632"/>
      <c r="AE72" s="632"/>
      <c r="AF72" s="632"/>
      <c r="AG72" s="632"/>
      <c r="AH72" s="632"/>
      <c r="AI72" s="632"/>
      <c r="AJ72" s="632"/>
      <c r="AK72" s="632"/>
      <c r="AL72" s="632"/>
      <c r="AM72" s="632"/>
      <c r="AN72" s="632"/>
      <c r="AO72" s="632"/>
      <c r="AP72" s="632"/>
      <c r="AQ72" s="632"/>
      <c r="AR72" s="632"/>
      <c r="AS72" s="632"/>
      <c r="AT72" s="632"/>
      <c r="AU72" s="632"/>
      <c r="AV72" s="632"/>
      <c r="AW72" s="632"/>
      <c r="AX72" s="632"/>
      <c r="AY72" s="632"/>
      <c r="AZ72" s="632"/>
      <c r="BA72" s="633"/>
    </row>
    <row r="73" spans="2:53" ht="17.45" customHeight="1" thickTop="1">
      <c r="B73" s="1939"/>
      <c r="C73" s="1926" t="s">
        <v>4301</v>
      </c>
      <c r="D73" s="1927"/>
      <c r="E73" s="1891" t="e">
        <f>VLOOKUP($C73,電力会社!$I$4:$L$1033,2,FALSE)</f>
        <v>#N/A</v>
      </c>
      <c r="F73" s="1213" t="s">
        <v>2684</v>
      </c>
      <c r="G73" s="1213" t="s">
        <v>571</v>
      </c>
      <c r="H73" s="1210" t="s">
        <v>2728</v>
      </c>
      <c r="I73" s="623" t="str">
        <f>係数!I73</f>
        <v>千kWh</v>
      </c>
      <c r="J73" s="883">
        <f t="shared" si="8"/>
        <v>0</v>
      </c>
      <c r="K73" s="721"/>
      <c r="L73" s="629"/>
      <c r="M73" s="630"/>
      <c r="N73" s="631"/>
      <c r="O73" s="632"/>
      <c r="P73" s="632"/>
      <c r="Q73" s="632"/>
      <c r="R73" s="632"/>
      <c r="S73" s="632"/>
      <c r="T73" s="632"/>
      <c r="U73" s="632"/>
      <c r="V73" s="632"/>
      <c r="W73" s="632"/>
      <c r="X73" s="632"/>
      <c r="Y73" s="632"/>
      <c r="Z73" s="632"/>
      <c r="AA73" s="632"/>
      <c r="AB73" s="632"/>
      <c r="AC73" s="632"/>
      <c r="AD73" s="632"/>
      <c r="AE73" s="632"/>
      <c r="AF73" s="632"/>
      <c r="AG73" s="632"/>
      <c r="AH73" s="632"/>
      <c r="AI73" s="632"/>
      <c r="AJ73" s="632"/>
      <c r="AK73" s="632"/>
      <c r="AL73" s="632"/>
      <c r="AM73" s="632"/>
      <c r="AN73" s="632"/>
      <c r="AO73" s="632"/>
      <c r="AP73" s="632"/>
      <c r="AQ73" s="632"/>
      <c r="AR73" s="632"/>
      <c r="AS73" s="632"/>
      <c r="AT73" s="632"/>
      <c r="AU73" s="632"/>
      <c r="AV73" s="632"/>
      <c r="AW73" s="632"/>
      <c r="AX73" s="632"/>
      <c r="AY73" s="632"/>
      <c r="AZ73" s="632"/>
      <c r="BA73" s="633"/>
    </row>
    <row r="74" spans="2:53" ht="17.45" customHeight="1" thickBot="1">
      <c r="B74" s="1939"/>
      <c r="C74" s="1928"/>
      <c r="D74" s="1929"/>
      <c r="E74" s="1891"/>
      <c r="F74" s="975" t="e">
        <f>VLOOKUP($C73,電力会社!$I$4:$L$1033,3,FALSE)</f>
        <v>#N/A</v>
      </c>
      <c r="G74" s="976" t="e">
        <f>VLOOKUP($C73,電力会社!$I$4:$L$1033,4,FALSE)</f>
        <v>#N/A</v>
      </c>
      <c r="H74" s="1210" t="s">
        <v>2731</v>
      </c>
      <c r="I74" s="623" t="str">
        <f>係数!I74</f>
        <v>千kWh</v>
      </c>
      <c r="J74" s="883">
        <f t="shared" si="8"/>
        <v>0</v>
      </c>
      <c r="K74" s="721"/>
      <c r="L74" s="629"/>
      <c r="M74" s="630"/>
      <c r="N74" s="631"/>
      <c r="O74" s="632"/>
      <c r="P74" s="632"/>
      <c r="Q74" s="632"/>
      <c r="R74" s="632"/>
      <c r="S74" s="632"/>
      <c r="T74" s="632"/>
      <c r="U74" s="632"/>
      <c r="V74" s="632"/>
      <c r="W74" s="632"/>
      <c r="X74" s="632"/>
      <c r="Y74" s="632"/>
      <c r="Z74" s="632"/>
      <c r="AA74" s="632"/>
      <c r="AB74" s="632"/>
      <c r="AC74" s="632"/>
      <c r="AD74" s="632"/>
      <c r="AE74" s="632"/>
      <c r="AF74" s="632"/>
      <c r="AG74" s="632"/>
      <c r="AH74" s="632"/>
      <c r="AI74" s="632"/>
      <c r="AJ74" s="632"/>
      <c r="AK74" s="632"/>
      <c r="AL74" s="632"/>
      <c r="AM74" s="632"/>
      <c r="AN74" s="632"/>
      <c r="AO74" s="632"/>
      <c r="AP74" s="632"/>
      <c r="AQ74" s="632"/>
      <c r="AR74" s="632"/>
      <c r="AS74" s="632"/>
      <c r="AT74" s="632"/>
      <c r="AU74" s="632"/>
      <c r="AV74" s="632"/>
      <c r="AW74" s="632"/>
      <c r="AX74" s="632"/>
      <c r="AY74" s="632"/>
      <c r="AZ74" s="632"/>
      <c r="BA74" s="633"/>
    </row>
    <row r="75" spans="2:53" ht="17.45" hidden="1" customHeight="1" thickTop="1">
      <c r="B75" s="1939"/>
      <c r="C75" s="1926" t="s">
        <v>4301</v>
      </c>
      <c r="D75" s="1927"/>
      <c r="E75" s="1891" t="e">
        <f>VLOOKUP($C75,電力会社!$I$4:$L$1033,2,FALSE)</f>
        <v>#N/A</v>
      </c>
      <c r="F75" s="1213" t="s">
        <v>2684</v>
      </c>
      <c r="G75" s="1213" t="s">
        <v>571</v>
      </c>
      <c r="H75" s="1210" t="s">
        <v>2728</v>
      </c>
      <c r="I75" s="623" t="str">
        <f>係数!I75</f>
        <v>千kWh</v>
      </c>
      <c r="J75" s="883">
        <f t="shared" si="8"/>
        <v>0</v>
      </c>
      <c r="K75" s="721"/>
      <c r="L75" s="629"/>
      <c r="M75" s="630"/>
      <c r="N75" s="631"/>
      <c r="O75" s="632"/>
      <c r="P75" s="632"/>
      <c r="Q75" s="632"/>
      <c r="R75" s="632"/>
      <c r="S75" s="632"/>
      <c r="T75" s="632"/>
      <c r="U75" s="632"/>
      <c r="V75" s="632"/>
      <c r="W75" s="632"/>
      <c r="X75" s="632"/>
      <c r="Y75" s="632"/>
      <c r="Z75" s="632"/>
      <c r="AA75" s="632"/>
      <c r="AB75" s="632"/>
      <c r="AC75" s="632"/>
      <c r="AD75" s="632"/>
      <c r="AE75" s="632"/>
      <c r="AF75" s="632"/>
      <c r="AG75" s="632"/>
      <c r="AH75" s="632"/>
      <c r="AI75" s="632"/>
      <c r="AJ75" s="632"/>
      <c r="AK75" s="632"/>
      <c r="AL75" s="632"/>
      <c r="AM75" s="632"/>
      <c r="AN75" s="632"/>
      <c r="AO75" s="632"/>
      <c r="AP75" s="632"/>
      <c r="AQ75" s="632"/>
      <c r="AR75" s="632"/>
      <c r="AS75" s="632"/>
      <c r="AT75" s="632"/>
      <c r="AU75" s="632"/>
      <c r="AV75" s="632"/>
      <c r="AW75" s="632"/>
      <c r="AX75" s="632"/>
      <c r="AY75" s="632"/>
      <c r="AZ75" s="632"/>
      <c r="BA75" s="633"/>
    </row>
    <row r="76" spans="2:53" ht="17.45" hidden="1" customHeight="1" thickBot="1">
      <c r="B76" s="1939"/>
      <c r="C76" s="1928"/>
      <c r="D76" s="1929"/>
      <c r="E76" s="1891"/>
      <c r="F76" s="975" t="e">
        <f>VLOOKUP($C75,電力会社!$I$4:$L$1033,3,FALSE)</f>
        <v>#N/A</v>
      </c>
      <c r="G76" s="976" t="e">
        <f>VLOOKUP($C75,電力会社!$I$4:$L$1033,4,FALSE)</f>
        <v>#N/A</v>
      </c>
      <c r="H76" s="1210" t="s">
        <v>2731</v>
      </c>
      <c r="I76" s="623" t="str">
        <f>係数!I76</f>
        <v>千kWh</v>
      </c>
      <c r="J76" s="883">
        <f t="shared" si="8"/>
        <v>0</v>
      </c>
      <c r="K76" s="721"/>
      <c r="L76" s="629"/>
      <c r="M76" s="630"/>
      <c r="N76" s="631"/>
      <c r="O76" s="632"/>
      <c r="P76" s="632"/>
      <c r="Q76" s="632"/>
      <c r="R76" s="632"/>
      <c r="S76" s="632"/>
      <c r="T76" s="632"/>
      <c r="U76" s="632"/>
      <c r="V76" s="632"/>
      <c r="W76" s="632"/>
      <c r="X76" s="632"/>
      <c r="Y76" s="632"/>
      <c r="Z76" s="632"/>
      <c r="AA76" s="632"/>
      <c r="AB76" s="632"/>
      <c r="AC76" s="632"/>
      <c r="AD76" s="632"/>
      <c r="AE76" s="632"/>
      <c r="AF76" s="632"/>
      <c r="AG76" s="632"/>
      <c r="AH76" s="632"/>
      <c r="AI76" s="632"/>
      <c r="AJ76" s="632"/>
      <c r="AK76" s="632"/>
      <c r="AL76" s="632"/>
      <c r="AM76" s="632"/>
      <c r="AN76" s="632"/>
      <c r="AO76" s="632"/>
      <c r="AP76" s="632"/>
      <c r="AQ76" s="632"/>
      <c r="AR76" s="632"/>
      <c r="AS76" s="632"/>
      <c r="AT76" s="632"/>
      <c r="AU76" s="632"/>
      <c r="AV76" s="632"/>
      <c r="AW76" s="632"/>
      <c r="AX76" s="632"/>
      <c r="AY76" s="632"/>
      <c r="AZ76" s="632"/>
      <c r="BA76" s="633"/>
    </row>
    <row r="77" spans="2:53" ht="17.45" hidden="1" customHeight="1" thickTop="1">
      <c r="B77" s="1939"/>
      <c r="C77" s="1926" t="s">
        <v>4301</v>
      </c>
      <c r="D77" s="1927"/>
      <c r="E77" s="1891" t="e">
        <f>VLOOKUP($C77,電力会社!$I$4:$L$1033,2,FALSE)</f>
        <v>#N/A</v>
      </c>
      <c r="F77" s="1213" t="s">
        <v>2684</v>
      </c>
      <c r="G77" s="1213" t="s">
        <v>571</v>
      </c>
      <c r="H77" s="1210" t="s">
        <v>2728</v>
      </c>
      <c r="I77" s="623" t="str">
        <f>係数!I77</f>
        <v>千kWh</v>
      </c>
      <c r="J77" s="883">
        <f t="shared" si="8"/>
        <v>0</v>
      </c>
      <c r="K77" s="721"/>
      <c r="L77" s="629"/>
      <c r="M77" s="630"/>
      <c r="N77" s="631"/>
      <c r="O77" s="632"/>
      <c r="P77" s="632"/>
      <c r="Q77" s="632"/>
      <c r="R77" s="632"/>
      <c r="S77" s="632"/>
      <c r="T77" s="632"/>
      <c r="U77" s="632"/>
      <c r="V77" s="632"/>
      <c r="W77" s="632"/>
      <c r="X77" s="632"/>
      <c r="Y77" s="632"/>
      <c r="Z77" s="632"/>
      <c r="AA77" s="632"/>
      <c r="AB77" s="632"/>
      <c r="AC77" s="632"/>
      <c r="AD77" s="632"/>
      <c r="AE77" s="632"/>
      <c r="AF77" s="632"/>
      <c r="AG77" s="632"/>
      <c r="AH77" s="632"/>
      <c r="AI77" s="632"/>
      <c r="AJ77" s="632"/>
      <c r="AK77" s="632"/>
      <c r="AL77" s="632"/>
      <c r="AM77" s="632"/>
      <c r="AN77" s="632"/>
      <c r="AO77" s="632"/>
      <c r="AP77" s="632"/>
      <c r="AQ77" s="632"/>
      <c r="AR77" s="632"/>
      <c r="AS77" s="632"/>
      <c r="AT77" s="632"/>
      <c r="AU77" s="632"/>
      <c r="AV77" s="632"/>
      <c r="AW77" s="632"/>
      <c r="AX77" s="632"/>
      <c r="AY77" s="632"/>
      <c r="AZ77" s="632"/>
      <c r="BA77" s="633"/>
    </row>
    <row r="78" spans="2:53" ht="17.45" hidden="1" customHeight="1" thickBot="1">
      <c r="B78" s="1939"/>
      <c r="C78" s="1928"/>
      <c r="D78" s="1929"/>
      <c r="E78" s="1891"/>
      <c r="F78" s="975" t="e">
        <f>VLOOKUP($C77,電力会社!$I$4:$L$1033,3,FALSE)</f>
        <v>#N/A</v>
      </c>
      <c r="G78" s="976" t="e">
        <f>VLOOKUP($C77,電力会社!$I$4:$L$1033,4,FALSE)</f>
        <v>#N/A</v>
      </c>
      <c r="H78" s="1210" t="s">
        <v>2731</v>
      </c>
      <c r="I78" s="623" t="str">
        <f>係数!I78</f>
        <v>千kWh</v>
      </c>
      <c r="J78" s="883">
        <f t="shared" si="8"/>
        <v>0</v>
      </c>
      <c r="K78" s="721"/>
      <c r="L78" s="629"/>
      <c r="M78" s="630"/>
      <c r="N78" s="631"/>
      <c r="O78" s="632"/>
      <c r="P78" s="632"/>
      <c r="Q78" s="632"/>
      <c r="R78" s="632"/>
      <c r="S78" s="632"/>
      <c r="T78" s="632"/>
      <c r="U78" s="632"/>
      <c r="V78" s="632"/>
      <c r="W78" s="632"/>
      <c r="X78" s="632"/>
      <c r="Y78" s="632"/>
      <c r="Z78" s="632"/>
      <c r="AA78" s="632"/>
      <c r="AB78" s="632"/>
      <c r="AC78" s="632"/>
      <c r="AD78" s="632"/>
      <c r="AE78" s="632"/>
      <c r="AF78" s="632"/>
      <c r="AG78" s="632"/>
      <c r="AH78" s="632"/>
      <c r="AI78" s="632"/>
      <c r="AJ78" s="632"/>
      <c r="AK78" s="632"/>
      <c r="AL78" s="632"/>
      <c r="AM78" s="632"/>
      <c r="AN78" s="632"/>
      <c r="AO78" s="632"/>
      <c r="AP78" s="632"/>
      <c r="AQ78" s="632"/>
      <c r="AR78" s="632"/>
      <c r="AS78" s="632"/>
      <c r="AT78" s="632"/>
      <c r="AU78" s="632"/>
      <c r="AV78" s="632"/>
      <c r="AW78" s="632"/>
      <c r="AX78" s="632"/>
      <c r="AY78" s="632"/>
      <c r="AZ78" s="632"/>
      <c r="BA78" s="633"/>
    </row>
    <row r="79" spans="2:53" ht="17.45" hidden="1" customHeight="1" thickTop="1">
      <c r="B79" s="1939"/>
      <c r="C79" s="1926" t="s">
        <v>4301</v>
      </c>
      <c r="D79" s="1927"/>
      <c r="E79" s="1891" t="e">
        <f>VLOOKUP($C79,電力会社!$I$4:$L$1033,2,FALSE)</f>
        <v>#N/A</v>
      </c>
      <c r="F79" s="1213" t="s">
        <v>2684</v>
      </c>
      <c r="G79" s="1213" t="s">
        <v>571</v>
      </c>
      <c r="H79" s="1210" t="s">
        <v>2728</v>
      </c>
      <c r="I79" s="623" t="str">
        <f>係数!I79</f>
        <v>千kWh</v>
      </c>
      <c r="J79" s="883">
        <f t="shared" si="8"/>
        <v>0</v>
      </c>
      <c r="K79" s="721"/>
      <c r="L79" s="629"/>
      <c r="M79" s="630"/>
      <c r="N79" s="631"/>
      <c r="O79" s="632"/>
      <c r="P79" s="632"/>
      <c r="Q79" s="632"/>
      <c r="R79" s="632"/>
      <c r="S79" s="632"/>
      <c r="T79" s="632"/>
      <c r="U79" s="632"/>
      <c r="V79" s="632"/>
      <c r="W79" s="632"/>
      <c r="X79" s="632"/>
      <c r="Y79" s="632"/>
      <c r="Z79" s="632"/>
      <c r="AA79" s="632"/>
      <c r="AB79" s="632"/>
      <c r="AC79" s="632"/>
      <c r="AD79" s="632"/>
      <c r="AE79" s="632"/>
      <c r="AF79" s="632"/>
      <c r="AG79" s="632"/>
      <c r="AH79" s="632"/>
      <c r="AI79" s="632"/>
      <c r="AJ79" s="632"/>
      <c r="AK79" s="632"/>
      <c r="AL79" s="632"/>
      <c r="AM79" s="632"/>
      <c r="AN79" s="632"/>
      <c r="AO79" s="632"/>
      <c r="AP79" s="632"/>
      <c r="AQ79" s="632"/>
      <c r="AR79" s="632"/>
      <c r="AS79" s="632"/>
      <c r="AT79" s="632"/>
      <c r="AU79" s="632"/>
      <c r="AV79" s="632"/>
      <c r="AW79" s="632"/>
      <c r="AX79" s="632"/>
      <c r="AY79" s="632"/>
      <c r="AZ79" s="632"/>
      <c r="BA79" s="633"/>
    </row>
    <row r="80" spans="2:53" ht="17.45" hidden="1" customHeight="1" thickBot="1">
      <c r="B80" s="1939"/>
      <c r="C80" s="1928"/>
      <c r="D80" s="1929"/>
      <c r="E80" s="1891"/>
      <c r="F80" s="975" t="e">
        <f>VLOOKUP($C79,電力会社!$I$4:$L$1033,3,FALSE)</f>
        <v>#N/A</v>
      </c>
      <c r="G80" s="976" t="e">
        <f>VLOOKUP($C79,電力会社!$I$4:$L$1033,4,FALSE)</f>
        <v>#N/A</v>
      </c>
      <c r="H80" s="1210" t="s">
        <v>2731</v>
      </c>
      <c r="I80" s="623" t="str">
        <f>係数!I80</f>
        <v>千kWh</v>
      </c>
      <c r="J80" s="883">
        <f t="shared" si="8"/>
        <v>0</v>
      </c>
      <c r="K80" s="721"/>
      <c r="L80" s="629"/>
      <c r="M80" s="630"/>
      <c r="N80" s="631"/>
      <c r="O80" s="632"/>
      <c r="P80" s="632"/>
      <c r="Q80" s="632"/>
      <c r="R80" s="632"/>
      <c r="S80" s="632"/>
      <c r="T80" s="632"/>
      <c r="U80" s="632"/>
      <c r="V80" s="632"/>
      <c r="W80" s="632"/>
      <c r="X80" s="632"/>
      <c r="Y80" s="632"/>
      <c r="Z80" s="632"/>
      <c r="AA80" s="632"/>
      <c r="AB80" s="632"/>
      <c r="AC80" s="632"/>
      <c r="AD80" s="632"/>
      <c r="AE80" s="632"/>
      <c r="AF80" s="632"/>
      <c r="AG80" s="632"/>
      <c r="AH80" s="632"/>
      <c r="AI80" s="632"/>
      <c r="AJ80" s="632"/>
      <c r="AK80" s="632"/>
      <c r="AL80" s="632"/>
      <c r="AM80" s="632"/>
      <c r="AN80" s="632"/>
      <c r="AO80" s="632"/>
      <c r="AP80" s="632"/>
      <c r="AQ80" s="632"/>
      <c r="AR80" s="632"/>
      <c r="AS80" s="632"/>
      <c r="AT80" s="632"/>
      <c r="AU80" s="632"/>
      <c r="AV80" s="632"/>
      <c r="AW80" s="632"/>
      <c r="AX80" s="632"/>
      <c r="AY80" s="632"/>
      <c r="AZ80" s="632"/>
      <c r="BA80" s="633"/>
    </row>
    <row r="81" spans="2:53" ht="17.45" hidden="1" customHeight="1" thickTop="1">
      <c r="B81" s="1939"/>
      <c r="C81" s="1926" t="s">
        <v>4301</v>
      </c>
      <c r="D81" s="1927"/>
      <c r="E81" s="1891" t="e">
        <f>VLOOKUP($C81,電力会社!$I$4:$L$1033,2,FALSE)</f>
        <v>#N/A</v>
      </c>
      <c r="F81" s="1213" t="s">
        <v>2684</v>
      </c>
      <c r="G81" s="1213" t="s">
        <v>571</v>
      </c>
      <c r="H81" s="1210" t="s">
        <v>2728</v>
      </c>
      <c r="I81" s="623" t="str">
        <f>係数!I81</f>
        <v>千kWh</v>
      </c>
      <c r="J81" s="883">
        <f t="shared" si="8"/>
        <v>0</v>
      </c>
      <c r="K81" s="721"/>
      <c r="L81" s="629"/>
      <c r="M81" s="630"/>
      <c r="N81" s="631"/>
      <c r="O81" s="632"/>
      <c r="P81" s="632"/>
      <c r="Q81" s="632"/>
      <c r="R81" s="632"/>
      <c r="S81" s="632"/>
      <c r="T81" s="632"/>
      <c r="U81" s="632"/>
      <c r="V81" s="632"/>
      <c r="W81" s="632"/>
      <c r="X81" s="632"/>
      <c r="Y81" s="632"/>
      <c r="Z81" s="632"/>
      <c r="AA81" s="632"/>
      <c r="AB81" s="632"/>
      <c r="AC81" s="632"/>
      <c r="AD81" s="632"/>
      <c r="AE81" s="632"/>
      <c r="AF81" s="632"/>
      <c r="AG81" s="632"/>
      <c r="AH81" s="632"/>
      <c r="AI81" s="632"/>
      <c r="AJ81" s="632"/>
      <c r="AK81" s="632"/>
      <c r="AL81" s="632"/>
      <c r="AM81" s="632"/>
      <c r="AN81" s="632"/>
      <c r="AO81" s="632"/>
      <c r="AP81" s="632"/>
      <c r="AQ81" s="632"/>
      <c r="AR81" s="632"/>
      <c r="AS81" s="632"/>
      <c r="AT81" s="632"/>
      <c r="AU81" s="632"/>
      <c r="AV81" s="632"/>
      <c r="AW81" s="632"/>
      <c r="AX81" s="632"/>
      <c r="AY81" s="632"/>
      <c r="AZ81" s="632"/>
      <c r="BA81" s="633"/>
    </row>
    <row r="82" spans="2:53" ht="17.45" hidden="1" customHeight="1" thickBot="1">
      <c r="B82" s="1939"/>
      <c r="C82" s="1928"/>
      <c r="D82" s="1929"/>
      <c r="E82" s="1891"/>
      <c r="F82" s="975" t="e">
        <f>VLOOKUP($C81,電力会社!$I$4:$L$1033,3,FALSE)</f>
        <v>#N/A</v>
      </c>
      <c r="G82" s="976" t="e">
        <f>VLOOKUP($C81,電力会社!$I$4:$L$1033,4,FALSE)</f>
        <v>#N/A</v>
      </c>
      <c r="H82" s="1210" t="s">
        <v>2731</v>
      </c>
      <c r="I82" s="623" t="str">
        <f>係数!I82</f>
        <v>千kWh</v>
      </c>
      <c r="J82" s="883">
        <f t="shared" si="8"/>
        <v>0</v>
      </c>
      <c r="K82" s="721"/>
      <c r="L82" s="629"/>
      <c r="M82" s="630"/>
      <c r="N82" s="631"/>
      <c r="O82" s="632"/>
      <c r="P82" s="632"/>
      <c r="Q82" s="632"/>
      <c r="R82" s="632"/>
      <c r="S82" s="632"/>
      <c r="T82" s="632"/>
      <c r="U82" s="632"/>
      <c r="V82" s="632"/>
      <c r="W82" s="632"/>
      <c r="X82" s="632"/>
      <c r="Y82" s="632"/>
      <c r="Z82" s="632"/>
      <c r="AA82" s="632"/>
      <c r="AB82" s="632"/>
      <c r="AC82" s="632"/>
      <c r="AD82" s="632"/>
      <c r="AE82" s="632"/>
      <c r="AF82" s="632"/>
      <c r="AG82" s="632"/>
      <c r="AH82" s="632"/>
      <c r="AI82" s="632"/>
      <c r="AJ82" s="632"/>
      <c r="AK82" s="632"/>
      <c r="AL82" s="632"/>
      <c r="AM82" s="632"/>
      <c r="AN82" s="632"/>
      <c r="AO82" s="632"/>
      <c r="AP82" s="632"/>
      <c r="AQ82" s="632"/>
      <c r="AR82" s="632"/>
      <c r="AS82" s="632"/>
      <c r="AT82" s="632"/>
      <c r="AU82" s="632"/>
      <c r="AV82" s="632"/>
      <c r="AW82" s="632"/>
      <c r="AX82" s="632"/>
      <c r="AY82" s="632"/>
      <c r="AZ82" s="632"/>
      <c r="BA82" s="633"/>
    </row>
    <row r="83" spans="2:53" ht="17.45" hidden="1" customHeight="1" thickTop="1">
      <c r="B83" s="1939"/>
      <c r="C83" s="1926" t="s">
        <v>4301</v>
      </c>
      <c r="D83" s="1927"/>
      <c r="E83" s="1891" t="e">
        <f>VLOOKUP($C83,電力会社!$I$4:$L$1033,2,FALSE)</f>
        <v>#N/A</v>
      </c>
      <c r="F83" s="1213" t="s">
        <v>2684</v>
      </c>
      <c r="G83" s="1213" t="s">
        <v>571</v>
      </c>
      <c r="H83" s="1210" t="s">
        <v>2728</v>
      </c>
      <c r="I83" s="623" t="str">
        <f>係数!I83</f>
        <v>千kWh</v>
      </c>
      <c r="J83" s="883">
        <f t="shared" si="8"/>
        <v>0</v>
      </c>
      <c r="K83" s="721"/>
      <c r="L83" s="629"/>
      <c r="M83" s="630"/>
      <c r="N83" s="631"/>
      <c r="O83" s="632"/>
      <c r="P83" s="632"/>
      <c r="Q83" s="632"/>
      <c r="R83" s="632"/>
      <c r="S83" s="632"/>
      <c r="T83" s="632"/>
      <c r="U83" s="632"/>
      <c r="V83" s="632"/>
      <c r="W83" s="632"/>
      <c r="X83" s="632"/>
      <c r="Y83" s="632"/>
      <c r="Z83" s="632"/>
      <c r="AA83" s="632"/>
      <c r="AB83" s="632"/>
      <c r="AC83" s="632"/>
      <c r="AD83" s="632"/>
      <c r="AE83" s="632"/>
      <c r="AF83" s="632"/>
      <c r="AG83" s="632"/>
      <c r="AH83" s="632"/>
      <c r="AI83" s="632"/>
      <c r="AJ83" s="632"/>
      <c r="AK83" s="632"/>
      <c r="AL83" s="632"/>
      <c r="AM83" s="632"/>
      <c r="AN83" s="632"/>
      <c r="AO83" s="632"/>
      <c r="AP83" s="632"/>
      <c r="AQ83" s="632"/>
      <c r="AR83" s="632"/>
      <c r="AS83" s="632"/>
      <c r="AT83" s="632"/>
      <c r="AU83" s="632"/>
      <c r="AV83" s="632"/>
      <c r="AW83" s="632"/>
      <c r="AX83" s="632"/>
      <c r="AY83" s="632"/>
      <c r="AZ83" s="632"/>
      <c r="BA83" s="633"/>
    </row>
    <row r="84" spans="2:53" ht="17.45" hidden="1" customHeight="1" thickBot="1">
      <c r="B84" s="1939"/>
      <c r="C84" s="1928"/>
      <c r="D84" s="1929"/>
      <c r="E84" s="1891"/>
      <c r="F84" s="975" t="e">
        <f>VLOOKUP($C83,電力会社!$I$4:$L$1033,3,FALSE)</f>
        <v>#N/A</v>
      </c>
      <c r="G84" s="976" t="e">
        <f>VLOOKUP($C83,電力会社!$I$4:$L$1033,4,FALSE)</f>
        <v>#N/A</v>
      </c>
      <c r="H84" s="1210" t="s">
        <v>2731</v>
      </c>
      <c r="I84" s="623" t="str">
        <f>係数!I84</f>
        <v>千kWh</v>
      </c>
      <c r="J84" s="883">
        <f t="shared" si="8"/>
        <v>0</v>
      </c>
      <c r="K84" s="721"/>
      <c r="L84" s="629"/>
      <c r="M84" s="630"/>
      <c r="N84" s="631"/>
      <c r="O84" s="632"/>
      <c r="P84" s="632"/>
      <c r="Q84" s="632"/>
      <c r="R84" s="632"/>
      <c r="S84" s="632"/>
      <c r="T84" s="632"/>
      <c r="U84" s="632"/>
      <c r="V84" s="632"/>
      <c r="W84" s="632"/>
      <c r="X84" s="632"/>
      <c r="Y84" s="632"/>
      <c r="Z84" s="632"/>
      <c r="AA84" s="632"/>
      <c r="AB84" s="632"/>
      <c r="AC84" s="632"/>
      <c r="AD84" s="632"/>
      <c r="AE84" s="632"/>
      <c r="AF84" s="632"/>
      <c r="AG84" s="632"/>
      <c r="AH84" s="632"/>
      <c r="AI84" s="632"/>
      <c r="AJ84" s="632"/>
      <c r="AK84" s="632"/>
      <c r="AL84" s="632"/>
      <c r="AM84" s="632"/>
      <c r="AN84" s="632"/>
      <c r="AO84" s="632"/>
      <c r="AP84" s="632"/>
      <c r="AQ84" s="632"/>
      <c r="AR84" s="632"/>
      <c r="AS84" s="632"/>
      <c r="AT84" s="632"/>
      <c r="AU84" s="632"/>
      <c r="AV84" s="632"/>
      <c r="AW84" s="632"/>
      <c r="AX84" s="632"/>
      <c r="AY84" s="632"/>
      <c r="AZ84" s="632"/>
      <c r="BA84" s="633"/>
    </row>
    <row r="85" spans="2:53" ht="17.45" hidden="1" customHeight="1" thickTop="1">
      <c r="B85" s="1939"/>
      <c r="C85" s="1926" t="s">
        <v>4301</v>
      </c>
      <c r="D85" s="1927"/>
      <c r="E85" s="1891" t="e">
        <f>VLOOKUP($C85,電力会社!$I$4:$L$1033,2,FALSE)</f>
        <v>#N/A</v>
      </c>
      <c r="F85" s="1213" t="s">
        <v>2684</v>
      </c>
      <c r="G85" s="1213" t="s">
        <v>571</v>
      </c>
      <c r="H85" s="1210" t="s">
        <v>2728</v>
      </c>
      <c r="I85" s="623" t="str">
        <f>係数!I85</f>
        <v>千kWh</v>
      </c>
      <c r="J85" s="883">
        <f t="shared" si="8"/>
        <v>0</v>
      </c>
      <c r="K85" s="721"/>
      <c r="L85" s="629"/>
      <c r="M85" s="630"/>
      <c r="N85" s="631"/>
      <c r="O85" s="632"/>
      <c r="P85" s="632"/>
      <c r="Q85" s="632"/>
      <c r="R85" s="632"/>
      <c r="S85" s="632"/>
      <c r="T85" s="632"/>
      <c r="U85" s="632"/>
      <c r="V85" s="632"/>
      <c r="W85" s="632"/>
      <c r="X85" s="632"/>
      <c r="Y85" s="632"/>
      <c r="Z85" s="632"/>
      <c r="AA85" s="632"/>
      <c r="AB85" s="632"/>
      <c r="AC85" s="632"/>
      <c r="AD85" s="632"/>
      <c r="AE85" s="632"/>
      <c r="AF85" s="632"/>
      <c r="AG85" s="632"/>
      <c r="AH85" s="632"/>
      <c r="AI85" s="632"/>
      <c r="AJ85" s="632"/>
      <c r="AK85" s="632"/>
      <c r="AL85" s="632"/>
      <c r="AM85" s="632"/>
      <c r="AN85" s="632"/>
      <c r="AO85" s="632"/>
      <c r="AP85" s="632"/>
      <c r="AQ85" s="632"/>
      <c r="AR85" s="632"/>
      <c r="AS85" s="632"/>
      <c r="AT85" s="632"/>
      <c r="AU85" s="632"/>
      <c r="AV85" s="632"/>
      <c r="AW85" s="632"/>
      <c r="AX85" s="632"/>
      <c r="AY85" s="632"/>
      <c r="AZ85" s="632"/>
      <c r="BA85" s="633"/>
    </row>
    <row r="86" spans="2:53" ht="17.45" hidden="1" customHeight="1" thickBot="1">
      <c r="B86" s="1939"/>
      <c r="C86" s="1928"/>
      <c r="D86" s="1929"/>
      <c r="E86" s="1891"/>
      <c r="F86" s="975" t="e">
        <f>VLOOKUP($C85,電力会社!$I$4:$L$1033,3,FALSE)</f>
        <v>#N/A</v>
      </c>
      <c r="G86" s="976" t="e">
        <f>VLOOKUP($C85,電力会社!$I$4:$L$1033,4,FALSE)</f>
        <v>#N/A</v>
      </c>
      <c r="H86" s="1210" t="s">
        <v>2731</v>
      </c>
      <c r="I86" s="623" t="str">
        <f>係数!I86</f>
        <v>千kWh</v>
      </c>
      <c r="J86" s="883">
        <f t="shared" si="8"/>
        <v>0</v>
      </c>
      <c r="K86" s="721"/>
      <c r="L86" s="629"/>
      <c r="M86" s="630"/>
      <c r="N86" s="631"/>
      <c r="O86" s="632"/>
      <c r="P86" s="632"/>
      <c r="Q86" s="632"/>
      <c r="R86" s="632"/>
      <c r="S86" s="632"/>
      <c r="T86" s="632"/>
      <c r="U86" s="632"/>
      <c r="V86" s="632"/>
      <c r="W86" s="632"/>
      <c r="X86" s="632"/>
      <c r="Y86" s="632"/>
      <c r="Z86" s="632"/>
      <c r="AA86" s="632"/>
      <c r="AB86" s="632"/>
      <c r="AC86" s="632"/>
      <c r="AD86" s="632"/>
      <c r="AE86" s="632"/>
      <c r="AF86" s="632"/>
      <c r="AG86" s="632"/>
      <c r="AH86" s="632"/>
      <c r="AI86" s="632"/>
      <c r="AJ86" s="632"/>
      <c r="AK86" s="632"/>
      <c r="AL86" s="632"/>
      <c r="AM86" s="632"/>
      <c r="AN86" s="632"/>
      <c r="AO86" s="632"/>
      <c r="AP86" s="632"/>
      <c r="AQ86" s="632"/>
      <c r="AR86" s="632"/>
      <c r="AS86" s="632"/>
      <c r="AT86" s="632"/>
      <c r="AU86" s="632"/>
      <c r="AV86" s="632"/>
      <c r="AW86" s="632"/>
      <c r="AX86" s="632"/>
      <c r="AY86" s="632"/>
      <c r="AZ86" s="632"/>
      <c r="BA86" s="633"/>
    </row>
    <row r="87" spans="2:53" ht="17.45" hidden="1" customHeight="1" thickTop="1">
      <c r="B87" s="1939"/>
      <c r="C87" s="1926" t="s">
        <v>4301</v>
      </c>
      <c r="D87" s="1927"/>
      <c r="E87" s="1891" t="e">
        <f>VLOOKUP($C87,電力会社!$I$4:$L$1033,2,FALSE)</f>
        <v>#N/A</v>
      </c>
      <c r="F87" s="1213" t="s">
        <v>2684</v>
      </c>
      <c r="G87" s="1213" t="s">
        <v>571</v>
      </c>
      <c r="H87" s="1210" t="s">
        <v>2728</v>
      </c>
      <c r="I87" s="623" t="str">
        <f>係数!I87</f>
        <v>千kWh</v>
      </c>
      <c r="J87" s="883">
        <f t="shared" si="8"/>
        <v>0</v>
      </c>
      <c r="K87" s="721"/>
      <c r="L87" s="629"/>
      <c r="M87" s="630"/>
      <c r="N87" s="631"/>
      <c r="O87" s="632"/>
      <c r="P87" s="632"/>
      <c r="Q87" s="632"/>
      <c r="R87" s="632"/>
      <c r="S87" s="632"/>
      <c r="T87" s="632"/>
      <c r="U87" s="632"/>
      <c r="V87" s="632"/>
      <c r="W87" s="632"/>
      <c r="X87" s="632"/>
      <c r="Y87" s="632"/>
      <c r="Z87" s="632"/>
      <c r="AA87" s="632"/>
      <c r="AB87" s="632"/>
      <c r="AC87" s="632"/>
      <c r="AD87" s="632"/>
      <c r="AE87" s="632"/>
      <c r="AF87" s="632"/>
      <c r="AG87" s="632"/>
      <c r="AH87" s="632"/>
      <c r="AI87" s="632"/>
      <c r="AJ87" s="632"/>
      <c r="AK87" s="632"/>
      <c r="AL87" s="632"/>
      <c r="AM87" s="632"/>
      <c r="AN87" s="632"/>
      <c r="AO87" s="632"/>
      <c r="AP87" s="632"/>
      <c r="AQ87" s="632"/>
      <c r="AR87" s="632"/>
      <c r="AS87" s="632"/>
      <c r="AT87" s="632"/>
      <c r="AU87" s="632"/>
      <c r="AV87" s="632"/>
      <c r="AW87" s="632"/>
      <c r="AX87" s="632"/>
      <c r="AY87" s="632"/>
      <c r="AZ87" s="632"/>
      <c r="BA87" s="633"/>
    </row>
    <row r="88" spans="2:53" ht="17.45" hidden="1" customHeight="1" thickBot="1">
      <c r="B88" s="1939"/>
      <c r="C88" s="1928"/>
      <c r="D88" s="1929"/>
      <c r="E88" s="1891"/>
      <c r="F88" s="975" t="e">
        <f>VLOOKUP($C87,電力会社!$I$4:$L$1033,3,FALSE)</f>
        <v>#N/A</v>
      </c>
      <c r="G88" s="976" t="e">
        <f>VLOOKUP($C87,電力会社!$I$4:$L$1033,4,FALSE)</f>
        <v>#N/A</v>
      </c>
      <c r="H88" s="1210" t="s">
        <v>2731</v>
      </c>
      <c r="I88" s="623" t="str">
        <f>係数!I88</f>
        <v>千kWh</v>
      </c>
      <c r="J88" s="883">
        <f t="shared" si="8"/>
        <v>0</v>
      </c>
      <c r="K88" s="721"/>
      <c r="L88" s="629"/>
      <c r="M88" s="630"/>
      <c r="N88" s="631"/>
      <c r="O88" s="632"/>
      <c r="P88" s="632"/>
      <c r="Q88" s="632"/>
      <c r="R88" s="632"/>
      <c r="S88" s="632"/>
      <c r="T88" s="632"/>
      <c r="U88" s="632"/>
      <c r="V88" s="632"/>
      <c r="W88" s="632"/>
      <c r="X88" s="632"/>
      <c r="Y88" s="632"/>
      <c r="Z88" s="632"/>
      <c r="AA88" s="632"/>
      <c r="AB88" s="632"/>
      <c r="AC88" s="632"/>
      <c r="AD88" s="632"/>
      <c r="AE88" s="632"/>
      <c r="AF88" s="632"/>
      <c r="AG88" s="632"/>
      <c r="AH88" s="632"/>
      <c r="AI88" s="632"/>
      <c r="AJ88" s="632"/>
      <c r="AK88" s="632"/>
      <c r="AL88" s="632"/>
      <c r="AM88" s="632"/>
      <c r="AN88" s="632"/>
      <c r="AO88" s="632"/>
      <c r="AP88" s="632"/>
      <c r="AQ88" s="632"/>
      <c r="AR88" s="632"/>
      <c r="AS88" s="632"/>
      <c r="AT88" s="632"/>
      <c r="AU88" s="632"/>
      <c r="AV88" s="632"/>
      <c r="AW88" s="632"/>
      <c r="AX88" s="632"/>
      <c r="AY88" s="632"/>
      <c r="AZ88" s="632"/>
      <c r="BA88" s="633"/>
    </row>
    <row r="89" spans="2:53" ht="17.45" hidden="1" customHeight="1" thickTop="1">
      <c r="B89" s="1939"/>
      <c r="C89" s="1926" t="s">
        <v>4301</v>
      </c>
      <c r="D89" s="1927"/>
      <c r="E89" s="1891" t="e">
        <f>VLOOKUP($C89,電力会社!$I$4:$L$1033,2,FALSE)</f>
        <v>#N/A</v>
      </c>
      <c r="F89" s="1213" t="s">
        <v>2684</v>
      </c>
      <c r="G89" s="1213" t="s">
        <v>571</v>
      </c>
      <c r="H89" s="1210" t="s">
        <v>2728</v>
      </c>
      <c r="I89" s="623" t="str">
        <f>係数!I89</f>
        <v>千kWh</v>
      </c>
      <c r="J89" s="883">
        <f t="shared" si="8"/>
        <v>0</v>
      </c>
      <c r="K89" s="721"/>
      <c r="L89" s="629"/>
      <c r="M89" s="630"/>
      <c r="N89" s="631"/>
      <c r="O89" s="632"/>
      <c r="P89" s="632"/>
      <c r="Q89" s="632"/>
      <c r="R89" s="632"/>
      <c r="S89" s="632"/>
      <c r="T89" s="632"/>
      <c r="U89" s="632"/>
      <c r="V89" s="632"/>
      <c r="W89" s="632"/>
      <c r="X89" s="632"/>
      <c r="Y89" s="632"/>
      <c r="Z89" s="632"/>
      <c r="AA89" s="632"/>
      <c r="AB89" s="632"/>
      <c r="AC89" s="632"/>
      <c r="AD89" s="632"/>
      <c r="AE89" s="632"/>
      <c r="AF89" s="632"/>
      <c r="AG89" s="632"/>
      <c r="AH89" s="632"/>
      <c r="AI89" s="632"/>
      <c r="AJ89" s="632"/>
      <c r="AK89" s="632"/>
      <c r="AL89" s="632"/>
      <c r="AM89" s="632"/>
      <c r="AN89" s="632"/>
      <c r="AO89" s="632"/>
      <c r="AP89" s="632"/>
      <c r="AQ89" s="632"/>
      <c r="AR89" s="632"/>
      <c r="AS89" s="632"/>
      <c r="AT89" s="632"/>
      <c r="AU89" s="632"/>
      <c r="AV89" s="632"/>
      <c r="AW89" s="632"/>
      <c r="AX89" s="632"/>
      <c r="AY89" s="632"/>
      <c r="AZ89" s="632"/>
      <c r="BA89" s="633"/>
    </row>
    <row r="90" spans="2:53" ht="17.45" hidden="1" customHeight="1" thickBot="1">
      <c r="B90" s="1939"/>
      <c r="C90" s="1928"/>
      <c r="D90" s="1929"/>
      <c r="E90" s="1891"/>
      <c r="F90" s="975" t="e">
        <f>VLOOKUP($C89,電力会社!$I$4:$L$1033,3,FALSE)</f>
        <v>#N/A</v>
      </c>
      <c r="G90" s="976" t="e">
        <f>VLOOKUP($C89,電力会社!$I$4:$L$1033,4,FALSE)</f>
        <v>#N/A</v>
      </c>
      <c r="H90" s="1210" t="s">
        <v>2731</v>
      </c>
      <c r="I90" s="623" t="str">
        <f>係数!I90</f>
        <v>千kWh</v>
      </c>
      <c r="J90" s="883">
        <f t="shared" si="8"/>
        <v>0</v>
      </c>
      <c r="K90" s="721"/>
      <c r="L90" s="629"/>
      <c r="M90" s="630"/>
      <c r="N90" s="631"/>
      <c r="O90" s="632"/>
      <c r="P90" s="632"/>
      <c r="Q90" s="632"/>
      <c r="R90" s="632"/>
      <c r="S90" s="632"/>
      <c r="T90" s="632"/>
      <c r="U90" s="632"/>
      <c r="V90" s="632"/>
      <c r="W90" s="632"/>
      <c r="X90" s="632"/>
      <c r="Y90" s="632"/>
      <c r="Z90" s="632"/>
      <c r="AA90" s="632"/>
      <c r="AB90" s="632"/>
      <c r="AC90" s="632"/>
      <c r="AD90" s="632"/>
      <c r="AE90" s="632"/>
      <c r="AF90" s="632"/>
      <c r="AG90" s="632"/>
      <c r="AH90" s="632"/>
      <c r="AI90" s="632"/>
      <c r="AJ90" s="632"/>
      <c r="AK90" s="632"/>
      <c r="AL90" s="632"/>
      <c r="AM90" s="632"/>
      <c r="AN90" s="632"/>
      <c r="AO90" s="632"/>
      <c r="AP90" s="632"/>
      <c r="AQ90" s="632"/>
      <c r="AR90" s="632"/>
      <c r="AS90" s="632"/>
      <c r="AT90" s="632"/>
      <c r="AU90" s="632"/>
      <c r="AV90" s="632"/>
      <c r="AW90" s="632"/>
      <c r="AX90" s="632"/>
      <c r="AY90" s="632"/>
      <c r="AZ90" s="632"/>
      <c r="BA90" s="633"/>
    </row>
    <row r="91" spans="2:53" ht="17.45" hidden="1" customHeight="1" thickTop="1">
      <c r="B91" s="1939"/>
      <c r="C91" s="1926" t="s">
        <v>4301</v>
      </c>
      <c r="D91" s="1927"/>
      <c r="E91" s="1891" t="e">
        <f>VLOOKUP($C91,電力会社!$I$4:$L$1033,2,FALSE)</f>
        <v>#N/A</v>
      </c>
      <c r="F91" s="1213" t="s">
        <v>2684</v>
      </c>
      <c r="G91" s="1213" t="s">
        <v>571</v>
      </c>
      <c r="H91" s="1210" t="s">
        <v>2728</v>
      </c>
      <c r="I91" s="623" t="str">
        <f>係数!I91</f>
        <v>千kWh</v>
      </c>
      <c r="J91" s="883">
        <f t="shared" si="8"/>
        <v>0</v>
      </c>
      <c r="K91" s="721"/>
      <c r="L91" s="629"/>
      <c r="M91" s="630"/>
      <c r="N91" s="631"/>
      <c r="O91" s="632"/>
      <c r="P91" s="632"/>
      <c r="Q91" s="632"/>
      <c r="R91" s="632"/>
      <c r="S91" s="632"/>
      <c r="T91" s="632"/>
      <c r="U91" s="632"/>
      <c r="V91" s="632"/>
      <c r="W91" s="632"/>
      <c r="X91" s="632"/>
      <c r="Y91" s="632"/>
      <c r="Z91" s="632"/>
      <c r="AA91" s="632"/>
      <c r="AB91" s="632"/>
      <c r="AC91" s="632"/>
      <c r="AD91" s="632"/>
      <c r="AE91" s="632"/>
      <c r="AF91" s="632"/>
      <c r="AG91" s="632"/>
      <c r="AH91" s="632"/>
      <c r="AI91" s="632"/>
      <c r="AJ91" s="632"/>
      <c r="AK91" s="632"/>
      <c r="AL91" s="632"/>
      <c r="AM91" s="632"/>
      <c r="AN91" s="632"/>
      <c r="AO91" s="632"/>
      <c r="AP91" s="632"/>
      <c r="AQ91" s="632"/>
      <c r="AR91" s="632"/>
      <c r="AS91" s="632"/>
      <c r="AT91" s="632"/>
      <c r="AU91" s="632"/>
      <c r="AV91" s="632"/>
      <c r="AW91" s="632"/>
      <c r="AX91" s="632"/>
      <c r="AY91" s="632"/>
      <c r="AZ91" s="632"/>
      <c r="BA91" s="633"/>
    </row>
    <row r="92" spans="2:53" ht="17.45" hidden="1" customHeight="1" thickBot="1">
      <c r="B92" s="1939"/>
      <c r="C92" s="1928"/>
      <c r="D92" s="1929"/>
      <c r="E92" s="1891"/>
      <c r="F92" s="975" t="e">
        <f>VLOOKUP($C91,電力会社!$I$4:$L$1033,3,FALSE)</f>
        <v>#N/A</v>
      </c>
      <c r="G92" s="976" t="e">
        <f>VLOOKUP($C91,電力会社!$I$4:$L$1033,4,FALSE)</f>
        <v>#N/A</v>
      </c>
      <c r="H92" s="1210" t="s">
        <v>2731</v>
      </c>
      <c r="I92" s="623" t="str">
        <f>係数!I92</f>
        <v>千kWh</v>
      </c>
      <c r="J92" s="883">
        <f t="shared" si="8"/>
        <v>0</v>
      </c>
      <c r="K92" s="721"/>
      <c r="L92" s="629"/>
      <c r="M92" s="630"/>
      <c r="N92" s="631"/>
      <c r="O92" s="632"/>
      <c r="P92" s="632"/>
      <c r="Q92" s="632"/>
      <c r="R92" s="632"/>
      <c r="S92" s="632"/>
      <c r="T92" s="632"/>
      <c r="U92" s="632"/>
      <c r="V92" s="632"/>
      <c r="W92" s="632"/>
      <c r="X92" s="632"/>
      <c r="Y92" s="632"/>
      <c r="Z92" s="632"/>
      <c r="AA92" s="632"/>
      <c r="AB92" s="632"/>
      <c r="AC92" s="632"/>
      <c r="AD92" s="632"/>
      <c r="AE92" s="632"/>
      <c r="AF92" s="632"/>
      <c r="AG92" s="632"/>
      <c r="AH92" s="632"/>
      <c r="AI92" s="632"/>
      <c r="AJ92" s="632"/>
      <c r="AK92" s="632"/>
      <c r="AL92" s="632"/>
      <c r="AM92" s="632"/>
      <c r="AN92" s="632"/>
      <c r="AO92" s="632"/>
      <c r="AP92" s="632"/>
      <c r="AQ92" s="632"/>
      <c r="AR92" s="632"/>
      <c r="AS92" s="632"/>
      <c r="AT92" s="632"/>
      <c r="AU92" s="632"/>
      <c r="AV92" s="632"/>
      <c r="AW92" s="632"/>
      <c r="AX92" s="632"/>
      <c r="AY92" s="632"/>
      <c r="AZ92" s="632"/>
      <c r="BA92" s="633"/>
    </row>
    <row r="93" spans="2:53" ht="17.45" hidden="1" customHeight="1" thickTop="1">
      <c r="B93" s="1939"/>
      <c r="C93" s="1926" t="s">
        <v>4301</v>
      </c>
      <c r="D93" s="1927"/>
      <c r="E93" s="1891" t="e">
        <f>VLOOKUP($C93,電力会社!$I$4:$L$1033,2,FALSE)</f>
        <v>#N/A</v>
      </c>
      <c r="F93" s="1213" t="s">
        <v>2684</v>
      </c>
      <c r="G93" s="1213" t="s">
        <v>571</v>
      </c>
      <c r="H93" s="1210" t="s">
        <v>2728</v>
      </c>
      <c r="I93" s="623" t="str">
        <f>係数!I93</f>
        <v>千kWh</v>
      </c>
      <c r="J93" s="883">
        <f t="shared" si="8"/>
        <v>0</v>
      </c>
      <c r="K93" s="721"/>
      <c r="L93" s="629"/>
      <c r="M93" s="630"/>
      <c r="N93" s="631"/>
      <c r="O93" s="632"/>
      <c r="P93" s="632"/>
      <c r="Q93" s="632"/>
      <c r="R93" s="632"/>
      <c r="S93" s="632"/>
      <c r="T93" s="632"/>
      <c r="U93" s="632"/>
      <c r="V93" s="632"/>
      <c r="W93" s="632"/>
      <c r="X93" s="632"/>
      <c r="Y93" s="632"/>
      <c r="Z93" s="632"/>
      <c r="AA93" s="632"/>
      <c r="AB93" s="632"/>
      <c r="AC93" s="632"/>
      <c r="AD93" s="632"/>
      <c r="AE93" s="632"/>
      <c r="AF93" s="632"/>
      <c r="AG93" s="632"/>
      <c r="AH93" s="632"/>
      <c r="AI93" s="632"/>
      <c r="AJ93" s="632"/>
      <c r="AK93" s="632"/>
      <c r="AL93" s="632"/>
      <c r="AM93" s="632"/>
      <c r="AN93" s="632"/>
      <c r="AO93" s="632"/>
      <c r="AP93" s="632"/>
      <c r="AQ93" s="632"/>
      <c r="AR93" s="632"/>
      <c r="AS93" s="632"/>
      <c r="AT93" s="632"/>
      <c r="AU93" s="632"/>
      <c r="AV93" s="632"/>
      <c r="AW93" s="632"/>
      <c r="AX93" s="632"/>
      <c r="AY93" s="632"/>
      <c r="AZ93" s="632"/>
      <c r="BA93" s="633"/>
    </row>
    <row r="94" spans="2:53" ht="17.45" hidden="1" customHeight="1" thickBot="1">
      <c r="B94" s="1939"/>
      <c r="C94" s="1928"/>
      <c r="D94" s="1929"/>
      <c r="E94" s="1891"/>
      <c r="F94" s="975" t="e">
        <f>VLOOKUP($C93,電力会社!$I$4:$L$1033,3,FALSE)</f>
        <v>#N/A</v>
      </c>
      <c r="G94" s="976" t="e">
        <f>VLOOKUP($C93,電力会社!$I$4:$L$1033,4,FALSE)</f>
        <v>#N/A</v>
      </c>
      <c r="H94" s="1210" t="s">
        <v>2731</v>
      </c>
      <c r="I94" s="623" t="str">
        <f>係数!I94</f>
        <v>千kWh</v>
      </c>
      <c r="J94" s="883">
        <f t="shared" si="8"/>
        <v>0</v>
      </c>
      <c r="K94" s="721"/>
      <c r="L94" s="629"/>
      <c r="M94" s="630"/>
      <c r="N94" s="631"/>
      <c r="O94" s="632"/>
      <c r="P94" s="632"/>
      <c r="Q94" s="632"/>
      <c r="R94" s="632"/>
      <c r="S94" s="632"/>
      <c r="T94" s="632"/>
      <c r="U94" s="632"/>
      <c r="V94" s="632"/>
      <c r="W94" s="632"/>
      <c r="X94" s="632"/>
      <c r="Y94" s="632"/>
      <c r="Z94" s="632"/>
      <c r="AA94" s="632"/>
      <c r="AB94" s="632"/>
      <c r="AC94" s="632"/>
      <c r="AD94" s="632"/>
      <c r="AE94" s="632"/>
      <c r="AF94" s="632"/>
      <c r="AG94" s="632"/>
      <c r="AH94" s="632"/>
      <c r="AI94" s="632"/>
      <c r="AJ94" s="632"/>
      <c r="AK94" s="632"/>
      <c r="AL94" s="632"/>
      <c r="AM94" s="632"/>
      <c r="AN94" s="632"/>
      <c r="AO94" s="632"/>
      <c r="AP94" s="632"/>
      <c r="AQ94" s="632"/>
      <c r="AR94" s="632"/>
      <c r="AS94" s="632"/>
      <c r="AT94" s="632"/>
      <c r="AU94" s="632"/>
      <c r="AV94" s="632"/>
      <c r="AW94" s="632"/>
      <c r="AX94" s="632"/>
      <c r="AY94" s="632"/>
      <c r="AZ94" s="632"/>
      <c r="BA94" s="633"/>
    </row>
    <row r="95" spans="2:53" ht="17.45" hidden="1" customHeight="1" thickTop="1">
      <c r="B95" s="1939"/>
      <c r="C95" s="1926" t="s">
        <v>4301</v>
      </c>
      <c r="D95" s="1927"/>
      <c r="E95" s="1891" t="e">
        <f>VLOOKUP($C95,電力会社!$I$4:$L$1033,2,FALSE)</f>
        <v>#N/A</v>
      </c>
      <c r="F95" s="1213" t="s">
        <v>2684</v>
      </c>
      <c r="G95" s="1213" t="s">
        <v>571</v>
      </c>
      <c r="H95" s="1210" t="s">
        <v>2728</v>
      </c>
      <c r="I95" s="623" t="str">
        <f>係数!I95</f>
        <v>千kWh</v>
      </c>
      <c r="J95" s="883">
        <f t="shared" si="8"/>
        <v>0</v>
      </c>
      <c r="K95" s="721"/>
      <c r="L95" s="629"/>
      <c r="M95" s="630"/>
      <c r="N95" s="631"/>
      <c r="O95" s="632"/>
      <c r="P95" s="632"/>
      <c r="Q95" s="632"/>
      <c r="R95" s="632"/>
      <c r="S95" s="632"/>
      <c r="T95" s="632"/>
      <c r="U95" s="632"/>
      <c r="V95" s="632"/>
      <c r="W95" s="632"/>
      <c r="X95" s="632"/>
      <c r="Y95" s="632"/>
      <c r="Z95" s="632"/>
      <c r="AA95" s="632"/>
      <c r="AB95" s="632"/>
      <c r="AC95" s="632"/>
      <c r="AD95" s="632"/>
      <c r="AE95" s="632"/>
      <c r="AF95" s="632"/>
      <c r="AG95" s="632"/>
      <c r="AH95" s="632"/>
      <c r="AI95" s="632"/>
      <c r="AJ95" s="632"/>
      <c r="AK95" s="632"/>
      <c r="AL95" s="632"/>
      <c r="AM95" s="632"/>
      <c r="AN95" s="632"/>
      <c r="AO95" s="632"/>
      <c r="AP95" s="632"/>
      <c r="AQ95" s="632"/>
      <c r="AR95" s="632"/>
      <c r="AS95" s="632"/>
      <c r="AT95" s="632"/>
      <c r="AU95" s="632"/>
      <c r="AV95" s="632"/>
      <c r="AW95" s="632"/>
      <c r="AX95" s="632"/>
      <c r="AY95" s="632"/>
      <c r="AZ95" s="632"/>
      <c r="BA95" s="633"/>
    </row>
    <row r="96" spans="2:53" ht="17.45" hidden="1" customHeight="1" thickBot="1">
      <c r="B96" s="1939"/>
      <c r="C96" s="1928"/>
      <c r="D96" s="1929"/>
      <c r="E96" s="1891"/>
      <c r="F96" s="975" t="e">
        <f>VLOOKUP($C95,電力会社!$I$4:$L$1033,3,FALSE)</f>
        <v>#N/A</v>
      </c>
      <c r="G96" s="976" t="e">
        <f>VLOOKUP($C95,電力会社!$I$4:$L$1033,4,FALSE)</f>
        <v>#N/A</v>
      </c>
      <c r="H96" s="1210" t="s">
        <v>2731</v>
      </c>
      <c r="I96" s="623" t="str">
        <f>係数!I96</f>
        <v>千kWh</v>
      </c>
      <c r="J96" s="883">
        <f t="shared" si="8"/>
        <v>0</v>
      </c>
      <c r="K96" s="721"/>
      <c r="L96" s="629"/>
      <c r="M96" s="630"/>
      <c r="N96" s="631"/>
      <c r="O96" s="632"/>
      <c r="P96" s="632"/>
      <c r="Q96" s="632"/>
      <c r="R96" s="632"/>
      <c r="S96" s="632"/>
      <c r="T96" s="632"/>
      <c r="U96" s="632"/>
      <c r="V96" s="632"/>
      <c r="W96" s="632"/>
      <c r="X96" s="632"/>
      <c r="Y96" s="632"/>
      <c r="Z96" s="632"/>
      <c r="AA96" s="632"/>
      <c r="AB96" s="632"/>
      <c r="AC96" s="632"/>
      <c r="AD96" s="632"/>
      <c r="AE96" s="632"/>
      <c r="AF96" s="632"/>
      <c r="AG96" s="632"/>
      <c r="AH96" s="632"/>
      <c r="AI96" s="632"/>
      <c r="AJ96" s="632"/>
      <c r="AK96" s="632"/>
      <c r="AL96" s="632"/>
      <c r="AM96" s="632"/>
      <c r="AN96" s="632"/>
      <c r="AO96" s="632"/>
      <c r="AP96" s="632"/>
      <c r="AQ96" s="632"/>
      <c r="AR96" s="632"/>
      <c r="AS96" s="632"/>
      <c r="AT96" s="632"/>
      <c r="AU96" s="632"/>
      <c r="AV96" s="632"/>
      <c r="AW96" s="632"/>
      <c r="AX96" s="632"/>
      <c r="AY96" s="632"/>
      <c r="AZ96" s="632"/>
      <c r="BA96" s="633"/>
    </row>
    <row r="97" spans="2:53" ht="17.45" hidden="1" customHeight="1" thickTop="1">
      <c r="B97" s="1939"/>
      <c r="C97" s="1926" t="s">
        <v>4301</v>
      </c>
      <c r="D97" s="1927"/>
      <c r="E97" s="1891" t="e">
        <f>VLOOKUP($C97,電力会社!$I$4:$L$1033,2,FALSE)</f>
        <v>#N/A</v>
      </c>
      <c r="F97" s="1213" t="s">
        <v>2684</v>
      </c>
      <c r="G97" s="1213" t="s">
        <v>571</v>
      </c>
      <c r="H97" s="1210" t="s">
        <v>2728</v>
      </c>
      <c r="I97" s="623" t="str">
        <f>係数!I97</f>
        <v>千kWh</v>
      </c>
      <c r="J97" s="883">
        <f t="shared" si="8"/>
        <v>0</v>
      </c>
      <c r="K97" s="721"/>
      <c r="L97" s="629"/>
      <c r="M97" s="630"/>
      <c r="N97" s="631"/>
      <c r="O97" s="632"/>
      <c r="P97" s="632"/>
      <c r="Q97" s="632"/>
      <c r="R97" s="632"/>
      <c r="S97" s="632"/>
      <c r="T97" s="632"/>
      <c r="U97" s="632"/>
      <c r="V97" s="632"/>
      <c r="W97" s="632"/>
      <c r="X97" s="632"/>
      <c r="Y97" s="632"/>
      <c r="Z97" s="632"/>
      <c r="AA97" s="632"/>
      <c r="AB97" s="632"/>
      <c r="AC97" s="632"/>
      <c r="AD97" s="632"/>
      <c r="AE97" s="632"/>
      <c r="AF97" s="632"/>
      <c r="AG97" s="632"/>
      <c r="AH97" s="632"/>
      <c r="AI97" s="632"/>
      <c r="AJ97" s="632"/>
      <c r="AK97" s="632"/>
      <c r="AL97" s="632"/>
      <c r="AM97" s="632"/>
      <c r="AN97" s="632"/>
      <c r="AO97" s="632"/>
      <c r="AP97" s="632"/>
      <c r="AQ97" s="632"/>
      <c r="AR97" s="632"/>
      <c r="AS97" s="632"/>
      <c r="AT97" s="632"/>
      <c r="AU97" s="632"/>
      <c r="AV97" s="632"/>
      <c r="AW97" s="632"/>
      <c r="AX97" s="632"/>
      <c r="AY97" s="632"/>
      <c r="AZ97" s="632"/>
      <c r="BA97" s="633"/>
    </row>
    <row r="98" spans="2:53" ht="17.45" hidden="1" customHeight="1" thickBot="1">
      <c r="B98" s="1939"/>
      <c r="C98" s="1928"/>
      <c r="D98" s="1929"/>
      <c r="E98" s="1891"/>
      <c r="F98" s="975" t="e">
        <f>VLOOKUP($C97,電力会社!$I$4:$L$1033,3,FALSE)</f>
        <v>#N/A</v>
      </c>
      <c r="G98" s="976" t="e">
        <f>VLOOKUP($C97,電力会社!$I$4:$L$1033,4,FALSE)</f>
        <v>#N/A</v>
      </c>
      <c r="H98" s="1210" t="s">
        <v>2731</v>
      </c>
      <c r="I98" s="623" t="str">
        <f>係数!I98</f>
        <v>千kWh</v>
      </c>
      <c r="J98" s="883">
        <f t="shared" si="8"/>
        <v>0</v>
      </c>
      <c r="K98" s="721"/>
      <c r="L98" s="629"/>
      <c r="M98" s="630"/>
      <c r="N98" s="631"/>
      <c r="O98" s="632"/>
      <c r="P98" s="632"/>
      <c r="Q98" s="632"/>
      <c r="R98" s="632"/>
      <c r="S98" s="632"/>
      <c r="T98" s="632"/>
      <c r="U98" s="632"/>
      <c r="V98" s="632"/>
      <c r="W98" s="632"/>
      <c r="X98" s="632"/>
      <c r="Y98" s="632"/>
      <c r="Z98" s="632"/>
      <c r="AA98" s="632"/>
      <c r="AB98" s="632"/>
      <c r="AC98" s="632"/>
      <c r="AD98" s="632"/>
      <c r="AE98" s="632"/>
      <c r="AF98" s="632"/>
      <c r="AG98" s="632"/>
      <c r="AH98" s="632"/>
      <c r="AI98" s="632"/>
      <c r="AJ98" s="632"/>
      <c r="AK98" s="632"/>
      <c r="AL98" s="632"/>
      <c r="AM98" s="632"/>
      <c r="AN98" s="632"/>
      <c r="AO98" s="632"/>
      <c r="AP98" s="632"/>
      <c r="AQ98" s="632"/>
      <c r="AR98" s="632"/>
      <c r="AS98" s="632"/>
      <c r="AT98" s="632"/>
      <c r="AU98" s="632"/>
      <c r="AV98" s="632"/>
      <c r="AW98" s="632"/>
      <c r="AX98" s="632"/>
      <c r="AY98" s="632"/>
      <c r="AZ98" s="632"/>
      <c r="BA98" s="633"/>
    </row>
    <row r="99" spans="2:53" ht="17.45" hidden="1" customHeight="1" thickTop="1">
      <c r="B99" s="1939"/>
      <c r="C99" s="1926" t="s">
        <v>4301</v>
      </c>
      <c r="D99" s="1927"/>
      <c r="E99" s="1891" t="e">
        <f>VLOOKUP($C99,電力会社!$I$4:$L$1033,2,FALSE)</f>
        <v>#N/A</v>
      </c>
      <c r="F99" s="1213" t="s">
        <v>2684</v>
      </c>
      <c r="G99" s="1213" t="s">
        <v>571</v>
      </c>
      <c r="H99" s="1210" t="s">
        <v>2728</v>
      </c>
      <c r="I99" s="623" t="str">
        <f>係数!I99</f>
        <v>千kWh</v>
      </c>
      <c r="J99" s="883">
        <f t="shared" si="8"/>
        <v>0</v>
      </c>
      <c r="K99" s="721"/>
      <c r="L99" s="629"/>
      <c r="M99" s="630"/>
      <c r="N99" s="631"/>
      <c r="O99" s="632"/>
      <c r="P99" s="632"/>
      <c r="Q99" s="632"/>
      <c r="R99" s="632"/>
      <c r="S99" s="632"/>
      <c r="T99" s="632"/>
      <c r="U99" s="632"/>
      <c r="V99" s="632"/>
      <c r="W99" s="632"/>
      <c r="X99" s="632"/>
      <c r="Y99" s="632"/>
      <c r="Z99" s="632"/>
      <c r="AA99" s="632"/>
      <c r="AB99" s="632"/>
      <c r="AC99" s="632"/>
      <c r="AD99" s="632"/>
      <c r="AE99" s="632"/>
      <c r="AF99" s="632"/>
      <c r="AG99" s="632"/>
      <c r="AH99" s="632"/>
      <c r="AI99" s="632"/>
      <c r="AJ99" s="632"/>
      <c r="AK99" s="632"/>
      <c r="AL99" s="632"/>
      <c r="AM99" s="632"/>
      <c r="AN99" s="632"/>
      <c r="AO99" s="632"/>
      <c r="AP99" s="632"/>
      <c r="AQ99" s="632"/>
      <c r="AR99" s="632"/>
      <c r="AS99" s="632"/>
      <c r="AT99" s="632"/>
      <c r="AU99" s="632"/>
      <c r="AV99" s="632"/>
      <c r="AW99" s="632"/>
      <c r="AX99" s="632"/>
      <c r="AY99" s="632"/>
      <c r="AZ99" s="632"/>
      <c r="BA99" s="633"/>
    </row>
    <row r="100" spans="2:53" ht="17.45" hidden="1" customHeight="1" thickBot="1">
      <c r="B100" s="1939"/>
      <c r="C100" s="1928"/>
      <c r="D100" s="1929"/>
      <c r="E100" s="1891"/>
      <c r="F100" s="975" t="e">
        <f>VLOOKUP($C99,電力会社!$I$4:$L$1033,3,FALSE)</f>
        <v>#N/A</v>
      </c>
      <c r="G100" s="976" t="e">
        <f>VLOOKUP($C99,電力会社!$I$4:$L$1033,4,FALSE)</f>
        <v>#N/A</v>
      </c>
      <c r="H100" s="1210" t="s">
        <v>2731</v>
      </c>
      <c r="I100" s="623" t="str">
        <f>係数!I100</f>
        <v>千kWh</v>
      </c>
      <c r="J100" s="883">
        <f t="shared" si="8"/>
        <v>0</v>
      </c>
      <c r="K100" s="721"/>
      <c r="L100" s="629"/>
      <c r="M100" s="630"/>
      <c r="N100" s="631"/>
      <c r="O100" s="632"/>
      <c r="P100" s="632"/>
      <c r="Q100" s="632"/>
      <c r="R100" s="632"/>
      <c r="S100" s="632"/>
      <c r="T100" s="632"/>
      <c r="U100" s="632"/>
      <c r="V100" s="632"/>
      <c r="W100" s="632"/>
      <c r="X100" s="632"/>
      <c r="Y100" s="632"/>
      <c r="Z100" s="632"/>
      <c r="AA100" s="632"/>
      <c r="AB100" s="632"/>
      <c r="AC100" s="632"/>
      <c r="AD100" s="632"/>
      <c r="AE100" s="632"/>
      <c r="AF100" s="632"/>
      <c r="AG100" s="632"/>
      <c r="AH100" s="632"/>
      <c r="AI100" s="632"/>
      <c r="AJ100" s="632"/>
      <c r="AK100" s="632"/>
      <c r="AL100" s="632"/>
      <c r="AM100" s="632"/>
      <c r="AN100" s="632"/>
      <c r="AO100" s="632"/>
      <c r="AP100" s="632"/>
      <c r="AQ100" s="632"/>
      <c r="AR100" s="632"/>
      <c r="AS100" s="632"/>
      <c r="AT100" s="632"/>
      <c r="AU100" s="632"/>
      <c r="AV100" s="632"/>
      <c r="AW100" s="632"/>
      <c r="AX100" s="632"/>
      <c r="AY100" s="632"/>
      <c r="AZ100" s="632"/>
      <c r="BA100" s="633"/>
    </row>
    <row r="101" spans="2:53" ht="17.45" hidden="1" customHeight="1" thickTop="1">
      <c r="B101" s="1939"/>
      <c r="C101" s="1926" t="s">
        <v>4301</v>
      </c>
      <c r="D101" s="1927"/>
      <c r="E101" s="1891" t="e">
        <f>VLOOKUP($C101,電力会社!$I$4:$L$1033,2,FALSE)</f>
        <v>#N/A</v>
      </c>
      <c r="F101" s="1213" t="s">
        <v>2684</v>
      </c>
      <c r="G101" s="1213" t="s">
        <v>571</v>
      </c>
      <c r="H101" s="1210" t="s">
        <v>2728</v>
      </c>
      <c r="I101" s="623" t="str">
        <f>係数!I101</f>
        <v>千kWh</v>
      </c>
      <c r="J101" s="883">
        <f t="shared" si="8"/>
        <v>0</v>
      </c>
      <c r="K101" s="721"/>
      <c r="L101" s="629"/>
      <c r="M101" s="630"/>
      <c r="N101" s="631"/>
      <c r="O101" s="632"/>
      <c r="P101" s="632"/>
      <c r="Q101" s="632"/>
      <c r="R101" s="632"/>
      <c r="S101" s="632"/>
      <c r="T101" s="632"/>
      <c r="U101" s="632"/>
      <c r="V101" s="632"/>
      <c r="W101" s="632"/>
      <c r="X101" s="632"/>
      <c r="Y101" s="632"/>
      <c r="Z101" s="632"/>
      <c r="AA101" s="632"/>
      <c r="AB101" s="632"/>
      <c r="AC101" s="632"/>
      <c r="AD101" s="632"/>
      <c r="AE101" s="632"/>
      <c r="AF101" s="632"/>
      <c r="AG101" s="632"/>
      <c r="AH101" s="632"/>
      <c r="AI101" s="632"/>
      <c r="AJ101" s="632"/>
      <c r="AK101" s="632"/>
      <c r="AL101" s="632"/>
      <c r="AM101" s="632"/>
      <c r="AN101" s="632"/>
      <c r="AO101" s="632"/>
      <c r="AP101" s="632"/>
      <c r="AQ101" s="632"/>
      <c r="AR101" s="632"/>
      <c r="AS101" s="632"/>
      <c r="AT101" s="632"/>
      <c r="AU101" s="632"/>
      <c r="AV101" s="632"/>
      <c r="AW101" s="632"/>
      <c r="AX101" s="632"/>
      <c r="AY101" s="632"/>
      <c r="AZ101" s="632"/>
      <c r="BA101" s="633"/>
    </row>
    <row r="102" spans="2:53" ht="17.45" hidden="1" customHeight="1" thickBot="1">
      <c r="B102" s="1939"/>
      <c r="C102" s="1928"/>
      <c r="D102" s="1929"/>
      <c r="E102" s="1891"/>
      <c r="F102" s="975" t="e">
        <f>VLOOKUP($C101,電力会社!$I$4:$L$1033,3,FALSE)</f>
        <v>#N/A</v>
      </c>
      <c r="G102" s="976" t="e">
        <f>VLOOKUP($C101,電力会社!$I$4:$L$1033,4,FALSE)</f>
        <v>#N/A</v>
      </c>
      <c r="H102" s="1210" t="s">
        <v>2731</v>
      </c>
      <c r="I102" s="623" t="str">
        <f>係数!I102</f>
        <v>千kWh</v>
      </c>
      <c r="J102" s="883">
        <f t="shared" si="8"/>
        <v>0</v>
      </c>
      <c r="K102" s="721"/>
      <c r="L102" s="629"/>
      <c r="M102" s="630"/>
      <c r="N102" s="631"/>
      <c r="O102" s="632"/>
      <c r="P102" s="632"/>
      <c r="Q102" s="632"/>
      <c r="R102" s="632"/>
      <c r="S102" s="632"/>
      <c r="T102" s="632"/>
      <c r="U102" s="632"/>
      <c r="V102" s="632"/>
      <c r="W102" s="632"/>
      <c r="X102" s="632"/>
      <c r="Y102" s="632"/>
      <c r="Z102" s="632"/>
      <c r="AA102" s="632"/>
      <c r="AB102" s="632"/>
      <c r="AC102" s="632"/>
      <c r="AD102" s="632"/>
      <c r="AE102" s="632"/>
      <c r="AF102" s="632"/>
      <c r="AG102" s="632"/>
      <c r="AH102" s="632"/>
      <c r="AI102" s="632"/>
      <c r="AJ102" s="632"/>
      <c r="AK102" s="632"/>
      <c r="AL102" s="632"/>
      <c r="AM102" s="632"/>
      <c r="AN102" s="632"/>
      <c r="AO102" s="632"/>
      <c r="AP102" s="632"/>
      <c r="AQ102" s="632"/>
      <c r="AR102" s="632"/>
      <c r="AS102" s="632"/>
      <c r="AT102" s="632"/>
      <c r="AU102" s="632"/>
      <c r="AV102" s="632"/>
      <c r="AW102" s="632"/>
      <c r="AX102" s="632"/>
      <c r="AY102" s="632"/>
      <c r="AZ102" s="632"/>
      <c r="BA102" s="633"/>
    </row>
    <row r="103" spans="2:53" ht="17.45" hidden="1" customHeight="1" thickTop="1">
      <c r="B103" s="1939"/>
      <c r="C103" s="1926" t="s">
        <v>4301</v>
      </c>
      <c r="D103" s="1927"/>
      <c r="E103" s="1941" t="e">
        <f>VLOOKUP($C103,電力会社!$I$4:$L$1033,2,FALSE)</f>
        <v>#N/A</v>
      </c>
      <c r="F103" s="1213" t="s">
        <v>2684</v>
      </c>
      <c r="G103" s="1213" t="s">
        <v>571</v>
      </c>
      <c r="H103" s="1210" t="s">
        <v>2728</v>
      </c>
      <c r="I103" s="623" t="str">
        <f>係数!I103</f>
        <v>千kWh</v>
      </c>
      <c r="J103" s="883">
        <f t="shared" si="8"/>
        <v>0</v>
      </c>
      <c r="K103" s="721"/>
      <c r="L103" s="629"/>
      <c r="M103" s="630"/>
      <c r="N103" s="631"/>
      <c r="O103" s="632"/>
      <c r="P103" s="632"/>
      <c r="Q103" s="632"/>
      <c r="R103" s="632"/>
      <c r="S103" s="632"/>
      <c r="T103" s="632"/>
      <c r="U103" s="632"/>
      <c r="V103" s="632"/>
      <c r="W103" s="632"/>
      <c r="X103" s="632"/>
      <c r="Y103" s="632"/>
      <c r="Z103" s="632"/>
      <c r="AA103" s="632"/>
      <c r="AB103" s="632"/>
      <c r="AC103" s="632"/>
      <c r="AD103" s="632"/>
      <c r="AE103" s="632"/>
      <c r="AF103" s="632"/>
      <c r="AG103" s="632"/>
      <c r="AH103" s="632"/>
      <c r="AI103" s="632"/>
      <c r="AJ103" s="632"/>
      <c r="AK103" s="632"/>
      <c r="AL103" s="632"/>
      <c r="AM103" s="632"/>
      <c r="AN103" s="632"/>
      <c r="AO103" s="632"/>
      <c r="AP103" s="632"/>
      <c r="AQ103" s="632"/>
      <c r="AR103" s="632"/>
      <c r="AS103" s="632"/>
      <c r="AT103" s="632"/>
      <c r="AU103" s="632"/>
      <c r="AV103" s="632"/>
      <c r="AW103" s="632"/>
      <c r="AX103" s="632"/>
      <c r="AY103" s="632"/>
      <c r="AZ103" s="632"/>
      <c r="BA103" s="633"/>
    </row>
    <row r="104" spans="2:53" ht="17.45" hidden="1" customHeight="1" thickBot="1">
      <c r="B104" s="1939"/>
      <c r="C104" s="1928"/>
      <c r="D104" s="1929"/>
      <c r="E104" s="1941"/>
      <c r="F104" s="975" t="e">
        <f>VLOOKUP($C103,電力会社!$I$4:$L$1033,3,FALSE)</f>
        <v>#N/A</v>
      </c>
      <c r="G104" s="976" t="e">
        <f>VLOOKUP($C103,電力会社!$I$4:$L$1033,4,FALSE)</f>
        <v>#N/A</v>
      </c>
      <c r="H104" s="1210" t="s">
        <v>2731</v>
      </c>
      <c r="I104" s="623" t="str">
        <f>係数!I104</f>
        <v>千kWh</v>
      </c>
      <c r="J104" s="883">
        <f t="shared" si="8"/>
        <v>0</v>
      </c>
      <c r="K104" s="721"/>
      <c r="L104" s="629"/>
      <c r="M104" s="630"/>
      <c r="N104" s="631"/>
      <c r="O104" s="632"/>
      <c r="P104" s="632"/>
      <c r="Q104" s="632"/>
      <c r="R104" s="632"/>
      <c r="S104" s="632"/>
      <c r="T104" s="632"/>
      <c r="U104" s="632"/>
      <c r="V104" s="632"/>
      <c r="W104" s="632"/>
      <c r="X104" s="632"/>
      <c r="Y104" s="632"/>
      <c r="Z104" s="632"/>
      <c r="AA104" s="632"/>
      <c r="AB104" s="632"/>
      <c r="AC104" s="632"/>
      <c r="AD104" s="632"/>
      <c r="AE104" s="632"/>
      <c r="AF104" s="632"/>
      <c r="AG104" s="632"/>
      <c r="AH104" s="632"/>
      <c r="AI104" s="632"/>
      <c r="AJ104" s="632"/>
      <c r="AK104" s="632"/>
      <c r="AL104" s="632"/>
      <c r="AM104" s="632"/>
      <c r="AN104" s="632"/>
      <c r="AO104" s="632"/>
      <c r="AP104" s="632"/>
      <c r="AQ104" s="632"/>
      <c r="AR104" s="632"/>
      <c r="AS104" s="632"/>
      <c r="AT104" s="632"/>
      <c r="AU104" s="632"/>
      <c r="AV104" s="632"/>
      <c r="AW104" s="632"/>
      <c r="AX104" s="632"/>
      <c r="AY104" s="632"/>
      <c r="AZ104" s="632"/>
      <c r="BA104" s="633"/>
    </row>
    <row r="105" spans="2:53" ht="114.75" customHeight="1" thickTop="1" thickBot="1">
      <c r="B105" s="1939"/>
      <c r="C105" s="1892" t="s">
        <v>4098</v>
      </c>
      <c r="D105" s="1892"/>
      <c r="E105" s="1893"/>
      <c r="F105" s="1220" t="s">
        <v>2684</v>
      </c>
      <c r="G105" s="1220" t="s">
        <v>571</v>
      </c>
      <c r="H105" s="1212"/>
      <c r="I105" s="1221"/>
      <c r="J105" s="1222"/>
      <c r="K105" s="1223"/>
      <c r="L105" s="1224"/>
      <c r="M105" s="1225"/>
      <c r="N105" s="1226"/>
      <c r="O105" s="1227"/>
      <c r="P105" s="1227"/>
      <c r="Q105" s="1227"/>
      <c r="R105" s="1227"/>
      <c r="S105" s="1227"/>
      <c r="T105" s="1227"/>
      <c r="U105" s="1227"/>
      <c r="V105" s="1227"/>
      <c r="W105" s="1227"/>
      <c r="X105" s="1227"/>
      <c r="Y105" s="1227"/>
      <c r="Z105" s="1227"/>
      <c r="AA105" s="1227"/>
      <c r="AB105" s="1227"/>
      <c r="AC105" s="1227"/>
      <c r="AD105" s="1227"/>
      <c r="AE105" s="1227"/>
      <c r="AF105" s="1227"/>
      <c r="AG105" s="1227"/>
      <c r="AH105" s="1227"/>
      <c r="AI105" s="1227"/>
      <c r="AJ105" s="1227"/>
      <c r="AK105" s="1227"/>
      <c r="AL105" s="1227"/>
      <c r="AM105" s="1227"/>
      <c r="AN105" s="1227"/>
      <c r="AO105" s="1227"/>
      <c r="AP105" s="1227"/>
      <c r="AQ105" s="1227"/>
      <c r="AR105" s="1227"/>
      <c r="AS105" s="1227"/>
      <c r="AT105" s="1227"/>
      <c r="AU105" s="1227"/>
      <c r="AV105" s="1227"/>
      <c r="AW105" s="1227"/>
      <c r="AX105" s="1227"/>
      <c r="AY105" s="1227"/>
      <c r="AZ105" s="1227"/>
      <c r="BA105" s="1228"/>
    </row>
    <row r="106" spans="2:53" ht="22.9" customHeight="1" thickTop="1">
      <c r="B106" s="1939"/>
      <c r="C106" s="1935"/>
      <c r="D106" s="1936"/>
      <c r="E106" s="1936"/>
      <c r="F106" s="1230"/>
      <c r="G106" s="1231"/>
      <c r="H106" s="1229"/>
      <c r="I106" s="623" t="str">
        <f>係数!I107</f>
        <v>千kWh</v>
      </c>
      <c r="J106" s="883">
        <f t="shared" ref="J106:J110" si="9">SUM(K106:BA106)</f>
        <v>0</v>
      </c>
      <c r="K106" s="721"/>
      <c r="L106" s="629"/>
      <c r="M106" s="630"/>
      <c r="N106" s="631"/>
      <c r="O106" s="632"/>
      <c r="P106" s="632"/>
      <c r="Q106" s="632"/>
      <c r="R106" s="632"/>
      <c r="S106" s="632"/>
      <c r="T106" s="632"/>
      <c r="U106" s="632"/>
      <c r="V106" s="632"/>
      <c r="W106" s="632"/>
      <c r="X106" s="632"/>
      <c r="Y106" s="632"/>
      <c r="Z106" s="632"/>
      <c r="AA106" s="632"/>
      <c r="AB106" s="632"/>
      <c r="AC106" s="632"/>
      <c r="AD106" s="632"/>
      <c r="AE106" s="632"/>
      <c r="AF106" s="632"/>
      <c r="AG106" s="632"/>
      <c r="AH106" s="632"/>
      <c r="AI106" s="632"/>
      <c r="AJ106" s="632"/>
      <c r="AK106" s="632"/>
      <c r="AL106" s="632"/>
      <c r="AM106" s="632"/>
      <c r="AN106" s="632"/>
      <c r="AO106" s="632"/>
      <c r="AP106" s="632"/>
      <c r="AQ106" s="632"/>
      <c r="AR106" s="632"/>
      <c r="AS106" s="632"/>
      <c r="AT106" s="632"/>
      <c r="AU106" s="632"/>
      <c r="AV106" s="632"/>
      <c r="AW106" s="632"/>
      <c r="AX106" s="632"/>
      <c r="AY106" s="632"/>
      <c r="AZ106" s="632"/>
      <c r="BA106" s="633"/>
    </row>
    <row r="107" spans="2:53" ht="22.9" customHeight="1">
      <c r="B107" s="1939"/>
      <c r="C107" s="1900"/>
      <c r="D107" s="1901"/>
      <c r="E107" s="1901"/>
      <c r="F107" s="1232"/>
      <c r="G107" s="1233"/>
      <c r="H107" s="1229"/>
      <c r="I107" s="623" t="str">
        <f>係数!I108</f>
        <v>千kWh</v>
      </c>
      <c r="J107" s="883">
        <f t="shared" si="9"/>
        <v>0</v>
      </c>
      <c r="K107" s="721"/>
      <c r="L107" s="629"/>
      <c r="M107" s="630"/>
      <c r="N107" s="631"/>
      <c r="O107" s="632"/>
      <c r="P107" s="632"/>
      <c r="Q107" s="632"/>
      <c r="R107" s="632"/>
      <c r="S107" s="632"/>
      <c r="T107" s="632"/>
      <c r="U107" s="632"/>
      <c r="V107" s="632"/>
      <c r="W107" s="632"/>
      <c r="X107" s="632"/>
      <c r="Y107" s="632"/>
      <c r="Z107" s="632"/>
      <c r="AA107" s="632"/>
      <c r="AB107" s="632"/>
      <c r="AC107" s="632"/>
      <c r="AD107" s="632"/>
      <c r="AE107" s="632"/>
      <c r="AF107" s="632"/>
      <c r="AG107" s="632"/>
      <c r="AH107" s="632"/>
      <c r="AI107" s="632"/>
      <c r="AJ107" s="632"/>
      <c r="AK107" s="632"/>
      <c r="AL107" s="632"/>
      <c r="AM107" s="632"/>
      <c r="AN107" s="632"/>
      <c r="AO107" s="632"/>
      <c r="AP107" s="632"/>
      <c r="AQ107" s="632"/>
      <c r="AR107" s="632"/>
      <c r="AS107" s="632"/>
      <c r="AT107" s="632"/>
      <c r="AU107" s="632"/>
      <c r="AV107" s="632"/>
      <c r="AW107" s="632"/>
      <c r="AX107" s="632"/>
      <c r="AY107" s="632"/>
      <c r="AZ107" s="632"/>
      <c r="BA107" s="633"/>
    </row>
    <row r="108" spans="2:53" ht="22.9" customHeight="1">
      <c r="B108" s="1939"/>
      <c r="C108" s="1900"/>
      <c r="D108" s="1901"/>
      <c r="E108" s="1901"/>
      <c r="F108" s="1232"/>
      <c r="G108" s="1233"/>
      <c r="H108" s="1229"/>
      <c r="I108" s="623" t="str">
        <f>係数!I109</f>
        <v>千kWh</v>
      </c>
      <c r="J108" s="883">
        <f t="shared" si="9"/>
        <v>0</v>
      </c>
      <c r="K108" s="721"/>
      <c r="L108" s="629"/>
      <c r="M108" s="630"/>
      <c r="N108" s="631"/>
      <c r="O108" s="632"/>
      <c r="P108" s="632"/>
      <c r="Q108" s="632"/>
      <c r="R108" s="632"/>
      <c r="S108" s="632"/>
      <c r="T108" s="632"/>
      <c r="U108" s="632"/>
      <c r="V108" s="632"/>
      <c r="W108" s="632"/>
      <c r="X108" s="632"/>
      <c r="Y108" s="632"/>
      <c r="Z108" s="632"/>
      <c r="AA108" s="632"/>
      <c r="AB108" s="632"/>
      <c r="AC108" s="632"/>
      <c r="AD108" s="632"/>
      <c r="AE108" s="632"/>
      <c r="AF108" s="632"/>
      <c r="AG108" s="632"/>
      <c r="AH108" s="632"/>
      <c r="AI108" s="632"/>
      <c r="AJ108" s="632"/>
      <c r="AK108" s="632"/>
      <c r="AL108" s="632"/>
      <c r="AM108" s="632"/>
      <c r="AN108" s="632"/>
      <c r="AO108" s="632"/>
      <c r="AP108" s="632"/>
      <c r="AQ108" s="632"/>
      <c r="AR108" s="632"/>
      <c r="AS108" s="632"/>
      <c r="AT108" s="632"/>
      <c r="AU108" s="632"/>
      <c r="AV108" s="632"/>
      <c r="AW108" s="632"/>
      <c r="AX108" s="632"/>
      <c r="AY108" s="632"/>
      <c r="AZ108" s="632"/>
      <c r="BA108" s="633"/>
    </row>
    <row r="109" spans="2:53" ht="22.9" customHeight="1">
      <c r="B109" s="1939"/>
      <c r="C109" s="1900"/>
      <c r="D109" s="1901"/>
      <c r="E109" s="1901"/>
      <c r="F109" s="1232"/>
      <c r="G109" s="1233"/>
      <c r="H109" s="1229"/>
      <c r="I109" s="623" t="str">
        <f>係数!I110</f>
        <v>千kWh</v>
      </c>
      <c r="J109" s="883">
        <f t="shared" si="9"/>
        <v>0</v>
      </c>
      <c r="K109" s="721"/>
      <c r="L109" s="629"/>
      <c r="M109" s="630"/>
      <c r="N109" s="631"/>
      <c r="O109" s="632"/>
      <c r="P109" s="632"/>
      <c r="Q109" s="632"/>
      <c r="R109" s="632"/>
      <c r="S109" s="632"/>
      <c r="T109" s="632"/>
      <c r="U109" s="632"/>
      <c r="V109" s="632"/>
      <c r="W109" s="632"/>
      <c r="X109" s="632"/>
      <c r="Y109" s="632"/>
      <c r="Z109" s="632"/>
      <c r="AA109" s="632"/>
      <c r="AB109" s="632"/>
      <c r="AC109" s="632"/>
      <c r="AD109" s="632"/>
      <c r="AE109" s="632"/>
      <c r="AF109" s="632"/>
      <c r="AG109" s="632"/>
      <c r="AH109" s="632"/>
      <c r="AI109" s="632"/>
      <c r="AJ109" s="632"/>
      <c r="AK109" s="632"/>
      <c r="AL109" s="632"/>
      <c r="AM109" s="632"/>
      <c r="AN109" s="632"/>
      <c r="AO109" s="632"/>
      <c r="AP109" s="632"/>
      <c r="AQ109" s="632"/>
      <c r="AR109" s="632"/>
      <c r="AS109" s="632"/>
      <c r="AT109" s="632"/>
      <c r="AU109" s="632"/>
      <c r="AV109" s="632"/>
      <c r="AW109" s="632"/>
      <c r="AX109" s="632"/>
      <c r="AY109" s="632"/>
      <c r="AZ109" s="632"/>
      <c r="BA109" s="633"/>
    </row>
    <row r="110" spans="2:53" ht="22.9" customHeight="1" thickBot="1">
      <c r="B110" s="1939"/>
      <c r="C110" s="1902"/>
      <c r="D110" s="1903"/>
      <c r="E110" s="1903"/>
      <c r="F110" s="1234"/>
      <c r="G110" s="1235"/>
      <c r="H110" s="1229"/>
      <c r="I110" s="623" t="str">
        <f>係数!I111</f>
        <v>千kWh</v>
      </c>
      <c r="J110" s="883">
        <f t="shared" si="9"/>
        <v>0</v>
      </c>
      <c r="K110" s="722"/>
      <c r="L110" s="635"/>
      <c r="M110" s="636"/>
      <c r="N110" s="631"/>
      <c r="O110" s="632"/>
      <c r="P110" s="632"/>
      <c r="Q110" s="632"/>
      <c r="R110" s="632"/>
      <c r="S110" s="632"/>
      <c r="T110" s="632"/>
      <c r="U110" s="632"/>
      <c r="V110" s="632"/>
      <c r="W110" s="632"/>
      <c r="X110" s="632"/>
      <c r="Y110" s="632"/>
      <c r="Z110" s="632"/>
      <c r="AA110" s="632"/>
      <c r="AB110" s="632"/>
      <c r="AC110" s="632"/>
      <c r="AD110" s="632"/>
      <c r="AE110" s="632"/>
      <c r="AF110" s="632"/>
      <c r="AG110" s="632"/>
      <c r="AH110" s="632"/>
      <c r="AI110" s="632"/>
      <c r="AJ110" s="632"/>
      <c r="AK110" s="632"/>
      <c r="AL110" s="632"/>
      <c r="AM110" s="632"/>
      <c r="AN110" s="632"/>
      <c r="AO110" s="632"/>
      <c r="AP110" s="632"/>
      <c r="AQ110" s="632"/>
      <c r="AR110" s="632"/>
      <c r="AS110" s="632"/>
      <c r="AT110" s="632"/>
      <c r="AU110" s="632"/>
      <c r="AV110" s="632"/>
      <c r="AW110" s="632"/>
      <c r="AX110" s="632"/>
      <c r="AY110" s="632"/>
      <c r="AZ110" s="632"/>
      <c r="BA110" s="633"/>
    </row>
    <row r="111" spans="2:53" ht="31.15" customHeight="1" thickTop="1">
      <c r="B111" s="1940"/>
      <c r="C111" s="1937" t="s">
        <v>2721</v>
      </c>
      <c r="D111" s="1937"/>
      <c r="E111" s="1937"/>
      <c r="F111" s="1937"/>
      <c r="G111" s="1937"/>
      <c r="H111" s="1937"/>
      <c r="I111" s="1683" t="s">
        <v>290</v>
      </c>
      <c r="J111" s="1684">
        <f>SUM(K111:BA111)</f>
        <v>0</v>
      </c>
      <c r="K111" s="1685">
        <f>SUM(K65:K110)</f>
        <v>0</v>
      </c>
      <c r="L111" s="1686">
        <f t="shared" ref="L111:BA111" si="10">SUM(L65:L110)</f>
        <v>0</v>
      </c>
      <c r="M111" s="1686">
        <f t="shared" si="10"/>
        <v>0</v>
      </c>
      <c r="N111" s="1686">
        <f t="shared" si="10"/>
        <v>0</v>
      </c>
      <c r="O111" s="1686">
        <f t="shared" si="10"/>
        <v>0</v>
      </c>
      <c r="P111" s="1686">
        <f t="shared" si="10"/>
        <v>0</v>
      </c>
      <c r="Q111" s="1686">
        <f t="shared" si="10"/>
        <v>0</v>
      </c>
      <c r="R111" s="1686">
        <f t="shared" si="10"/>
        <v>0</v>
      </c>
      <c r="S111" s="1686">
        <f t="shared" si="10"/>
        <v>0</v>
      </c>
      <c r="T111" s="1686">
        <f t="shared" si="10"/>
        <v>0</v>
      </c>
      <c r="U111" s="1686">
        <f t="shared" si="10"/>
        <v>0</v>
      </c>
      <c r="V111" s="1686">
        <f t="shared" si="10"/>
        <v>0</v>
      </c>
      <c r="W111" s="1686">
        <f t="shared" si="10"/>
        <v>0</v>
      </c>
      <c r="X111" s="1686">
        <f t="shared" si="10"/>
        <v>0</v>
      </c>
      <c r="Y111" s="1686">
        <f t="shared" si="10"/>
        <v>0</v>
      </c>
      <c r="Z111" s="1686">
        <f t="shared" si="10"/>
        <v>0</v>
      </c>
      <c r="AA111" s="1686">
        <f t="shared" si="10"/>
        <v>0</v>
      </c>
      <c r="AB111" s="1686">
        <f t="shared" si="10"/>
        <v>0</v>
      </c>
      <c r="AC111" s="1686">
        <f t="shared" si="10"/>
        <v>0</v>
      </c>
      <c r="AD111" s="1686">
        <f t="shared" si="10"/>
        <v>0</v>
      </c>
      <c r="AE111" s="1686">
        <f t="shared" si="10"/>
        <v>0</v>
      </c>
      <c r="AF111" s="1686">
        <f t="shared" si="10"/>
        <v>0</v>
      </c>
      <c r="AG111" s="1686">
        <f t="shared" si="10"/>
        <v>0</v>
      </c>
      <c r="AH111" s="1686">
        <f t="shared" si="10"/>
        <v>0</v>
      </c>
      <c r="AI111" s="1686">
        <f t="shared" si="10"/>
        <v>0</v>
      </c>
      <c r="AJ111" s="1686">
        <f t="shared" si="10"/>
        <v>0</v>
      </c>
      <c r="AK111" s="1686">
        <f t="shared" si="10"/>
        <v>0</v>
      </c>
      <c r="AL111" s="1686">
        <f t="shared" si="10"/>
        <v>0</v>
      </c>
      <c r="AM111" s="1686">
        <f t="shared" si="10"/>
        <v>0</v>
      </c>
      <c r="AN111" s="1686">
        <f t="shared" si="10"/>
        <v>0</v>
      </c>
      <c r="AO111" s="1686">
        <f t="shared" si="10"/>
        <v>0</v>
      </c>
      <c r="AP111" s="1686">
        <f t="shared" si="10"/>
        <v>0</v>
      </c>
      <c r="AQ111" s="1686">
        <f t="shared" si="10"/>
        <v>0</v>
      </c>
      <c r="AR111" s="1686">
        <f t="shared" si="10"/>
        <v>0</v>
      </c>
      <c r="AS111" s="1686">
        <f t="shared" si="10"/>
        <v>0</v>
      </c>
      <c r="AT111" s="1686">
        <f t="shared" si="10"/>
        <v>0</v>
      </c>
      <c r="AU111" s="1686">
        <f t="shared" si="10"/>
        <v>0</v>
      </c>
      <c r="AV111" s="1686">
        <f t="shared" si="10"/>
        <v>0</v>
      </c>
      <c r="AW111" s="1686">
        <f t="shared" si="10"/>
        <v>0</v>
      </c>
      <c r="AX111" s="1686">
        <f t="shared" si="10"/>
        <v>0</v>
      </c>
      <c r="AY111" s="1686">
        <f t="shared" si="10"/>
        <v>0</v>
      </c>
      <c r="AZ111" s="1686">
        <f t="shared" si="10"/>
        <v>0</v>
      </c>
      <c r="BA111" s="1686">
        <f t="shared" si="10"/>
        <v>0</v>
      </c>
    </row>
    <row r="112" spans="2:53" ht="20.45" customHeight="1" thickBot="1">
      <c r="B112" s="1671"/>
      <c r="C112" s="1691" t="s">
        <v>4780</v>
      </c>
      <c r="D112" s="1687"/>
      <c r="E112" s="1687"/>
      <c r="F112" s="1687"/>
      <c r="G112" s="1687"/>
      <c r="H112" s="1687"/>
      <c r="I112" s="1688"/>
      <c r="J112" s="1174">
        <f ca="1">SUM(K112:BA112)</f>
        <v>0</v>
      </c>
      <c r="K112" s="1689">
        <f ca="1">INDIRECT("o"&amp;K$28&amp;"!s111")</f>
        <v>0</v>
      </c>
      <c r="L112" s="1690">
        <f t="shared" ref="L112:BA112" ca="1" si="11">INDIRECT("o"&amp;L$28&amp;"!s111")</f>
        <v>0</v>
      </c>
      <c r="M112" s="1690">
        <f t="shared" ca="1" si="11"/>
        <v>0</v>
      </c>
      <c r="N112" s="1690">
        <f t="shared" ca="1" si="11"/>
        <v>0</v>
      </c>
      <c r="O112" s="1690">
        <f t="shared" ca="1" si="11"/>
        <v>0</v>
      </c>
      <c r="P112" s="1690">
        <f t="shared" ca="1" si="11"/>
        <v>0</v>
      </c>
      <c r="Q112" s="1690">
        <f t="shared" ca="1" si="11"/>
        <v>0</v>
      </c>
      <c r="R112" s="1690">
        <f t="shared" ca="1" si="11"/>
        <v>0</v>
      </c>
      <c r="S112" s="1690">
        <f t="shared" ca="1" si="11"/>
        <v>0</v>
      </c>
      <c r="T112" s="1690">
        <f t="shared" ca="1" si="11"/>
        <v>0</v>
      </c>
      <c r="U112" s="1690">
        <f t="shared" ca="1" si="11"/>
        <v>0</v>
      </c>
      <c r="V112" s="1690">
        <f t="shared" ca="1" si="11"/>
        <v>0</v>
      </c>
      <c r="W112" s="1690">
        <f t="shared" ca="1" si="11"/>
        <v>0</v>
      </c>
      <c r="X112" s="1690">
        <f t="shared" ca="1" si="11"/>
        <v>0</v>
      </c>
      <c r="Y112" s="1690">
        <f t="shared" ca="1" si="11"/>
        <v>0</v>
      </c>
      <c r="Z112" s="1690">
        <f t="shared" ca="1" si="11"/>
        <v>0</v>
      </c>
      <c r="AA112" s="1690">
        <f t="shared" ca="1" si="11"/>
        <v>0</v>
      </c>
      <c r="AB112" s="1690">
        <f t="shared" ca="1" si="11"/>
        <v>0</v>
      </c>
      <c r="AC112" s="1690">
        <f t="shared" ca="1" si="11"/>
        <v>0</v>
      </c>
      <c r="AD112" s="1690">
        <f t="shared" ca="1" si="11"/>
        <v>0</v>
      </c>
      <c r="AE112" s="1690">
        <f t="shared" ca="1" si="11"/>
        <v>0</v>
      </c>
      <c r="AF112" s="1690">
        <f t="shared" ca="1" si="11"/>
        <v>0</v>
      </c>
      <c r="AG112" s="1690">
        <f t="shared" ca="1" si="11"/>
        <v>0</v>
      </c>
      <c r="AH112" s="1690">
        <f t="shared" ca="1" si="11"/>
        <v>0</v>
      </c>
      <c r="AI112" s="1690">
        <f t="shared" ca="1" si="11"/>
        <v>0</v>
      </c>
      <c r="AJ112" s="1690">
        <f t="shared" ca="1" si="11"/>
        <v>0</v>
      </c>
      <c r="AK112" s="1690">
        <f t="shared" ca="1" si="11"/>
        <v>0</v>
      </c>
      <c r="AL112" s="1690">
        <f t="shared" ca="1" si="11"/>
        <v>0</v>
      </c>
      <c r="AM112" s="1690">
        <f t="shared" ca="1" si="11"/>
        <v>0</v>
      </c>
      <c r="AN112" s="1690">
        <f t="shared" ca="1" si="11"/>
        <v>0</v>
      </c>
      <c r="AO112" s="1690">
        <f t="shared" ca="1" si="11"/>
        <v>0</v>
      </c>
      <c r="AP112" s="1690">
        <f t="shared" ca="1" si="11"/>
        <v>0</v>
      </c>
      <c r="AQ112" s="1690">
        <f t="shared" ca="1" si="11"/>
        <v>0</v>
      </c>
      <c r="AR112" s="1690">
        <f t="shared" ca="1" si="11"/>
        <v>0</v>
      </c>
      <c r="AS112" s="1690">
        <f t="shared" ca="1" si="11"/>
        <v>0</v>
      </c>
      <c r="AT112" s="1690">
        <f t="shared" ca="1" si="11"/>
        <v>0</v>
      </c>
      <c r="AU112" s="1690">
        <f t="shared" ca="1" si="11"/>
        <v>0</v>
      </c>
      <c r="AV112" s="1690">
        <f t="shared" ca="1" si="11"/>
        <v>0</v>
      </c>
      <c r="AW112" s="1690">
        <f t="shared" ca="1" si="11"/>
        <v>0</v>
      </c>
      <c r="AX112" s="1690">
        <f t="shared" ca="1" si="11"/>
        <v>0</v>
      </c>
      <c r="AY112" s="1690">
        <f t="shared" ca="1" si="11"/>
        <v>0</v>
      </c>
      <c r="AZ112" s="1690">
        <f t="shared" ca="1" si="11"/>
        <v>0</v>
      </c>
      <c r="BA112" s="1690">
        <f t="shared" ca="1" si="11"/>
        <v>0</v>
      </c>
    </row>
    <row r="113" spans="2:53" ht="15" thickTop="1">
      <c r="B113" s="1930" t="s">
        <v>4233</v>
      </c>
      <c r="C113" s="1931"/>
      <c r="D113" s="1931"/>
      <c r="E113" s="1931"/>
      <c r="F113" s="1931"/>
      <c r="G113" s="1931"/>
      <c r="H113" s="1931"/>
      <c r="I113" s="1931"/>
      <c r="J113" s="1817">
        <f ca="1">SUM(K113:BA113)</f>
        <v>0</v>
      </c>
      <c r="K113" s="1682">
        <f ca="1">INDIRECT("o"&amp;K$28&amp;"!j22")</f>
        <v>0</v>
      </c>
      <c r="L113" s="1682">
        <f t="shared" ref="L113:BA113" ca="1" si="12">INDIRECT("o"&amp;L$28&amp;"!j22")</f>
        <v>0</v>
      </c>
      <c r="M113" s="1682">
        <f t="shared" ca="1" si="12"/>
        <v>0</v>
      </c>
      <c r="N113" s="1682">
        <f t="shared" ca="1" si="12"/>
        <v>0</v>
      </c>
      <c r="O113" s="1682">
        <f t="shared" ca="1" si="12"/>
        <v>0</v>
      </c>
      <c r="P113" s="1682">
        <f t="shared" ca="1" si="12"/>
        <v>0</v>
      </c>
      <c r="Q113" s="1682">
        <f t="shared" ca="1" si="12"/>
        <v>0</v>
      </c>
      <c r="R113" s="1682">
        <f t="shared" ca="1" si="12"/>
        <v>0</v>
      </c>
      <c r="S113" s="1682">
        <f t="shared" ca="1" si="12"/>
        <v>0</v>
      </c>
      <c r="T113" s="1682">
        <f t="shared" ca="1" si="12"/>
        <v>0</v>
      </c>
      <c r="U113" s="1682">
        <f t="shared" ca="1" si="12"/>
        <v>0</v>
      </c>
      <c r="V113" s="1682">
        <f t="shared" ca="1" si="12"/>
        <v>0</v>
      </c>
      <c r="W113" s="1682">
        <f t="shared" ca="1" si="12"/>
        <v>0</v>
      </c>
      <c r="X113" s="1682">
        <f t="shared" ca="1" si="12"/>
        <v>0</v>
      </c>
      <c r="Y113" s="1682">
        <f t="shared" ca="1" si="12"/>
        <v>0</v>
      </c>
      <c r="Z113" s="1682">
        <f t="shared" ca="1" si="12"/>
        <v>0</v>
      </c>
      <c r="AA113" s="1682">
        <f t="shared" ca="1" si="12"/>
        <v>0</v>
      </c>
      <c r="AB113" s="1682">
        <f t="shared" ca="1" si="12"/>
        <v>0</v>
      </c>
      <c r="AC113" s="1682">
        <f t="shared" ca="1" si="12"/>
        <v>0</v>
      </c>
      <c r="AD113" s="1682">
        <f t="shared" ca="1" si="12"/>
        <v>0</v>
      </c>
      <c r="AE113" s="1682">
        <f t="shared" ca="1" si="12"/>
        <v>0</v>
      </c>
      <c r="AF113" s="1682">
        <f t="shared" ca="1" si="12"/>
        <v>0</v>
      </c>
      <c r="AG113" s="1682">
        <f t="shared" ca="1" si="12"/>
        <v>0</v>
      </c>
      <c r="AH113" s="1682">
        <f t="shared" ca="1" si="12"/>
        <v>0</v>
      </c>
      <c r="AI113" s="1682">
        <f t="shared" ca="1" si="12"/>
        <v>0</v>
      </c>
      <c r="AJ113" s="1682">
        <f t="shared" ca="1" si="12"/>
        <v>0</v>
      </c>
      <c r="AK113" s="1682">
        <f t="shared" ca="1" si="12"/>
        <v>0</v>
      </c>
      <c r="AL113" s="1682">
        <f t="shared" ca="1" si="12"/>
        <v>0</v>
      </c>
      <c r="AM113" s="1682">
        <f t="shared" ca="1" si="12"/>
        <v>0</v>
      </c>
      <c r="AN113" s="1682">
        <f t="shared" ca="1" si="12"/>
        <v>0</v>
      </c>
      <c r="AO113" s="1682">
        <f t="shared" ca="1" si="12"/>
        <v>0</v>
      </c>
      <c r="AP113" s="1682">
        <f t="shared" ca="1" si="12"/>
        <v>0</v>
      </c>
      <c r="AQ113" s="1682">
        <f t="shared" ca="1" si="12"/>
        <v>0</v>
      </c>
      <c r="AR113" s="1682">
        <f t="shared" ca="1" si="12"/>
        <v>0</v>
      </c>
      <c r="AS113" s="1682">
        <f t="shared" ca="1" si="12"/>
        <v>0</v>
      </c>
      <c r="AT113" s="1682">
        <f t="shared" ca="1" si="12"/>
        <v>0</v>
      </c>
      <c r="AU113" s="1682">
        <f t="shared" ca="1" si="12"/>
        <v>0</v>
      </c>
      <c r="AV113" s="1682">
        <f t="shared" ca="1" si="12"/>
        <v>0</v>
      </c>
      <c r="AW113" s="1682">
        <f t="shared" ca="1" si="12"/>
        <v>0</v>
      </c>
      <c r="AX113" s="1682">
        <f t="shared" ca="1" si="12"/>
        <v>0</v>
      </c>
      <c r="AY113" s="1682">
        <f t="shared" ca="1" si="12"/>
        <v>0</v>
      </c>
      <c r="AZ113" s="1682">
        <f t="shared" ca="1" si="12"/>
        <v>0</v>
      </c>
      <c r="BA113" s="1682">
        <f t="shared" ca="1" si="12"/>
        <v>0</v>
      </c>
    </row>
    <row r="114" spans="2:53" ht="18" customHeight="1">
      <c r="B114" s="1912" t="s">
        <v>4411</v>
      </c>
      <c r="C114" s="1913"/>
      <c r="D114" s="1913"/>
      <c r="E114" s="1913"/>
      <c r="F114" s="1914"/>
      <c r="G114" s="1915" t="s">
        <v>2742</v>
      </c>
      <c r="H114" s="1916"/>
      <c r="I114" s="1917"/>
      <c r="J114" s="1818">
        <f t="shared" ref="J114:J115" ca="1" si="13">SUM(K114:BA114)</f>
        <v>0</v>
      </c>
      <c r="K114" s="637">
        <f ca="1">INDIRECT("o"&amp;K$28&amp;"!r22")</f>
        <v>0</v>
      </c>
      <c r="L114" s="637">
        <f t="shared" ref="L114:BA114" ca="1" si="14">INDIRECT("o"&amp;L$28&amp;"!r22")</f>
        <v>0</v>
      </c>
      <c r="M114" s="637">
        <f t="shared" ca="1" si="14"/>
        <v>0</v>
      </c>
      <c r="N114" s="637">
        <f t="shared" ca="1" si="14"/>
        <v>0</v>
      </c>
      <c r="O114" s="637">
        <f t="shared" ca="1" si="14"/>
        <v>0</v>
      </c>
      <c r="P114" s="637">
        <f t="shared" ca="1" si="14"/>
        <v>0</v>
      </c>
      <c r="Q114" s="637">
        <f t="shared" ca="1" si="14"/>
        <v>0</v>
      </c>
      <c r="R114" s="637">
        <f t="shared" ca="1" si="14"/>
        <v>0</v>
      </c>
      <c r="S114" s="637">
        <f t="shared" ca="1" si="14"/>
        <v>0</v>
      </c>
      <c r="T114" s="637">
        <f t="shared" ca="1" si="14"/>
        <v>0</v>
      </c>
      <c r="U114" s="637">
        <f t="shared" ca="1" si="14"/>
        <v>0</v>
      </c>
      <c r="V114" s="637">
        <f t="shared" ca="1" si="14"/>
        <v>0</v>
      </c>
      <c r="W114" s="637">
        <f t="shared" ca="1" si="14"/>
        <v>0</v>
      </c>
      <c r="X114" s="637">
        <f t="shared" ca="1" si="14"/>
        <v>0</v>
      </c>
      <c r="Y114" s="637">
        <f t="shared" ca="1" si="14"/>
        <v>0</v>
      </c>
      <c r="Z114" s="637">
        <f t="shared" ca="1" si="14"/>
        <v>0</v>
      </c>
      <c r="AA114" s="637">
        <f t="shared" ca="1" si="14"/>
        <v>0</v>
      </c>
      <c r="AB114" s="637">
        <f t="shared" ca="1" si="14"/>
        <v>0</v>
      </c>
      <c r="AC114" s="637">
        <f t="shared" ca="1" si="14"/>
        <v>0</v>
      </c>
      <c r="AD114" s="637">
        <f t="shared" ca="1" si="14"/>
        <v>0</v>
      </c>
      <c r="AE114" s="637">
        <f t="shared" ca="1" si="14"/>
        <v>0</v>
      </c>
      <c r="AF114" s="637">
        <f t="shared" ca="1" si="14"/>
        <v>0</v>
      </c>
      <c r="AG114" s="637">
        <f t="shared" ca="1" si="14"/>
        <v>0</v>
      </c>
      <c r="AH114" s="637">
        <f t="shared" ca="1" si="14"/>
        <v>0</v>
      </c>
      <c r="AI114" s="637">
        <f t="shared" ca="1" si="14"/>
        <v>0</v>
      </c>
      <c r="AJ114" s="637">
        <f t="shared" ca="1" si="14"/>
        <v>0</v>
      </c>
      <c r="AK114" s="637">
        <f t="shared" ca="1" si="14"/>
        <v>0</v>
      </c>
      <c r="AL114" s="637">
        <f t="shared" ca="1" si="14"/>
        <v>0</v>
      </c>
      <c r="AM114" s="637">
        <f t="shared" ca="1" si="14"/>
        <v>0</v>
      </c>
      <c r="AN114" s="637">
        <f t="shared" ca="1" si="14"/>
        <v>0</v>
      </c>
      <c r="AO114" s="637">
        <f t="shared" ca="1" si="14"/>
        <v>0</v>
      </c>
      <c r="AP114" s="637">
        <f t="shared" ca="1" si="14"/>
        <v>0</v>
      </c>
      <c r="AQ114" s="637">
        <f t="shared" ca="1" si="14"/>
        <v>0</v>
      </c>
      <c r="AR114" s="637">
        <f t="shared" ca="1" si="14"/>
        <v>0</v>
      </c>
      <c r="AS114" s="637">
        <f t="shared" ca="1" si="14"/>
        <v>0</v>
      </c>
      <c r="AT114" s="637">
        <f t="shared" ca="1" si="14"/>
        <v>0</v>
      </c>
      <c r="AU114" s="637">
        <f t="shared" ca="1" si="14"/>
        <v>0</v>
      </c>
      <c r="AV114" s="637">
        <f t="shared" ca="1" si="14"/>
        <v>0</v>
      </c>
      <c r="AW114" s="637">
        <f t="shared" ca="1" si="14"/>
        <v>0</v>
      </c>
      <c r="AX114" s="637">
        <f t="shared" ca="1" si="14"/>
        <v>0</v>
      </c>
      <c r="AY114" s="637">
        <f t="shared" ca="1" si="14"/>
        <v>0</v>
      </c>
      <c r="AZ114" s="637">
        <f t="shared" ca="1" si="14"/>
        <v>0</v>
      </c>
      <c r="BA114" s="637">
        <f t="shared" ca="1" si="14"/>
        <v>0</v>
      </c>
    </row>
    <row r="115" spans="2:53" ht="18" customHeight="1" thickBot="1">
      <c r="B115" s="1932"/>
      <c r="C115" s="1933"/>
      <c r="D115" s="1933"/>
      <c r="E115" s="1933"/>
      <c r="F115" s="1934"/>
      <c r="G115" s="1915" t="s">
        <v>571</v>
      </c>
      <c r="H115" s="1916"/>
      <c r="I115" s="1917"/>
      <c r="J115" s="1818">
        <f t="shared" ca="1" si="13"/>
        <v>0</v>
      </c>
      <c r="K115" s="637">
        <f ca="1">INDIRECT("o"&amp;K$28&amp;"!s22")</f>
        <v>0</v>
      </c>
      <c r="L115" s="637">
        <f t="shared" ref="L115:BA115" ca="1" si="15">INDIRECT("o"&amp;L$28&amp;"!s22")</f>
        <v>0</v>
      </c>
      <c r="M115" s="637">
        <f t="shared" ca="1" si="15"/>
        <v>0</v>
      </c>
      <c r="N115" s="637">
        <f t="shared" ca="1" si="15"/>
        <v>0</v>
      </c>
      <c r="O115" s="637">
        <f t="shared" ca="1" si="15"/>
        <v>0</v>
      </c>
      <c r="P115" s="637">
        <f t="shared" ca="1" si="15"/>
        <v>0</v>
      </c>
      <c r="Q115" s="637">
        <f t="shared" ca="1" si="15"/>
        <v>0</v>
      </c>
      <c r="R115" s="637">
        <f t="shared" ca="1" si="15"/>
        <v>0</v>
      </c>
      <c r="S115" s="637">
        <f t="shared" ca="1" si="15"/>
        <v>0</v>
      </c>
      <c r="T115" s="637">
        <f t="shared" ca="1" si="15"/>
        <v>0</v>
      </c>
      <c r="U115" s="637">
        <f t="shared" ca="1" si="15"/>
        <v>0</v>
      </c>
      <c r="V115" s="637">
        <f t="shared" ca="1" si="15"/>
        <v>0</v>
      </c>
      <c r="W115" s="637">
        <f t="shared" ca="1" si="15"/>
        <v>0</v>
      </c>
      <c r="X115" s="637">
        <f t="shared" ca="1" si="15"/>
        <v>0</v>
      </c>
      <c r="Y115" s="637">
        <f t="shared" ca="1" si="15"/>
        <v>0</v>
      </c>
      <c r="Z115" s="637">
        <f t="shared" ca="1" si="15"/>
        <v>0</v>
      </c>
      <c r="AA115" s="637">
        <f t="shared" ca="1" si="15"/>
        <v>0</v>
      </c>
      <c r="AB115" s="637">
        <f t="shared" ca="1" si="15"/>
        <v>0</v>
      </c>
      <c r="AC115" s="637">
        <f t="shared" ca="1" si="15"/>
        <v>0</v>
      </c>
      <c r="AD115" s="637">
        <f t="shared" ca="1" si="15"/>
        <v>0</v>
      </c>
      <c r="AE115" s="637">
        <f t="shared" ca="1" si="15"/>
        <v>0</v>
      </c>
      <c r="AF115" s="637">
        <f t="shared" ca="1" si="15"/>
        <v>0</v>
      </c>
      <c r="AG115" s="637">
        <f t="shared" ca="1" si="15"/>
        <v>0</v>
      </c>
      <c r="AH115" s="637">
        <f t="shared" ca="1" si="15"/>
        <v>0</v>
      </c>
      <c r="AI115" s="637">
        <f t="shared" ca="1" si="15"/>
        <v>0</v>
      </c>
      <c r="AJ115" s="637">
        <f t="shared" ca="1" si="15"/>
        <v>0</v>
      </c>
      <c r="AK115" s="637">
        <f t="shared" ca="1" si="15"/>
        <v>0</v>
      </c>
      <c r="AL115" s="637">
        <f t="shared" ca="1" si="15"/>
        <v>0</v>
      </c>
      <c r="AM115" s="637">
        <f t="shared" ca="1" si="15"/>
        <v>0</v>
      </c>
      <c r="AN115" s="637">
        <f t="shared" ca="1" si="15"/>
        <v>0</v>
      </c>
      <c r="AO115" s="637">
        <f t="shared" ca="1" si="15"/>
        <v>0</v>
      </c>
      <c r="AP115" s="637">
        <f t="shared" ca="1" si="15"/>
        <v>0</v>
      </c>
      <c r="AQ115" s="637">
        <f t="shared" ca="1" si="15"/>
        <v>0</v>
      </c>
      <c r="AR115" s="637">
        <f t="shared" ca="1" si="15"/>
        <v>0</v>
      </c>
      <c r="AS115" s="637">
        <f t="shared" ca="1" si="15"/>
        <v>0</v>
      </c>
      <c r="AT115" s="637">
        <f t="shared" ca="1" si="15"/>
        <v>0</v>
      </c>
      <c r="AU115" s="637">
        <f t="shared" ca="1" si="15"/>
        <v>0</v>
      </c>
      <c r="AV115" s="637">
        <f t="shared" ca="1" si="15"/>
        <v>0</v>
      </c>
      <c r="AW115" s="637">
        <f t="shared" ca="1" si="15"/>
        <v>0</v>
      </c>
      <c r="AX115" s="637">
        <f t="shared" ca="1" si="15"/>
        <v>0</v>
      </c>
      <c r="AY115" s="637">
        <f t="shared" ca="1" si="15"/>
        <v>0</v>
      </c>
      <c r="AZ115" s="637">
        <f t="shared" ca="1" si="15"/>
        <v>0</v>
      </c>
      <c r="BA115" s="637">
        <f t="shared" ca="1" si="15"/>
        <v>0</v>
      </c>
    </row>
    <row r="116" spans="2:53" ht="15" thickTop="1">
      <c r="B116" s="1924" t="s">
        <v>2743</v>
      </c>
      <c r="C116" s="1924"/>
      <c r="D116" s="1924"/>
      <c r="E116" s="1924"/>
      <c r="F116" s="1924"/>
      <c r="G116" s="1346" t="s">
        <v>2744</v>
      </c>
      <c r="H116" s="1887"/>
      <c r="I116" s="1888"/>
      <c r="J116" s="1128" t="str">
        <f>IF($I$14=2,IF($H$116="","",$H$116),"")</f>
        <v/>
      </c>
      <c r="K116" s="1131" t="str">
        <f>IF($I$14=2,IF(AND($H$116&lt;&gt;"",$H$18&gt;$H$19),$H$116,""),"")</f>
        <v/>
      </c>
      <c r="L116" s="624"/>
      <c r="M116" s="625"/>
      <c r="N116" s="624" t="str">
        <f t="shared" ref="N116:BA116" si="16">IF($I$14=2,IF(AND($H$116&lt;&gt;"",$H$19&gt;=N$28-3),$H$116,""),"")</f>
        <v/>
      </c>
      <c r="O116" s="624" t="str">
        <f t="shared" si="16"/>
        <v/>
      </c>
      <c r="P116" s="624" t="str">
        <f t="shared" si="16"/>
        <v/>
      </c>
      <c r="Q116" s="624" t="str">
        <f t="shared" si="16"/>
        <v/>
      </c>
      <c r="R116" s="624" t="str">
        <f t="shared" si="16"/>
        <v/>
      </c>
      <c r="S116" s="624" t="str">
        <f t="shared" si="16"/>
        <v/>
      </c>
      <c r="T116" s="624" t="str">
        <f t="shared" si="16"/>
        <v/>
      </c>
      <c r="U116" s="624" t="str">
        <f t="shared" si="16"/>
        <v/>
      </c>
      <c r="V116" s="624" t="str">
        <f t="shared" si="16"/>
        <v/>
      </c>
      <c r="W116" s="624" t="str">
        <f t="shared" si="16"/>
        <v/>
      </c>
      <c r="X116" s="624" t="str">
        <f t="shared" si="16"/>
        <v/>
      </c>
      <c r="Y116" s="624" t="str">
        <f t="shared" si="16"/>
        <v/>
      </c>
      <c r="Z116" s="624" t="str">
        <f t="shared" si="16"/>
        <v/>
      </c>
      <c r="AA116" s="624" t="str">
        <f t="shared" si="16"/>
        <v/>
      </c>
      <c r="AB116" s="624" t="str">
        <f t="shared" si="16"/>
        <v/>
      </c>
      <c r="AC116" s="624" t="str">
        <f t="shared" si="16"/>
        <v/>
      </c>
      <c r="AD116" s="624" t="str">
        <f t="shared" si="16"/>
        <v/>
      </c>
      <c r="AE116" s="624" t="str">
        <f t="shared" si="16"/>
        <v/>
      </c>
      <c r="AF116" s="624" t="str">
        <f t="shared" si="16"/>
        <v/>
      </c>
      <c r="AG116" s="624" t="str">
        <f t="shared" si="16"/>
        <v/>
      </c>
      <c r="AH116" s="624" t="str">
        <f t="shared" si="16"/>
        <v/>
      </c>
      <c r="AI116" s="624" t="str">
        <f t="shared" si="16"/>
        <v/>
      </c>
      <c r="AJ116" s="624" t="str">
        <f t="shared" si="16"/>
        <v/>
      </c>
      <c r="AK116" s="624" t="str">
        <f t="shared" si="16"/>
        <v/>
      </c>
      <c r="AL116" s="624" t="str">
        <f t="shared" si="16"/>
        <v/>
      </c>
      <c r="AM116" s="624" t="str">
        <f t="shared" si="16"/>
        <v/>
      </c>
      <c r="AN116" s="624" t="str">
        <f t="shared" si="16"/>
        <v/>
      </c>
      <c r="AO116" s="624" t="str">
        <f t="shared" si="16"/>
        <v/>
      </c>
      <c r="AP116" s="624" t="str">
        <f t="shared" si="16"/>
        <v/>
      </c>
      <c r="AQ116" s="624" t="str">
        <f t="shared" si="16"/>
        <v/>
      </c>
      <c r="AR116" s="624" t="str">
        <f t="shared" si="16"/>
        <v/>
      </c>
      <c r="AS116" s="624" t="str">
        <f t="shared" si="16"/>
        <v/>
      </c>
      <c r="AT116" s="624" t="str">
        <f t="shared" si="16"/>
        <v/>
      </c>
      <c r="AU116" s="624" t="str">
        <f t="shared" si="16"/>
        <v/>
      </c>
      <c r="AV116" s="624" t="str">
        <f t="shared" si="16"/>
        <v/>
      </c>
      <c r="AW116" s="624" t="str">
        <f t="shared" si="16"/>
        <v/>
      </c>
      <c r="AX116" s="624" t="str">
        <f t="shared" si="16"/>
        <v/>
      </c>
      <c r="AY116" s="624" t="str">
        <f t="shared" si="16"/>
        <v/>
      </c>
      <c r="AZ116" s="624" t="str">
        <f t="shared" si="16"/>
        <v/>
      </c>
      <c r="BA116" s="625" t="str">
        <f t="shared" si="16"/>
        <v/>
      </c>
    </row>
    <row r="117" spans="2:53" ht="14.25">
      <c r="B117" s="1925"/>
      <c r="C117" s="1925"/>
      <c r="D117" s="1925"/>
      <c r="E117" s="1925"/>
      <c r="F117" s="1925"/>
      <c r="G117" s="1347" t="s">
        <v>2745</v>
      </c>
      <c r="H117" s="1348"/>
      <c r="I117" s="1348"/>
      <c r="J117" s="1128" t="str">
        <f>IF($I$14=2,IF(SUM(K117:BA117)=0,"",SUM(K117:BA117)),"")</f>
        <v/>
      </c>
      <c r="K117" s="1318"/>
      <c r="L117" s="1277"/>
      <c r="M117" s="1278"/>
      <c r="N117" s="1276"/>
      <c r="O117" s="1277"/>
      <c r="P117" s="1277"/>
      <c r="Q117" s="1277"/>
      <c r="R117" s="1277"/>
      <c r="S117" s="1277"/>
      <c r="T117" s="1277"/>
      <c r="U117" s="1277"/>
      <c r="V117" s="1277"/>
      <c r="W117" s="1277"/>
      <c r="X117" s="1277"/>
      <c r="Y117" s="1277"/>
      <c r="Z117" s="1277"/>
      <c r="AA117" s="1277"/>
      <c r="AB117" s="1277"/>
      <c r="AC117" s="1277"/>
      <c r="AD117" s="1277"/>
      <c r="AE117" s="1277"/>
      <c r="AF117" s="1277"/>
      <c r="AG117" s="1277"/>
      <c r="AH117" s="1277"/>
      <c r="AI117" s="1277"/>
      <c r="AJ117" s="1277"/>
      <c r="AK117" s="1277"/>
      <c r="AL117" s="1277"/>
      <c r="AM117" s="1277"/>
      <c r="AN117" s="1277"/>
      <c r="AO117" s="1277"/>
      <c r="AP117" s="1277"/>
      <c r="AQ117" s="1277"/>
      <c r="AR117" s="1277"/>
      <c r="AS117" s="1277"/>
      <c r="AT117" s="1277"/>
      <c r="AU117" s="1277"/>
      <c r="AV117" s="1277"/>
      <c r="AW117" s="1277"/>
      <c r="AX117" s="1277"/>
      <c r="AY117" s="1277"/>
      <c r="AZ117" s="1277"/>
      <c r="BA117" s="1278"/>
    </row>
    <row r="118" spans="2:53" ht="15" thickBot="1">
      <c r="B118" s="1911"/>
      <c r="C118" s="1911"/>
      <c r="D118" s="1911"/>
      <c r="E118" s="1911"/>
      <c r="F118" s="1911"/>
      <c r="G118" s="1349" t="s">
        <v>2746</v>
      </c>
      <c r="H118" s="1889" t="str">
        <f>IF(I14=2,IF(参照元!AR14="新規","",参照元!AR14),"")</f>
        <v/>
      </c>
      <c r="I118" s="1890"/>
      <c r="J118" s="1128" t="str">
        <f>IF($I$14=2,IF($H$118="","",$H$118),"")</f>
        <v/>
      </c>
      <c r="K118" s="1130" t="str">
        <f>IF($I$14=2,IF(AND($H$118&lt;&gt;"",$H$18&gt;$H$19),$H$118,""),"")</f>
        <v/>
      </c>
      <c r="L118" s="635"/>
      <c r="M118" s="636"/>
      <c r="N118" s="638" t="str">
        <f t="shared" ref="N118:BA118" si="17">IF($I$14=2,IF(AND($H$118&lt;&gt;"",$H$19&gt;=N$28-3),$H$118,""),"")</f>
        <v/>
      </c>
      <c r="O118" s="638" t="str">
        <f t="shared" si="17"/>
        <v/>
      </c>
      <c r="P118" s="638" t="str">
        <f t="shared" si="17"/>
        <v/>
      </c>
      <c r="Q118" s="638" t="str">
        <f t="shared" si="17"/>
        <v/>
      </c>
      <c r="R118" s="638" t="str">
        <f t="shared" si="17"/>
        <v/>
      </c>
      <c r="S118" s="638" t="str">
        <f t="shared" si="17"/>
        <v/>
      </c>
      <c r="T118" s="638" t="str">
        <f t="shared" si="17"/>
        <v/>
      </c>
      <c r="U118" s="638" t="str">
        <f t="shared" si="17"/>
        <v/>
      </c>
      <c r="V118" s="638" t="str">
        <f t="shared" si="17"/>
        <v/>
      </c>
      <c r="W118" s="638" t="str">
        <f t="shared" si="17"/>
        <v/>
      </c>
      <c r="X118" s="638" t="str">
        <f t="shared" si="17"/>
        <v/>
      </c>
      <c r="Y118" s="638" t="str">
        <f t="shared" si="17"/>
        <v/>
      </c>
      <c r="Z118" s="638" t="str">
        <f t="shared" si="17"/>
        <v/>
      </c>
      <c r="AA118" s="638" t="str">
        <f t="shared" si="17"/>
        <v/>
      </c>
      <c r="AB118" s="638" t="str">
        <f t="shared" si="17"/>
        <v/>
      </c>
      <c r="AC118" s="638" t="str">
        <f t="shared" si="17"/>
        <v/>
      </c>
      <c r="AD118" s="638" t="str">
        <f t="shared" si="17"/>
        <v/>
      </c>
      <c r="AE118" s="638" t="str">
        <f t="shared" si="17"/>
        <v/>
      </c>
      <c r="AF118" s="638" t="str">
        <f t="shared" si="17"/>
        <v/>
      </c>
      <c r="AG118" s="638" t="str">
        <f t="shared" si="17"/>
        <v/>
      </c>
      <c r="AH118" s="638" t="str">
        <f t="shared" si="17"/>
        <v/>
      </c>
      <c r="AI118" s="638" t="str">
        <f t="shared" si="17"/>
        <v/>
      </c>
      <c r="AJ118" s="638" t="str">
        <f t="shared" si="17"/>
        <v/>
      </c>
      <c r="AK118" s="638" t="str">
        <f t="shared" si="17"/>
        <v/>
      </c>
      <c r="AL118" s="638" t="str">
        <f t="shared" si="17"/>
        <v/>
      </c>
      <c r="AM118" s="638" t="str">
        <f t="shared" si="17"/>
        <v/>
      </c>
      <c r="AN118" s="638" t="str">
        <f t="shared" si="17"/>
        <v/>
      </c>
      <c r="AO118" s="638" t="str">
        <f t="shared" si="17"/>
        <v/>
      </c>
      <c r="AP118" s="638" t="str">
        <f t="shared" si="17"/>
        <v/>
      </c>
      <c r="AQ118" s="638" t="str">
        <f t="shared" si="17"/>
        <v/>
      </c>
      <c r="AR118" s="638" t="str">
        <f t="shared" si="17"/>
        <v/>
      </c>
      <c r="AS118" s="638" t="str">
        <f t="shared" si="17"/>
        <v/>
      </c>
      <c r="AT118" s="638" t="str">
        <f t="shared" si="17"/>
        <v/>
      </c>
      <c r="AU118" s="638" t="str">
        <f t="shared" si="17"/>
        <v/>
      </c>
      <c r="AV118" s="638" t="str">
        <f t="shared" si="17"/>
        <v/>
      </c>
      <c r="AW118" s="638" t="str">
        <f t="shared" si="17"/>
        <v/>
      </c>
      <c r="AX118" s="638" t="str">
        <f t="shared" si="17"/>
        <v/>
      </c>
      <c r="AY118" s="638" t="str">
        <f t="shared" si="17"/>
        <v/>
      </c>
      <c r="AZ118" s="638" t="str">
        <f t="shared" si="17"/>
        <v/>
      </c>
      <c r="BA118" s="636" t="str">
        <f t="shared" si="17"/>
        <v/>
      </c>
    </row>
    <row r="119" spans="2:53" ht="22.9" customHeight="1" thickTop="1">
      <c r="B119" s="1912" t="s">
        <v>4322</v>
      </c>
      <c r="C119" s="1913"/>
      <c r="D119" s="1913"/>
      <c r="E119" s="1913"/>
      <c r="F119" s="1914"/>
      <c r="G119" s="1915" t="s">
        <v>4314</v>
      </c>
      <c r="H119" s="1916"/>
      <c r="I119" s="1917"/>
      <c r="J119" s="1271" t="str">
        <f>IF($I$14&lt;&gt;2,"",IFERROR(J114/J$117,""))</f>
        <v/>
      </c>
      <c r="K119" s="1272" t="str">
        <f>IF(K$117&lt;&gt;0,K114/K$117,"")</f>
        <v/>
      </c>
      <c r="L119" s="1272" t="str">
        <f>IF(L$117&lt;&gt;0,L114/L$117,"")</f>
        <v/>
      </c>
      <c r="M119" s="1272" t="str">
        <f t="shared" ref="M119:BA119" si="18">IF(M$117&lt;&gt;0,M114/M$117,"")</f>
        <v/>
      </c>
      <c r="N119" s="1272" t="str">
        <f t="shared" si="18"/>
        <v/>
      </c>
      <c r="O119" s="1272" t="str">
        <f t="shared" si="18"/>
        <v/>
      </c>
      <c r="P119" s="1272" t="str">
        <f t="shared" si="18"/>
        <v/>
      </c>
      <c r="Q119" s="1272" t="str">
        <f t="shared" si="18"/>
        <v/>
      </c>
      <c r="R119" s="1272" t="str">
        <f t="shared" si="18"/>
        <v/>
      </c>
      <c r="S119" s="1272" t="str">
        <f t="shared" si="18"/>
        <v/>
      </c>
      <c r="T119" s="1272" t="str">
        <f t="shared" si="18"/>
        <v/>
      </c>
      <c r="U119" s="1272" t="str">
        <f t="shared" si="18"/>
        <v/>
      </c>
      <c r="V119" s="1272" t="str">
        <f t="shared" si="18"/>
        <v/>
      </c>
      <c r="W119" s="1272" t="str">
        <f t="shared" si="18"/>
        <v/>
      </c>
      <c r="X119" s="1272" t="str">
        <f t="shared" si="18"/>
        <v/>
      </c>
      <c r="Y119" s="1272" t="str">
        <f t="shared" si="18"/>
        <v/>
      </c>
      <c r="Z119" s="1272" t="str">
        <f t="shared" si="18"/>
        <v/>
      </c>
      <c r="AA119" s="1272" t="str">
        <f t="shared" si="18"/>
        <v/>
      </c>
      <c r="AB119" s="1272" t="str">
        <f t="shared" si="18"/>
        <v/>
      </c>
      <c r="AC119" s="1272" t="str">
        <f t="shared" si="18"/>
        <v/>
      </c>
      <c r="AD119" s="1272" t="str">
        <f t="shared" si="18"/>
        <v/>
      </c>
      <c r="AE119" s="1272" t="str">
        <f t="shared" si="18"/>
        <v/>
      </c>
      <c r="AF119" s="1272" t="str">
        <f t="shared" si="18"/>
        <v/>
      </c>
      <c r="AG119" s="1272" t="str">
        <f t="shared" si="18"/>
        <v/>
      </c>
      <c r="AH119" s="1272" t="str">
        <f t="shared" si="18"/>
        <v/>
      </c>
      <c r="AI119" s="1272" t="str">
        <f t="shared" si="18"/>
        <v/>
      </c>
      <c r="AJ119" s="1272" t="str">
        <f t="shared" si="18"/>
        <v/>
      </c>
      <c r="AK119" s="1272" t="str">
        <f t="shared" si="18"/>
        <v/>
      </c>
      <c r="AL119" s="1272" t="str">
        <f t="shared" si="18"/>
        <v/>
      </c>
      <c r="AM119" s="1272" t="str">
        <f t="shared" si="18"/>
        <v/>
      </c>
      <c r="AN119" s="1272" t="str">
        <f t="shared" si="18"/>
        <v/>
      </c>
      <c r="AO119" s="1272" t="str">
        <f t="shared" si="18"/>
        <v/>
      </c>
      <c r="AP119" s="1272" t="str">
        <f t="shared" si="18"/>
        <v/>
      </c>
      <c r="AQ119" s="1272" t="str">
        <f t="shared" si="18"/>
        <v/>
      </c>
      <c r="AR119" s="1272" t="str">
        <f t="shared" si="18"/>
        <v/>
      </c>
      <c r="AS119" s="1272" t="str">
        <f t="shared" si="18"/>
        <v/>
      </c>
      <c r="AT119" s="1272" t="str">
        <f t="shared" si="18"/>
        <v/>
      </c>
      <c r="AU119" s="1272" t="str">
        <f t="shared" si="18"/>
        <v/>
      </c>
      <c r="AV119" s="1272" t="str">
        <f t="shared" si="18"/>
        <v/>
      </c>
      <c r="AW119" s="1272" t="str">
        <f t="shared" si="18"/>
        <v/>
      </c>
      <c r="AX119" s="1272" t="str">
        <f t="shared" si="18"/>
        <v/>
      </c>
      <c r="AY119" s="1272" t="str">
        <f t="shared" si="18"/>
        <v/>
      </c>
      <c r="AZ119" s="1272" t="str">
        <f t="shared" si="18"/>
        <v/>
      </c>
      <c r="BA119" s="1272" t="str">
        <f t="shared" si="18"/>
        <v/>
      </c>
    </row>
    <row r="120" spans="2:53" ht="22.9" hidden="1" customHeight="1">
      <c r="B120" s="1918"/>
      <c r="C120" s="1919"/>
      <c r="D120" s="1919"/>
      <c r="E120" s="1919"/>
      <c r="F120" s="1920"/>
      <c r="G120" s="1921" t="s">
        <v>571</v>
      </c>
      <c r="H120" s="1922"/>
      <c r="I120" s="1923"/>
      <c r="J120" s="1273" t="str">
        <f>IF($I$14&lt;&gt;2,"",J115/J$117)</f>
        <v/>
      </c>
      <c r="K120" s="1274" t="str">
        <f t="shared" ref="K120:BA120" si="19">IF(K$117&lt;&gt;0,K115/K$117,"")</f>
        <v/>
      </c>
      <c r="L120" s="1275" t="str">
        <f t="shared" si="19"/>
        <v/>
      </c>
      <c r="M120" s="1275" t="str">
        <f t="shared" si="19"/>
        <v/>
      </c>
      <c r="N120" s="1275" t="str">
        <f t="shared" si="19"/>
        <v/>
      </c>
      <c r="O120" s="1275" t="str">
        <f t="shared" si="19"/>
        <v/>
      </c>
      <c r="P120" s="1275" t="str">
        <f t="shared" si="19"/>
        <v/>
      </c>
      <c r="Q120" s="1275" t="str">
        <f t="shared" si="19"/>
        <v/>
      </c>
      <c r="R120" s="1275" t="str">
        <f t="shared" si="19"/>
        <v/>
      </c>
      <c r="S120" s="1275" t="str">
        <f t="shared" si="19"/>
        <v/>
      </c>
      <c r="T120" s="1275" t="str">
        <f t="shared" si="19"/>
        <v/>
      </c>
      <c r="U120" s="1275" t="str">
        <f t="shared" si="19"/>
        <v/>
      </c>
      <c r="V120" s="1275" t="str">
        <f t="shared" si="19"/>
        <v/>
      </c>
      <c r="W120" s="1275" t="str">
        <f t="shared" si="19"/>
        <v/>
      </c>
      <c r="X120" s="1275" t="str">
        <f t="shared" si="19"/>
        <v/>
      </c>
      <c r="Y120" s="1275" t="str">
        <f t="shared" si="19"/>
        <v/>
      </c>
      <c r="Z120" s="1275" t="str">
        <f t="shared" si="19"/>
        <v/>
      </c>
      <c r="AA120" s="1275" t="str">
        <f t="shared" si="19"/>
        <v/>
      </c>
      <c r="AB120" s="1275" t="str">
        <f t="shared" si="19"/>
        <v/>
      </c>
      <c r="AC120" s="1275" t="str">
        <f t="shared" si="19"/>
        <v/>
      </c>
      <c r="AD120" s="1275" t="str">
        <f t="shared" si="19"/>
        <v/>
      </c>
      <c r="AE120" s="1275" t="str">
        <f t="shared" si="19"/>
        <v/>
      </c>
      <c r="AF120" s="1275" t="str">
        <f t="shared" si="19"/>
        <v/>
      </c>
      <c r="AG120" s="1275" t="str">
        <f t="shared" si="19"/>
        <v/>
      </c>
      <c r="AH120" s="1275" t="str">
        <f t="shared" si="19"/>
        <v/>
      </c>
      <c r="AI120" s="1275" t="str">
        <f t="shared" si="19"/>
        <v/>
      </c>
      <c r="AJ120" s="1275" t="str">
        <f t="shared" si="19"/>
        <v/>
      </c>
      <c r="AK120" s="1275" t="str">
        <f t="shared" si="19"/>
        <v/>
      </c>
      <c r="AL120" s="1275" t="str">
        <f t="shared" si="19"/>
        <v/>
      </c>
      <c r="AM120" s="1275" t="str">
        <f t="shared" si="19"/>
        <v/>
      </c>
      <c r="AN120" s="1275" t="str">
        <f t="shared" si="19"/>
        <v/>
      </c>
      <c r="AO120" s="1275" t="str">
        <f t="shared" si="19"/>
        <v/>
      </c>
      <c r="AP120" s="1275" t="str">
        <f t="shared" si="19"/>
        <v/>
      </c>
      <c r="AQ120" s="1275" t="str">
        <f t="shared" si="19"/>
        <v/>
      </c>
      <c r="AR120" s="1275" t="str">
        <f t="shared" si="19"/>
        <v/>
      </c>
      <c r="AS120" s="1275" t="str">
        <f t="shared" si="19"/>
        <v/>
      </c>
      <c r="AT120" s="1275" t="str">
        <f t="shared" si="19"/>
        <v/>
      </c>
      <c r="AU120" s="1275" t="str">
        <f t="shared" si="19"/>
        <v/>
      </c>
      <c r="AV120" s="1275" t="str">
        <f t="shared" si="19"/>
        <v/>
      </c>
      <c r="AW120" s="1275" t="str">
        <f t="shared" si="19"/>
        <v/>
      </c>
      <c r="AX120" s="1275" t="str">
        <f t="shared" si="19"/>
        <v/>
      </c>
      <c r="AY120" s="1275" t="str">
        <f t="shared" si="19"/>
        <v/>
      </c>
      <c r="AZ120" s="1275" t="str">
        <f t="shared" si="19"/>
        <v/>
      </c>
      <c r="BA120" s="1275" t="str">
        <f t="shared" si="19"/>
        <v/>
      </c>
    </row>
    <row r="121" spans="2:53" ht="27" customHeight="1" thickBot="1">
      <c r="B121" s="1283" t="s">
        <v>4488</v>
      </c>
      <c r="C121" s="1284"/>
      <c r="D121" s="1284"/>
      <c r="E121" s="1284"/>
      <c r="F121" s="1284"/>
      <c r="G121" s="1285"/>
      <c r="H121" s="1285"/>
      <c r="I121" s="1285"/>
      <c r="J121" s="1286"/>
      <c r="K121" s="1287"/>
      <c r="L121" s="1287"/>
      <c r="M121" s="1287"/>
      <c r="N121" s="1287"/>
      <c r="O121" s="1287"/>
      <c r="P121" s="1287"/>
      <c r="Q121" s="1287"/>
      <c r="R121" s="1287"/>
      <c r="S121" s="1287"/>
      <c r="T121" s="1287"/>
      <c r="U121" s="1287"/>
      <c r="V121" s="1287"/>
      <c r="W121" s="1287"/>
      <c r="X121" s="1287"/>
      <c r="Y121" s="1287"/>
      <c r="Z121" s="1287"/>
      <c r="AA121" s="1287"/>
      <c r="AB121" s="1287"/>
      <c r="AC121" s="1287"/>
      <c r="AD121" s="1287"/>
      <c r="AE121" s="1287"/>
      <c r="AF121" s="1287"/>
      <c r="AG121" s="1287"/>
      <c r="AH121" s="1287"/>
      <c r="AI121" s="1287"/>
      <c r="AJ121" s="1287"/>
      <c r="AK121" s="1287"/>
      <c r="AL121" s="1287"/>
      <c r="AM121" s="1287"/>
      <c r="AN121" s="1287"/>
      <c r="AO121" s="1287"/>
      <c r="AP121" s="1287"/>
      <c r="AQ121" s="1287"/>
      <c r="AR121" s="1287"/>
      <c r="AS121" s="1287"/>
      <c r="AT121" s="1287"/>
      <c r="AU121" s="1287"/>
      <c r="AV121" s="1287"/>
      <c r="AW121" s="1287"/>
      <c r="AX121" s="1287"/>
      <c r="AY121" s="1287"/>
      <c r="AZ121" s="1287"/>
      <c r="BA121" s="1288"/>
    </row>
    <row r="122" spans="2:53" ht="27.6" customHeight="1" thickTop="1" thickBot="1">
      <c r="B122" s="1904" t="str">
        <f>"基準("&amp;参照元!AN14&amp;")年度原単位（tCO2/★）"</f>
        <v>基準()年度原単位（tCO2/★）</v>
      </c>
      <c r="C122" s="1905"/>
      <c r="D122" s="1905"/>
      <c r="E122" s="1905"/>
      <c r="F122" s="1906"/>
      <c r="G122" s="1907" t="s">
        <v>4315</v>
      </c>
      <c r="H122" s="1908"/>
      <c r="I122" s="1908"/>
      <c r="J122" s="1128" t="str">
        <f>IF($I$14&lt;&gt;3,"",参照元!AQ14)</f>
        <v/>
      </c>
      <c r="K122" s="1125"/>
      <c r="L122" s="1126"/>
      <c r="M122" s="1127"/>
      <c r="N122" s="1125"/>
      <c r="O122" s="1126"/>
      <c r="P122" s="1126"/>
      <c r="Q122" s="1126"/>
      <c r="R122" s="1126"/>
      <c r="S122" s="1126"/>
      <c r="T122" s="1126"/>
      <c r="U122" s="1126"/>
      <c r="V122" s="1126"/>
      <c r="W122" s="1126"/>
      <c r="X122" s="1126"/>
      <c r="Y122" s="1126"/>
      <c r="Z122" s="1126"/>
      <c r="AA122" s="1126"/>
      <c r="AB122" s="1126"/>
      <c r="AC122" s="1126"/>
      <c r="AD122" s="1126"/>
      <c r="AE122" s="1126"/>
      <c r="AF122" s="1126"/>
      <c r="AG122" s="1126"/>
      <c r="AH122" s="1126"/>
      <c r="AI122" s="1126"/>
      <c r="AJ122" s="1126"/>
      <c r="AK122" s="1126"/>
      <c r="AL122" s="1126"/>
      <c r="AM122" s="1126"/>
      <c r="AN122" s="1126"/>
      <c r="AO122" s="1126"/>
      <c r="AP122" s="1126"/>
      <c r="AQ122" s="1126"/>
      <c r="AR122" s="1126"/>
      <c r="AS122" s="1126"/>
      <c r="AT122" s="1126"/>
      <c r="AU122" s="1126"/>
      <c r="AV122" s="1126"/>
      <c r="AW122" s="1126"/>
      <c r="AX122" s="1126"/>
      <c r="AY122" s="1126"/>
      <c r="AZ122" s="1126"/>
      <c r="BA122" s="1127"/>
    </row>
    <row r="123" spans="2:53" ht="18.600000000000001" customHeight="1" thickTop="1">
      <c r="B123" s="1894" t="s">
        <v>4317</v>
      </c>
      <c r="C123" s="1895"/>
      <c r="D123" s="1895"/>
      <c r="E123" s="1895"/>
      <c r="F123" s="1896"/>
      <c r="G123" s="1897" t="s">
        <v>4318</v>
      </c>
      <c r="H123" s="1897"/>
      <c r="I123" s="1897"/>
      <c r="J123" s="1269" t="str">
        <f t="shared" ref="J123:BA123" si="20">IF($I$14=3,IF(J114&lt;&gt;0,J114/$J$114,""),"")</f>
        <v/>
      </c>
      <c r="K123" s="1269" t="str">
        <f t="shared" si="20"/>
        <v/>
      </c>
      <c r="L123" s="1269" t="str">
        <f t="shared" si="20"/>
        <v/>
      </c>
      <c r="M123" s="1269" t="str">
        <f t="shared" si="20"/>
        <v/>
      </c>
      <c r="N123" s="1269" t="str">
        <f t="shared" si="20"/>
        <v/>
      </c>
      <c r="O123" s="1269" t="str">
        <f t="shared" si="20"/>
        <v/>
      </c>
      <c r="P123" s="1269" t="str">
        <f t="shared" si="20"/>
        <v/>
      </c>
      <c r="Q123" s="1269" t="str">
        <f t="shared" si="20"/>
        <v/>
      </c>
      <c r="R123" s="1269" t="str">
        <f t="shared" si="20"/>
        <v/>
      </c>
      <c r="S123" s="1269" t="str">
        <f t="shared" si="20"/>
        <v/>
      </c>
      <c r="T123" s="1269" t="str">
        <f t="shared" si="20"/>
        <v/>
      </c>
      <c r="U123" s="1269" t="str">
        <f t="shared" si="20"/>
        <v/>
      </c>
      <c r="V123" s="1269" t="str">
        <f t="shared" si="20"/>
        <v/>
      </c>
      <c r="W123" s="1269" t="str">
        <f t="shared" si="20"/>
        <v/>
      </c>
      <c r="X123" s="1269" t="str">
        <f t="shared" si="20"/>
        <v/>
      </c>
      <c r="Y123" s="1269" t="str">
        <f t="shared" si="20"/>
        <v/>
      </c>
      <c r="Z123" s="1269" t="str">
        <f t="shared" si="20"/>
        <v/>
      </c>
      <c r="AA123" s="1269" t="str">
        <f t="shared" si="20"/>
        <v/>
      </c>
      <c r="AB123" s="1269" t="str">
        <f t="shared" si="20"/>
        <v/>
      </c>
      <c r="AC123" s="1269" t="str">
        <f t="shared" si="20"/>
        <v/>
      </c>
      <c r="AD123" s="1269" t="str">
        <f t="shared" si="20"/>
        <v/>
      </c>
      <c r="AE123" s="1269" t="str">
        <f t="shared" si="20"/>
        <v/>
      </c>
      <c r="AF123" s="1269" t="str">
        <f t="shared" si="20"/>
        <v/>
      </c>
      <c r="AG123" s="1269" t="str">
        <f t="shared" si="20"/>
        <v/>
      </c>
      <c r="AH123" s="1269" t="str">
        <f t="shared" si="20"/>
        <v/>
      </c>
      <c r="AI123" s="1269" t="str">
        <f t="shared" si="20"/>
        <v/>
      </c>
      <c r="AJ123" s="1269" t="str">
        <f t="shared" si="20"/>
        <v/>
      </c>
      <c r="AK123" s="1269" t="str">
        <f t="shared" si="20"/>
        <v/>
      </c>
      <c r="AL123" s="1269" t="str">
        <f t="shared" si="20"/>
        <v/>
      </c>
      <c r="AM123" s="1269" t="str">
        <f t="shared" si="20"/>
        <v/>
      </c>
      <c r="AN123" s="1269" t="str">
        <f t="shared" si="20"/>
        <v/>
      </c>
      <c r="AO123" s="1269" t="str">
        <f t="shared" si="20"/>
        <v/>
      </c>
      <c r="AP123" s="1269" t="str">
        <f t="shared" si="20"/>
        <v/>
      </c>
      <c r="AQ123" s="1269" t="str">
        <f t="shared" si="20"/>
        <v/>
      </c>
      <c r="AR123" s="1269" t="str">
        <f t="shared" si="20"/>
        <v/>
      </c>
      <c r="AS123" s="1269" t="str">
        <f t="shared" si="20"/>
        <v/>
      </c>
      <c r="AT123" s="1269" t="str">
        <f t="shared" si="20"/>
        <v/>
      </c>
      <c r="AU123" s="1269" t="str">
        <f t="shared" si="20"/>
        <v/>
      </c>
      <c r="AV123" s="1269" t="str">
        <f t="shared" si="20"/>
        <v/>
      </c>
      <c r="AW123" s="1269" t="str">
        <f t="shared" si="20"/>
        <v/>
      </c>
      <c r="AX123" s="1269" t="str">
        <f t="shared" si="20"/>
        <v/>
      </c>
      <c r="AY123" s="1269" t="str">
        <f t="shared" si="20"/>
        <v/>
      </c>
      <c r="AZ123" s="1269" t="str">
        <f t="shared" si="20"/>
        <v/>
      </c>
      <c r="BA123" s="1269" t="str">
        <f t="shared" si="20"/>
        <v/>
      </c>
    </row>
    <row r="124" spans="2:53" ht="30" customHeight="1">
      <c r="B124" s="1894" t="s">
        <v>4333</v>
      </c>
      <c r="C124" s="1909"/>
      <c r="D124" s="1909"/>
      <c r="E124" s="1909"/>
      <c r="F124" s="1910"/>
      <c r="G124" s="1907" t="s">
        <v>4320</v>
      </c>
      <c r="H124" s="1908"/>
      <c r="I124" s="1908"/>
      <c r="J124" s="1281"/>
      <c r="K124" s="1270" t="str">
        <f>IF(K119="","",IFERROR(1-K119/K122,""))</f>
        <v/>
      </c>
      <c r="L124" s="1270" t="str">
        <f t="shared" ref="L124:BA124" si="21">IF(L119="","",IFERROR(1-L119/L122,""))</f>
        <v/>
      </c>
      <c r="M124" s="1270" t="str">
        <f t="shared" si="21"/>
        <v/>
      </c>
      <c r="N124" s="1270" t="str">
        <f t="shared" si="21"/>
        <v/>
      </c>
      <c r="O124" s="1270" t="str">
        <f t="shared" si="21"/>
        <v/>
      </c>
      <c r="P124" s="1270" t="str">
        <f t="shared" si="21"/>
        <v/>
      </c>
      <c r="Q124" s="1270" t="str">
        <f t="shared" si="21"/>
        <v/>
      </c>
      <c r="R124" s="1270" t="str">
        <f t="shared" si="21"/>
        <v/>
      </c>
      <c r="S124" s="1270" t="str">
        <f t="shared" si="21"/>
        <v/>
      </c>
      <c r="T124" s="1270" t="str">
        <f t="shared" si="21"/>
        <v/>
      </c>
      <c r="U124" s="1270" t="str">
        <f t="shared" si="21"/>
        <v/>
      </c>
      <c r="V124" s="1270" t="str">
        <f t="shared" si="21"/>
        <v/>
      </c>
      <c r="W124" s="1270" t="str">
        <f t="shared" si="21"/>
        <v/>
      </c>
      <c r="X124" s="1270" t="str">
        <f t="shared" si="21"/>
        <v/>
      </c>
      <c r="Y124" s="1270" t="str">
        <f t="shared" si="21"/>
        <v/>
      </c>
      <c r="Z124" s="1270" t="str">
        <f t="shared" si="21"/>
        <v/>
      </c>
      <c r="AA124" s="1270" t="str">
        <f t="shared" si="21"/>
        <v/>
      </c>
      <c r="AB124" s="1270" t="str">
        <f t="shared" si="21"/>
        <v/>
      </c>
      <c r="AC124" s="1270" t="str">
        <f t="shared" si="21"/>
        <v/>
      </c>
      <c r="AD124" s="1270" t="str">
        <f t="shared" si="21"/>
        <v/>
      </c>
      <c r="AE124" s="1270" t="str">
        <f t="shared" si="21"/>
        <v/>
      </c>
      <c r="AF124" s="1270" t="str">
        <f t="shared" si="21"/>
        <v/>
      </c>
      <c r="AG124" s="1270" t="str">
        <f t="shared" si="21"/>
        <v/>
      </c>
      <c r="AH124" s="1270" t="str">
        <f t="shared" si="21"/>
        <v/>
      </c>
      <c r="AI124" s="1270" t="str">
        <f t="shared" si="21"/>
        <v/>
      </c>
      <c r="AJ124" s="1270" t="str">
        <f t="shared" si="21"/>
        <v/>
      </c>
      <c r="AK124" s="1270" t="str">
        <f t="shared" si="21"/>
        <v/>
      </c>
      <c r="AL124" s="1270" t="str">
        <f t="shared" si="21"/>
        <v/>
      </c>
      <c r="AM124" s="1270" t="str">
        <f t="shared" si="21"/>
        <v/>
      </c>
      <c r="AN124" s="1270" t="str">
        <f t="shared" si="21"/>
        <v/>
      </c>
      <c r="AO124" s="1270" t="str">
        <f t="shared" si="21"/>
        <v/>
      </c>
      <c r="AP124" s="1270" t="str">
        <f t="shared" si="21"/>
        <v/>
      </c>
      <c r="AQ124" s="1270" t="str">
        <f t="shared" si="21"/>
        <v/>
      </c>
      <c r="AR124" s="1270" t="str">
        <f t="shared" si="21"/>
        <v/>
      </c>
      <c r="AS124" s="1270" t="str">
        <f t="shared" si="21"/>
        <v/>
      </c>
      <c r="AT124" s="1270" t="str">
        <f t="shared" si="21"/>
        <v/>
      </c>
      <c r="AU124" s="1270" t="str">
        <f t="shared" si="21"/>
        <v/>
      </c>
      <c r="AV124" s="1270" t="str">
        <f t="shared" si="21"/>
        <v/>
      </c>
      <c r="AW124" s="1270" t="str">
        <f t="shared" si="21"/>
        <v/>
      </c>
      <c r="AX124" s="1270" t="str">
        <f t="shared" si="21"/>
        <v/>
      </c>
      <c r="AY124" s="1270" t="str">
        <f t="shared" si="21"/>
        <v/>
      </c>
      <c r="AZ124" s="1270" t="str">
        <f t="shared" si="21"/>
        <v/>
      </c>
      <c r="BA124" s="1270" t="str">
        <f t="shared" si="21"/>
        <v/>
      </c>
    </row>
    <row r="125" spans="2:53" ht="33" customHeight="1">
      <c r="B125" s="1894" t="s">
        <v>4328</v>
      </c>
      <c r="C125" s="1895"/>
      <c r="D125" s="1895"/>
      <c r="E125" s="1895"/>
      <c r="F125" s="1896"/>
      <c r="G125" s="1897" t="s">
        <v>4490</v>
      </c>
      <c r="H125" s="1897"/>
      <c r="I125" s="1897"/>
      <c r="J125" s="1279" t="str">
        <f>IF($I$14=3,SUM(K125:BA125)*100,"")</f>
        <v/>
      </c>
      <c r="K125" s="1129" t="str">
        <f>IF(K$124="","",K$123*K$124)</f>
        <v/>
      </c>
      <c r="L125" s="1129" t="str">
        <f>IF(L$124="","",L$123*L$124)</f>
        <v/>
      </c>
      <c r="M125" s="1129" t="str">
        <f t="shared" ref="M125:BA125" si="22">IF(M$124="","",M$123*M$124)</f>
        <v/>
      </c>
      <c r="N125" s="1129" t="str">
        <f t="shared" si="22"/>
        <v/>
      </c>
      <c r="O125" s="1129" t="str">
        <f t="shared" si="22"/>
        <v/>
      </c>
      <c r="P125" s="1129" t="str">
        <f t="shared" si="22"/>
        <v/>
      </c>
      <c r="Q125" s="1129" t="str">
        <f t="shared" si="22"/>
        <v/>
      </c>
      <c r="R125" s="1129" t="str">
        <f t="shared" si="22"/>
        <v/>
      </c>
      <c r="S125" s="1129" t="str">
        <f t="shared" si="22"/>
        <v/>
      </c>
      <c r="T125" s="1129" t="str">
        <f t="shared" si="22"/>
        <v/>
      </c>
      <c r="U125" s="1129" t="str">
        <f t="shared" si="22"/>
        <v/>
      </c>
      <c r="V125" s="1129" t="str">
        <f t="shared" si="22"/>
        <v/>
      </c>
      <c r="W125" s="1129" t="str">
        <f t="shared" si="22"/>
        <v/>
      </c>
      <c r="X125" s="1129" t="str">
        <f t="shared" si="22"/>
        <v/>
      </c>
      <c r="Y125" s="1129" t="str">
        <f t="shared" si="22"/>
        <v/>
      </c>
      <c r="Z125" s="1129" t="str">
        <f t="shared" si="22"/>
        <v/>
      </c>
      <c r="AA125" s="1129" t="str">
        <f t="shared" si="22"/>
        <v/>
      </c>
      <c r="AB125" s="1129" t="str">
        <f t="shared" si="22"/>
        <v/>
      </c>
      <c r="AC125" s="1129" t="str">
        <f t="shared" si="22"/>
        <v/>
      </c>
      <c r="AD125" s="1129" t="str">
        <f t="shared" si="22"/>
        <v/>
      </c>
      <c r="AE125" s="1129" t="str">
        <f t="shared" si="22"/>
        <v/>
      </c>
      <c r="AF125" s="1129" t="str">
        <f t="shared" si="22"/>
        <v/>
      </c>
      <c r="AG125" s="1129" t="str">
        <f t="shared" si="22"/>
        <v/>
      </c>
      <c r="AH125" s="1129" t="str">
        <f t="shared" si="22"/>
        <v/>
      </c>
      <c r="AI125" s="1129" t="str">
        <f t="shared" si="22"/>
        <v/>
      </c>
      <c r="AJ125" s="1129" t="str">
        <f t="shared" si="22"/>
        <v/>
      </c>
      <c r="AK125" s="1129" t="str">
        <f t="shared" si="22"/>
        <v/>
      </c>
      <c r="AL125" s="1129" t="str">
        <f t="shared" si="22"/>
        <v/>
      </c>
      <c r="AM125" s="1129" t="str">
        <f t="shared" si="22"/>
        <v/>
      </c>
      <c r="AN125" s="1129" t="str">
        <f t="shared" si="22"/>
        <v/>
      </c>
      <c r="AO125" s="1129" t="str">
        <f t="shared" si="22"/>
        <v/>
      </c>
      <c r="AP125" s="1129" t="str">
        <f t="shared" si="22"/>
        <v/>
      </c>
      <c r="AQ125" s="1129" t="str">
        <f t="shared" si="22"/>
        <v/>
      </c>
      <c r="AR125" s="1129" t="str">
        <f t="shared" si="22"/>
        <v/>
      </c>
      <c r="AS125" s="1129" t="str">
        <f t="shared" si="22"/>
        <v/>
      </c>
      <c r="AT125" s="1129" t="str">
        <f t="shared" si="22"/>
        <v/>
      </c>
      <c r="AU125" s="1129" t="str">
        <f t="shared" si="22"/>
        <v/>
      </c>
      <c r="AV125" s="1129" t="str">
        <f t="shared" si="22"/>
        <v/>
      </c>
      <c r="AW125" s="1129" t="str">
        <f t="shared" si="22"/>
        <v/>
      </c>
      <c r="AX125" s="1129" t="str">
        <f t="shared" si="22"/>
        <v/>
      </c>
      <c r="AY125" s="1129" t="str">
        <f t="shared" si="22"/>
        <v/>
      </c>
      <c r="AZ125" s="1129" t="str">
        <f t="shared" si="22"/>
        <v/>
      </c>
      <c r="BA125" s="1129" t="str">
        <f t="shared" si="22"/>
        <v/>
      </c>
    </row>
    <row r="126" spans="2:53" ht="27" customHeight="1" thickBot="1">
      <c r="B126" s="1283" t="s">
        <v>4489</v>
      </c>
      <c r="C126" s="1284"/>
      <c r="D126" s="1284"/>
      <c r="E126" s="1284"/>
      <c r="F126" s="1284"/>
      <c r="G126" s="1285"/>
      <c r="H126" s="1285"/>
      <c r="I126" s="1285"/>
      <c r="J126" s="1286"/>
      <c r="K126" s="1287"/>
      <c r="L126" s="1287"/>
      <c r="M126" s="1287"/>
      <c r="N126" s="1287"/>
      <c r="O126" s="1287"/>
      <c r="P126" s="1287"/>
      <c r="Q126" s="1287"/>
      <c r="R126" s="1287"/>
      <c r="S126" s="1287"/>
      <c r="T126" s="1287"/>
      <c r="U126" s="1287"/>
      <c r="V126" s="1287"/>
      <c r="W126" s="1287"/>
      <c r="X126" s="1287"/>
      <c r="Y126" s="1287"/>
      <c r="Z126" s="1287"/>
      <c r="AA126" s="1287"/>
      <c r="AB126" s="1287"/>
      <c r="AC126" s="1287"/>
      <c r="AD126" s="1287"/>
      <c r="AE126" s="1287"/>
      <c r="AF126" s="1287"/>
      <c r="AG126" s="1287"/>
      <c r="AH126" s="1287"/>
      <c r="AI126" s="1287"/>
      <c r="AJ126" s="1287"/>
      <c r="AK126" s="1287"/>
      <c r="AL126" s="1287"/>
      <c r="AM126" s="1287"/>
      <c r="AN126" s="1287"/>
      <c r="AO126" s="1287"/>
      <c r="AP126" s="1287"/>
      <c r="AQ126" s="1287"/>
      <c r="AR126" s="1287"/>
      <c r="AS126" s="1287"/>
      <c r="AT126" s="1287"/>
      <c r="AU126" s="1287"/>
      <c r="AV126" s="1287"/>
      <c r="AW126" s="1287"/>
      <c r="AX126" s="1287"/>
      <c r="AY126" s="1287"/>
      <c r="AZ126" s="1287"/>
      <c r="BA126" s="1288"/>
    </row>
    <row r="127" spans="2:53" ht="27.6" customHeight="1" thickTop="1" thickBot="1">
      <c r="B127" s="1894" t="str">
        <f>"目標("&amp;参照元!BA14+3&amp;")年度原単位（tCO2/★）"</f>
        <v>目標(2026)年度原単位（tCO2/★）</v>
      </c>
      <c r="C127" s="1895"/>
      <c r="D127" s="1895"/>
      <c r="E127" s="1895"/>
      <c r="F127" s="1896"/>
      <c r="G127" s="1907" t="s">
        <v>4316</v>
      </c>
      <c r="H127" s="1908"/>
      <c r="I127" s="1908"/>
      <c r="J127" s="1282"/>
      <c r="K127" s="1125"/>
      <c r="L127" s="639"/>
      <c r="M127" s="1127"/>
      <c r="N127" s="1125"/>
      <c r="O127" s="639"/>
      <c r="P127" s="1126"/>
      <c r="Q127" s="1126"/>
      <c r="R127" s="1126"/>
      <c r="S127" s="1126"/>
      <c r="T127" s="1126"/>
      <c r="U127" s="1126"/>
      <c r="V127" s="1126"/>
      <c r="W127" s="1126"/>
      <c r="X127" s="1126"/>
      <c r="Y127" s="1126"/>
      <c r="Z127" s="1126"/>
      <c r="AA127" s="1126"/>
      <c r="AB127" s="1126"/>
      <c r="AC127" s="1126"/>
      <c r="AD127" s="1126"/>
      <c r="AE127" s="1126"/>
      <c r="AF127" s="1126"/>
      <c r="AG127" s="1126"/>
      <c r="AH127" s="1126"/>
      <c r="AI127" s="1126"/>
      <c r="AJ127" s="1126"/>
      <c r="AK127" s="1126"/>
      <c r="AL127" s="1126"/>
      <c r="AM127" s="1126"/>
      <c r="AN127" s="1126"/>
      <c r="AO127" s="1126"/>
      <c r="AP127" s="1126"/>
      <c r="AQ127" s="1126"/>
      <c r="AR127" s="1126"/>
      <c r="AS127" s="1126"/>
      <c r="AT127" s="1126"/>
      <c r="AU127" s="1126"/>
      <c r="AV127" s="1126"/>
      <c r="AW127" s="1126"/>
      <c r="AX127" s="1126"/>
      <c r="AY127" s="1126"/>
      <c r="AZ127" s="1126"/>
      <c r="BA127" s="1127"/>
    </row>
    <row r="128" spans="2:53" ht="18.600000000000001" customHeight="1" thickTop="1">
      <c r="B128" s="1894" t="s">
        <v>4317</v>
      </c>
      <c r="C128" s="1895"/>
      <c r="D128" s="1895"/>
      <c r="E128" s="1895"/>
      <c r="F128" s="1896"/>
      <c r="G128" s="1897" t="s">
        <v>4318</v>
      </c>
      <c r="H128" s="1897"/>
      <c r="I128" s="1897"/>
      <c r="J128" s="1269" t="str">
        <f>J123</f>
        <v/>
      </c>
      <c r="K128" s="1269" t="str">
        <f>IF(はじめに!$B$36="計画書",K123,"")</f>
        <v/>
      </c>
      <c r="L128" s="1269" t="str">
        <f>IF(はじめに!$B$36="計画書",L123,"")</f>
        <v/>
      </c>
      <c r="M128" s="1269" t="str">
        <f>IF(はじめに!$B$36="計画書",M123,"")</f>
        <v/>
      </c>
      <c r="N128" s="1269" t="str">
        <f>IF(はじめに!$B$36="計画書",N123,"")</f>
        <v/>
      </c>
      <c r="O128" s="1269" t="str">
        <f>IF(はじめに!$B$36="計画書",O123,"")</f>
        <v/>
      </c>
      <c r="P128" s="1269" t="str">
        <f>IF(はじめに!$B$36="計画書",P123,"")</f>
        <v/>
      </c>
      <c r="Q128" s="1269" t="str">
        <f>IF(はじめに!$B$36="計画書",Q123,"")</f>
        <v/>
      </c>
      <c r="R128" s="1269" t="str">
        <f>IF(はじめに!$B$36="計画書",R123,"")</f>
        <v/>
      </c>
      <c r="S128" s="1269" t="str">
        <f>IF(はじめに!$B$36="計画書",S123,"")</f>
        <v/>
      </c>
      <c r="T128" s="1269" t="str">
        <f>IF(はじめに!$B$36="計画書",T123,"")</f>
        <v/>
      </c>
      <c r="U128" s="1269" t="str">
        <f>IF(はじめに!$B$36="計画書",U123,"")</f>
        <v/>
      </c>
      <c r="V128" s="1269" t="str">
        <f>IF(はじめに!$B$36="計画書",V123,"")</f>
        <v/>
      </c>
      <c r="W128" s="1269" t="str">
        <f>IF(はじめに!$B$36="計画書",W123,"")</f>
        <v/>
      </c>
      <c r="X128" s="1269" t="str">
        <f>IF(はじめに!$B$36="計画書",X123,"")</f>
        <v/>
      </c>
      <c r="Y128" s="1269" t="str">
        <f>IF(はじめに!$B$36="計画書",Y123,"")</f>
        <v/>
      </c>
      <c r="Z128" s="1269" t="str">
        <f>IF(はじめに!$B$36="計画書",Z123,"")</f>
        <v/>
      </c>
      <c r="AA128" s="1269" t="str">
        <f>IF(はじめに!$B$36="計画書",AA123,"")</f>
        <v/>
      </c>
      <c r="AB128" s="1269" t="str">
        <f>IF(はじめに!$B$36="計画書",AB123,"")</f>
        <v/>
      </c>
      <c r="AC128" s="1269" t="str">
        <f>IF(はじめに!$B$36="計画書",AC123,"")</f>
        <v/>
      </c>
      <c r="AD128" s="1269" t="str">
        <f>IF(はじめに!$B$36="計画書",AD123,"")</f>
        <v/>
      </c>
      <c r="AE128" s="1269" t="str">
        <f>IF(はじめに!$B$36="計画書",AE123,"")</f>
        <v/>
      </c>
      <c r="AF128" s="1269" t="str">
        <f>IF(はじめに!$B$36="計画書",AF123,"")</f>
        <v/>
      </c>
      <c r="AG128" s="1269" t="str">
        <f>IF(はじめに!$B$36="計画書",AG123,"")</f>
        <v/>
      </c>
      <c r="AH128" s="1269" t="str">
        <f>IF(はじめに!$B$36="計画書",AH123,"")</f>
        <v/>
      </c>
      <c r="AI128" s="1269" t="str">
        <f>IF(はじめに!$B$36="計画書",AI123,"")</f>
        <v/>
      </c>
      <c r="AJ128" s="1269" t="str">
        <f>IF(はじめに!$B$36="計画書",AJ123,"")</f>
        <v/>
      </c>
      <c r="AK128" s="1269" t="str">
        <f>IF(はじめに!$B$36="計画書",AK123,"")</f>
        <v/>
      </c>
      <c r="AL128" s="1269" t="str">
        <f>IF(はじめに!$B$36="計画書",AL123,"")</f>
        <v/>
      </c>
      <c r="AM128" s="1269" t="str">
        <f>IF(はじめに!$B$36="計画書",AM123,"")</f>
        <v/>
      </c>
      <c r="AN128" s="1269" t="str">
        <f>IF(はじめに!$B$36="計画書",AN123,"")</f>
        <v/>
      </c>
      <c r="AO128" s="1269" t="str">
        <f>IF(はじめに!$B$36="計画書",AO123,"")</f>
        <v/>
      </c>
      <c r="AP128" s="1269" t="str">
        <f>IF(はじめに!$B$36="計画書",AP123,"")</f>
        <v/>
      </c>
      <c r="AQ128" s="1269" t="str">
        <f>IF(はじめに!$B$36="計画書",AQ123,"")</f>
        <v/>
      </c>
      <c r="AR128" s="1269" t="str">
        <f>IF(はじめに!$B$36="計画書",AR123,"")</f>
        <v/>
      </c>
      <c r="AS128" s="1269" t="str">
        <f>IF(はじめに!$B$36="計画書",AS123,"")</f>
        <v/>
      </c>
      <c r="AT128" s="1269" t="str">
        <f>IF(はじめに!$B$36="計画書",AT123,"")</f>
        <v/>
      </c>
      <c r="AU128" s="1269" t="str">
        <f>IF(はじめに!$B$36="計画書",AU123,"")</f>
        <v/>
      </c>
      <c r="AV128" s="1269" t="str">
        <f>IF(はじめに!$B$36="計画書",AV123,"")</f>
        <v/>
      </c>
      <c r="AW128" s="1269" t="str">
        <f>IF(はじめに!$B$36="計画書",AW123,"")</f>
        <v/>
      </c>
      <c r="AX128" s="1269" t="str">
        <f>IF(はじめに!$B$36="計画書",AX123,"")</f>
        <v/>
      </c>
      <c r="AY128" s="1269" t="str">
        <f>IF(はじめに!$B$36="計画書",AY123,"")</f>
        <v/>
      </c>
      <c r="AZ128" s="1269" t="str">
        <f>IF(はじめに!$B$36="計画書",AZ123,"")</f>
        <v/>
      </c>
      <c r="BA128" s="1269" t="str">
        <f>IF(はじめに!$B$36="計画書",BA123,"")</f>
        <v/>
      </c>
    </row>
    <row r="129" spans="2:53" ht="30" customHeight="1">
      <c r="B129" s="1894" t="s">
        <v>4334</v>
      </c>
      <c r="C129" s="1909"/>
      <c r="D129" s="1909"/>
      <c r="E129" s="1909"/>
      <c r="F129" s="1910"/>
      <c r="G129" s="1907" t="s">
        <v>4319</v>
      </c>
      <c r="H129" s="1908"/>
      <c r="I129" s="1908"/>
      <c r="J129" s="1280"/>
      <c r="K129" s="1270" t="str">
        <f>IF(K127="","",IFERROR(1-K127/K119,""))</f>
        <v/>
      </c>
      <c r="L129" s="1270" t="str">
        <f t="shared" ref="L129:BA129" si="23">IF(L127="","",IFERROR(1-L127/L119,""))</f>
        <v/>
      </c>
      <c r="M129" s="1270" t="str">
        <f t="shared" si="23"/>
        <v/>
      </c>
      <c r="N129" s="1270" t="str">
        <f t="shared" si="23"/>
        <v/>
      </c>
      <c r="O129" s="1270" t="str">
        <f t="shared" si="23"/>
        <v/>
      </c>
      <c r="P129" s="1270" t="str">
        <f t="shared" si="23"/>
        <v/>
      </c>
      <c r="Q129" s="1270" t="str">
        <f t="shared" si="23"/>
        <v/>
      </c>
      <c r="R129" s="1270" t="str">
        <f t="shared" si="23"/>
        <v/>
      </c>
      <c r="S129" s="1270" t="str">
        <f t="shared" si="23"/>
        <v/>
      </c>
      <c r="T129" s="1270" t="str">
        <f t="shared" si="23"/>
        <v/>
      </c>
      <c r="U129" s="1270" t="str">
        <f t="shared" si="23"/>
        <v/>
      </c>
      <c r="V129" s="1270" t="str">
        <f t="shared" si="23"/>
        <v/>
      </c>
      <c r="W129" s="1270" t="str">
        <f t="shared" si="23"/>
        <v/>
      </c>
      <c r="X129" s="1270" t="str">
        <f t="shared" si="23"/>
        <v/>
      </c>
      <c r="Y129" s="1270" t="str">
        <f t="shared" si="23"/>
        <v/>
      </c>
      <c r="Z129" s="1270" t="str">
        <f t="shared" si="23"/>
        <v/>
      </c>
      <c r="AA129" s="1270" t="str">
        <f t="shared" si="23"/>
        <v/>
      </c>
      <c r="AB129" s="1270" t="str">
        <f t="shared" si="23"/>
        <v/>
      </c>
      <c r="AC129" s="1270" t="str">
        <f t="shared" si="23"/>
        <v/>
      </c>
      <c r="AD129" s="1270" t="str">
        <f t="shared" si="23"/>
        <v/>
      </c>
      <c r="AE129" s="1270" t="str">
        <f t="shared" si="23"/>
        <v/>
      </c>
      <c r="AF129" s="1270" t="str">
        <f t="shared" si="23"/>
        <v/>
      </c>
      <c r="AG129" s="1270" t="str">
        <f t="shared" si="23"/>
        <v/>
      </c>
      <c r="AH129" s="1270" t="str">
        <f t="shared" si="23"/>
        <v/>
      </c>
      <c r="AI129" s="1270" t="str">
        <f t="shared" si="23"/>
        <v/>
      </c>
      <c r="AJ129" s="1270" t="str">
        <f t="shared" si="23"/>
        <v/>
      </c>
      <c r="AK129" s="1270" t="str">
        <f t="shared" si="23"/>
        <v/>
      </c>
      <c r="AL129" s="1270" t="str">
        <f t="shared" si="23"/>
        <v/>
      </c>
      <c r="AM129" s="1270" t="str">
        <f t="shared" si="23"/>
        <v/>
      </c>
      <c r="AN129" s="1270" t="str">
        <f t="shared" si="23"/>
        <v/>
      </c>
      <c r="AO129" s="1270" t="str">
        <f t="shared" si="23"/>
        <v/>
      </c>
      <c r="AP129" s="1270" t="str">
        <f t="shared" si="23"/>
        <v/>
      </c>
      <c r="AQ129" s="1270" t="str">
        <f t="shared" si="23"/>
        <v/>
      </c>
      <c r="AR129" s="1270" t="str">
        <f t="shared" si="23"/>
        <v/>
      </c>
      <c r="AS129" s="1270" t="str">
        <f t="shared" si="23"/>
        <v/>
      </c>
      <c r="AT129" s="1270" t="str">
        <f t="shared" si="23"/>
        <v/>
      </c>
      <c r="AU129" s="1270" t="str">
        <f t="shared" si="23"/>
        <v/>
      </c>
      <c r="AV129" s="1270" t="str">
        <f t="shared" si="23"/>
        <v/>
      </c>
      <c r="AW129" s="1270" t="str">
        <f t="shared" si="23"/>
        <v/>
      </c>
      <c r="AX129" s="1270" t="str">
        <f t="shared" si="23"/>
        <v/>
      </c>
      <c r="AY129" s="1270" t="str">
        <f t="shared" si="23"/>
        <v/>
      </c>
      <c r="AZ129" s="1270" t="str">
        <f t="shared" si="23"/>
        <v/>
      </c>
      <c r="BA129" s="1270" t="str">
        <f t="shared" si="23"/>
        <v/>
      </c>
    </row>
    <row r="130" spans="2:53" ht="27" customHeight="1">
      <c r="B130" s="1894" t="s">
        <v>4329</v>
      </c>
      <c r="C130" s="1895"/>
      <c r="D130" s="1895"/>
      <c r="E130" s="1895"/>
      <c r="F130" s="1896"/>
      <c r="G130" s="1897" t="s">
        <v>4490</v>
      </c>
      <c r="H130" s="1897"/>
      <c r="I130" s="1897"/>
      <c r="J130" s="1279" t="str">
        <f>IF($I$14=3,SUM(K130:BA130)*100,"")</f>
        <v/>
      </c>
      <c r="K130" s="1129" t="str">
        <f>IF(K$124="","",K$128*K$129)</f>
        <v/>
      </c>
      <c r="L130" s="1129" t="str">
        <f t="shared" ref="L130:BA130" si="24">IF(L$124="","",L$128*L$129)</f>
        <v/>
      </c>
      <c r="M130" s="1129" t="str">
        <f t="shared" si="24"/>
        <v/>
      </c>
      <c r="N130" s="1129" t="str">
        <f t="shared" si="24"/>
        <v/>
      </c>
      <c r="O130" s="1129" t="str">
        <f t="shared" si="24"/>
        <v/>
      </c>
      <c r="P130" s="1129" t="str">
        <f t="shared" si="24"/>
        <v/>
      </c>
      <c r="Q130" s="1129" t="str">
        <f t="shared" si="24"/>
        <v/>
      </c>
      <c r="R130" s="1129" t="str">
        <f t="shared" si="24"/>
        <v/>
      </c>
      <c r="S130" s="1129" t="str">
        <f t="shared" si="24"/>
        <v/>
      </c>
      <c r="T130" s="1129" t="str">
        <f t="shared" si="24"/>
        <v/>
      </c>
      <c r="U130" s="1129" t="str">
        <f t="shared" si="24"/>
        <v/>
      </c>
      <c r="V130" s="1129" t="str">
        <f t="shared" si="24"/>
        <v/>
      </c>
      <c r="W130" s="1129" t="str">
        <f t="shared" si="24"/>
        <v/>
      </c>
      <c r="X130" s="1129" t="str">
        <f t="shared" si="24"/>
        <v/>
      </c>
      <c r="Y130" s="1129" t="str">
        <f t="shared" si="24"/>
        <v/>
      </c>
      <c r="Z130" s="1129" t="str">
        <f t="shared" si="24"/>
        <v/>
      </c>
      <c r="AA130" s="1129" t="str">
        <f t="shared" si="24"/>
        <v/>
      </c>
      <c r="AB130" s="1129" t="str">
        <f t="shared" si="24"/>
        <v/>
      </c>
      <c r="AC130" s="1129" t="str">
        <f t="shared" si="24"/>
        <v/>
      </c>
      <c r="AD130" s="1129" t="str">
        <f t="shared" si="24"/>
        <v/>
      </c>
      <c r="AE130" s="1129" t="str">
        <f t="shared" si="24"/>
        <v/>
      </c>
      <c r="AF130" s="1129" t="str">
        <f t="shared" si="24"/>
        <v/>
      </c>
      <c r="AG130" s="1129" t="str">
        <f t="shared" si="24"/>
        <v/>
      </c>
      <c r="AH130" s="1129" t="str">
        <f t="shared" si="24"/>
        <v/>
      </c>
      <c r="AI130" s="1129" t="str">
        <f t="shared" si="24"/>
        <v/>
      </c>
      <c r="AJ130" s="1129" t="str">
        <f t="shared" si="24"/>
        <v/>
      </c>
      <c r="AK130" s="1129" t="str">
        <f t="shared" si="24"/>
        <v/>
      </c>
      <c r="AL130" s="1129" t="str">
        <f t="shared" si="24"/>
        <v/>
      </c>
      <c r="AM130" s="1129" t="str">
        <f t="shared" si="24"/>
        <v/>
      </c>
      <c r="AN130" s="1129" t="str">
        <f t="shared" si="24"/>
        <v/>
      </c>
      <c r="AO130" s="1129" t="str">
        <f t="shared" si="24"/>
        <v/>
      </c>
      <c r="AP130" s="1129" t="str">
        <f t="shared" si="24"/>
        <v/>
      </c>
      <c r="AQ130" s="1129" t="str">
        <f t="shared" si="24"/>
        <v/>
      </c>
      <c r="AR130" s="1129" t="str">
        <f t="shared" si="24"/>
        <v/>
      </c>
      <c r="AS130" s="1129" t="str">
        <f t="shared" si="24"/>
        <v/>
      </c>
      <c r="AT130" s="1129" t="str">
        <f t="shared" si="24"/>
        <v/>
      </c>
      <c r="AU130" s="1129" t="str">
        <f t="shared" si="24"/>
        <v/>
      </c>
      <c r="AV130" s="1129" t="str">
        <f t="shared" si="24"/>
        <v/>
      </c>
      <c r="AW130" s="1129" t="str">
        <f t="shared" si="24"/>
        <v/>
      </c>
      <c r="AX130" s="1129" t="str">
        <f t="shared" si="24"/>
        <v/>
      </c>
      <c r="AY130" s="1129" t="str">
        <f t="shared" si="24"/>
        <v/>
      </c>
      <c r="AZ130" s="1129" t="str">
        <f t="shared" si="24"/>
        <v/>
      </c>
      <c r="BA130" s="1129" t="str">
        <f t="shared" si="24"/>
        <v/>
      </c>
    </row>
  </sheetData>
  <sheetProtection algorithmName="SHA-512" hashValue="+f/Qey+3Gu0gWtBNv0FBsQf12ZWrACi1omRQi4e/bNPIYf6omA6nF/v0iNr9ttNMujcvM5fTl60FbanyC0M/FQ==" saltValue="B9J03wN0Mpxj/y7qG0NiKw==" spinCount="100000" sheet="1" formatColumns="0" formatRows="0"/>
  <mergeCells count="129">
    <mergeCell ref="B127:F127"/>
    <mergeCell ref="G127:I127"/>
    <mergeCell ref="B128:F128"/>
    <mergeCell ref="G128:I128"/>
    <mergeCell ref="B129:F129"/>
    <mergeCell ref="G129:I129"/>
    <mergeCell ref="B130:F130"/>
    <mergeCell ref="G130:I130"/>
    <mergeCell ref="B26:P26"/>
    <mergeCell ref="C49:H49"/>
    <mergeCell ref="C50:H50"/>
    <mergeCell ref="C51:H51"/>
    <mergeCell ref="C52:H52"/>
    <mergeCell ref="C53:H53"/>
    <mergeCell ref="D54:F54"/>
    <mergeCell ref="G54:H54"/>
    <mergeCell ref="C44:C45"/>
    <mergeCell ref="D44:H44"/>
    <mergeCell ref="D45:H45"/>
    <mergeCell ref="C46:C48"/>
    <mergeCell ref="D46:H46"/>
    <mergeCell ref="D47:H47"/>
    <mergeCell ref="D48:H48"/>
    <mergeCell ref="C55:C57"/>
    <mergeCell ref="E8:O8"/>
    <mergeCell ref="J29:J30"/>
    <mergeCell ref="C21:H21"/>
    <mergeCell ref="C22:H22"/>
    <mergeCell ref="C23:H23"/>
    <mergeCell ref="K29:M31"/>
    <mergeCell ref="B32:B57"/>
    <mergeCell ref="C32:H32"/>
    <mergeCell ref="C33:H33"/>
    <mergeCell ref="C34:H34"/>
    <mergeCell ref="C35:H35"/>
    <mergeCell ref="C36:H36"/>
    <mergeCell ref="C37:H37"/>
    <mergeCell ref="B19:G19"/>
    <mergeCell ref="C38:H38"/>
    <mergeCell ref="C39:H39"/>
    <mergeCell ref="C40:H40"/>
    <mergeCell ref="C41:H41"/>
    <mergeCell ref="C42:C43"/>
    <mergeCell ref="D42:H42"/>
    <mergeCell ref="D43:H43"/>
    <mergeCell ref="B31:H31"/>
    <mergeCell ref="J19:K19"/>
    <mergeCell ref="C24:H24"/>
    <mergeCell ref="C99:D100"/>
    <mergeCell ref="E99:E100"/>
    <mergeCell ref="D55:H55"/>
    <mergeCell ref="D56:H56"/>
    <mergeCell ref="D57:H57"/>
    <mergeCell ref="B59:B62"/>
    <mergeCell ref="C59:H59"/>
    <mergeCell ref="C60:H60"/>
    <mergeCell ref="C61:H61"/>
    <mergeCell ref="C62:H62"/>
    <mergeCell ref="C63:H63"/>
    <mergeCell ref="C58:H58"/>
    <mergeCell ref="E75:E76"/>
    <mergeCell ref="C77:D78"/>
    <mergeCell ref="E77:E78"/>
    <mergeCell ref="C91:D92"/>
    <mergeCell ref="E91:E92"/>
    <mergeCell ref="C93:D94"/>
    <mergeCell ref="E93:E94"/>
    <mergeCell ref="C95:D96"/>
    <mergeCell ref="E95:E96"/>
    <mergeCell ref="C85:D86"/>
    <mergeCell ref="E85:E86"/>
    <mergeCell ref="C87:D88"/>
    <mergeCell ref="E87:E88"/>
    <mergeCell ref="C89:D90"/>
    <mergeCell ref="E89:E90"/>
    <mergeCell ref="C79:D80"/>
    <mergeCell ref="E79:E80"/>
    <mergeCell ref="C81:D82"/>
    <mergeCell ref="E81:E82"/>
    <mergeCell ref="C83:D84"/>
    <mergeCell ref="E83:E84"/>
    <mergeCell ref="C75:D76"/>
    <mergeCell ref="B113:I113"/>
    <mergeCell ref="B114:F114"/>
    <mergeCell ref="G114:I114"/>
    <mergeCell ref="B115:F115"/>
    <mergeCell ref="G115:I115"/>
    <mergeCell ref="C106:E106"/>
    <mergeCell ref="C111:H111"/>
    <mergeCell ref="C101:D102"/>
    <mergeCell ref="E101:E102"/>
    <mergeCell ref="B65:B111"/>
    <mergeCell ref="C65:D66"/>
    <mergeCell ref="E65:E66"/>
    <mergeCell ref="C67:D68"/>
    <mergeCell ref="E67:E68"/>
    <mergeCell ref="C69:D70"/>
    <mergeCell ref="E69:E70"/>
    <mergeCell ref="C71:D72"/>
    <mergeCell ref="E71:E72"/>
    <mergeCell ref="C73:D74"/>
    <mergeCell ref="E73:E74"/>
    <mergeCell ref="C103:D104"/>
    <mergeCell ref="E103:E104"/>
    <mergeCell ref="C97:D98"/>
    <mergeCell ref="H116:I116"/>
    <mergeCell ref="H118:I118"/>
    <mergeCell ref="E97:E98"/>
    <mergeCell ref="C105:E105"/>
    <mergeCell ref="B125:F125"/>
    <mergeCell ref="G125:I125"/>
    <mergeCell ref="B18:G18"/>
    <mergeCell ref="C107:E107"/>
    <mergeCell ref="C108:E108"/>
    <mergeCell ref="C109:E109"/>
    <mergeCell ref="C110:E110"/>
    <mergeCell ref="B122:F122"/>
    <mergeCell ref="G122:I122"/>
    <mergeCell ref="B123:F123"/>
    <mergeCell ref="G123:I123"/>
    <mergeCell ref="B124:F124"/>
    <mergeCell ref="G124:I124"/>
    <mergeCell ref="B118:F118"/>
    <mergeCell ref="B119:F119"/>
    <mergeCell ref="G119:I119"/>
    <mergeCell ref="B120:F120"/>
    <mergeCell ref="G120:I120"/>
    <mergeCell ref="B116:F116"/>
    <mergeCell ref="B117:F117"/>
  </mergeCells>
  <phoneticPr fontId="15"/>
  <conditionalFormatting sqref="F66 F71:G71 F69:G69 F67:G67 F65:G65 F106:G106">
    <cfRule type="containsErrors" dxfId="851" priority="232">
      <formula>ISERROR(F65)</formula>
    </cfRule>
  </conditionalFormatting>
  <conditionalFormatting sqref="G66">
    <cfRule type="containsErrors" dxfId="850" priority="231">
      <formula>ISERROR(G66)</formula>
    </cfRule>
  </conditionalFormatting>
  <conditionalFormatting sqref="L14">
    <cfRule type="cellIs" dxfId="849" priority="221" operator="lessThan">
      <formula>0</formula>
    </cfRule>
  </conditionalFormatting>
  <conditionalFormatting sqref="F11">
    <cfRule type="expression" dxfId="848" priority="220">
      <formula>$F$14="有り"</formula>
    </cfRule>
  </conditionalFormatting>
  <conditionalFormatting sqref="N32:BA57 N59:BA62 N106:BA110 N117:BA117 N122:BA122 N127:BA127 N30:BA30 N65:BA104">
    <cfRule type="expression" dxfId="847" priority="521">
      <formula>$H$19&gt;=N$28-3</formula>
    </cfRule>
  </conditionalFormatting>
  <conditionalFormatting sqref="F107:G110">
    <cfRule type="containsErrors" dxfId="846" priority="130">
      <formula>ISERROR(F107)</formula>
    </cfRule>
  </conditionalFormatting>
  <conditionalFormatting sqref="C73">
    <cfRule type="cellIs" dxfId="845" priority="146" operator="equal">
      <formula>"電気事業者名を選択"</formula>
    </cfRule>
  </conditionalFormatting>
  <conditionalFormatting sqref="C75">
    <cfRule type="cellIs" dxfId="844" priority="145" operator="equal">
      <formula>"電気事業者名を選択"</formula>
    </cfRule>
  </conditionalFormatting>
  <conditionalFormatting sqref="C77">
    <cfRule type="cellIs" dxfId="843" priority="144" operator="equal">
      <formula>"電気事業者名を選択"</formula>
    </cfRule>
  </conditionalFormatting>
  <conditionalFormatting sqref="C79">
    <cfRule type="cellIs" dxfId="842" priority="143" operator="equal">
      <formula>"電気事業者名を選択"</formula>
    </cfRule>
  </conditionalFormatting>
  <conditionalFormatting sqref="C81">
    <cfRule type="cellIs" dxfId="841" priority="142" operator="equal">
      <formula>"電気事業者名を選択"</formula>
    </cfRule>
  </conditionalFormatting>
  <conditionalFormatting sqref="C83">
    <cfRule type="cellIs" dxfId="840" priority="141" operator="equal">
      <formula>"電気事業者名を選択"</formula>
    </cfRule>
  </conditionalFormatting>
  <conditionalFormatting sqref="C85">
    <cfRule type="cellIs" dxfId="839" priority="140" operator="equal">
      <formula>"電気事業者名を選択"</formula>
    </cfRule>
  </conditionalFormatting>
  <conditionalFormatting sqref="C87">
    <cfRule type="cellIs" dxfId="838" priority="139" operator="equal">
      <formula>"電気事業者名を選択"</formula>
    </cfRule>
  </conditionalFormatting>
  <conditionalFormatting sqref="C89">
    <cfRule type="cellIs" dxfId="837" priority="138" operator="equal">
      <formula>"電気事業者名を選択"</formula>
    </cfRule>
  </conditionalFormatting>
  <conditionalFormatting sqref="C91">
    <cfRule type="cellIs" dxfId="836" priority="137" operator="equal">
      <formula>"電気事業者名を選択"</formula>
    </cfRule>
  </conditionalFormatting>
  <conditionalFormatting sqref="C93">
    <cfRule type="cellIs" dxfId="835" priority="136" operator="equal">
      <formula>"電気事業者名を選択"</formula>
    </cfRule>
  </conditionalFormatting>
  <conditionalFormatting sqref="C95">
    <cfRule type="cellIs" dxfId="834" priority="135" operator="equal">
      <formula>"電気事業者名を選択"</formula>
    </cfRule>
  </conditionalFormatting>
  <conditionalFormatting sqref="C97">
    <cfRule type="cellIs" dxfId="833" priority="134" operator="equal">
      <formula>"電気事業者名を選択"</formula>
    </cfRule>
  </conditionalFormatting>
  <conditionalFormatting sqref="C99">
    <cfRule type="cellIs" dxfId="832" priority="133" operator="equal">
      <formula>"電気事業者名を選択"</formula>
    </cfRule>
  </conditionalFormatting>
  <conditionalFormatting sqref="C101">
    <cfRule type="cellIs" dxfId="831" priority="132" operator="equal">
      <formula>"電気事業者名を選択"</formula>
    </cfRule>
  </conditionalFormatting>
  <conditionalFormatting sqref="C103">
    <cfRule type="cellIs" dxfId="830" priority="131" operator="equal">
      <formula>"電気事業者名を選択"</formula>
    </cfRule>
  </conditionalFormatting>
  <conditionalFormatting sqref="F68">
    <cfRule type="containsErrors" dxfId="829" priority="113">
      <formula>ISERROR(F68)</formula>
    </cfRule>
  </conditionalFormatting>
  <conditionalFormatting sqref="G68">
    <cfRule type="containsErrors" dxfId="828" priority="112">
      <formula>ISERROR(G68)</formula>
    </cfRule>
  </conditionalFormatting>
  <conditionalFormatting sqref="F70">
    <cfRule type="containsErrors" dxfId="827" priority="111">
      <formula>ISERROR(F70)</formula>
    </cfRule>
  </conditionalFormatting>
  <conditionalFormatting sqref="G70">
    <cfRule type="containsErrors" dxfId="826" priority="110">
      <formula>ISERROR(G70)</formula>
    </cfRule>
  </conditionalFormatting>
  <conditionalFormatting sqref="F72">
    <cfRule type="containsErrors" dxfId="825" priority="109">
      <formula>ISERROR(F72)</formula>
    </cfRule>
  </conditionalFormatting>
  <conditionalFormatting sqref="G72">
    <cfRule type="containsErrors" dxfId="824" priority="108">
      <formula>ISERROR(G72)</formula>
    </cfRule>
  </conditionalFormatting>
  <conditionalFormatting sqref="F74 F79:G79 F77:G77 F75:G75 F73:G73">
    <cfRule type="containsErrors" dxfId="823" priority="50">
      <formula>ISERROR(F73)</formula>
    </cfRule>
  </conditionalFormatting>
  <conditionalFormatting sqref="G74">
    <cfRule type="containsErrors" dxfId="822" priority="49">
      <formula>ISERROR(G74)</formula>
    </cfRule>
  </conditionalFormatting>
  <conditionalFormatting sqref="F76">
    <cfRule type="containsErrors" dxfId="821" priority="48">
      <formula>ISERROR(F76)</formula>
    </cfRule>
  </conditionalFormatting>
  <conditionalFormatting sqref="G76">
    <cfRule type="containsErrors" dxfId="820" priority="47">
      <formula>ISERROR(G76)</formula>
    </cfRule>
  </conditionalFormatting>
  <conditionalFormatting sqref="F78">
    <cfRule type="containsErrors" dxfId="819" priority="46">
      <formula>ISERROR(F78)</formula>
    </cfRule>
  </conditionalFormatting>
  <conditionalFormatting sqref="G78">
    <cfRule type="containsErrors" dxfId="818" priority="45">
      <formula>ISERROR(G78)</formula>
    </cfRule>
  </conditionalFormatting>
  <conditionalFormatting sqref="F80">
    <cfRule type="containsErrors" dxfId="817" priority="44">
      <formula>ISERROR(F80)</formula>
    </cfRule>
  </conditionalFormatting>
  <conditionalFormatting sqref="G80">
    <cfRule type="containsErrors" dxfId="816" priority="43">
      <formula>ISERROR(G80)</formula>
    </cfRule>
  </conditionalFormatting>
  <conditionalFormatting sqref="F82 F87:G87 F85:G85 F83:G83 F81:G81">
    <cfRule type="containsErrors" dxfId="815" priority="42">
      <formula>ISERROR(F81)</formula>
    </cfRule>
  </conditionalFormatting>
  <conditionalFormatting sqref="G82">
    <cfRule type="containsErrors" dxfId="814" priority="41">
      <formula>ISERROR(G82)</formula>
    </cfRule>
  </conditionalFormatting>
  <conditionalFormatting sqref="F84">
    <cfRule type="containsErrors" dxfId="813" priority="40">
      <formula>ISERROR(F84)</formula>
    </cfRule>
  </conditionalFormatting>
  <conditionalFormatting sqref="G84">
    <cfRule type="containsErrors" dxfId="812" priority="39">
      <formula>ISERROR(G84)</formula>
    </cfRule>
  </conditionalFormatting>
  <conditionalFormatting sqref="F86">
    <cfRule type="containsErrors" dxfId="811" priority="38">
      <formula>ISERROR(F86)</formula>
    </cfRule>
  </conditionalFormatting>
  <conditionalFormatting sqref="G86">
    <cfRule type="containsErrors" dxfId="810" priority="37">
      <formula>ISERROR(G86)</formula>
    </cfRule>
  </conditionalFormatting>
  <conditionalFormatting sqref="F88">
    <cfRule type="containsErrors" dxfId="809" priority="36">
      <formula>ISERROR(F88)</formula>
    </cfRule>
  </conditionalFormatting>
  <conditionalFormatting sqref="G88">
    <cfRule type="containsErrors" dxfId="808" priority="35">
      <formula>ISERROR(G88)</formula>
    </cfRule>
  </conditionalFormatting>
  <conditionalFormatting sqref="F90 F95:G95 F93:G93 F91:G91 F89:G89">
    <cfRule type="containsErrors" dxfId="807" priority="34">
      <formula>ISERROR(F89)</formula>
    </cfRule>
  </conditionalFormatting>
  <conditionalFormatting sqref="G90">
    <cfRule type="containsErrors" dxfId="806" priority="33">
      <formula>ISERROR(G90)</formula>
    </cfRule>
  </conditionalFormatting>
  <conditionalFormatting sqref="F92">
    <cfRule type="containsErrors" dxfId="805" priority="32">
      <formula>ISERROR(F92)</formula>
    </cfRule>
  </conditionalFormatting>
  <conditionalFormatting sqref="G92">
    <cfRule type="containsErrors" dxfId="804" priority="31">
      <formula>ISERROR(G92)</formula>
    </cfRule>
  </conditionalFormatting>
  <conditionalFormatting sqref="F94">
    <cfRule type="containsErrors" dxfId="803" priority="30">
      <formula>ISERROR(F94)</formula>
    </cfRule>
  </conditionalFormatting>
  <conditionalFormatting sqref="G94">
    <cfRule type="containsErrors" dxfId="802" priority="29">
      <formula>ISERROR(G94)</formula>
    </cfRule>
  </conditionalFormatting>
  <conditionalFormatting sqref="F96">
    <cfRule type="containsErrors" dxfId="801" priority="28">
      <formula>ISERROR(F96)</formula>
    </cfRule>
  </conditionalFormatting>
  <conditionalFormatting sqref="G96">
    <cfRule type="containsErrors" dxfId="800" priority="27">
      <formula>ISERROR(G96)</formula>
    </cfRule>
  </conditionalFormatting>
  <conditionalFormatting sqref="F98 F103:G103 F101:G101 F99:G99 F97:G97">
    <cfRule type="containsErrors" dxfId="799" priority="26">
      <formula>ISERROR(F97)</formula>
    </cfRule>
  </conditionalFormatting>
  <conditionalFormatting sqref="G98">
    <cfRule type="containsErrors" dxfId="798" priority="25">
      <formula>ISERROR(G98)</formula>
    </cfRule>
  </conditionalFormatting>
  <conditionalFormatting sqref="F100">
    <cfRule type="containsErrors" dxfId="797" priority="24">
      <formula>ISERROR(F100)</formula>
    </cfRule>
  </conditionalFormatting>
  <conditionalFormatting sqref="G100">
    <cfRule type="containsErrors" dxfId="796" priority="23">
      <formula>ISERROR(G100)</formula>
    </cfRule>
  </conditionalFormatting>
  <conditionalFormatting sqref="F102">
    <cfRule type="containsErrors" dxfId="795" priority="22">
      <formula>ISERROR(F102)</formula>
    </cfRule>
  </conditionalFormatting>
  <conditionalFormatting sqref="G102">
    <cfRule type="containsErrors" dxfId="794" priority="21">
      <formula>ISERROR(G102)</formula>
    </cfRule>
  </conditionalFormatting>
  <conditionalFormatting sqref="F104">
    <cfRule type="containsErrors" dxfId="793" priority="20">
      <formula>ISERROR(F104)</formula>
    </cfRule>
  </conditionalFormatting>
  <conditionalFormatting sqref="G104">
    <cfRule type="containsErrors" dxfId="792" priority="19">
      <formula>ISERROR(G104)</formula>
    </cfRule>
  </conditionalFormatting>
  <conditionalFormatting sqref="K32:K57 K59:K62 K65:K104 K106:K110 K116:K118">
    <cfRule type="expression" dxfId="791" priority="15">
      <formula>$H$18=$H$19</formula>
    </cfRule>
  </conditionalFormatting>
  <conditionalFormatting sqref="N116:BA116 N118:BA118">
    <cfRule type="expression" dxfId="790" priority="519">
      <formula>$H$19&gt;=N$28-3</formula>
    </cfRule>
  </conditionalFormatting>
  <conditionalFormatting sqref="K122:M122">
    <cfRule type="expression" dxfId="789" priority="9">
      <formula>$J$122="新規"</formula>
    </cfRule>
  </conditionalFormatting>
  <conditionalFormatting sqref="L32:L57 L59:L62 L65:L104 L106:L110 L116:L118 L122">
    <cfRule type="expression" dxfId="788" priority="507">
      <formula>AND($H$18&gt;$H$19+1,$I$14=3)</formula>
    </cfRule>
  </conditionalFormatting>
  <conditionalFormatting sqref="K116:K118 K127">
    <cfRule type="expression" dxfId="787" priority="532">
      <formula>AND($I$14=3,,$H$18&gt;$H$19)</formula>
    </cfRule>
  </conditionalFormatting>
  <conditionalFormatting sqref="H118:I118">
    <cfRule type="expression" dxfId="786" priority="515">
      <formula>$I$14=2</formula>
    </cfRule>
  </conditionalFormatting>
  <conditionalFormatting sqref="J116:BA119 J122">
    <cfRule type="expression" dxfId="785" priority="12">
      <formula>$I$14=1</formula>
    </cfRule>
  </conditionalFormatting>
  <conditionalFormatting sqref="N122:BA122 J123:BA125 J122">
    <cfRule type="expression" dxfId="784" priority="237">
      <formula>OR($I$14&lt;&gt;3,$J$122="新規")</formula>
    </cfRule>
  </conditionalFormatting>
  <conditionalFormatting sqref="M32:M57 M59:M62 M65:M104 M106:M110 M116:M118 M122">
    <cfRule type="expression" dxfId="783" priority="525">
      <formula>AND($H$18&gt;$H$19+2,$I$14=3)</formula>
    </cfRule>
  </conditionalFormatting>
  <conditionalFormatting sqref="K122">
    <cfRule type="expression" dxfId="782" priority="531">
      <formula>AND($I$14=3,$H$18&gt;$H$19)</formula>
    </cfRule>
  </conditionalFormatting>
  <conditionalFormatting sqref="K116:K118 L127">
    <cfRule type="expression" dxfId="781" priority="513">
      <formula>AND($H$18&gt;$H$19+1,$I$14=3)</formula>
    </cfRule>
  </conditionalFormatting>
  <conditionalFormatting sqref="K116:K118 M127">
    <cfRule type="expression" dxfId="780" priority="4">
      <formula>AND($H$18&gt;$H$19+2,$I$14=3)</formula>
    </cfRule>
  </conditionalFormatting>
  <conditionalFormatting sqref="H116:I116">
    <cfRule type="expression" dxfId="779" priority="2">
      <formula>$I$14=2</formula>
    </cfRule>
  </conditionalFormatting>
  <conditionalFormatting sqref="N27:BA27">
    <cfRule type="expression" dxfId="778" priority="1">
      <formula>$H$19&gt;=N$28-3</formula>
    </cfRule>
  </conditionalFormatting>
  <dataValidations count="1">
    <dataValidation type="list" allowBlank="1" showInputMessage="1" showErrorMessage="1" sqref="C8" xr:uid="{00000000-0002-0000-0700-000000000000}">
      <formula1>"有り,無し"</formula1>
    </dataValidation>
  </dataValidations>
  <pageMargins left="0.7" right="0.7" top="0.75" bottom="0.75" header="0.3" footer="0.3"/>
  <pageSetup paperSize="8" scale="43"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3699" r:id="rId4" name="Option Button 35">
              <controlPr locked="0" defaultSize="0" autoFill="0" autoLine="0" autoPict="0">
                <anchor moveWithCells="1">
                  <from>
                    <xdr:col>1</xdr:col>
                    <xdr:colOff>85725</xdr:colOff>
                    <xdr:row>20</xdr:row>
                    <xdr:rowOff>28575</xdr:rowOff>
                  </from>
                  <to>
                    <xdr:col>2</xdr:col>
                    <xdr:colOff>95250</xdr:colOff>
                    <xdr:row>21</xdr:row>
                    <xdr:rowOff>19050</xdr:rowOff>
                  </to>
                </anchor>
              </controlPr>
            </control>
          </mc:Choice>
        </mc:AlternateContent>
        <mc:AlternateContent xmlns:mc="http://schemas.openxmlformats.org/markup-compatibility/2006">
          <mc:Choice Requires="x14">
            <control shapeId="113700" r:id="rId5" name="Option Button 36">
              <controlPr locked="0" defaultSize="0" autoFill="0" autoLine="0" autoPict="0">
                <anchor moveWithCells="1">
                  <from>
                    <xdr:col>1</xdr:col>
                    <xdr:colOff>85725</xdr:colOff>
                    <xdr:row>21</xdr:row>
                    <xdr:rowOff>28575</xdr:rowOff>
                  </from>
                  <to>
                    <xdr:col>2</xdr:col>
                    <xdr:colOff>95250</xdr:colOff>
                    <xdr:row>22</xdr:row>
                    <xdr:rowOff>19050</xdr:rowOff>
                  </to>
                </anchor>
              </controlPr>
            </control>
          </mc:Choice>
        </mc:AlternateContent>
        <mc:AlternateContent xmlns:mc="http://schemas.openxmlformats.org/markup-compatibility/2006">
          <mc:Choice Requires="x14">
            <control shapeId="113701" r:id="rId6" name="Option Button 37">
              <controlPr locked="0" defaultSize="0" autoFill="0" autoLine="0" autoPict="0">
                <anchor moveWithCells="1">
                  <from>
                    <xdr:col>1</xdr:col>
                    <xdr:colOff>85725</xdr:colOff>
                    <xdr:row>22</xdr:row>
                    <xdr:rowOff>28575</xdr:rowOff>
                  </from>
                  <to>
                    <xdr:col>2</xdr:col>
                    <xdr:colOff>95250</xdr:colOff>
                    <xdr:row>23</xdr:row>
                    <xdr:rowOff>19050</xdr:rowOff>
                  </to>
                </anchor>
              </controlPr>
            </control>
          </mc:Choice>
        </mc:AlternateContent>
        <mc:AlternateContent xmlns:mc="http://schemas.openxmlformats.org/markup-compatibility/2006">
          <mc:Choice Requires="x14">
            <control shapeId="113705" r:id="rId7" name="Option Button 41">
              <controlPr locked="0" defaultSize="0" autoFill="0" autoLine="0" autoPict="0">
                <anchor moveWithCells="1">
                  <from>
                    <xdr:col>1</xdr:col>
                    <xdr:colOff>85725</xdr:colOff>
                    <xdr:row>23</xdr:row>
                    <xdr:rowOff>28575</xdr:rowOff>
                  </from>
                  <to>
                    <xdr:col>2</xdr:col>
                    <xdr:colOff>95250</xdr:colOff>
                    <xdr:row>24</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B74D79FB-EC31-4E1D-916E-B4C687D288AD}">
            <xm:f>OR($I$14&lt;&gt;3,はじめに!$B$36&lt;&gt;"計画書")</xm:f>
            <x14:dxf>
              <fill>
                <patternFill>
                  <bgColor theme="0" tint="-0.499984740745262"/>
                </patternFill>
              </fill>
            </x14:dxf>
          </x14:cfRule>
          <xm:sqref>J127:BA130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5">
    <pageSetUpPr fitToPage="1"/>
  </sheetPr>
  <dimension ref="A1:AE169"/>
  <sheetViews>
    <sheetView showGridLines="0" topLeftCell="A36" workbookViewId="0">
      <selection activeCell="B6" sqref="B6"/>
    </sheetView>
  </sheetViews>
  <sheetFormatPr defaultColWidth="10" defaultRowHeight="13.5"/>
  <cols>
    <col min="1" max="1" width="1.125" style="762" customWidth="1"/>
    <col min="2" max="2" width="4.125" style="779" customWidth="1"/>
    <col min="3" max="3" width="1.375" style="779" customWidth="1"/>
    <col min="4" max="4" width="7.625" style="779" customWidth="1"/>
    <col min="5" max="5" width="8.625" style="779" customWidth="1"/>
    <col min="6" max="7" width="7.375" style="779" customWidth="1"/>
    <col min="8" max="8" width="2.375" style="779" customWidth="1"/>
    <col min="9" max="10" width="5.875" style="779" customWidth="1"/>
    <col min="11" max="12" width="4.625" style="779" customWidth="1"/>
    <col min="13" max="14" width="5.5" style="762" customWidth="1"/>
    <col min="15" max="16" width="4.625" style="762" customWidth="1"/>
    <col min="17" max="17" width="4.75" style="762" customWidth="1"/>
    <col min="18" max="18" width="4.5" style="762" customWidth="1"/>
    <col min="19" max="19" width="4.625" style="762" customWidth="1"/>
    <col min="20" max="20" width="4.375" style="762" customWidth="1"/>
    <col min="21" max="26" width="4.625" style="762" customWidth="1"/>
    <col min="27" max="27" width="2.125" style="762" customWidth="1"/>
    <col min="28" max="28" width="9.375" style="762" customWidth="1"/>
    <col min="29" max="29" width="12.125" style="762" customWidth="1"/>
    <col min="30" max="30" width="12.25" style="762" customWidth="1"/>
    <col min="31" max="16384" width="10" style="762"/>
  </cols>
  <sheetData>
    <row r="1" spans="2:31" ht="19.899999999999999" customHeight="1">
      <c r="B1" s="760" t="s">
        <v>4297</v>
      </c>
      <c r="C1" s="760"/>
      <c r="D1" s="760"/>
      <c r="E1" s="760"/>
      <c r="F1" s="760"/>
      <c r="G1" s="760"/>
      <c r="H1" s="760"/>
      <c r="I1" s="760"/>
      <c r="J1" s="760"/>
      <c r="K1" s="760"/>
      <c r="L1" s="760"/>
      <c r="M1" s="760"/>
      <c r="N1" s="760"/>
      <c r="O1" s="760"/>
      <c r="P1" s="760"/>
      <c r="Q1" s="760"/>
      <c r="R1" s="760"/>
      <c r="S1" s="760"/>
      <c r="T1" s="760"/>
      <c r="U1" s="760"/>
      <c r="V1" s="760"/>
      <c r="W1" s="760"/>
      <c r="X1" s="760"/>
      <c r="Y1" s="760"/>
      <c r="AA1" s="761"/>
      <c r="AB1" s="761"/>
      <c r="AC1" s="761"/>
      <c r="AD1" s="761"/>
    </row>
    <row r="2" spans="2:31" s="764" customFormat="1" ht="19.899999999999999" hidden="1" customHeight="1">
      <c r="B2" s="763"/>
      <c r="C2" s="763"/>
      <c r="D2" s="763"/>
      <c r="E2" s="763"/>
      <c r="F2" s="763"/>
      <c r="G2" s="763"/>
      <c r="H2" s="763"/>
      <c r="I2" s="763"/>
      <c r="J2" s="763"/>
      <c r="K2" s="763"/>
      <c r="L2" s="763"/>
      <c r="Z2" s="1171" t="s">
        <v>4304</v>
      </c>
    </row>
    <row r="3" spans="2:31" s="764" customFormat="1" ht="19.899999999999999" hidden="1" customHeight="1">
      <c r="B3" s="765" t="s">
        <v>4103</v>
      </c>
      <c r="C3" s="765"/>
      <c r="D3" s="765"/>
      <c r="E3" s="765"/>
      <c r="F3" s="765"/>
      <c r="G3" s="765"/>
      <c r="H3" s="765"/>
      <c r="I3" s="766"/>
      <c r="J3" s="766"/>
      <c r="K3" s="766"/>
      <c r="L3" s="766"/>
      <c r="M3" s="767"/>
      <c r="N3" s="767"/>
      <c r="O3" s="767"/>
      <c r="P3" s="767"/>
      <c r="Q3" s="767"/>
      <c r="R3" s="767"/>
      <c r="S3" s="767"/>
      <c r="T3" s="767"/>
      <c r="U3" s="767"/>
      <c r="V3" s="767"/>
      <c r="W3" s="768"/>
      <c r="X3" s="768"/>
      <c r="Y3" s="768"/>
      <c r="Z3" s="768"/>
      <c r="AA3" s="767"/>
      <c r="AE3" s="770"/>
    </row>
    <row r="4" spans="2:31" s="764" customFormat="1" ht="19.899999999999999" hidden="1" customHeight="1">
      <c r="B4" s="558">
        <v>1</v>
      </c>
      <c r="C4" s="763"/>
      <c r="D4" s="771" t="s">
        <v>4104</v>
      </c>
      <c r="E4" s="763"/>
      <c r="F4" s="763"/>
      <c r="G4" s="763"/>
      <c r="H4" s="763"/>
      <c r="I4" s="763"/>
      <c r="J4" s="763"/>
      <c r="K4" s="763"/>
      <c r="L4" s="763"/>
    </row>
    <row r="5" spans="2:31" s="764" customFormat="1" ht="19.899999999999999" hidden="1" customHeight="1">
      <c r="B5" s="763"/>
      <c r="C5" s="763"/>
      <c r="D5" s="2173" t="s">
        <v>4261</v>
      </c>
      <c r="E5" s="2173"/>
      <c r="F5" s="2173"/>
      <c r="G5" s="2173"/>
      <c r="H5" s="2173"/>
      <c r="I5" s="2173"/>
      <c r="J5" s="2173"/>
      <c r="K5" s="2173"/>
      <c r="L5" s="2173"/>
      <c r="M5" s="2173"/>
      <c r="N5" s="2173"/>
      <c r="O5" s="2173"/>
      <c r="P5" s="2173"/>
      <c r="Q5" s="2173"/>
      <c r="R5" s="2173"/>
      <c r="S5" s="2173"/>
      <c r="T5" s="2173"/>
      <c r="U5" s="2173"/>
      <c r="V5" s="2173"/>
      <c r="W5" s="2173"/>
      <c r="X5" s="2173"/>
      <c r="Y5" s="2173"/>
      <c r="Z5" s="2173"/>
    </row>
    <row r="6" spans="2:31" s="764" customFormat="1" ht="19.899999999999999" hidden="1" customHeight="1">
      <c r="B6" s="763"/>
      <c r="C6" s="763"/>
      <c r="D6" s="2173"/>
      <c r="E6" s="2173"/>
      <c r="F6" s="2173"/>
      <c r="G6" s="2173"/>
      <c r="H6" s="2173"/>
      <c r="I6" s="2173"/>
      <c r="J6" s="2173"/>
      <c r="K6" s="2173"/>
      <c r="L6" s="2173"/>
      <c r="M6" s="2173"/>
      <c r="N6" s="2173"/>
      <c r="O6" s="2173"/>
      <c r="P6" s="2173"/>
      <c r="Q6" s="2173"/>
      <c r="R6" s="2173"/>
      <c r="S6" s="2173"/>
      <c r="T6" s="2173"/>
      <c r="U6" s="2173"/>
      <c r="V6" s="2173"/>
      <c r="W6" s="2173"/>
      <c r="X6" s="2173"/>
      <c r="Y6" s="2173"/>
      <c r="Z6" s="2173"/>
    </row>
    <row r="7" spans="2:31" s="764" customFormat="1" ht="19.899999999999999" hidden="1" customHeight="1">
      <c r="B7" s="763"/>
      <c r="C7" s="763"/>
      <c r="D7" s="763"/>
      <c r="E7" s="763"/>
      <c r="F7" s="763"/>
      <c r="G7" s="763"/>
      <c r="H7" s="763"/>
      <c r="I7" s="763"/>
      <c r="J7" s="763"/>
      <c r="K7" s="763"/>
      <c r="L7" s="763"/>
    </row>
    <row r="8" spans="2:31" s="764" customFormat="1" ht="19.899999999999999" hidden="1" customHeight="1">
      <c r="B8" s="763"/>
      <c r="C8" s="763"/>
      <c r="D8" s="763"/>
      <c r="E8" s="763"/>
      <c r="F8" s="763"/>
      <c r="G8" s="763"/>
      <c r="H8" s="763"/>
      <c r="I8" s="763"/>
      <c r="J8" s="763"/>
      <c r="K8" s="763"/>
      <c r="L8" s="763"/>
    </row>
    <row r="9" spans="2:31" s="764" customFormat="1" ht="19.899999999999999" hidden="1" customHeight="1">
      <c r="B9" s="763"/>
      <c r="C9" s="763"/>
      <c r="D9" s="763"/>
      <c r="E9" s="763"/>
      <c r="F9" s="763"/>
      <c r="G9" s="763"/>
      <c r="H9" s="763"/>
      <c r="I9" s="763"/>
      <c r="J9" s="763"/>
      <c r="K9" s="763"/>
      <c r="L9" s="763"/>
    </row>
    <row r="10" spans="2:31" s="764" customFormat="1" ht="19.899999999999999" hidden="1" customHeight="1">
      <c r="B10" s="763"/>
      <c r="C10" s="763"/>
      <c r="D10" s="763"/>
      <c r="E10" s="763"/>
      <c r="F10" s="763"/>
      <c r="G10" s="763"/>
      <c r="H10" s="763"/>
      <c r="I10" s="763"/>
      <c r="J10" s="763"/>
      <c r="K10" s="763"/>
      <c r="L10" s="763"/>
    </row>
    <row r="11" spans="2:31" s="764" customFormat="1" ht="19.899999999999999" hidden="1" customHeight="1">
      <c r="B11" s="763"/>
      <c r="C11" s="763"/>
      <c r="D11" s="763"/>
      <c r="E11" s="763"/>
      <c r="F11" s="763"/>
      <c r="G11" s="763"/>
      <c r="H11" s="763"/>
      <c r="I11" s="763"/>
      <c r="J11" s="763"/>
      <c r="K11" s="763"/>
      <c r="L11" s="763"/>
    </row>
    <row r="12" spans="2:31" s="764" customFormat="1" ht="19.899999999999999" hidden="1" customHeight="1">
      <c r="B12" s="763"/>
      <c r="C12" s="763"/>
      <c r="D12" s="763"/>
      <c r="E12" s="763"/>
      <c r="F12" s="763"/>
      <c r="G12" s="763"/>
      <c r="H12" s="763"/>
      <c r="I12" s="763"/>
      <c r="J12" s="763"/>
      <c r="K12" s="763"/>
      <c r="L12" s="763"/>
    </row>
    <row r="13" spans="2:31" s="764" customFormat="1" ht="19.899999999999999" hidden="1" customHeight="1">
      <c r="B13" s="763"/>
      <c r="C13" s="763"/>
      <c r="D13" s="763"/>
      <c r="E13" s="763"/>
      <c r="F13" s="763"/>
      <c r="G13" s="763"/>
      <c r="H13" s="763"/>
      <c r="I13" s="763"/>
      <c r="J13" s="763"/>
      <c r="K13" s="763"/>
      <c r="L13" s="763"/>
    </row>
    <row r="14" spans="2:31" s="764" customFormat="1" ht="19.899999999999999" hidden="1" customHeight="1">
      <c r="B14" s="763"/>
      <c r="C14" s="763"/>
      <c r="D14" s="763"/>
      <c r="E14" s="763"/>
      <c r="F14" s="763"/>
      <c r="G14" s="763"/>
      <c r="H14" s="763"/>
      <c r="I14" s="763"/>
      <c r="J14" s="763"/>
      <c r="K14" s="763"/>
      <c r="L14" s="763"/>
    </row>
    <row r="15" spans="2:31" s="764" customFormat="1" ht="19.899999999999999" hidden="1" customHeight="1">
      <c r="B15" s="763"/>
      <c r="C15" s="763"/>
      <c r="D15" s="763"/>
      <c r="E15" s="763"/>
      <c r="F15" s="763"/>
      <c r="G15" s="763"/>
      <c r="H15" s="763"/>
      <c r="I15" s="763"/>
      <c r="J15" s="763"/>
      <c r="K15" s="763"/>
      <c r="L15" s="763"/>
    </row>
    <row r="16" spans="2:31" s="764" customFormat="1" ht="19.899999999999999" hidden="1" customHeight="1">
      <c r="B16" s="763"/>
      <c r="C16" s="763"/>
      <c r="D16" s="772" t="s">
        <v>4105</v>
      </c>
      <c r="E16" s="763"/>
      <c r="F16" s="763"/>
      <c r="G16" s="763"/>
      <c r="H16" s="763"/>
      <c r="I16" s="763"/>
      <c r="J16" s="763"/>
      <c r="K16" s="763"/>
      <c r="L16" s="763"/>
    </row>
    <row r="17" spans="2:30" s="764" customFormat="1" ht="19.899999999999999" hidden="1" customHeight="1">
      <c r="B17" s="763"/>
      <c r="C17" s="763"/>
      <c r="D17" s="2174" t="s">
        <v>4106</v>
      </c>
      <c r="E17" s="2174"/>
      <c r="F17" s="2174"/>
      <c r="G17" s="2174"/>
      <c r="H17" s="2174"/>
      <c r="I17" s="2174"/>
      <c r="J17" s="2174"/>
      <c r="K17" s="2174"/>
      <c r="L17" s="2174"/>
      <c r="M17" s="2174"/>
      <c r="N17" s="2174"/>
      <c r="O17" s="2174"/>
      <c r="P17" s="2174"/>
      <c r="Q17" s="2174"/>
      <c r="R17" s="2174"/>
      <c r="S17" s="2174"/>
      <c r="T17" s="2174"/>
      <c r="U17" s="2174"/>
      <c r="V17" s="2174"/>
      <c r="W17" s="2174"/>
      <c r="X17" s="2174"/>
      <c r="Y17" s="2174"/>
      <c r="Z17" s="2174"/>
    </row>
    <row r="18" spans="2:30" s="764" customFormat="1" ht="19.899999999999999" hidden="1" customHeight="1">
      <c r="B18" s="763"/>
      <c r="C18" s="763"/>
      <c r="D18" s="773"/>
      <c r="E18" s="763"/>
      <c r="F18" s="763"/>
      <c r="G18" s="763"/>
      <c r="H18" s="763"/>
      <c r="I18" s="763"/>
      <c r="J18" s="763"/>
      <c r="K18" s="763"/>
      <c r="L18" s="763"/>
    </row>
    <row r="19" spans="2:30" s="764" customFormat="1" ht="19.899999999999999" hidden="1" customHeight="1">
      <c r="B19" s="558">
        <v>2</v>
      </c>
      <c r="C19" s="763"/>
      <c r="D19" s="771" t="s">
        <v>4107</v>
      </c>
      <c r="E19" s="773"/>
      <c r="F19" s="773"/>
      <c r="G19" s="773"/>
      <c r="H19" s="773"/>
      <c r="I19" s="773"/>
      <c r="J19" s="773"/>
      <c r="K19" s="773"/>
      <c r="L19" s="773"/>
      <c r="M19" s="773"/>
      <c r="N19" s="773"/>
      <c r="O19" s="773"/>
      <c r="P19" s="773"/>
      <c r="Q19" s="773"/>
      <c r="R19" s="773"/>
      <c r="S19" s="773"/>
      <c r="T19" s="773"/>
      <c r="U19" s="773"/>
      <c r="V19" s="773"/>
      <c r="W19" s="773"/>
      <c r="X19" s="773"/>
      <c r="Y19" s="773"/>
      <c r="Z19" s="773"/>
    </row>
    <row r="20" spans="2:30" s="764" customFormat="1" ht="19.899999999999999" hidden="1" customHeight="1">
      <c r="B20" s="763"/>
      <c r="C20" s="763"/>
      <c r="D20" s="772" t="s">
        <v>4108</v>
      </c>
      <c r="E20" s="772"/>
      <c r="F20" s="772"/>
      <c r="G20" s="772"/>
      <c r="H20" s="772"/>
      <c r="I20" s="772"/>
      <c r="J20" s="772"/>
      <c r="K20" s="772"/>
      <c r="L20" s="772"/>
      <c r="M20" s="772"/>
      <c r="N20" s="772"/>
      <c r="O20" s="772"/>
      <c r="P20" s="772"/>
      <c r="Q20" s="772"/>
      <c r="R20" s="772"/>
      <c r="S20" s="772"/>
      <c r="T20" s="772"/>
      <c r="U20" s="772"/>
      <c r="V20" s="772"/>
      <c r="W20" s="772"/>
      <c r="X20" s="772"/>
      <c r="Y20" s="772"/>
      <c r="Z20" s="772"/>
    </row>
    <row r="21" spans="2:30" s="764" customFormat="1" ht="19.899999999999999" hidden="1" customHeight="1">
      <c r="B21" s="763"/>
      <c r="C21" s="763"/>
      <c r="D21" s="772" t="s">
        <v>4109</v>
      </c>
      <c r="E21" s="772"/>
      <c r="F21" s="772"/>
      <c r="G21" s="772"/>
      <c r="H21" s="772"/>
      <c r="I21" s="772"/>
      <c r="J21" s="772"/>
      <c r="K21" s="772"/>
      <c r="L21" s="772"/>
      <c r="M21" s="772"/>
      <c r="N21" s="772"/>
      <c r="O21" s="772"/>
      <c r="P21" s="772"/>
      <c r="Q21" s="772"/>
      <c r="R21" s="772"/>
      <c r="S21" s="772"/>
      <c r="T21" s="772"/>
      <c r="U21" s="772"/>
      <c r="V21" s="772"/>
      <c r="W21" s="772"/>
      <c r="X21" s="772"/>
      <c r="Y21" s="772"/>
      <c r="Z21" s="772"/>
    </row>
    <row r="22" spans="2:30" s="764" customFormat="1" ht="19.899999999999999" hidden="1" customHeight="1">
      <c r="B22" s="763"/>
      <c r="C22" s="763"/>
      <c r="D22" s="772" t="s">
        <v>4110</v>
      </c>
      <c r="E22" s="772"/>
      <c r="F22" s="772"/>
      <c r="G22" s="772"/>
      <c r="H22" s="772"/>
      <c r="I22" s="772"/>
      <c r="J22" s="772"/>
      <c r="K22" s="772"/>
      <c r="L22" s="772"/>
      <c r="M22" s="772"/>
      <c r="N22" s="772"/>
      <c r="O22" s="772"/>
      <c r="P22" s="772"/>
      <c r="Q22" s="772"/>
      <c r="R22" s="772"/>
      <c r="S22" s="772"/>
      <c r="T22" s="772"/>
      <c r="U22" s="772"/>
      <c r="V22" s="772"/>
      <c r="W22" s="772"/>
      <c r="X22" s="772"/>
      <c r="Y22" s="772"/>
      <c r="Z22" s="772"/>
    </row>
    <row r="23" spans="2:30" s="764" customFormat="1" ht="19.899999999999999" hidden="1" customHeight="1">
      <c r="B23" s="763"/>
      <c r="C23" s="763"/>
      <c r="D23" s="772" t="s">
        <v>4111</v>
      </c>
      <c r="E23" s="772"/>
      <c r="F23" s="772"/>
      <c r="G23" s="772"/>
      <c r="H23" s="772"/>
      <c r="I23" s="772"/>
      <c r="J23" s="772"/>
      <c r="K23" s="772"/>
      <c r="L23" s="772"/>
      <c r="M23" s="772"/>
      <c r="N23" s="772"/>
      <c r="O23" s="772"/>
      <c r="P23" s="772"/>
      <c r="Q23" s="772"/>
      <c r="R23" s="772"/>
      <c r="S23" s="772"/>
      <c r="T23" s="772"/>
      <c r="U23" s="772"/>
      <c r="V23" s="772"/>
      <c r="W23" s="772"/>
      <c r="X23" s="772"/>
      <c r="Y23" s="772"/>
      <c r="Z23" s="772"/>
    </row>
    <row r="24" spans="2:30" s="764" customFormat="1" ht="19.899999999999999" hidden="1" customHeight="1">
      <c r="B24" s="763"/>
      <c r="C24" s="763"/>
      <c r="D24" s="772" t="s">
        <v>4112</v>
      </c>
      <c r="E24" s="772"/>
      <c r="F24" s="772"/>
      <c r="G24" s="772"/>
      <c r="H24" s="772"/>
      <c r="I24" s="772"/>
      <c r="J24" s="772"/>
      <c r="K24" s="772"/>
      <c r="L24" s="772"/>
      <c r="M24" s="772"/>
      <c r="N24" s="772"/>
      <c r="O24" s="772"/>
      <c r="P24" s="772"/>
      <c r="Q24" s="772"/>
      <c r="R24" s="772"/>
      <c r="S24" s="772"/>
      <c r="T24" s="772"/>
      <c r="U24" s="772"/>
      <c r="V24" s="772"/>
      <c r="W24" s="772"/>
      <c r="X24" s="772"/>
      <c r="Y24" s="772"/>
      <c r="Z24" s="772"/>
    </row>
    <row r="25" spans="2:30" s="764" customFormat="1" ht="19.899999999999999" hidden="1" customHeight="1">
      <c r="B25" s="763"/>
      <c r="C25" s="763"/>
      <c r="D25" s="772"/>
      <c r="E25" s="772"/>
      <c r="F25" s="772"/>
      <c r="G25" s="772"/>
      <c r="H25" s="772"/>
      <c r="I25" s="772"/>
      <c r="J25" s="772"/>
      <c r="K25" s="772"/>
      <c r="L25" s="772"/>
      <c r="M25" s="772"/>
      <c r="N25" s="772"/>
      <c r="O25" s="772"/>
      <c r="P25" s="772"/>
      <c r="Q25" s="772"/>
      <c r="R25" s="772"/>
      <c r="S25" s="772"/>
      <c r="T25" s="772"/>
      <c r="U25" s="772"/>
      <c r="V25" s="772"/>
      <c r="W25" s="772"/>
      <c r="X25" s="772"/>
      <c r="Y25" s="772"/>
      <c r="Z25" s="772"/>
    </row>
    <row r="26" spans="2:30" s="764" customFormat="1" ht="19.899999999999999" hidden="1" customHeight="1">
      <c r="B26" s="558">
        <v>3</v>
      </c>
      <c r="C26" s="763"/>
      <c r="D26" s="771" t="s">
        <v>4113</v>
      </c>
      <c r="E26" s="773"/>
      <c r="F26" s="773"/>
      <c r="G26" s="773"/>
      <c r="H26" s="773"/>
      <c r="I26" s="773"/>
      <c r="J26" s="773"/>
      <c r="K26" s="773"/>
      <c r="L26" s="773"/>
      <c r="M26" s="773"/>
      <c r="N26" s="773"/>
      <c r="O26" s="773"/>
      <c r="P26" s="773"/>
      <c r="Q26" s="773"/>
      <c r="R26" s="773"/>
      <c r="S26" s="773"/>
      <c r="T26" s="773"/>
      <c r="U26" s="773"/>
      <c r="V26" s="773"/>
      <c r="W26" s="773"/>
      <c r="X26" s="773"/>
      <c r="Y26" s="773"/>
      <c r="Z26" s="773"/>
    </row>
    <row r="27" spans="2:30" s="764" customFormat="1" ht="19.899999999999999" hidden="1" customHeight="1">
      <c r="B27" s="763"/>
      <c r="C27" s="763"/>
      <c r="D27" s="2174" t="s">
        <v>4114</v>
      </c>
      <c r="E27" s="2174"/>
      <c r="F27" s="2174"/>
      <c r="G27" s="2174"/>
      <c r="H27" s="2174"/>
      <c r="I27" s="2174"/>
      <c r="J27" s="2174"/>
      <c r="K27" s="2174"/>
      <c r="L27" s="2174"/>
      <c r="M27" s="2174"/>
      <c r="N27" s="2174"/>
      <c r="O27" s="2174"/>
      <c r="P27" s="2174"/>
      <c r="Q27" s="2174"/>
      <c r="R27" s="2174"/>
      <c r="S27" s="2174"/>
      <c r="T27" s="2174"/>
      <c r="U27" s="2174"/>
      <c r="V27" s="2174"/>
      <c r="W27" s="2174"/>
      <c r="X27" s="2174"/>
      <c r="Y27" s="2174"/>
      <c r="Z27" s="2174"/>
    </row>
    <row r="28" spans="2:30" ht="19.899999999999999" customHeight="1">
      <c r="B28" s="774"/>
      <c r="C28" s="774"/>
      <c r="D28" s="774"/>
      <c r="E28" s="774"/>
      <c r="F28" s="774"/>
      <c r="G28" s="774"/>
      <c r="H28" s="775"/>
      <c r="I28" s="775"/>
      <c r="J28" s="775"/>
      <c r="K28" s="775"/>
      <c r="L28" s="775"/>
      <c r="M28" s="775"/>
      <c r="N28" s="775"/>
      <c r="O28" s="775"/>
      <c r="P28" s="775"/>
      <c r="Q28" s="760"/>
      <c r="Z28" s="776" t="str">
        <f>'使用量_1,2'!Q1</f>
        <v>2024年度提出用（2023年度実績値）</v>
      </c>
      <c r="AA28" s="761"/>
      <c r="AB28" s="761"/>
      <c r="AC28" s="761"/>
      <c r="AD28" s="761"/>
    </row>
    <row r="29" spans="2:30" s="764" customFormat="1" ht="19.899999999999999" customHeight="1">
      <c r="B29" s="609" t="s">
        <v>4408</v>
      </c>
      <c r="C29" s="765"/>
      <c r="D29" s="765"/>
      <c r="E29" s="765"/>
      <c r="F29" s="765"/>
      <c r="G29" s="765"/>
      <c r="H29" s="765"/>
      <c r="I29" s="766"/>
      <c r="J29" s="766"/>
      <c r="K29" s="766"/>
      <c r="L29" s="766"/>
      <c r="M29" s="767"/>
      <c r="N29" s="767"/>
      <c r="O29" s="767"/>
      <c r="P29" s="767"/>
      <c r="Q29" s="767"/>
      <c r="R29" s="767"/>
      <c r="S29" s="767"/>
      <c r="T29" s="767"/>
      <c r="U29" s="767"/>
      <c r="V29" s="767"/>
      <c r="W29" s="768"/>
      <c r="X29" s="768"/>
      <c r="Y29" s="768"/>
      <c r="Z29" s="768"/>
      <c r="AA29" s="767"/>
    </row>
    <row r="30" spans="2:30" ht="3.75" customHeight="1">
      <c r="B30" s="777"/>
      <c r="C30" s="778"/>
      <c r="D30" s="778"/>
      <c r="E30" s="778"/>
      <c r="F30" s="778"/>
      <c r="G30" s="778"/>
      <c r="H30" s="778"/>
      <c r="W30" s="780"/>
      <c r="X30" s="780"/>
      <c r="Y30" s="780"/>
      <c r="Z30" s="780"/>
    </row>
    <row r="31" spans="2:30" s="561" customFormat="1" ht="21" customHeight="1">
      <c r="B31" s="559">
        <v>1</v>
      </c>
      <c r="C31" s="560" t="s">
        <v>4398</v>
      </c>
      <c r="H31" s="1116"/>
    </row>
    <row r="32" spans="2:30" s="561" customFormat="1" ht="18.600000000000001" customHeight="1">
      <c r="B32" s="1306"/>
      <c r="C32" s="1955" t="s">
        <v>4400</v>
      </c>
      <c r="D32" s="2181"/>
      <c r="E32" s="2181"/>
      <c r="F32" s="2181"/>
      <c r="G32" s="2181"/>
      <c r="H32" s="2182"/>
    </row>
    <row r="33" spans="1:30" s="561" customFormat="1" ht="18.600000000000001" customHeight="1">
      <c r="B33" s="1306"/>
      <c r="C33" s="1955" t="s">
        <v>4399</v>
      </c>
      <c r="D33" s="2181"/>
      <c r="E33" s="2181"/>
      <c r="F33" s="2181"/>
      <c r="G33" s="2181"/>
      <c r="H33" s="2182"/>
    </row>
    <row r="34" spans="1:30" s="561" customFormat="1" ht="17.45" hidden="1" customHeight="1">
      <c r="A34" s="1315"/>
      <c r="B34" s="769"/>
      <c r="C34" s="769"/>
      <c r="D34" s="769"/>
      <c r="E34" s="769"/>
      <c r="F34" s="769"/>
      <c r="G34" s="769"/>
      <c r="H34" s="769"/>
    </row>
    <row r="35" spans="1:30" ht="19.149999999999999" hidden="1" customHeight="1">
      <c r="A35" s="1317"/>
      <c r="B35" s="769"/>
      <c r="C35" s="769"/>
      <c r="D35" s="769"/>
      <c r="E35" s="769"/>
      <c r="F35" s="769"/>
      <c r="G35" s="769"/>
      <c r="H35" s="760"/>
      <c r="I35" s="1316">
        <v>0</v>
      </c>
      <c r="J35" s="760"/>
      <c r="K35" s="760"/>
      <c r="L35" s="775"/>
      <c r="M35" s="760"/>
      <c r="N35" s="760"/>
      <c r="O35" s="760"/>
      <c r="P35" s="760"/>
      <c r="Q35" s="760"/>
      <c r="R35" s="760"/>
      <c r="S35" s="760"/>
      <c r="T35" s="760"/>
      <c r="U35" s="760"/>
      <c r="V35" s="760"/>
      <c r="W35" s="760"/>
      <c r="X35" s="760"/>
      <c r="Y35" s="760"/>
      <c r="Z35" s="781"/>
      <c r="AA35" s="782"/>
      <c r="AB35" s="782"/>
      <c r="AC35" s="782"/>
      <c r="AD35" s="782"/>
    </row>
    <row r="36" spans="1:30" ht="20.45" customHeight="1">
      <c r="B36" s="769"/>
      <c r="C36" s="769"/>
      <c r="D36" s="769"/>
      <c r="E36" s="769"/>
      <c r="F36" s="769"/>
      <c r="G36" s="769"/>
      <c r="H36" s="760"/>
      <c r="I36" s="1307"/>
      <c r="J36" s="760"/>
      <c r="K36" s="760"/>
      <c r="L36" s="775"/>
      <c r="M36" s="760"/>
      <c r="N36" s="760"/>
      <c r="O36" s="760"/>
      <c r="P36" s="760"/>
      <c r="Q36" s="760"/>
      <c r="R36" s="760"/>
      <c r="S36" s="760"/>
      <c r="T36" s="760"/>
      <c r="U36" s="760"/>
      <c r="V36" s="760"/>
      <c r="W36" s="760"/>
      <c r="X36" s="760"/>
      <c r="Y36" s="760"/>
      <c r="Z36" s="781"/>
      <c r="AA36" s="782"/>
      <c r="AB36" s="782"/>
      <c r="AC36" s="782"/>
      <c r="AD36" s="782"/>
    </row>
    <row r="37" spans="1:30" ht="22.5" customHeight="1">
      <c r="B37" s="765" t="str">
        <f>"２　横浜市内における"&amp;参照元!A1-1&amp;"年度の車両台数"</f>
        <v>２　横浜市内における2023年度の車両台数</v>
      </c>
      <c r="C37" s="765"/>
      <c r="D37" s="765"/>
      <c r="E37" s="765"/>
      <c r="F37" s="765"/>
      <c r="G37" s="765"/>
      <c r="H37" s="765"/>
      <c r="I37" s="766"/>
      <c r="J37" s="766"/>
      <c r="K37" s="766"/>
      <c r="L37" s="766"/>
      <c r="M37" s="767"/>
      <c r="N37" s="767"/>
      <c r="O37" s="767"/>
      <c r="P37" s="767"/>
      <c r="Q37" s="767"/>
      <c r="R37" s="767"/>
      <c r="S37" s="767"/>
      <c r="T37" s="767"/>
      <c r="U37" s="767"/>
      <c r="V37" s="767"/>
      <c r="W37" s="768"/>
      <c r="X37" s="768"/>
      <c r="Y37" s="768"/>
      <c r="Z37" s="768"/>
      <c r="AA37" s="767"/>
    </row>
    <row r="38" spans="1:30" ht="3.75" customHeight="1">
      <c r="B38" s="777"/>
      <c r="C38" s="778"/>
      <c r="D38" s="778"/>
      <c r="E38" s="778"/>
      <c r="F38" s="778"/>
      <c r="G38" s="778"/>
      <c r="H38" s="778"/>
      <c r="W38" s="780"/>
      <c r="X38" s="780"/>
      <c r="Y38" s="780"/>
      <c r="Z38" s="780"/>
    </row>
    <row r="39" spans="1:30" ht="45" customHeight="1">
      <c r="B39" s="1238"/>
      <c r="C39" s="2175" t="str">
        <f>参照元!A1-2&amp;"年度"</f>
        <v>2022年度</v>
      </c>
      <c r="D39" s="2176"/>
      <c r="E39" s="2176"/>
      <c r="F39" s="2176"/>
      <c r="G39" s="2177"/>
      <c r="H39" s="2178" t="str">
        <f>参照元!A1-1&amp;"年度"</f>
        <v>2023年度</v>
      </c>
      <c r="I39" s="2179"/>
      <c r="J39" s="2179"/>
      <c r="K39" s="2179"/>
      <c r="L39" s="2179"/>
      <c r="M39" s="2179"/>
      <c r="N39" s="2179"/>
      <c r="O39" s="2179"/>
      <c r="P39" s="2179"/>
      <c r="Q39" s="2179"/>
      <c r="R39" s="2179"/>
      <c r="S39" s="2179"/>
      <c r="T39" s="2179"/>
      <c r="U39" s="2179"/>
      <c r="V39" s="2179"/>
      <c r="W39" s="2179"/>
      <c r="X39" s="2179"/>
      <c r="Y39" s="2179"/>
      <c r="Z39" s="2179"/>
      <c r="AA39" s="2180"/>
      <c r="AB39" s="783"/>
    </row>
    <row r="40" spans="1:30" ht="3.75" customHeight="1">
      <c r="B40" s="784"/>
      <c r="C40" s="785"/>
      <c r="D40" s="784"/>
      <c r="E40" s="784"/>
      <c r="F40" s="784"/>
      <c r="G40" s="786"/>
      <c r="H40" s="762"/>
      <c r="I40" s="762"/>
      <c r="J40" s="762"/>
      <c r="K40" s="762"/>
      <c r="L40" s="762"/>
      <c r="W40" s="787"/>
      <c r="X40" s="787"/>
      <c r="Y40" s="787"/>
      <c r="Z40" s="787"/>
      <c r="AA40" s="788"/>
      <c r="AB40" s="789"/>
      <c r="AC40" s="788"/>
      <c r="AD40" s="788"/>
    </row>
    <row r="41" spans="1:30" ht="3.75" customHeight="1">
      <c r="B41" s="790"/>
      <c r="C41" s="791"/>
      <c r="D41" s="792"/>
      <c r="E41" s="792"/>
      <c r="F41" s="792"/>
      <c r="G41" s="793"/>
      <c r="H41" s="794"/>
      <c r="I41" s="795"/>
      <c r="J41" s="796"/>
      <c r="K41" s="796"/>
      <c r="L41" s="796"/>
      <c r="M41" s="796"/>
      <c r="N41" s="796"/>
      <c r="O41" s="796"/>
      <c r="P41" s="796"/>
      <c r="Q41" s="796"/>
      <c r="R41" s="796"/>
      <c r="S41" s="796"/>
      <c r="T41" s="796"/>
      <c r="U41" s="796"/>
      <c r="V41" s="796"/>
      <c r="W41" s="796"/>
      <c r="X41" s="796"/>
      <c r="Y41" s="796"/>
      <c r="Z41" s="796"/>
      <c r="AA41" s="790"/>
      <c r="AB41" s="783"/>
    </row>
    <row r="42" spans="1:30" ht="18.75" customHeight="1" thickBot="1">
      <c r="B42" s="2162" t="s">
        <v>4206</v>
      </c>
      <c r="C42" s="797"/>
      <c r="D42" s="2163" t="s">
        <v>4115</v>
      </c>
      <c r="E42" s="2163"/>
      <c r="F42" s="2163"/>
      <c r="G42" s="798"/>
      <c r="H42" s="790"/>
      <c r="I42" s="794"/>
      <c r="J42" s="790"/>
      <c r="K42" s="790"/>
      <c r="L42" s="799" t="s">
        <v>4116</v>
      </c>
      <c r="M42" s="2153" t="s">
        <v>4117</v>
      </c>
      <c r="N42" s="2153"/>
      <c r="O42" s="2153"/>
      <c r="P42" s="790"/>
      <c r="Q42" s="2147" t="s">
        <v>4293</v>
      </c>
      <c r="R42" s="2148"/>
      <c r="S42" s="2149"/>
      <c r="T42" s="2150" t="s">
        <v>4118</v>
      </c>
      <c r="U42" s="2146"/>
      <c r="V42" s="2146"/>
      <c r="W42" s="790"/>
      <c r="X42" s="2163" t="s">
        <v>4119</v>
      </c>
      <c r="Y42" s="2163"/>
      <c r="Z42" s="2163"/>
      <c r="AA42" s="790"/>
      <c r="AB42" s="783"/>
    </row>
    <row r="43" spans="1:30" ht="18.75" customHeight="1" thickTop="1" thickBot="1">
      <c r="B43" s="2162"/>
      <c r="C43" s="800"/>
      <c r="D43" s="2164" t="str">
        <f>参照元!AB14</f>
        <v/>
      </c>
      <c r="E43" s="2165"/>
      <c r="F43" s="2126" t="s">
        <v>4120</v>
      </c>
      <c r="G43" s="801"/>
      <c r="H43" s="790"/>
      <c r="I43" s="802"/>
      <c r="J43" s="790"/>
      <c r="K43" s="790"/>
      <c r="L43" s="790"/>
      <c r="M43" s="2112">
        <f>IFERROR(D43-M46,0)</f>
        <v>0</v>
      </c>
      <c r="N43" s="2113"/>
      <c r="O43" s="803" t="s">
        <v>4120</v>
      </c>
      <c r="P43" s="790"/>
      <c r="Q43" s="2157"/>
      <c r="R43" s="2158"/>
      <c r="S43" s="804" t="s">
        <v>4120</v>
      </c>
      <c r="T43" s="2096">
        <f>IFERROR(M43-Q43,0)</f>
        <v>0</v>
      </c>
      <c r="U43" s="2097"/>
      <c r="V43" s="805" t="s">
        <v>4120</v>
      </c>
      <c r="W43" s="790"/>
      <c r="X43" s="2168">
        <f>IFERROR(M43+M49,"")</f>
        <v>0</v>
      </c>
      <c r="Y43" s="2169"/>
      <c r="Z43" s="2126" t="s">
        <v>4120</v>
      </c>
      <c r="AA43" s="790"/>
      <c r="AB43" s="783"/>
    </row>
    <row r="44" spans="1:30" ht="7.5" customHeight="1" thickTop="1" thickBot="1">
      <c r="B44" s="2162"/>
      <c r="C44" s="800"/>
      <c r="D44" s="2166"/>
      <c r="E44" s="2167"/>
      <c r="F44" s="2127"/>
      <c r="G44" s="801"/>
      <c r="H44" s="790"/>
      <c r="I44" s="802"/>
      <c r="J44" s="790"/>
      <c r="K44" s="790"/>
      <c r="L44" s="790"/>
      <c r="M44" s="807"/>
      <c r="N44" s="807"/>
      <c r="O44" s="807"/>
      <c r="P44" s="790"/>
      <c r="Q44" s="794"/>
      <c r="R44" s="794"/>
      <c r="S44" s="794"/>
      <c r="T44" s="808"/>
      <c r="U44" s="808"/>
      <c r="V44" s="808"/>
      <c r="W44" s="790"/>
      <c r="X44" s="2170"/>
      <c r="Y44" s="2171"/>
      <c r="Z44" s="2172"/>
      <c r="AA44" s="790"/>
      <c r="AB44" s="783"/>
    </row>
    <row r="45" spans="1:30" ht="18.75" customHeight="1" thickTop="1" thickBot="1">
      <c r="B45" s="2162"/>
      <c r="C45" s="800"/>
      <c r="D45" s="2151" t="s">
        <v>4121</v>
      </c>
      <c r="E45" s="2151"/>
      <c r="F45" s="2151"/>
      <c r="G45" s="801"/>
      <c r="H45" s="790"/>
      <c r="I45" s="794"/>
      <c r="J45" s="790"/>
      <c r="K45" s="790"/>
      <c r="L45" s="799" t="s">
        <v>4122</v>
      </c>
      <c r="M45" s="2153" t="s">
        <v>4123</v>
      </c>
      <c r="N45" s="2153"/>
      <c r="O45" s="2153"/>
      <c r="P45" s="790"/>
      <c r="Q45" s="2147" t="s">
        <v>4294</v>
      </c>
      <c r="R45" s="2148"/>
      <c r="S45" s="2149"/>
      <c r="T45" s="2150" t="s">
        <v>4118</v>
      </c>
      <c r="U45" s="2146"/>
      <c r="V45" s="2146"/>
      <c r="W45" s="790"/>
      <c r="X45" s="2151" t="s">
        <v>4345</v>
      </c>
      <c r="Y45" s="2151"/>
      <c r="Z45" s="2151"/>
      <c r="AA45" s="790"/>
      <c r="AB45" s="783"/>
    </row>
    <row r="46" spans="1:30" ht="18.75" customHeight="1" thickTop="1" thickBot="1">
      <c r="B46" s="2162"/>
      <c r="C46" s="809"/>
      <c r="D46" s="2152"/>
      <c r="E46" s="2152"/>
      <c r="F46" s="2152"/>
      <c r="G46" s="810"/>
      <c r="H46" s="790"/>
      <c r="I46" s="802"/>
      <c r="J46" s="790"/>
      <c r="K46" s="790"/>
      <c r="L46" s="790"/>
      <c r="M46" s="2155"/>
      <c r="N46" s="2156"/>
      <c r="O46" s="811" t="s">
        <v>4120</v>
      </c>
      <c r="P46" s="790"/>
      <c r="Q46" s="2157"/>
      <c r="R46" s="2158"/>
      <c r="S46" s="804" t="s">
        <v>4120</v>
      </c>
      <c r="T46" s="2096">
        <f>IFERROR(M46-Q46,"")</f>
        <v>0</v>
      </c>
      <c r="U46" s="2097"/>
      <c r="V46" s="805" t="s">
        <v>4120</v>
      </c>
      <c r="W46" s="790"/>
      <c r="X46" s="2152"/>
      <c r="Y46" s="2152"/>
      <c r="Z46" s="2152"/>
      <c r="AA46" s="812"/>
      <c r="AB46" s="813"/>
      <c r="AC46" s="1291"/>
      <c r="AD46" s="1291"/>
    </row>
    <row r="47" spans="1:30" ht="7.5" customHeight="1" thickTop="1">
      <c r="B47" s="2162"/>
      <c r="C47" s="800"/>
      <c r="D47" s="2152"/>
      <c r="E47" s="2152"/>
      <c r="F47" s="2152"/>
      <c r="G47" s="814"/>
      <c r="H47" s="790"/>
      <c r="I47" s="815"/>
      <c r="J47" s="790"/>
      <c r="K47" s="790"/>
      <c r="L47" s="790"/>
      <c r="M47" s="790"/>
      <c r="N47" s="790"/>
      <c r="O47" s="790"/>
      <c r="P47" s="790"/>
      <c r="Q47" s="790"/>
      <c r="R47" s="790"/>
      <c r="S47" s="790"/>
      <c r="T47" s="790"/>
      <c r="U47" s="790"/>
      <c r="V47" s="790"/>
      <c r="W47" s="802"/>
      <c r="X47" s="2152"/>
      <c r="Y47" s="2152"/>
      <c r="Z47" s="2152"/>
      <c r="AA47" s="794"/>
      <c r="AB47" s="816"/>
      <c r="AC47" s="779"/>
      <c r="AD47" s="779"/>
    </row>
    <row r="48" spans="1:30" ht="18.75" customHeight="1" thickBot="1">
      <c r="B48" s="2162"/>
      <c r="C48" s="809"/>
      <c r="D48" s="2152"/>
      <c r="E48" s="2152"/>
      <c r="F48" s="2152"/>
      <c r="G48" s="810"/>
      <c r="H48" s="790"/>
      <c r="I48" s="2153" t="s">
        <v>4124</v>
      </c>
      <c r="J48" s="2153"/>
      <c r="K48" s="2153"/>
      <c r="L48" s="799" t="s">
        <v>4125</v>
      </c>
      <c r="M48" s="2146" t="s">
        <v>4117</v>
      </c>
      <c r="N48" s="2146"/>
      <c r="O48" s="2146"/>
      <c r="P48" s="790"/>
      <c r="Q48" s="2147" t="s">
        <v>4295</v>
      </c>
      <c r="R48" s="2148"/>
      <c r="S48" s="2149"/>
      <c r="T48" s="2150" t="s">
        <v>4118</v>
      </c>
      <c r="U48" s="2146"/>
      <c r="V48" s="2146"/>
      <c r="W48" s="790"/>
      <c r="X48" s="2154"/>
      <c r="Y48" s="2154"/>
      <c r="Z48" s="2154"/>
      <c r="AA48" s="812"/>
      <c r="AB48" s="813"/>
      <c r="AC48" s="1291"/>
      <c r="AD48" s="1291"/>
    </row>
    <row r="49" spans="2:30" ht="18.75" customHeight="1" thickTop="1" thickBot="1">
      <c r="B49" s="2162"/>
      <c r="C49" s="800"/>
      <c r="D49" s="2152"/>
      <c r="E49" s="2152"/>
      <c r="F49" s="2152"/>
      <c r="G49" s="814"/>
      <c r="H49" s="790"/>
      <c r="I49" s="2157"/>
      <c r="J49" s="2158"/>
      <c r="K49" s="806" t="s">
        <v>4120</v>
      </c>
      <c r="L49" s="790"/>
      <c r="M49" s="2112">
        <f>IFERROR(I49-M52,"")</f>
        <v>0</v>
      </c>
      <c r="N49" s="2113"/>
      <c r="O49" s="803" t="s">
        <v>4120</v>
      </c>
      <c r="P49" s="790"/>
      <c r="Q49" s="2157"/>
      <c r="R49" s="2158"/>
      <c r="S49" s="804" t="s">
        <v>4120</v>
      </c>
      <c r="T49" s="2096">
        <f>IFERROR(M49-Q49,"")</f>
        <v>0</v>
      </c>
      <c r="U49" s="2097"/>
      <c r="V49" s="805" t="s">
        <v>4120</v>
      </c>
      <c r="W49" s="802"/>
      <c r="X49" s="2145" t="s">
        <v>4126</v>
      </c>
      <c r="Y49" s="2145"/>
      <c r="Z49" s="2145"/>
      <c r="AA49" s="794"/>
      <c r="AB49" s="816"/>
      <c r="AC49" s="779"/>
      <c r="AD49" s="779"/>
    </row>
    <row r="50" spans="2:30" ht="7.5" customHeight="1" thickTop="1">
      <c r="B50" s="2162"/>
      <c r="C50" s="800"/>
      <c r="D50" s="790"/>
      <c r="E50" s="790"/>
      <c r="F50" s="790"/>
      <c r="G50" s="814"/>
      <c r="H50" s="790"/>
      <c r="I50" s="802"/>
      <c r="J50" s="790"/>
      <c r="K50" s="790"/>
      <c r="L50" s="790"/>
      <c r="M50" s="808"/>
      <c r="N50" s="808"/>
      <c r="O50" s="808"/>
      <c r="P50" s="790"/>
      <c r="Q50" s="794"/>
      <c r="R50" s="794"/>
      <c r="S50" s="794"/>
      <c r="T50" s="808"/>
      <c r="U50" s="808"/>
      <c r="V50" s="808"/>
      <c r="W50" s="790"/>
      <c r="X50" s="2159">
        <f>IFERROR(Q43+Q46+Q49+Q52,"")</f>
        <v>0</v>
      </c>
      <c r="Y50" s="2160"/>
      <c r="Z50" s="2161" t="s">
        <v>4120</v>
      </c>
      <c r="AA50" s="790"/>
      <c r="AB50" s="783"/>
    </row>
    <row r="51" spans="2:30" ht="18.75" customHeight="1" thickBot="1">
      <c r="B51" s="2162"/>
      <c r="C51" s="800"/>
      <c r="D51" s="794"/>
      <c r="E51" s="794"/>
      <c r="F51" s="815"/>
      <c r="G51" s="810"/>
      <c r="H51" s="790"/>
      <c r="I51" s="817"/>
      <c r="J51" s="817"/>
      <c r="K51" s="817"/>
      <c r="L51" s="818" t="s">
        <v>4127</v>
      </c>
      <c r="M51" s="2146" t="s">
        <v>4123</v>
      </c>
      <c r="N51" s="2146"/>
      <c r="O51" s="2146"/>
      <c r="P51" s="790"/>
      <c r="Q51" s="2147" t="s">
        <v>4296</v>
      </c>
      <c r="R51" s="2148"/>
      <c r="S51" s="2149"/>
      <c r="T51" s="2150" t="s">
        <v>4118</v>
      </c>
      <c r="U51" s="2146"/>
      <c r="V51" s="2146"/>
      <c r="W51" s="790"/>
      <c r="X51" s="2108"/>
      <c r="Y51" s="2109"/>
      <c r="Z51" s="2111"/>
      <c r="AA51" s="790"/>
      <c r="AB51" s="783"/>
    </row>
    <row r="52" spans="2:30" ht="18.75" customHeight="1" thickTop="1" thickBot="1">
      <c r="B52" s="2162"/>
      <c r="C52" s="819"/>
      <c r="D52" s="820"/>
      <c r="E52" s="820"/>
      <c r="F52" s="820"/>
      <c r="G52" s="821"/>
      <c r="H52" s="790"/>
      <c r="I52" s="794"/>
      <c r="J52" s="790"/>
      <c r="K52" s="790"/>
      <c r="L52" s="790"/>
      <c r="M52" s="2155"/>
      <c r="N52" s="2156"/>
      <c r="O52" s="811" t="s">
        <v>4120</v>
      </c>
      <c r="P52" s="790"/>
      <c r="Q52" s="2157"/>
      <c r="R52" s="2158"/>
      <c r="S52" s="804" t="s">
        <v>4120</v>
      </c>
      <c r="T52" s="2096">
        <f>IFERROR(M52-Q52,"")</f>
        <v>0</v>
      </c>
      <c r="U52" s="2097"/>
      <c r="V52" s="805" t="s">
        <v>4120</v>
      </c>
      <c r="W52" s="822"/>
      <c r="X52" s="2121" t="s">
        <v>4128</v>
      </c>
      <c r="Y52" s="2121"/>
      <c r="Z52" s="2121"/>
      <c r="AA52" s="823"/>
      <c r="AB52" s="789"/>
      <c r="AC52" s="788"/>
      <c r="AD52" s="788"/>
    </row>
    <row r="53" spans="2:30" ht="7.5" customHeight="1" thickTop="1">
      <c r="B53" s="790"/>
      <c r="C53" s="791"/>
      <c r="D53" s="792"/>
      <c r="E53" s="792"/>
      <c r="F53" s="792"/>
      <c r="G53" s="793"/>
      <c r="H53" s="794"/>
      <c r="I53" s="795"/>
      <c r="J53" s="796"/>
      <c r="K53" s="796"/>
      <c r="L53" s="796"/>
      <c r="M53" s="796"/>
      <c r="N53" s="796"/>
      <c r="O53" s="796"/>
      <c r="P53" s="796"/>
      <c r="Q53" s="796"/>
      <c r="R53" s="796"/>
      <c r="S53" s="796"/>
      <c r="T53" s="796"/>
      <c r="U53" s="796"/>
      <c r="V53" s="796"/>
      <c r="W53" s="796"/>
      <c r="X53" s="796"/>
      <c r="Y53" s="796"/>
      <c r="Z53" s="796"/>
      <c r="AA53" s="790"/>
      <c r="AB53" s="783"/>
    </row>
    <row r="54" spans="2:30" ht="3.75" customHeight="1">
      <c r="B54" s="784"/>
      <c r="C54" s="785"/>
      <c r="D54" s="784"/>
      <c r="E54" s="784"/>
      <c r="F54" s="784"/>
      <c r="G54" s="786"/>
      <c r="H54" s="762"/>
      <c r="I54" s="762"/>
      <c r="J54" s="762"/>
      <c r="K54" s="762"/>
      <c r="L54" s="762"/>
      <c r="W54" s="787"/>
      <c r="X54" s="787"/>
      <c r="Y54" s="787"/>
      <c r="Z54" s="787"/>
      <c r="AA54" s="788"/>
      <c r="AB54" s="789"/>
      <c r="AC54" s="788"/>
      <c r="AD54" s="788"/>
    </row>
    <row r="55" spans="2:30" ht="7.5" hidden="1" customHeight="1">
      <c r="B55" s="824"/>
      <c r="C55" s="825"/>
      <c r="D55" s="826"/>
      <c r="E55" s="826"/>
      <c r="F55" s="826"/>
      <c r="G55" s="827"/>
      <c r="H55" s="828"/>
      <c r="I55" s="829"/>
      <c r="J55" s="830"/>
      <c r="K55" s="830"/>
      <c r="L55" s="830"/>
      <c r="M55" s="830"/>
      <c r="N55" s="830"/>
      <c r="O55" s="830"/>
      <c r="P55" s="830"/>
      <c r="Q55" s="830"/>
      <c r="R55" s="830"/>
      <c r="S55" s="830"/>
      <c r="T55" s="830"/>
      <c r="U55" s="830"/>
      <c r="V55" s="830"/>
      <c r="W55" s="830"/>
      <c r="X55" s="830"/>
      <c r="Y55" s="830"/>
      <c r="Z55" s="830"/>
      <c r="AA55" s="824"/>
      <c r="AB55" s="783"/>
    </row>
    <row r="56" spans="2:30" ht="18.75" hidden="1" customHeight="1" thickBot="1">
      <c r="B56" s="2099" t="s">
        <v>4129</v>
      </c>
      <c r="C56" s="831"/>
      <c r="D56" s="2100" t="s">
        <v>4115</v>
      </c>
      <c r="E56" s="2100"/>
      <c r="F56" s="2100"/>
      <c r="G56" s="832"/>
      <c r="H56" s="824"/>
      <c r="I56" s="828"/>
      <c r="J56" s="824"/>
      <c r="K56" s="824"/>
      <c r="L56" s="833" t="s">
        <v>4130</v>
      </c>
      <c r="M56" s="2101" t="s">
        <v>4117</v>
      </c>
      <c r="N56" s="2101"/>
      <c r="O56" s="2101"/>
      <c r="P56" s="824"/>
      <c r="Q56" s="2102" t="s">
        <v>4131</v>
      </c>
      <c r="R56" s="2103"/>
      <c r="S56" s="2104"/>
      <c r="T56" s="2105" t="s">
        <v>4118</v>
      </c>
      <c r="U56" s="2101"/>
      <c r="V56" s="2101"/>
      <c r="W56" s="824"/>
      <c r="X56" s="2100" t="s">
        <v>4119</v>
      </c>
      <c r="Y56" s="2100"/>
      <c r="Z56" s="2100"/>
      <c r="AA56" s="824"/>
      <c r="AB56" s="783"/>
    </row>
    <row r="57" spans="2:30" ht="18.75" hidden="1" customHeight="1" thickTop="1" thickBot="1">
      <c r="B57" s="2099"/>
      <c r="C57" s="834"/>
      <c r="D57" s="2122"/>
      <c r="E57" s="2123"/>
      <c r="F57" s="2126" t="s">
        <v>4120</v>
      </c>
      <c r="G57" s="835"/>
      <c r="H57" s="824"/>
      <c r="I57" s="836"/>
      <c r="J57" s="824"/>
      <c r="K57" s="824"/>
      <c r="L57" s="833"/>
      <c r="M57" s="2112">
        <f>D57-M60</f>
        <v>0</v>
      </c>
      <c r="N57" s="2113"/>
      <c r="O57" s="803" t="s">
        <v>4120</v>
      </c>
      <c r="P57" s="824"/>
      <c r="Q57" s="2094"/>
      <c r="R57" s="2095"/>
      <c r="S57" s="804" t="s">
        <v>4120</v>
      </c>
      <c r="T57" s="2096">
        <f>M57-Q57</f>
        <v>0</v>
      </c>
      <c r="U57" s="2097"/>
      <c r="V57" s="805" t="s">
        <v>4120</v>
      </c>
      <c r="W57" s="824"/>
      <c r="X57" s="2137">
        <f>M57+M63</f>
        <v>0</v>
      </c>
      <c r="Y57" s="2138"/>
      <c r="Z57" s="2126" t="s">
        <v>4120</v>
      </c>
      <c r="AA57" s="824"/>
      <c r="AB57" s="783"/>
    </row>
    <row r="58" spans="2:30" ht="7.5" hidden="1" customHeight="1" thickTop="1" thickBot="1">
      <c r="B58" s="2099"/>
      <c r="C58" s="834"/>
      <c r="D58" s="2124"/>
      <c r="E58" s="2125"/>
      <c r="F58" s="2127"/>
      <c r="G58" s="835"/>
      <c r="H58" s="824"/>
      <c r="I58" s="836"/>
      <c r="J58" s="824"/>
      <c r="K58" s="824"/>
      <c r="L58" s="833"/>
      <c r="M58" s="807"/>
      <c r="N58" s="807"/>
      <c r="O58" s="807"/>
      <c r="P58" s="824"/>
      <c r="Q58" s="794"/>
      <c r="R58" s="794"/>
      <c r="S58" s="794"/>
      <c r="T58" s="837"/>
      <c r="U58" s="837"/>
      <c r="V58" s="837"/>
      <c r="W58" s="824"/>
      <c r="X58" s="2139"/>
      <c r="Y58" s="2140"/>
      <c r="Z58" s="2127"/>
      <c r="AA58" s="824"/>
      <c r="AB58" s="783"/>
    </row>
    <row r="59" spans="2:30" ht="18.75" hidden="1" customHeight="1" thickTop="1" thickBot="1">
      <c r="B59" s="2099"/>
      <c r="C59" s="834"/>
      <c r="D59" s="2141" t="s">
        <v>4132</v>
      </c>
      <c r="E59" s="2141"/>
      <c r="F59" s="2141"/>
      <c r="G59" s="835"/>
      <c r="H59" s="824"/>
      <c r="I59" s="828"/>
      <c r="J59" s="824"/>
      <c r="K59" s="824"/>
      <c r="L59" s="833" t="s">
        <v>4133</v>
      </c>
      <c r="M59" s="2143" t="s">
        <v>4123</v>
      </c>
      <c r="N59" s="2143"/>
      <c r="O59" s="2143"/>
      <c r="P59" s="824"/>
      <c r="Q59" s="2102" t="s">
        <v>4134</v>
      </c>
      <c r="R59" s="2103"/>
      <c r="S59" s="2104"/>
      <c r="T59" s="2105" t="s">
        <v>4118</v>
      </c>
      <c r="U59" s="2101"/>
      <c r="V59" s="2101"/>
      <c r="W59" s="824"/>
      <c r="X59" s="2141" t="s">
        <v>4135</v>
      </c>
      <c r="Y59" s="2141"/>
      <c r="Z59" s="2141"/>
      <c r="AA59" s="824"/>
      <c r="AB59" s="783"/>
    </row>
    <row r="60" spans="2:30" ht="18.75" hidden="1" customHeight="1" thickTop="1" thickBot="1">
      <c r="B60" s="2099"/>
      <c r="C60" s="838"/>
      <c r="D60" s="2142"/>
      <c r="E60" s="2142"/>
      <c r="F60" s="2142"/>
      <c r="G60" s="839"/>
      <c r="H60" s="824"/>
      <c r="I60" s="836"/>
      <c r="J60" s="824"/>
      <c r="K60" s="824"/>
      <c r="L60" s="833"/>
      <c r="M60" s="2092"/>
      <c r="N60" s="2093"/>
      <c r="O60" s="811" t="s">
        <v>4120</v>
      </c>
      <c r="P60" s="824"/>
      <c r="Q60" s="2094"/>
      <c r="R60" s="2095"/>
      <c r="S60" s="804" t="s">
        <v>4120</v>
      </c>
      <c r="T60" s="2096">
        <f>M60-Q60</f>
        <v>0</v>
      </c>
      <c r="U60" s="2097"/>
      <c r="V60" s="805" t="s">
        <v>4120</v>
      </c>
      <c r="W60" s="824"/>
      <c r="X60" s="2142"/>
      <c r="Y60" s="2142"/>
      <c r="Z60" s="2142"/>
      <c r="AA60" s="840"/>
      <c r="AB60" s="813"/>
      <c r="AC60" s="1291"/>
      <c r="AD60" s="1291"/>
    </row>
    <row r="61" spans="2:30" ht="7.5" hidden="1" customHeight="1" thickTop="1">
      <c r="B61" s="2099"/>
      <c r="C61" s="834"/>
      <c r="D61" s="2142"/>
      <c r="E61" s="2142"/>
      <c r="F61" s="2142"/>
      <c r="G61" s="841"/>
      <c r="H61" s="824"/>
      <c r="I61" s="842"/>
      <c r="J61" s="824"/>
      <c r="K61" s="824"/>
      <c r="L61" s="833"/>
      <c r="M61" s="790"/>
      <c r="N61" s="790"/>
      <c r="O61" s="790"/>
      <c r="P61" s="824"/>
      <c r="Q61" s="790"/>
      <c r="R61" s="790"/>
      <c r="S61" s="790"/>
      <c r="T61" s="824"/>
      <c r="U61" s="824"/>
      <c r="V61" s="824"/>
      <c r="W61" s="836"/>
      <c r="X61" s="2142"/>
      <c r="Y61" s="2142"/>
      <c r="Z61" s="2142"/>
      <c r="AA61" s="828"/>
      <c r="AB61" s="816"/>
      <c r="AC61" s="779"/>
      <c r="AD61" s="779"/>
    </row>
    <row r="62" spans="2:30" ht="18.75" hidden="1" customHeight="1" thickBot="1">
      <c r="B62" s="2099"/>
      <c r="C62" s="838"/>
      <c r="D62" s="2142"/>
      <c r="E62" s="2142"/>
      <c r="F62" s="2142"/>
      <c r="G62" s="839"/>
      <c r="H62" s="824"/>
      <c r="I62" s="2101" t="s">
        <v>4124</v>
      </c>
      <c r="J62" s="2101"/>
      <c r="K62" s="2101"/>
      <c r="L62" s="833" t="s">
        <v>4136</v>
      </c>
      <c r="M62" s="2101" t="s">
        <v>4117</v>
      </c>
      <c r="N62" s="2101"/>
      <c r="O62" s="2101"/>
      <c r="P62" s="824"/>
      <c r="Q62" s="2102" t="s">
        <v>4137</v>
      </c>
      <c r="R62" s="2103"/>
      <c r="S62" s="2104"/>
      <c r="T62" s="2105" t="s">
        <v>4118</v>
      </c>
      <c r="U62" s="2101"/>
      <c r="V62" s="2101"/>
      <c r="W62" s="824"/>
      <c r="X62" s="2144"/>
      <c r="Y62" s="2144"/>
      <c r="Z62" s="2144"/>
      <c r="AA62" s="840"/>
      <c r="AB62" s="813"/>
      <c r="AC62" s="1291"/>
      <c r="AD62" s="1291"/>
    </row>
    <row r="63" spans="2:30" ht="18.75" hidden="1" customHeight="1" thickTop="1" thickBot="1">
      <c r="B63" s="2099"/>
      <c r="C63" s="834"/>
      <c r="D63" s="824"/>
      <c r="E63" s="824"/>
      <c r="F63" s="824"/>
      <c r="G63" s="841"/>
      <c r="H63" s="824"/>
      <c r="I63" s="2094"/>
      <c r="J63" s="2095"/>
      <c r="K63" s="806" t="s">
        <v>4120</v>
      </c>
      <c r="L63" s="833"/>
      <c r="M63" s="2112">
        <f>I63-M66</f>
        <v>0</v>
      </c>
      <c r="N63" s="2113"/>
      <c r="O63" s="803" t="s">
        <v>4120</v>
      </c>
      <c r="P63" s="824"/>
      <c r="Q63" s="2094"/>
      <c r="R63" s="2095"/>
      <c r="S63" s="804" t="s">
        <v>4120</v>
      </c>
      <c r="T63" s="2096">
        <f>M63-Q63</f>
        <v>0</v>
      </c>
      <c r="U63" s="2097"/>
      <c r="V63" s="805" t="s">
        <v>4120</v>
      </c>
      <c r="W63" s="836"/>
      <c r="X63" s="2114" t="s">
        <v>4126</v>
      </c>
      <c r="Y63" s="2114"/>
      <c r="Z63" s="2114"/>
      <c r="AA63" s="828"/>
      <c r="AB63" s="816"/>
      <c r="AC63" s="779"/>
      <c r="AD63" s="779"/>
    </row>
    <row r="64" spans="2:30" ht="7.5" hidden="1" customHeight="1" thickTop="1">
      <c r="B64" s="2099"/>
      <c r="C64" s="834"/>
      <c r="D64" s="824"/>
      <c r="E64" s="824"/>
      <c r="F64" s="824"/>
      <c r="G64" s="841"/>
      <c r="H64" s="824"/>
      <c r="I64" s="836"/>
      <c r="J64" s="824"/>
      <c r="K64" s="824"/>
      <c r="L64" s="833"/>
      <c r="M64" s="808"/>
      <c r="N64" s="808"/>
      <c r="O64" s="808"/>
      <c r="P64" s="824"/>
      <c r="Q64" s="794"/>
      <c r="R64" s="794"/>
      <c r="S64" s="794"/>
      <c r="T64" s="837"/>
      <c r="U64" s="837"/>
      <c r="V64" s="837"/>
      <c r="W64" s="824"/>
      <c r="X64" s="2106">
        <f>Q57+Q60+Q63+Q66</f>
        <v>0</v>
      </c>
      <c r="Y64" s="2107"/>
      <c r="Z64" s="2110" t="s">
        <v>4120</v>
      </c>
      <c r="AA64" s="824"/>
      <c r="AB64" s="783"/>
    </row>
    <row r="65" spans="2:30" ht="18.75" hidden="1" customHeight="1" thickBot="1">
      <c r="B65" s="2099"/>
      <c r="C65" s="834"/>
      <c r="D65" s="828"/>
      <c r="E65" s="828"/>
      <c r="F65" s="842"/>
      <c r="G65" s="839"/>
      <c r="H65" s="824"/>
      <c r="I65" s="843"/>
      <c r="J65" s="843"/>
      <c r="K65" s="843"/>
      <c r="L65" s="844" t="s">
        <v>4138</v>
      </c>
      <c r="M65" s="2101" t="s">
        <v>4123</v>
      </c>
      <c r="N65" s="2101"/>
      <c r="O65" s="2101"/>
      <c r="P65" s="824"/>
      <c r="Q65" s="2102" t="s">
        <v>4139</v>
      </c>
      <c r="R65" s="2103"/>
      <c r="S65" s="2104"/>
      <c r="T65" s="2105" t="s">
        <v>4118</v>
      </c>
      <c r="U65" s="2101"/>
      <c r="V65" s="2101"/>
      <c r="W65" s="824"/>
      <c r="X65" s="2108"/>
      <c r="Y65" s="2109"/>
      <c r="Z65" s="2111"/>
      <c r="AA65" s="824"/>
      <c r="AB65" s="783"/>
    </row>
    <row r="66" spans="2:30" ht="18.75" hidden="1" customHeight="1" thickTop="1" thickBot="1">
      <c r="B66" s="2099"/>
      <c r="C66" s="845"/>
      <c r="D66" s="846"/>
      <c r="E66" s="846"/>
      <c r="F66" s="846"/>
      <c r="G66" s="847"/>
      <c r="H66" s="824"/>
      <c r="I66" s="828"/>
      <c r="J66" s="824"/>
      <c r="K66" s="824"/>
      <c r="L66" s="833"/>
      <c r="M66" s="2092"/>
      <c r="N66" s="2093"/>
      <c r="O66" s="811" t="s">
        <v>4120</v>
      </c>
      <c r="P66" s="824"/>
      <c r="Q66" s="2094"/>
      <c r="R66" s="2095"/>
      <c r="S66" s="804" t="s">
        <v>4120</v>
      </c>
      <c r="T66" s="2096">
        <f>M66-Q66</f>
        <v>0</v>
      </c>
      <c r="U66" s="2097"/>
      <c r="V66" s="805" t="s">
        <v>4120</v>
      </c>
      <c r="W66" s="848"/>
      <c r="X66" s="2098" t="s">
        <v>4140</v>
      </c>
      <c r="Y66" s="2098"/>
      <c r="Z66" s="2098"/>
      <c r="AA66" s="849"/>
      <c r="AB66" s="789"/>
      <c r="AC66" s="788"/>
      <c r="AD66" s="788"/>
    </row>
    <row r="67" spans="2:30" ht="3.75" hidden="1" customHeight="1" thickTop="1">
      <c r="B67" s="824"/>
      <c r="C67" s="825"/>
      <c r="D67" s="826"/>
      <c r="E67" s="826"/>
      <c r="F67" s="826"/>
      <c r="G67" s="827"/>
      <c r="H67" s="828"/>
      <c r="I67" s="829"/>
      <c r="J67" s="830"/>
      <c r="K67" s="830"/>
      <c r="L67" s="850"/>
      <c r="M67" s="830"/>
      <c r="N67" s="830"/>
      <c r="O67" s="830"/>
      <c r="P67" s="830"/>
      <c r="Q67" s="830"/>
      <c r="R67" s="830"/>
      <c r="S67" s="830"/>
      <c r="T67" s="830"/>
      <c r="U67" s="830"/>
      <c r="V67" s="830"/>
      <c r="W67" s="830"/>
      <c r="X67" s="830"/>
      <c r="Y67" s="830"/>
      <c r="Z67" s="830"/>
      <c r="AA67" s="824"/>
      <c r="AB67" s="783"/>
    </row>
    <row r="68" spans="2:30" ht="18.75" customHeight="1">
      <c r="K68" s="780"/>
      <c r="L68" s="851"/>
      <c r="M68" s="780"/>
      <c r="N68" s="780"/>
      <c r="O68" s="780"/>
      <c r="P68" s="780"/>
      <c r="Q68" s="780"/>
      <c r="V68" s="780"/>
      <c r="W68" s="780"/>
      <c r="X68" s="780"/>
      <c r="Y68" s="780"/>
      <c r="Z68" s="780"/>
      <c r="AA68" s="852"/>
      <c r="AB68" s="852"/>
      <c r="AC68" s="852"/>
      <c r="AD68" s="852"/>
    </row>
    <row r="69" spans="2:30" ht="22.5" customHeight="1">
      <c r="B69" s="765" t="str">
        <f>"３　"&amp;参照元!A1-1&amp;"年度に走行した車両の走行距離"</f>
        <v>３　2023年度に走行した車両の走行距離</v>
      </c>
      <c r="C69" s="765"/>
      <c r="D69" s="765"/>
      <c r="E69" s="765"/>
      <c r="F69" s="765"/>
      <c r="G69" s="765"/>
      <c r="H69" s="765"/>
      <c r="I69" s="766"/>
      <c r="J69" s="766"/>
      <c r="K69" s="766"/>
      <c r="L69" s="766"/>
      <c r="M69" s="767"/>
      <c r="N69" s="767"/>
      <c r="O69" s="767"/>
      <c r="P69" s="767"/>
      <c r="Q69" s="767"/>
      <c r="R69" s="767"/>
      <c r="S69" s="767"/>
      <c r="T69" s="767"/>
      <c r="U69" s="767"/>
      <c r="V69" s="767"/>
      <c r="W69" s="768"/>
      <c r="X69" s="768"/>
      <c r="Y69" s="768"/>
      <c r="Z69" s="768"/>
      <c r="AA69" s="767"/>
    </row>
    <row r="70" spans="2:30" ht="3.75" customHeight="1">
      <c r="B70" s="777"/>
      <c r="C70" s="778"/>
      <c r="D70" s="778"/>
      <c r="E70" s="778"/>
      <c r="F70" s="778"/>
      <c r="G70" s="778"/>
      <c r="H70" s="778"/>
      <c r="W70" s="780"/>
      <c r="X70" s="780"/>
      <c r="Y70" s="780"/>
      <c r="Z70" s="780"/>
    </row>
    <row r="71" spans="2:30" ht="13.5" customHeight="1">
      <c r="C71" s="2085" t="str">
        <f>"注意："&amp;参照元!A1-1&amp;"年度中に減車（廃止）した車両（走行あり）を含みます。"</f>
        <v>注意：2023年度中に減車（廃止）した車両（走行あり）を含みます。</v>
      </c>
      <c r="D71" s="2085"/>
      <c r="E71" s="2085"/>
      <c r="F71" s="2085"/>
      <c r="G71" s="2085"/>
      <c r="H71" s="2085"/>
      <c r="I71" s="2085"/>
      <c r="J71" s="2085"/>
      <c r="K71" s="2085"/>
      <c r="L71" s="2085"/>
      <c r="M71" s="2085"/>
      <c r="N71" s="2085"/>
      <c r="O71" s="2085"/>
      <c r="P71" s="2085"/>
      <c r="Q71" s="2085"/>
      <c r="R71" s="2085"/>
      <c r="S71" s="2085"/>
      <c r="T71" s="2085"/>
      <c r="U71" s="2085"/>
      <c r="V71" s="2085"/>
      <c r="W71" s="2085"/>
      <c r="X71" s="2085"/>
      <c r="Y71" s="2085"/>
      <c r="Z71" s="2085"/>
      <c r="AA71" s="853"/>
      <c r="AB71" s="853"/>
      <c r="AC71" s="853"/>
      <c r="AD71" s="853"/>
    </row>
    <row r="72" spans="2:30" ht="26.25" customHeight="1">
      <c r="B72" s="2086" t="s">
        <v>4141</v>
      </c>
      <c r="C72" s="2087"/>
      <c r="D72" s="2087"/>
      <c r="E72" s="2087"/>
      <c r="F72" s="2087"/>
      <c r="G72" s="2087"/>
      <c r="H72" s="2088"/>
      <c r="I72" s="2115" t="s">
        <v>4288</v>
      </c>
      <c r="J72" s="2116"/>
      <c r="K72" s="2116"/>
      <c r="L72" s="2117"/>
      <c r="M72" s="2115" t="s">
        <v>4289</v>
      </c>
      <c r="N72" s="2116"/>
      <c r="O72" s="2116"/>
      <c r="P72" s="2117"/>
      <c r="Q72" s="2115" t="s">
        <v>4290</v>
      </c>
      <c r="R72" s="2116"/>
      <c r="S72" s="2116"/>
      <c r="T72" s="2116"/>
      <c r="U72" s="2116"/>
      <c r="V72" s="2117"/>
      <c r="W72" s="2131" t="s">
        <v>4772</v>
      </c>
      <c r="X72" s="2132"/>
      <c r="Y72" s="2132"/>
      <c r="Z72" s="2133"/>
      <c r="AA72" s="854"/>
      <c r="AB72" s="855"/>
      <c r="AC72" s="855"/>
      <c r="AD72" s="855"/>
    </row>
    <row r="73" spans="2:30" ht="15" customHeight="1" thickBot="1">
      <c r="B73" s="2089"/>
      <c r="C73" s="2090"/>
      <c r="D73" s="2090"/>
      <c r="E73" s="2090"/>
      <c r="F73" s="2090"/>
      <c r="G73" s="2090"/>
      <c r="H73" s="2091"/>
      <c r="I73" s="2118"/>
      <c r="J73" s="2119"/>
      <c r="K73" s="2119"/>
      <c r="L73" s="2120"/>
      <c r="M73" s="2118"/>
      <c r="N73" s="2119"/>
      <c r="O73" s="2119"/>
      <c r="P73" s="2120"/>
      <c r="Q73" s="2128"/>
      <c r="R73" s="2129"/>
      <c r="S73" s="2129"/>
      <c r="T73" s="2129"/>
      <c r="U73" s="2129"/>
      <c r="V73" s="2130"/>
      <c r="W73" s="2134"/>
      <c r="X73" s="2135"/>
      <c r="Y73" s="2135"/>
      <c r="Z73" s="2136"/>
      <c r="AA73" s="856"/>
      <c r="AB73" s="857"/>
      <c r="AC73" s="857"/>
      <c r="AD73" s="857"/>
    </row>
    <row r="74" spans="2:30" ht="18.75" customHeight="1" thickTop="1">
      <c r="B74" s="2000" t="s">
        <v>4143</v>
      </c>
      <c r="C74" s="2001"/>
      <c r="D74" s="2001"/>
      <c r="E74" s="2001"/>
      <c r="F74" s="2001"/>
      <c r="G74" s="2001"/>
      <c r="H74" s="2001"/>
      <c r="I74" s="2017"/>
      <c r="J74" s="2018"/>
      <c r="K74" s="2018"/>
      <c r="L74" s="2019"/>
      <c r="M74" s="2017"/>
      <c r="N74" s="2018"/>
      <c r="O74" s="2018"/>
      <c r="P74" s="2019"/>
      <c r="Q74" s="2017"/>
      <c r="R74" s="2018"/>
      <c r="S74" s="2018"/>
      <c r="T74" s="2018"/>
      <c r="U74" s="2019"/>
      <c r="V74" s="858" t="s">
        <v>4144</v>
      </c>
      <c r="W74" s="2035" t="str">
        <f>IF(M74="","",M74/Q74)</f>
        <v/>
      </c>
      <c r="X74" s="2036"/>
      <c r="Y74" s="2036"/>
      <c r="Z74" s="1672" t="str">
        <f>"km/"&amp;V74</f>
        <v>km/L</v>
      </c>
      <c r="AA74" s="859"/>
      <c r="AB74" s="860"/>
      <c r="AC74" s="860"/>
      <c r="AD74" s="860"/>
    </row>
    <row r="75" spans="2:30" ht="18.75" customHeight="1">
      <c r="B75" s="2000" t="s">
        <v>4145</v>
      </c>
      <c r="C75" s="2001"/>
      <c r="D75" s="2001"/>
      <c r="E75" s="2001"/>
      <c r="F75" s="2001"/>
      <c r="G75" s="2001"/>
      <c r="H75" s="2001"/>
      <c r="I75" s="2002"/>
      <c r="J75" s="2003"/>
      <c r="K75" s="2003"/>
      <c r="L75" s="2004"/>
      <c r="M75" s="2002"/>
      <c r="N75" s="2003"/>
      <c r="O75" s="2003"/>
      <c r="P75" s="2004"/>
      <c r="Q75" s="2002"/>
      <c r="R75" s="2003"/>
      <c r="S75" s="2003"/>
      <c r="T75" s="2003"/>
      <c r="U75" s="2004"/>
      <c r="V75" s="858" t="s">
        <v>4144</v>
      </c>
      <c r="W75" s="2035" t="str">
        <f t="shared" ref="W75:W77" si="0">IF(M75="","",M75/Q75)</f>
        <v/>
      </c>
      <c r="X75" s="2036"/>
      <c r="Y75" s="2036"/>
      <c r="Z75" s="1672" t="str">
        <f t="shared" ref="Z75:Z77" si="1">"km/"&amp;V75</f>
        <v>km/L</v>
      </c>
      <c r="AA75" s="859"/>
      <c r="AB75" s="860"/>
      <c r="AC75" s="860"/>
      <c r="AD75" s="860"/>
    </row>
    <row r="76" spans="2:30" ht="18.75" customHeight="1">
      <c r="B76" s="2000" t="s">
        <v>4146</v>
      </c>
      <c r="C76" s="2001"/>
      <c r="D76" s="2001"/>
      <c r="E76" s="2001"/>
      <c r="F76" s="2001"/>
      <c r="G76" s="2001"/>
      <c r="H76" s="2001"/>
      <c r="I76" s="2002"/>
      <c r="J76" s="2003"/>
      <c r="K76" s="2003"/>
      <c r="L76" s="2004"/>
      <c r="M76" s="2002"/>
      <c r="N76" s="2003"/>
      <c r="O76" s="2003"/>
      <c r="P76" s="2004"/>
      <c r="Q76" s="2002"/>
      <c r="R76" s="2003"/>
      <c r="S76" s="2003"/>
      <c r="T76" s="2003"/>
      <c r="U76" s="2004"/>
      <c r="V76" s="858" t="s">
        <v>4147</v>
      </c>
      <c r="W76" s="2035" t="str">
        <f t="shared" si="0"/>
        <v/>
      </c>
      <c r="X76" s="2036"/>
      <c r="Y76" s="2036"/>
      <c r="Z76" s="1672" t="str">
        <f t="shared" si="1"/>
        <v>km/㎥</v>
      </c>
      <c r="AA76" s="859"/>
      <c r="AB76" s="860"/>
      <c r="AC76" s="860"/>
      <c r="AD76" s="860"/>
    </row>
    <row r="77" spans="2:30" ht="18.75" customHeight="1" thickBot="1">
      <c r="B77" s="2000" t="s">
        <v>4148</v>
      </c>
      <c r="C77" s="2001"/>
      <c r="D77" s="2001"/>
      <c r="E77" s="2001"/>
      <c r="F77" s="2001"/>
      <c r="G77" s="2001"/>
      <c r="H77" s="2001"/>
      <c r="I77" s="2002"/>
      <c r="J77" s="2003"/>
      <c r="K77" s="2003"/>
      <c r="L77" s="2004"/>
      <c r="M77" s="2002"/>
      <c r="N77" s="2003"/>
      <c r="O77" s="2003"/>
      <c r="P77" s="2004"/>
      <c r="Q77" s="2005"/>
      <c r="R77" s="2006"/>
      <c r="S77" s="2006"/>
      <c r="T77" s="2006"/>
      <c r="U77" s="2007"/>
      <c r="V77" s="858" t="s">
        <v>4144</v>
      </c>
      <c r="W77" s="2035" t="str">
        <f t="shared" si="0"/>
        <v/>
      </c>
      <c r="X77" s="2036"/>
      <c r="Y77" s="2036"/>
      <c r="Z77" s="1672" t="str">
        <f t="shared" si="1"/>
        <v>km/L</v>
      </c>
      <c r="AA77" s="859"/>
      <c r="AB77" s="860"/>
      <c r="AC77" s="860"/>
      <c r="AD77" s="860"/>
    </row>
    <row r="78" spans="2:30" ht="18.75" customHeight="1" thickTop="1" thickBot="1">
      <c r="B78" s="2000" t="s">
        <v>4150</v>
      </c>
      <c r="C78" s="2001"/>
      <c r="D78" s="2001"/>
      <c r="E78" s="2001"/>
      <c r="F78" s="2001"/>
      <c r="G78" s="2001"/>
      <c r="H78" s="2001"/>
      <c r="I78" s="2002"/>
      <c r="J78" s="2003"/>
      <c r="K78" s="2003"/>
      <c r="L78" s="2004"/>
      <c r="M78" s="2002"/>
      <c r="N78" s="2003"/>
      <c r="O78" s="2003"/>
      <c r="P78" s="2004"/>
      <c r="Q78" s="2076"/>
      <c r="R78" s="2077"/>
      <c r="S78" s="2077"/>
      <c r="T78" s="2077"/>
      <c r="U78" s="2077"/>
      <c r="V78" s="2078"/>
      <c r="W78" s="2032"/>
      <c r="X78" s="2033"/>
      <c r="Y78" s="2033"/>
      <c r="Z78" s="2034"/>
      <c r="AA78" s="861"/>
      <c r="AB78" s="862"/>
      <c r="AC78" s="860"/>
      <c r="AD78" s="862"/>
    </row>
    <row r="79" spans="2:30" ht="18.75" customHeight="1" thickTop="1">
      <c r="B79" s="2008" t="s">
        <v>4151</v>
      </c>
      <c r="C79" s="2195" t="s">
        <v>2756</v>
      </c>
      <c r="D79" s="2196"/>
      <c r="E79" s="2203" t="e">
        <f>VLOOKUP($C79,電力会社!$I$4:$L$1033,2,FALSE)</f>
        <v>#N/A</v>
      </c>
      <c r="F79" s="1213" t="s">
        <v>2684</v>
      </c>
      <c r="G79" s="1213" t="s">
        <v>571</v>
      </c>
      <c r="I79" s="2011"/>
      <c r="J79" s="2012"/>
      <c r="K79" s="2012"/>
      <c r="L79" s="2013"/>
      <c r="M79" s="2011"/>
      <c r="N79" s="2012"/>
      <c r="O79" s="2012"/>
      <c r="P79" s="2013"/>
      <c r="Q79" s="1150" t="s">
        <v>2728</v>
      </c>
      <c r="R79" s="2017"/>
      <c r="S79" s="2018"/>
      <c r="T79" s="2018"/>
      <c r="U79" s="2019"/>
      <c r="V79" s="858" t="s">
        <v>4152</v>
      </c>
      <c r="W79" s="1994" t="str">
        <f>IF(M79="","",M79/(R79+R80))</f>
        <v/>
      </c>
      <c r="X79" s="1995"/>
      <c r="Y79" s="1995"/>
      <c r="Z79" s="1998" t="str">
        <f>"km/"&amp;V79</f>
        <v>km/kWh</v>
      </c>
      <c r="AA79" s="859"/>
      <c r="AB79" s="860"/>
      <c r="AC79" s="860"/>
      <c r="AD79" s="860"/>
    </row>
    <row r="80" spans="2:30" ht="18.75" customHeight="1">
      <c r="B80" s="2009"/>
      <c r="C80" s="2197"/>
      <c r="D80" s="2198"/>
      <c r="E80" s="2204"/>
      <c r="F80" s="975" t="e">
        <f>VLOOKUP($C79,電力会社!$I$4:$L$1033,3,FALSE)</f>
        <v>#N/A</v>
      </c>
      <c r="G80" s="976" t="e">
        <f>VLOOKUP($C79,電力会社!$I$4:$L$1033,4,FALSE)</f>
        <v>#N/A</v>
      </c>
      <c r="I80" s="2014"/>
      <c r="J80" s="2015"/>
      <c r="K80" s="2015"/>
      <c r="L80" s="2016"/>
      <c r="M80" s="2014"/>
      <c r="N80" s="2015"/>
      <c r="O80" s="2015"/>
      <c r="P80" s="2016"/>
      <c r="Q80" s="1151" t="s">
        <v>2731</v>
      </c>
      <c r="R80" s="2002"/>
      <c r="S80" s="2003"/>
      <c r="T80" s="2003"/>
      <c r="U80" s="2004"/>
      <c r="V80" s="863" t="s">
        <v>4152</v>
      </c>
      <c r="W80" s="1996"/>
      <c r="X80" s="1997"/>
      <c r="Y80" s="1997"/>
      <c r="Z80" s="1999"/>
      <c r="AA80" s="859"/>
      <c r="AB80" s="860"/>
      <c r="AC80" s="860"/>
      <c r="AD80" s="860"/>
    </row>
    <row r="81" spans="2:30" ht="18.75" customHeight="1">
      <c r="B81" s="2009"/>
      <c r="C81" s="2197" t="s">
        <v>4414</v>
      </c>
      <c r="D81" s="2198"/>
      <c r="E81" s="2203" t="e">
        <f>VLOOKUP($C81,電力会社!$I$4:$L$1033,2,FALSE)</f>
        <v>#N/A</v>
      </c>
      <c r="F81" s="1213" t="s">
        <v>2684</v>
      </c>
      <c r="G81" s="1213" t="s">
        <v>571</v>
      </c>
      <c r="I81" s="2011"/>
      <c r="J81" s="2012"/>
      <c r="K81" s="2012"/>
      <c r="L81" s="2013"/>
      <c r="M81" s="2011"/>
      <c r="N81" s="2012"/>
      <c r="O81" s="2012"/>
      <c r="P81" s="2013"/>
      <c r="Q81" s="1150" t="s">
        <v>2728</v>
      </c>
      <c r="R81" s="2002"/>
      <c r="S81" s="2003"/>
      <c r="T81" s="2003"/>
      <c r="U81" s="2004"/>
      <c r="V81" s="858" t="s">
        <v>4152</v>
      </c>
      <c r="W81" s="1994" t="str">
        <f t="shared" ref="W81" si="2">IF(M81="","",M81/(R81+R82))</f>
        <v/>
      </c>
      <c r="X81" s="1995"/>
      <c r="Y81" s="1995"/>
      <c r="Z81" s="1998" t="str">
        <f t="shared" ref="Z81" si="3">"km/"&amp;V81</f>
        <v>km/kWh</v>
      </c>
      <c r="AA81" s="859"/>
      <c r="AB81" s="860"/>
      <c r="AC81" s="860"/>
      <c r="AD81" s="860"/>
    </row>
    <row r="82" spans="2:30" ht="18.75" customHeight="1">
      <c r="B82" s="2009"/>
      <c r="C82" s="2197"/>
      <c r="D82" s="2198"/>
      <c r="E82" s="2204"/>
      <c r="F82" s="975" t="e">
        <f>VLOOKUP($C81,電力会社!$I$4:$L$1033,3,FALSE)</f>
        <v>#N/A</v>
      </c>
      <c r="G82" s="976" t="e">
        <f>VLOOKUP($C81,電力会社!$I$4:$L$1033,4,FALSE)</f>
        <v>#N/A</v>
      </c>
      <c r="I82" s="2014"/>
      <c r="J82" s="2015"/>
      <c r="K82" s="2015"/>
      <c r="L82" s="2016"/>
      <c r="M82" s="2014"/>
      <c r="N82" s="2015"/>
      <c r="O82" s="2015"/>
      <c r="P82" s="2016"/>
      <c r="Q82" s="1151" t="s">
        <v>2731</v>
      </c>
      <c r="R82" s="2002"/>
      <c r="S82" s="2003"/>
      <c r="T82" s="2003"/>
      <c r="U82" s="2004"/>
      <c r="V82" s="863" t="s">
        <v>4152</v>
      </c>
      <c r="W82" s="1996"/>
      <c r="X82" s="1997"/>
      <c r="Y82" s="1997"/>
      <c r="Z82" s="1999"/>
      <c r="AA82" s="859"/>
      <c r="AB82" s="860"/>
      <c r="AC82" s="860"/>
      <c r="AD82" s="860"/>
    </row>
    <row r="83" spans="2:30" ht="18.75" customHeight="1">
      <c r="B83" s="2009"/>
      <c r="C83" s="2197" t="s">
        <v>4414</v>
      </c>
      <c r="D83" s="2198"/>
      <c r="E83" s="2203" t="e">
        <f>VLOOKUP($C83,電力会社!$I$4:$L$1033,2,FALSE)</f>
        <v>#N/A</v>
      </c>
      <c r="F83" s="1213" t="s">
        <v>2684</v>
      </c>
      <c r="G83" s="1213" t="s">
        <v>571</v>
      </c>
      <c r="I83" s="2011"/>
      <c r="J83" s="2012"/>
      <c r="K83" s="2012"/>
      <c r="L83" s="2013"/>
      <c r="M83" s="2011"/>
      <c r="N83" s="2012"/>
      <c r="O83" s="2012"/>
      <c r="P83" s="2013"/>
      <c r="Q83" s="1150" t="s">
        <v>2728</v>
      </c>
      <c r="R83" s="2002"/>
      <c r="S83" s="2003"/>
      <c r="T83" s="2003"/>
      <c r="U83" s="2004"/>
      <c r="V83" s="858" t="s">
        <v>4152</v>
      </c>
      <c r="W83" s="1994" t="str">
        <f t="shared" ref="W83" si="4">IF(M83="","",M83/(R83+R84))</f>
        <v/>
      </c>
      <c r="X83" s="1995"/>
      <c r="Y83" s="1995"/>
      <c r="Z83" s="1998" t="str">
        <f t="shared" ref="Z83" si="5">"km/"&amp;V83</f>
        <v>km/kWh</v>
      </c>
      <c r="AA83" s="859"/>
      <c r="AB83" s="860"/>
      <c r="AC83" s="860"/>
      <c r="AD83" s="860"/>
    </row>
    <row r="84" spans="2:30" ht="18.75" customHeight="1">
      <c r="B84" s="2009"/>
      <c r="C84" s="2197"/>
      <c r="D84" s="2198"/>
      <c r="E84" s="2204"/>
      <c r="F84" s="975" t="e">
        <f>VLOOKUP($C83,電力会社!$I$4:$L$1033,3,FALSE)</f>
        <v>#N/A</v>
      </c>
      <c r="G84" s="976" t="e">
        <f>VLOOKUP($C83,電力会社!$I$4:$L$1033,4,FALSE)</f>
        <v>#N/A</v>
      </c>
      <c r="I84" s="2014"/>
      <c r="J84" s="2015"/>
      <c r="K84" s="2015"/>
      <c r="L84" s="2016"/>
      <c r="M84" s="2014"/>
      <c r="N84" s="2015"/>
      <c r="O84" s="2015"/>
      <c r="P84" s="2016"/>
      <c r="Q84" s="1150" t="s">
        <v>2731</v>
      </c>
      <c r="R84" s="2002"/>
      <c r="S84" s="2003"/>
      <c r="T84" s="2003"/>
      <c r="U84" s="2004"/>
      <c r="V84" s="858" t="s">
        <v>4152</v>
      </c>
      <c r="W84" s="1996"/>
      <c r="X84" s="1997"/>
      <c r="Y84" s="1997"/>
      <c r="Z84" s="1999"/>
      <c r="AA84" s="859"/>
      <c r="AB84" s="860"/>
      <c r="AC84" s="860"/>
      <c r="AD84" s="860"/>
    </row>
    <row r="85" spans="2:30" ht="18.75" customHeight="1">
      <c r="B85" s="2009"/>
      <c r="C85" s="2199" t="s">
        <v>4414</v>
      </c>
      <c r="D85" s="2200"/>
      <c r="E85" s="2203" t="e">
        <f>VLOOKUP($C85,電力会社!$I$4:$L$1033,2,FALSE)</f>
        <v>#N/A</v>
      </c>
      <c r="F85" s="1213" t="s">
        <v>2684</v>
      </c>
      <c r="G85" s="1213" t="s">
        <v>571</v>
      </c>
      <c r="I85" s="2011"/>
      <c r="J85" s="2012"/>
      <c r="K85" s="2012"/>
      <c r="L85" s="2013"/>
      <c r="M85" s="2011"/>
      <c r="N85" s="2012"/>
      <c r="O85" s="2012"/>
      <c r="P85" s="2013"/>
      <c r="Q85" s="1150" t="s">
        <v>2728</v>
      </c>
      <c r="R85" s="2002"/>
      <c r="S85" s="2003"/>
      <c r="T85" s="2003"/>
      <c r="U85" s="2004"/>
      <c r="V85" s="858" t="s">
        <v>4152</v>
      </c>
      <c r="W85" s="1994" t="str">
        <f t="shared" ref="W85" si="6">IF(M85="","",M85/(R85+R86))</f>
        <v/>
      </c>
      <c r="X85" s="1995"/>
      <c r="Y85" s="1995"/>
      <c r="Z85" s="1998" t="str">
        <f t="shared" ref="Z85" si="7">"km/"&amp;V85</f>
        <v>km/kWh</v>
      </c>
      <c r="AA85" s="859"/>
      <c r="AB85" s="860"/>
      <c r="AC85" s="860"/>
      <c r="AD85" s="860"/>
    </row>
    <row r="86" spans="2:30" ht="18.75" customHeight="1">
      <c r="B86" s="2009"/>
      <c r="C86" s="2199"/>
      <c r="D86" s="2200"/>
      <c r="E86" s="2204"/>
      <c r="F86" s="975" t="e">
        <f>VLOOKUP($C85,電力会社!$I$4:$L$1033,3,FALSE)</f>
        <v>#N/A</v>
      </c>
      <c r="G86" s="976" t="e">
        <f>VLOOKUP($C85,電力会社!$I$4:$L$1033,4,FALSE)</f>
        <v>#N/A</v>
      </c>
      <c r="I86" s="2014"/>
      <c r="J86" s="2015"/>
      <c r="K86" s="2015"/>
      <c r="L86" s="2016"/>
      <c r="M86" s="2014"/>
      <c r="N86" s="2015"/>
      <c r="O86" s="2015"/>
      <c r="P86" s="2016"/>
      <c r="Q86" s="1150" t="s">
        <v>2731</v>
      </c>
      <c r="R86" s="2002"/>
      <c r="S86" s="2003"/>
      <c r="T86" s="2003"/>
      <c r="U86" s="2004"/>
      <c r="V86" s="858" t="s">
        <v>4152</v>
      </c>
      <c r="W86" s="1996"/>
      <c r="X86" s="1997"/>
      <c r="Y86" s="1997"/>
      <c r="Z86" s="1999"/>
      <c r="AA86" s="859"/>
      <c r="AB86" s="860"/>
      <c r="AC86" s="860"/>
      <c r="AD86" s="860"/>
    </row>
    <row r="87" spans="2:30" ht="18.75" customHeight="1">
      <c r="B87" s="2009"/>
      <c r="C87" s="2199" t="s">
        <v>4301</v>
      </c>
      <c r="D87" s="2200"/>
      <c r="E87" s="2203" t="e">
        <f>VLOOKUP($C87,電力会社!$I$4:$L$1033,2,FALSE)</f>
        <v>#N/A</v>
      </c>
      <c r="F87" s="1213" t="s">
        <v>2684</v>
      </c>
      <c r="G87" s="1213" t="s">
        <v>571</v>
      </c>
      <c r="I87" s="2011"/>
      <c r="J87" s="2012"/>
      <c r="K87" s="2012"/>
      <c r="L87" s="2013"/>
      <c r="M87" s="2011"/>
      <c r="N87" s="2012"/>
      <c r="O87" s="2012"/>
      <c r="P87" s="2013"/>
      <c r="Q87" s="1152" t="s">
        <v>2728</v>
      </c>
      <c r="R87" s="2002"/>
      <c r="S87" s="2003"/>
      <c r="T87" s="2003"/>
      <c r="U87" s="2004"/>
      <c r="V87" s="864" t="s">
        <v>4152</v>
      </c>
      <c r="W87" s="1994" t="str">
        <f t="shared" ref="W87" si="8">IF(M87="","",M87/(R87+R88))</f>
        <v/>
      </c>
      <c r="X87" s="1995"/>
      <c r="Y87" s="1995"/>
      <c r="Z87" s="1998" t="str">
        <f t="shared" ref="Z87" si="9">"km/"&amp;V87</f>
        <v>km/kWh</v>
      </c>
      <c r="AA87" s="859"/>
      <c r="AB87" s="860"/>
      <c r="AC87" s="860"/>
      <c r="AD87" s="860"/>
    </row>
    <row r="88" spans="2:30" ht="18.75" customHeight="1" thickBot="1">
      <c r="B88" s="2010"/>
      <c r="C88" s="2201"/>
      <c r="D88" s="2202"/>
      <c r="E88" s="2205"/>
      <c r="F88" s="975" t="e">
        <f>VLOOKUP($C87,電力会社!$I$4:$L$1033,3,FALSE)</f>
        <v>#N/A</v>
      </c>
      <c r="G88" s="976" t="e">
        <f>VLOOKUP($C87,電力会社!$I$4:$L$1033,4,FALSE)</f>
        <v>#N/A</v>
      </c>
      <c r="I88" s="2026"/>
      <c r="J88" s="2027"/>
      <c r="K88" s="2027"/>
      <c r="L88" s="2028"/>
      <c r="M88" s="2026"/>
      <c r="N88" s="2027"/>
      <c r="O88" s="2027"/>
      <c r="P88" s="2028"/>
      <c r="Q88" s="1153" t="s">
        <v>2731</v>
      </c>
      <c r="R88" s="2005"/>
      <c r="S88" s="2006"/>
      <c r="T88" s="2006"/>
      <c r="U88" s="2007"/>
      <c r="V88" s="865" t="s">
        <v>4152</v>
      </c>
      <c r="W88" s="1996"/>
      <c r="X88" s="1997"/>
      <c r="Y88" s="1997"/>
      <c r="Z88" s="1999"/>
      <c r="AA88" s="859"/>
      <c r="AB88" s="860"/>
      <c r="AC88" s="860"/>
      <c r="AD88" s="860"/>
    </row>
    <row r="89" spans="2:30" ht="18.75" customHeight="1" thickTop="1">
      <c r="B89" s="2068" t="s">
        <v>4153</v>
      </c>
      <c r="C89" s="2069"/>
      <c r="D89" s="2069"/>
      <c r="E89" s="2069"/>
      <c r="F89" s="2069"/>
      <c r="G89" s="2069"/>
      <c r="H89" s="2070"/>
      <c r="I89" s="2079">
        <f>SUM(I74:J88)</f>
        <v>0</v>
      </c>
      <c r="J89" s="2080"/>
      <c r="K89" s="2044"/>
      <c r="L89" s="2045"/>
      <c r="M89" s="2042">
        <f>SUM(M74:N88)</f>
        <v>0</v>
      </c>
      <c r="N89" s="2043"/>
      <c r="O89" s="2044"/>
      <c r="P89" s="2045"/>
      <c r="Q89" s="2074"/>
      <c r="R89" s="2047"/>
      <c r="S89" s="2075"/>
      <c r="T89" s="2046"/>
      <c r="U89" s="2047"/>
      <c r="V89" s="2048"/>
      <c r="W89" s="2049"/>
      <c r="X89" s="2050"/>
      <c r="Y89" s="2049"/>
      <c r="Z89" s="2050"/>
      <c r="AA89" s="859"/>
      <c r="AB89" s="860"/>
      <c r="AC89" s="860"/>
      <c r="AD89" s="860"/>
    </row>
    <row r="90" spans="2:30" ht="18.75" customHeight="1">
      <c r="B90" s="2071" t="s">
        <v>4292</v>
      </c>
      <c r="C90" s="2072"/>
      <c r="D90" s="2072"/>
      <c r="E90" s="2072"/>
      <c r="F90" s="2072"/>
      <c r="G90" s="2072"/>
      <c r="H90" s="2073"/>
      <c r="I90" s="2081">
        <f>X50</f>
        <v>0</v>
      </c>
      <c r="J90" s="2082"/>
      <c r="K90" s="2083"/>
      <c r="L90" s="2084"/>
      <c r="M90" s="866" t="s">
        <v>4154</v>
      </c>
      <c r="N90" s="867"/>
      <c r="O90" s="867"/>
      <c r="P90" s="867"/>
      <c r="Q90" s="867"/>
      <c r="R90" s="867"/>
      <c r="S90" s="867"/>
      <c r="T90" s="867"/>
      <c r="U90" s="867"/>
      <c r="V90" s="867"/>
      <c r="W90" s="868"/>
      <c r="X90" s="868"/>
      <c r="Y90" s="869"/>
      <c r="Z90" s="869"/>
      <c r="AA90" s="870"/>
      <c r="AB90" s="870"/>
      <c r="AC90" s="870"/>
      <c r="AD90" s="870"/>
    </row>
    <row r="91" spans="2:30" ht="11.25" customHeight="1">
      <c r="B91" s="777"/>
      <c r="C91" s="778"/>
      <c r="D91" s="778"/>
      <c r="E91" s="778"/>
      <c r="F91" s="778"/>
      <c r="G91" s="778"/>
      <c r="H91" s="778"/>
      <c r="W91" s="780"/>
      <c r="X91" s="780"/>
      <c r="Y91" s="780"/>
      <c r="Z91" s="780"/>
    </row>
    <row r="92" spans="2:30" ht="22.5" customHeight="1">
      <c r="B92" s="765" t="str">
        <f>"４　"&amp;参照元!A1-1&amp;"年度の二酸化炭素排出量等"</f>
        <v>４　2023年度の二酸化炭素排出量等</v>
      </c>
      <c r="C92" s="871"/>
      <c r="D92" s="871"/>
      <c r="E92" s="871"/>
      <c r="F92" s="871"/>
      <c r="G92" s="871"/>
      <c r="H92" s="871"/>
      <c r="I92" s="768"/>
      <c r="J92" s="768"/>
      <c r="K92" s="768"/>
      <c r="L92" s="768"/>
      <c r="M92" s="768"/>
      <c r="N92" s="766"/>
      <c r="O92" s="766"/>
      <c r="P92" s="766"/>
      <c r="Q92" s="766"/>
      <c r="R92" s="766"/>
      <c r="S92" s="872"/>
      <c r="T92" s="873"/>
      <c r="U92" s="873"/>
      <c r="V92" s="873"/>
      <c r="W92" s="873"/>
      <c r="X92" s="873"/>
      <c r="Y92" s="873"/>
      <c r="Z92" s="874"/>
      <c r="AA92" s="875"/>
      <c r="AB92" s="876"/>
      <c r="AC92" s="876"/>
      <c r="AD92" s="876"/>
    </row>
    <row r="93" spans="2:30" ht="25.15" customHeight="1">
      <c r="B93" s="777"/>
      <c r="C93" s="778"/>
      <c r="D93" s="778"/>
      <c r="E93" s="778"/>
      <c r="F93" s="778"/>
      <c r="G93" s="778"/>
      <c r="H93" s="778"/>
      <c r="W93" s="780"/>
      <c r="X93" s="780"/>
      <c r="Y93" s="780"/>
      <c r="Z93" s="780"/>
    </row>
    <row r="94" spans="2:30" s="764" customFormat="1" ht="15.75" customHeight="1">
      <c r="B94" s="2206"/>
      <c r="C94" s="2206"/>
      <c r="D94" s="2206"/>
      <c r="E94" s="2206"/>
      <c r="F94" s="2021" t="s">
        <v>4412</v>
      </c>
      <c r="G94" s="2021"/>
      <c r="H94" s="2021"/>
      <c r="I94" s="2021"/>
      <c r="J94" s="2021"/>
      <c r="K94" s="2021"/>
      <c r="L94" s="2021"/>
      <c r="M94" s="2022" t="s">
        <v>4155</v>
      </c>
      <c r="N94" s="2023"/>
      <c r="O94" s="2023"/>
      <c r="P94" s="2023"/>
      <c r="Q94" s="2023"/>
      <c r="R94" s="2023"/>
      <c r="S94" s="2023"/>
      <c r="T94" s="2023"/>
      <c r="U94" s="2021" t="s">
        <v>4413</v>
      </c>
      <c r="V94" s="2021"/>
      <c r="W94" s="2021"/>
      <c r="X94" s="2021"/>
      <c r="Y94" s="2021"/>
      <c r="Z94" s="2021"/>
    </row>
    <row r="95" spans="2:30" s="764" customFormat="1" ht="30" customHeight="1" thickBot="1">
      <c r="B95" s="2206"/>
      <c r="C95" s="2206"/>
      <c r="D95" s="2206"/>
      <c r="E95" s="2206"/>
      <c r="F95" s="2021"/>
      <c r="G95" s="2021"/>
      <c r="H95" s="2021"/>
      <c r="I95" s="2021"/>
      <c r="J95" s="2021"/>
      <c r="K95" s="2021"/>
      <c r="L95" s="2021"/>
      <c r="M95" s="2052" t="s">
        <v>4291</v>
      </c>
      <c r="N95" s="2052"/>
      <c r="O95" s="2052"/>
      <c r="P95" s="2052"/>
      <c r="Q95" s="2053"/>
      <c r="R95" s="2053"/>
      <c r="S95" s="2053"/>
      <c r="T95" s="2053"/>
      <c r="U95" s="2021"/>
      <c r="V95" s="2021"/>
      <c r="W95" s="2021"/>
      <c r="X95" s="2021"/>
      <c r="Y95" s="2021"/>
      <c r="Z95" s="2021"/>
    </row>
    <row r="96" spans="2:30" s="764" customFormat="1" ht="22.5" customHeight="1" thickTop="1" thickBot="1">
      <c r="B96" s="2206"/>
      <c r="C96" s="2206"/>
      <c r="D96" s="2206"/>
      <c r="E96" s="2206"/>
      <c r="F96" s="2025" t="s">
        <v>4156</v>
      </c>
      <c r="G96" s="2025"/>
      <c r="H96" s="2025"/>
      <c r="I96" s="2025"/>
      <c r="J96" s="2025" t="s">
        <v>4157</v>
      </c>
      <c r="K96" s="2025"/>
      <c r="L96" s="2025"/>
      <c r="M96" s="2054" t="s">
        <v>4158</v>
      </c>
      <c r="N96" s="2054"/>
      <c r="O96" s="2054"/>
      <c r="P96" s="2055"/>
      <c r="Q96" s="2056"/>
      <c r="R96" s="2057"/>
      <c r="S96" s="2057"/>
      <c r="T96" s="2058"/>
      <c r="U96" s="2059" t="s">
        <v>4156</v>
      </c>
      <c r="V96" s="2059"/>
      <c r="W96" s="2059"/>
      <c r="X96" s="2059"/>
      <c r="Y96" s="2059"/>
      <c r="Z96" s="2060"/>
    </row>
    <row r="97" spans="2:30" s="764" customFormat="1" ht="18.75" customHeight="1" thickTop="1">
      <c r="B97" s="2206"/>
      <c r="C97" s="2206"/>
      <c r="D97" s="2206"/>
      <c r="E97" s="2206"/>
      <c r="F97" s="2025"/>
      <c r="G97" s="2025"/>
      <c r="H97" s="2025"/>
      <c r="I97" s="2025"/>
      <c r="J97" s="2025"/>
      <c r="K97" s="2025"/>
      <c r="L97" s="2025"/>
      <c r="M97" s="2025" t="s">
        <v>4159</v>
      </c>
      <c r="N97" s="2025"/>
      <c r="O97" s="2025" t="s">
        <v>4160</v>
      </c>
      <c r="P97" s="2025"/>
      <c r="Q97" s="2024" t="s">
        <v>4159</v>
      </c>
      <c r="R97" s="2024"/>
      <c r="S97" s="2024" t="s">
        <v>4160</v>
      </c>
      <c r="T97" s="2024"/>
      <c r="U97" s="2061"/>
      <c r="V97" s="2061"/>
      <c r="W97" s="2061"/>
      <c r="X97" s="2061"/>
      <c r="Y97" s="2061"/>
      <c r="Z97" s="2062"/>
    </row>
    <row r="98" spans="2:30" s="764" customFormat="1" ht="30" customHeight="1">
      <c r="B98" s="2067" t="s">
        <v>4207</v>
      </c>
      <c r="C98" s="2067"/>
      <c r="D98" s="2067"/>
      <c r="E98" s="2067"/>
      <c r="F98" s="2066">
        <f>自動車計算!$V$31</f>
        <v>0</v>
      </c>
      <c r="G98" s="2066"/>
      <c r="H98" s="2066"/>
      <c r="I98" s="2066"/>
      <c r="J98" s="2039">
        <f>自動車計算!$X$31</f>
        <v>0</v>
      </c>
      <c r="K98" s="2039"/>
      <c r="L98" s="2039"/>
      <c r="M98" s="2040">
        <f>IF(M89="","",M89/1000)</f>
        <v>0</v>
      </c>
      <c r="N98" s="2041"/>
      <c r="O98" s="2029" t="s">
        <v>4161</v>
      </c>
      <c r="P98" s="2029"/>
      <c r="Q98" s="2030"/>
      <c r="R98" s="2030"/>
      <c r="S98" s="2030"/>
      <c r="T98" s="2030"/>
      <c r="U98" s="2063" t="str">
        <f>IF(I35=2,(IF($Q$96="",自動車計算!$G$41,自動車計算!$T$41)),"")</f>
        <v/>
      </c>
      <c r="V98" s="2064"/>
      <c r="W98" s="2064"/>
      <c r="X98" s="2064"/>
      <c r="Y98" s="2064"/>
      <c r="Z98" s="2065"/>
    </row>
    <row r="99" spans="2:30" s="764" customFormat="1" ht="30" hidden="1" customHeight="1">
      <c r="B99" s="877"/>
      <c r="C99" s="2037" t="s">
        <v>4142</v>
      </c>
      <c r="D99" s="2037"/>
      <c r="E99" s="2037"/>
      <c r="F99" s="2038"/>
      <c r="G99" s="2038"/>
      <c r="H99" s="2038"/>
      <c r="I99" s="2038"/>
      <c r="J99" s="2039"/>
      <c r="K99" s="2039"/>
      <c r="L99" s="2039"/>
      <c r="M99" s="2040" t="str">
        <f>IF(O89="","",O89/1000)</f>
        <v/>
      </c>
      <c r="N99" s="2041"/>
      <c r="O99" s="2029" t="s">
        <v>4161</v>
      </c>
      <c r="P99" s="2029"/>
      <c r="Q99" s="2031"/>
      <c r="R99" s="2031"/>
      <c r="S99" s="2031"/>
      <c r="T99" s="2031"/>
      <c r="U99" s="2051"/>
      <c r="V99" s="2051"/>
      <c r="W99" s="2051"/>
      <c r="X99" s="2020"/>
      <c r="Y99" s="2020"/>
      <c r="Z99" s="2020"/>
    </row>
    <row r="100" spans="2:30" s="764" customFormat="1" ht="16.5" customHeight="1">
      <c r="B100" s="763"/>
      <c r="C100" s="763"/>
      <c r="D100" s="763"/>
      <c r="E100" s="763"/>
      <c r="F100" s="878"/>
      <c r="H100" s="879"/>
      <c r="I100" s="879"/>
      <c r="J100" s="879"/>
      <c r="K100" s="763"/>
      <c r="L100" s="763"/>
      <c r="Q100" s="1169" t="s">
        <v>4302</v>
      </c>
      <c r="U100" s="879"/>
      <c r="V100" s="879"/>
    </row>
    <row r="101" spans="2:30" s="764" customFormat="1" ht="16.5" customHeight="1">
      <c r="B101" s="763"/>
      <c r="C101" s="763"/>
      <c r="D101" s="763"/>
      <c r="E101" s="763"/>
      <c r="F101" s="878"/>
      <c r="H101" s="879"/>
      <c r="I101" s="879"/>
      <c r="J101" s="879"/>
      <c r="K101" s="763"/>
      <c r="L101" s="763"/>
      <c r="Q101" s="1169"/>
      <c r="U101" s="879"/>
      <c r="V101" s="879"/>
    </row>
    <row r="102" spans="2:30" s="764" customFormat="1" ht="16.5" hidden="1" customHeight="1">
      <c r="B102" s="1305" t="s">
        <v>4312</v>
      </c>
      <c r="C102" s="1297"/>
      <c r="D102" s="1297"/>
      <c r="E102" s="1297"/>
      <c r="F102" s="1298"/>
      <c r="G102" s="1299"/>
      <c r="H102" s="1300"/>
      <c r="I102" s="1300"/>
      <c r="J102" s="1300"/>
      <c r="K102" s="1297"/>
      <c r="L102" s="1297"/>
      <c r="M102" s="1299"/>
      <c r="N102" s="1299"/>
      <c r="O102" s="1299"/>
      <c r="P102" s="1299"/>
      <c r="Q102" s="1301"/>
      <c r="R102" s="1299"/>
      <c r="S102" s="1299"/>
      <c r="T102" s="1299"/>
      <c r="U102" s="1302"/>
      <c r="V102" s="1304" t="s">
        <v>4313</v>
      </c>
      <c r="W102" s="1299"/>
      <c r="X102" s="1299"/>
      <c r="Y102" s="1299"/>
      <c r="Z102" s="1299"/>
      <c r="AA102" s="1299"/>
      <c r="AB102" s="1299"/>
      <c r="AC102" s="1303"/>
    </row>
    <row r="103" spans="2:30" s="764" customFormat="1" ht="44.45" hidden="1" customHeight="1">
      <c r="B103" s="2206" t="s">
        <v>4335</v>
      </c>
      <c r="C103" s="2206"/>
      <c r="D103" s="2207" t="s">
        <v>4324</v>
      </c>
      <c r="E103" s="2207"/>
      <c r="F103" s="2208" t="s">
        <v>4323</v>
      </c>
      <c r="G103" s="2208"/>
      <c r="H103" s="2186" t="s">
        <v>4160</v>
      </c>
      <c r="I103" s="2186"/>
      <c r="J103" s="2207" t="str">
        <f>"排出量原単位
（tCO2／★）"</f>
        <v>排出量原単位
（tCO2／★）</v>
      </c>
      <c r="K103" s="2186"/>
      <c r="L103" s="2186"/>
      <c r="M103" s="2207" t="str">
        <f>"基準("&amp;参照元!AN14&amp;")年度原単位
（tCO2/★）"</f>
        <v>基準()年度原単位
（tCO2/★）</v>
      </c>
      <c r="N103" s="2186"/>
      <c r="O103" s="2186"/>
      <c r="P103" s="2183" t="s">
        <v>4326</v>
      </c>
      <c r="Q103" s="2183"/>
      <c r="R103" s="2235" t="s">
        <v>4332</v>
      </c>
      <c r="S103" s="2235"/>
      <c r="T103" s="2235" t="s">
        <v>4336</v>
      </c>
      <c r="U103" s="2235"/>
      <c r="V103" s="2207" t="str">
        <f>"目標("&amp;参照元!BA14+3&amp;")年度原単位（tCO2/★）"</f>
        <v>目標(2026)年度原単位（tCO2/★）</v>
      </c>
      <c r="W103" s="2186"/>
      <c r="X103" s="2186"/>
      <c r="Y103" s="2183" t="s">
        <v>4326</v>
      </c>
      <c r="Z103" s="2183"/>
      <c r="AA103" s="2235" t="s">
        <v>4339</v>
      </c>
      <c r="AB103" s="2235"/>
      <c r="AC103" s="1295" t="s">
        <v>4343</v>
      </c>
      <c r="AD103" s="1292"/>
    </row>
    <row r="104" spans="2:30" s="764" customFormat="1" ht="30" hidden="1" customHeight="1" thickBot="1">
      <c r="B104" s="2206"/>
      <c r="C104" s="2206"/>
      <c r="D104" s="2213"/>
      <c r="E104" s="2213"/>
      <c r="F104" s="2213"/>
      <c r="G104" s="2213"/>
      <c r="H104" s="2212"/>
      <c r="I104" s="2212"/>
      <c r="J104" s="2207" t="s">
        <v>4330</v>
      </c>
      <c r="K104" s="2207"/>
      <c r="L104" s="2207"/>
      <c r="M104" s="2213" t="s">
        <v>4331</v>
      </c>
      <c r="N104" s="2213"/>
      <c r="O104" s="2213"/>
      <c r="P104" s="2206" t="s">
        <v>4327</v>
      </c>
      <c r="Q104" s="2206"/>
      <c r="R104" s="2235" t="s">
        <v>4338</v>
      </c>
      <c r="S104" s="2235"/>
      <c r="T104" s="2237" t="s">
        <v>4337</v>
      </c>
      <c r="U104" s="2237"/>
      <c r="V104" s="2213" t="s">
        <v>4341</v>
      </c>
      <c r="W104" s="2213"/>
      <c r="X104" s="2213"/>
      <c r="Y104" s="2206" t="s">
        <v>4327</v>
      </c>
      <c r="Z104" s="2206"/>
      <c r="AA104" s="2235" t="s">
        <v>4340</v>
      </c>
      <c r="AB104" s="2235"/>
      <c r="AC104" s="1296" t="s">
        <v>4342</v>
      </c>
      <c r="AD104" s="1293"/>
    </row>
    <row r="105" spans="2:30" s="764" customFormat="1" ht="18.600000000000001" hidden="1" customHeight="1" thickTop="1">
      <c r="B105" s="2029">
        <v>1</v>
      </c>
      <c r="C105" s="2234"/>
      <c r="D105" s="2229">
        <v>23.2</v>
      </c>
      <c r="E105" s="2230"/>
      <c r="F105" s="2184">
        <v>0.5</v>
      </c>
      <c r="G105" s="2184"/>
      <c r="H105" s="2184" t="s">
        <v>4208</v>
      </c>
      <c r="I105" s="2185"/>
      <c r="J105" s="2189">
        <f>D105/F105</f>
        <v>46.4</v>
      </c>
      <c r="K105" s="2190"/>
      <c r="L105" s="2191"/>
      <c r="M105" s="2209">
        <v>50</v>
      </c>
      <c r="N105" s="2210"/>
      <c r="O105" s="2211"/>
      <c r="P105" s="2226" t="e">
        <f>D105/$D$115</f>
        <v>#DIV/0!</v>
      </c>
      <c r="Q105" s="2227"/>
      <c r="R105" s="2228">
        <f>1-J105/M105</f>
        <v>7.2000000000000064E-2</v>
      </c>
      <c r="S105" s="2228"/>
      <c r="T105" s="2228" t="e">
        <f>P105*R105</f>
        <v>#DIV/0!</v>
      </c>
      <c r="U105" s="2233"/>
      <c r="V105" s="2209">
        <v>20</v>
      </c>
      <c r="W105" s="2210"/>
      <c r="X105" s="2211"/>
      <c r="Y105" s="2226" t="e">
        <f>P105</f>
        <v>#DIV/0!</v>
      </c>
      <c r="Z105" s="2227"/>
      <c r="AA105" s="2228">
        <f>1-V105/J105</f>
        <v>0.56896551724137923</v>
      </c>
      <c r="AB105" s="2228"/>
      <c r="AC105" s="1294" t="e">
        <f>Y105*AA105</f>
        <v>#DIV/0!</v>
      </c>
      <c r="AD105" s="1290"/>
    </row>
    <row r="106" spans="2:30" s="764" customFormat="1" ht="18.600000000000001" hidden="1" customHeight="1">
      <c r="B106" s="2029">
        <v>2</v>
      </c>
      <c r="C106" s="2234"/>
      <c r="D106" s="2231">
        <v>46.4</v>
      </c>
      <c r="E106" s="2232"/>
      <c r="F106" s="2187">
        <v>0.5</v>
      </c>
      <c r="G106" s="2187"/>
      <c r="H106" s="2187" t="s">
        <v>4208</v>
      </c>
      <c r="I106" s="2188"/>
      <c r="J106" s="2189">
        <f t="shared" ref="J106:J114" si="10">D106/F106</f>
        <v>92.8</v>
      </c>
      <c r="K106" s="2190"/>
      <c r="L106" s="2191"/>
      <c r="M106" s="2192">
        <v>100</v>
      </c>
      <c r="N106" s="2193"/>
      <c r="O106" s="2194"/>
      <c r="P106" s="2226" t="e">
        <f t="shared" ref="P106:P114" si="11">D106/$D$115</f>
        <v>#DIV/0!</v>
      </c>
      <c r="Q106" s="2227"/>
      <c r="R106" s="2228">
        <f t="shared" ref="R106:R114" si="12">1-J106/M106</f>
        <v>7.2000000000000064E-2</v>
      </c>
      <c r="S106" s="2228"/>
      <c r="T106" s="2228" t="e">
        <f t="shared" ref="T106:T114" si="13">P106*R106</f>
        <v>#DIV/0!</v>
      </c>
      <c r="U106" s="2233"/>
      <c r="V106" s="2192">
        <v>80</v>
      </c>
      <c r="W106" s="2193"/>
      <c r="X106" s="2194"/>
      <c r="Y106" s="2226" t="e">
        <f t="shared" ref="Y106:Y114" si="14">P106</f>
        <v>#DIV/0!</v>
      </c>
      <c r="Z106" s="2227"/>
      <c r="AA106" s="2228">
        <f t="shared" ref="AA106:AA114" si="15">1-V106/J106</f>
        <v>0.13793103448275856</v>
      </c>
      <c r="AB106" s="2228"/>
      <c r="AC106" s="1294" t="e">
        <f t="shared" ref="AC106:AC114" si="16">Y106*AA106</f>
        <v>#DIV/0!</v>
      </c>
      <c r="AD106" s="1290"/>
    </row>
    <row r="107" spans="2:30" s="764" customFormat="1" ht="18.600000000000001" hidden="1" customHeight="1">
      <c r="B107" s="2029">
        <v>3</v>
      </c>
      <c r="C107" s="2234"/>
      <c r="D107" s="2231">
        <v>11.6</v>
      </c>
      <c r="E107" s="2232"/>
      <c r="F107" s="2187">
        <v>0.5</v>
      </c>
      <c r="G107" s="2187"/>
      <c r="H107" s="2187" t="s">
        <v>4208</v>
      </c>
      <c r="I107" s="2188"/>
      <c r="J107" s="2189">
        <f t="shared" si="10"/>
        <v>23.2</v>
      </c>
      <c r="K107" s="2190"/>
      <c r="L107" s="2191"/>
      <c r="M107" s="2192">
        <v>50</v>
      </c>
      <c r="N107" s="2193"/>
      <c r="O107" s="2194"/>
      <c r="P107" s="2226" t="e">
        <f t="shared" si="11"/>
        <v>#DIV/0!</v>
      </c>
      <c r="Q107" s="2227"/>
      <c r="R107" s="2228">
        <f t="shared" si="12"/>
        <v>0.53600000000000003</v>
      </c>
      <c r="S107" s="2228"/>
      <c r="T107" s="2228" t="e">
        <f t="shared" si="13"/>
        <v>#DIV/0!</v>
      </c>
      <c r="U107" s="2233"/>
      <c r="V107" s="2192">
        <v>20</v>
      </c>
      <c r="W107" s="2193"/>
      <c r="X107" s="2194"/>
      <c r="Y107" s="2226" t="e">
        <f t="shared" si="14"/>
        <v>#DIV/0!</v>
      </c>
      <c r="Z107" s="2227"/>
      <c r="AA107" s="2228">
        <f t="shared" si="15"/>
        <v>0.13793103448275856</v>
      </c>
      <c r="AB107" s="2228"/>
      <c r="AC107" s="1294" t="e">
        <f t="shared" si="16"/>
        <v>#DIV/0!</v>
      </c>
      <c r="AD107" s="1290"/>
    </row>
    <row r="108" spans="2:30" s="764" customFormat="1" ht="18.600000000000001" hidden="1" customHeight="1">
      <c r="B108" s="2029">
        <v>4</v>
      </c>
      <c r="C108" s="2234"/>
      <c r="D108" s="2231">
        <v>11.6</v>
      </c>
      <c r="E108" s="2232"/>
      <c r="F108" s="2187">
        <v>0.5</v>
      </c>
      <c r="G108" s="2187"/>
      <c r="H108" s="2187" t="s">
        <v>4208</v>
      </c>
      <c r="I108" s="2188"/>
      <c r="J108" s="2189">
        <f t="shared" si="10"/>
        <v>23.2</v>
      </c>
      <c r="K108" s="2190"/>
      <c r="L108" s="2191"/>
      <c r="M108" s="2192">
        <v>50</v>
      </c>
      <c r="N108" s="2193"/>
      <c r="O108" s="2194"/>
      <c r="P108" s="2226" t="e">
        <f t="shared" si="11"/>
        <v>#DIV/0!</v>
      </c>
      <c r="Q108" s="2227"/>
      <c r="R108" s="2228">
        <f t="shared" si="12"/>
        <v>0.53600000000000003</v>
      </c>
      <c r="S108" s="2228"/>
      <c r="T108" s="2228" t="e">
        <f t="shared" si="13"/>
        <v>#DIV/0!</v>
      </c>
      <c r="U108" s="2233"/>
      <c r="V108" s="2192">
        <v>20</v>
      </c>
      <c r="W108" s="2193"/>
      <c r="X108" s="2194"/>
      <c r="Y108" s="2226" t="e">
        <f t="shared" si="14"/>
        <v>#DIV/0!</v>
      </c>
      <c r="Z108" s="2227"/>
      <c r="AA108" s="2228">
        <f t="shared" si="15"/>
        <v>0.13793103448275856</v>
      </c>
      <c r="AB108" s="2228"/>
      <c r="AC108" s="1294" t="e">
        <f t="shared" si="16"/>
        <v>#DIV/0!</v>
      </c>
      <c r="AD108" s="1290"/>
    </row>
    <row r="109" spans="2:30" s="764" customFormat="1" ht="18.600000000000001" hidden="1" customHeight="1">
      <c r="B109" s="2029">
        <v>5</v>
      </c>
      <c r="C109" s="2234"/>
      <c r="D109" s="2231">
        <v>23.2</v>
      </c>
      <c r="E109" s="2232"/>
      <c r="F109" s="2187">
        <v>0.5</v>
      </c>
      <c r="G109" s="2187"/>
      <c r="H109" s="2187" t="s">
        <v>4208</v>
      </c>
      <c r="I109" s="2188"/>
      <c r="J109" s="2189">
        <f t="shared" si="10"/>
        <v>46.4</v>
      </c>
      <c r="K109" s="2190"/>
      <c r="L109" s="2191"/>
      <c r="M109" s="2192">
        <v>50</v>
      </c>
      <c r="N109" s="2193"/>
      <c r="O109" s="2194"/>
      <c r="P109" s="2226" t="e">
        <f t="shared" si="11"/>
        <v>#DIV/0!</v>
      </c>
      <c r="Q109" s="2227"/>
      <c r="R109" s="2228">
        <f t="shared" si="12"/>
        <v>7.2000000000000064E-2</v>
      </c>
      <c r="S109" s="2228"/>
      <c r="T109" s="2228" t="e">
        <f t="shared" si="13"/>
        <v>#DIV/0!</v>
      </c>
      <c r="U109" s="2233"/>
      <c r="V109" s="2192">
        <v>20</v>
      </c>
      <c r="W109" s="2193"/>
      <c r="X109" s="2194"/>
      <c r="Y109" s="2226" t="e">
        <f t="shared" si="14"/>
        <v>#DIV/0!</v>
      </c>
      <c r="Z109" s="2227"/>
      <c r="AA109" s="2228">
        <f t="shared" si="15"/>
        <v>0.56896551724137923</v>
      </c>
      <c r="AB109" s="2228"/>
      <c r="AC109" s="1294" t="e">
        <f t="shared" si="16"/>
        <v>#DIV/0!</v>
      </c>
      <c r="AD109" s="1290"/>
    </row>
    <row r="110" spans="2:30" s="764" customFormat="1" ht="18.600000000000001" hidden="1" customHeight="1">
      <c r="B110" s="2029">
        <v>6</v>
      </c>
      <c r="C110" s="2234"/>
      <c r="D110" s="2231">
        <v>23.2</v>
      </c>
      <c r="E110" s="2232"/>
      <c r="F110" s="2187">
        <v>0.5</v>
      </c>
      <c r="G110" s="2187"/>
      <c r="H110" s="2187" t="s">
        <v>4208</v>
      </c>
      <c r="I110" s="2188"/>
      <c r="J110" s="2189">
        <f t="shared" si="10"/>
        <v>46.4</v>
      </c>
      <c r="K110" s="2190"/>
      <c r="L110" s="2191"/>
      <c r="M110" s="2192">
        <v>50</v>
      </c>
      <c r="N110" s="2193"/>
      <c r="O110" s="2194"/>
      <c r="P110" s="2226" t="e">
        <f t="shared" si="11"/>
        <v>#DIV/0!</v>
      </c>
      <c r="Q110" s="2227"/>
      <c r="R110" s="2228">
        <f t="shared" si="12"/>
        <v>7.2000000000000064E-2</v>
      </c>
      <c r="S110" s="2228"/>
      <c r="T110" s="2228" t="e">
        <f t="shared" si="13"/>
        <v>#DIV/0!</v>
      </c>
      <c r="U110" s="2233"/>
      <c r="V110" s="2192">
        <v>20</v>
      </c>
      <c r="W110" s="2193"/>
      <c r="X110" s="2194"/>
      <c r="Y110" s="2226" t="e">
        <f t="shared" si="14"/>
        <v>#DIV/0!</v>
      </c>
      <c r="Z110" s="2227"/>
      <c r="AA110" s="2228">
        <f t="shared" si="15"/>
        <v>0.56896551724137923</v>
      </c>
      <c r="AB110" s="2228"/>
      <c r="AC110" s="1294" t="e">
        <f t="shared" si="16"/>
        <v>#DIV/0!</v>
      </c>
      <c r="AD110" s="1290"/>
    </row>
    <row r="111" spans="2:30" s="764" customFormat="1" ht="18.600000000000001" hidden="1" customHeight="1">
      <c r="B111" s="2029">
        <v>7</v>
      </c>
      <c r="C111" s="2234"/>
      <c r="D111" s="2231">
        <v>23.2</v>
      </c>
      <c r="E111" s="2232"/>
      <c r="F111" s="2187">
        <v>0.5</v>
      </c>
      <c r="G111" s="2187"/>
      <c r="H111" s="2187" t="s">
        <v>4208</v>
      </c>
      <c r="I111" s="2188"/>
      <c r="J111" s="2189">
        <f t="shared" si="10"/>
        <v>46.4</v>
      </c>
      <c r="K111" s="2190"/>
      <c r="L111" s="2191"/>
      <c r="M111" s="2192">
        <v>50</v>
      </c>
      <c r="N111" s="2193"/>
      <c r="O111" s="2194"/>
      <c r="P111" s="2226" t="e">
        <f t="shared" si="11"/>
        <v>#DIV/0!</v>
      </c>
      <c r="Q111" s="2227"/>
      <c r="R111" s="2228">
        <f t="shared" si="12"/>
        <v>7.2000000000000064E-2</v>
      </c>
      <c r="S111" s="2228"/>
      <c r="T111" s="2228" t="e">
        <f t="shared" si="13"/>
        <v>#DIV/0!</v>
      </c>
      <c r="U111" s="2233"/>
      <c r="V111" s="2192">
        <v>20</v>
      </c>
      <c r="W111" s="2193"/>
      <c r="X111" s="2194"/>
      <c r="Y111" s="2226" t="e">
        <f t="shared" si="14"/>
        <v>#DIV/0!</v>
      </c>
      <c r="Z111" s="2227"/>
      <c r="AA111" s="2228">
        <f t="shared" si="15"/>
        <v>0.56896551724137923</v>
      </c>
      <c r="AB111" s="2228"/>
      <c r="AC111" s="1294" t="e">
        <f t="shared" si="16"/>
        <v>#DIV/0!</v>
      </c>
      <c r="AD111" s="1290"/>
    </row>
    <row r="112" spans="2:30" s="764" customFormat="1" ht="18.600000000000001" hidden="1" customHeight="1">
      <c r="B112" s="2029">
        <v>8</v>
      </c>
      <c r="C112" s="2234"/>
      <c r="D112" s="2231">
        <v>23.2</v>
      </c>
      <c r="E112" s="2232"/>
      <c r="F112" s="2187">
        <v>0.5</v>
      </c>
      <c r="G112" s="2187"/>
      <c r="H112" s="2187" t="s">
        <v>4208</v>
      </c>
      <c r="I112" s="2188"/>
      <c r="J112" s="2189">
        <f t="shared" si="10"/>
        <v>46.4</v>
      </c>
      <c r="K112" s="2190"/>
      <c r="L112" s="2191"/>
      <c r="M112" s="2192">
        <v>50</v>
      </c>
      <c r="N112" s="2193"/>
      <c r="O112" s="2194"/>
      <c r="P112" s="2226" t="e">
        <f t="shared" si="11"/>
        <v>#DIV/0!</v>
      </c>
      <c r="Q112" s="2227"/>
      <c r="R112" s="2228">
        <f t="shared" si="12"/>
        <v>7.2000000000000064E-2</v>
      </c>
      <c r="S112" s="2228"/>
      <c r="T112" s="2228" t="e">
        <f t="shared" si="13"/>
        <v>#DIV/0!</v>
      </c>
      <c r="U112" s="2233"/>
      <c r="V112" s="2192">
        <v>20</v>
      </c>
      <c r="W112" s="2193"/>
      <c r="X112" s="2194"/>
      <c r="Y112" s="2226" t="e">
        <f t="shared" si="14"/>
        <v>#DIV/0!</v>
      </c>
      <c r="Z112" s="2227"/>
      <c r="AA112" s="2228">
        <f t="shared" si="15"/>
        <v>0.56896551724137923</v>
      </c>
      <c r="AB112" s="2228"/>
      <c r="AC112" s="1294" t="e">
        <f t="shared" si="16"/>
        <v>#DIV/0!</v>
      </c>
      <c r="AD112" s="1290"/>
    </row>
    <row r="113" spans="2:30" s="764" customFormat="1" ht="18.600000000000001" hidden="1" customHeight="1">
      <c r="B113" s="2029">
        <v>9</v>
      </c>
      <c r="C113" s="2234"/>
      <c r="D113" s="2231">
        <v>23.2</v>
      </c>
      <c r="E113" s="2232"/>
      <c r="F113" s="2187">
        <v>0.5</v>
      </c>
      <c r="G113" s="2187"/>
      <c r="H113" s="2187" t="s">
        <v>4208</v>
      </c>
      <c r="I113" s="2188"/>
      <c r="J113" s="2189">
        <f t="shared" si="10"/>
        <v>46.4</v>
      </c>
      <c r="K113" s="2190"/>
      <c r="L113" s="2191"/>
      <c r="M113" s="2192">
        <v>50</v>
      </c>
      <c r="N113" s="2193"/>
      <c r="O113" s="2194"/>
      <c r="P113" s="2226" t="e">
        <f t="shared" si="11"/>
        <v>#DIV/0!</v>
      </c>
      <c r="Q113" s="2227"/>
      <c r="R113" s="2228">
        <f t="shared" si="12"/>
        <v>7.2000000000000064E-2</v>
      </c>
      <c r="S113" s="2228"/>
      <c r="T113" s="2228" t="e">
        <f t="shared" si="13"/>
        <v>#DIV/0!</v>
      </c>
      <c r="U113" s="2233"/>
      <c r="V113" s="2192">
        <v>20</v>
      </c>
      <c r="W113" s="2193"/>
      <c r="X113" s="2194"/>
      <c r="Y113" s="2226" t="e">
        <f t="shared" si="14"/>
        <v>#DIV/0!</v>
      </c>
      <c r="Z113" s="2227"/>
      <c r="AA113" s="2228">
        <f t="shared" si="15"/>
        <v>0.56896551724137923</v>
      </c>
      <c r="AB113" s="2228"/>
      <c r="AC113" s="1294" t="e">
        <f t="shared" si="16"/>
        <v>#DIV/0!</v>
      </c>
      <c r="AD113" s="1290"/>
    </row>
    <row r="114" spans="2:30" s="764" customFormat="1" ht="18.600000000000001" hidden="1" customHeight="1" thickBot="1">
      <c r="B114" s="2029">
        <v>10</v>
      </c>
      <c r="C114" s="2234"/>
      <c r="D114" s="2223">
        <v>23.2</v>
      </c>
      <c r="E114" s="2224"/>
      <c r="F114" s="2216">
        <v>0.5</v>
      </c>
      <c r="G114" s="2216"/>
      <c r="H114" s="2216" t="s">
        <v>4208</v>
      </c>
      <c r="I114" s="2217"/>
      <c r="J114" s="2189">
        <f t="shared" si="10"/>
        <v>46.4</v>
      </c>
      <c r="K114" s="2190"/>
      <c r="L114" s="2191"/>
      <c r="M114" s="2218">
        <v>50</v>
      </c>
      <c r="N114" s="2219"/>
      <c r="O114" s="2220"/>
      <c r="P114" s="2226" t="e">
        <f t="shared" si="11"/>
        <v>#DIV/0!</v>
      </c>
      <c r="Q114" s="2227"/>
      <c r="R114" s="2228">
        <f t="shared" si="12"/>
        <v>7.2000000000000064E-2</v>
      </c>
      <c r="S114" s="2228"/>
      <c r="T114" s="2228" t="e">
        <f t="shared" si="13"/>
        <v>#DIV/0!</v>
      </c>
      <c r="U114" s="2233"/>
      <c r="V114" s="2218">
        <v>20</v>
      </c>
      <c r="W114" s="2219"/>
      <c r="X114" s="2220"/>
      <c r="Y114" s="2226" t="e">
        <f t="shared" si="14"/>
        <v>#DIV/0!</v>
      </c>
      <c r="Z114" s="2227"/>
      <c r="AA114" s="2228">
        <f t="shared" si="15"/>
        <v>0.56896551724137923</v>
      </c>
      <c r="AB114" s="2228"/>
      <c r="AC114" s="1294" t="e">
        <f t="shared" si="16"/>
        <v>#DIV/0!</v>
      </c>
      <c r="AD114" s="1290"/>
    </row>
    <row r="115" spans="2:30" s="764" customFormat="1" ht="14.25" hidden="1" thickTop="1">
      <c r="B115" s="2029" t="s">
        <v>4325</v>
      </c>
      <c r="C115" s="2029"/>
      <c r="D115" s="2225"/>
      <c r="E115" s="2225"/>
      <c r="F115" s="2221"/>
      <c r="G115" s="2221"/>
      <c r="H115" s="2221"/>
      <c r="I115" s="2221"/>
      <c r="J115" s="2190"/>
      <c r="K115" s="2190"/>
      <c r="L115" s="2190"/>
      <c r="M115" s="2222"/>
      <c r="N115" s="2222"/>
      <c r="O115" s="2222"/>
      <c r="P115" s="2227"/>
      <c r="Q115" s="2227"/>
      <c r="R115" s="2214"/>
      <c r="S115" s="2215"/>
      <c r="T115" s="2236"/>
      <c r="U115" s="2236"/>
      <c r="V115" s="2222"/>
      <c r="W115" s="2222"/>
      <c r="X115" s="2222"/>
      <c r="Y115" s="2227"/>
      <c r="Z115" s="2227"/>
      <c r="AA115" s="2238"/>
      <c r="AB115" s="2226"/>
      <c r="AC115" s="1308"/>
      <c r="AD115" s="1290"/>
    </row>
    <row r="116" spans="2:30" s="764" customFormat="1" ht="14.25" hidden="1">
      <c r="B116" s="763"/>
      <c r="C116" s="763"/>
      <c r="D116" s="773" t="str">
        <f>IF(D115&lt;&gt;F98,"合計"&amp;D115&amp;"は、"&amp;F98&amp;"に一致させる必要があります","OK")</f>
        <v>OK</v>
      </c>
      <c r="E116" s="763"/>
      <c r="F116" s="879"/>
      <c r="G116" s="879"/>
      <c r="H116" s="879"/>
      <c r="I116" s="879"/>
      <c r="J116" s="879"/>
      <c r="K116" s="879"/>
      <c r="L116" s="879"/>
      <c r="M116" s="879"/>
      <c r="N116" s="879"/>
      <c r="O116" s="879"/>
      <c r="P116" s="879"/>
      <c r="Q116" s="879"/>
      <c r="R116" s="879"/>
      <c r="S116" s="879"/>
      <c r="T116" s="879"/>
      <c r="U116" s="879"/>
      <c r="V116" s="879"/>
      <c r="W116" s="879"/>
      <c r="X116" s="879"/>
      <c r="Y116" s="879"/>
      <c r="Z116" s="879"/>
    </row>
    <row r="117" spans="2:30" s="764" customFormat="1" ht="14.25">
      <c r="B117" s="763"/>
      <c r="C117" s="763"/>
      <c r="D117" s="763"/>
      <c r="E117" s="763"/>
      <c r="F117" s="879"/>
      <c r="G117" s="879"/>
      <c r="H117" s="879"/>
      <c r="I117" s="879"/>
      <c r="J117" s="879"/>
      <c r="K117" s="879"/>
      <c r="L117" s="879"/>
      <c r="M117" s="879"/>
      <c r="N117" s="879"/>
      <c r="O117" s="879"/>
      <c r="P117" s="879"/>
      <c r="Q117" s="879"/>
      <c r="R117" s="879"/>
      <c r="S117" s="879"/>
      <c r="T117" s="879"/>
      <c r="U117" s="879"/>
      <c r="V117" s="879"/>
      <c r="W117" s="879"/>
      <c r="X117" s="879"/>
      <c r="Y117" s="879"/>
      <c r="Z117" s="879"/>
    </row>
    <row r="118" spans="2:30" s="764" customFormat="1" ht="14.25">
      <c r="B118" s="763"/>
      <c r="C118" s="763"/>
      <c r="D118" s="763"/>
      <c r="E118" s="763"/>
      <c r="F118" s="879"/>
      <c r="G118" s="879"/>
      <c r="H118" s="879"/>
      <c r="I118" s="879"/>
      <c r="J118" s="879"/>
      <c r="K118" s="879"/>
      <c r="L118" s="879"/>
      <c r="M118" s="879"/>
      <c r="N118" s="879"/>
      <c r="O118" s="879"/>
      <c r="P118" s="879"/>
      <c r="Q118" s="879"/>
      <c r="R118" s="879"/>
      <c r="S118" s="879"/>
      <c r="T118" s="879"/>
      <c r="U118" s="879"/>
      <c r="V118" s="879"/>
      <c r="W118" s="879"/>
      <c r="X118" s="879"/>
      <c r="Y118" s="879"/>
      <c r="Z118" s="879"/>
    </row>
    <row r="119" spans="2:30" s="764" customFormat="1" ht="15" customHeight="1">
      <c r="B119" s="763"/>
      <c r="C119" s="763"/>
      <c r="D119" s="763"/>
      <c r="E119" s="763"/>
      <c r="F119" s="879"/>
      <c r="G119" s="879"/>
      <c r="H119" s="879"/>
      <c r="I119" s="879"/>
      <c r="J119" s="879"/>
      <c r="K119" s="879"/>
      <c r="L119" s="879"/>
      <c r="M119" s="879"/>
      <c r="N119" s="879"/>
      <c r="O119" s="879"/>
      <c r="P119" s="879"/>
      <c r="Q119" s="879"/>
      <c r="R119" s="879"/>
      <c r="S119" s="879"/>
      <c r="T119" s="879"/>
      <c r="U119" s="879"/>
      <c r="V119" s="879"/>
      <c r="W119" s="879"/>
      <c r="X119" s="879"/>
      <c r="Y119" s="879"/>
      <c r="Z119" s="879"/>
    </row>
    <row r="120" spans="2:30" s="764" customFormat="1" ht="14.45" customHeight="1">
      <c r="B120" s="763"/>
      <c r="C120" s="763"/>
      <c r="D120" s="763"/>
      <c r="E120" s="763"/>
      <c r="F120" s="879"/>
      <c r="G120" s="879"/>
      <c r="H120" s="879"/>
      <c r="I120" s="879"/>
      <c r="J120" s="879"/>
      <c r="K120" s="879"/>
      <c r="L120" s="879"/>
      <c r="M120" s="879"/>
      <c r="N120" s="879"/>
      <c r="O120" s="879"/>
      <c r="P120" s="879"/>
      <c r="Q120" s="879"/>
      <c r="R120" s="879"/>
      <c r="S120" s="879"/>
      <c r="T120" s="879"/>
      <c r="U120" s="879"/>
      <c r="V120" s="879"/>
      <c r="W120" s="879"/>
      <c r="X120" s="879"/>
      <c r="Y120" s="879"/>
      <c r="Z120" s="879"/>
    </row>
    <row r="121" spans="2:30" s="764" customFormat="1" ht="15" customHeight="1">
      <c r="B121" s="763"/>
      <c r="C121" s="763"/>
      <c r="D121" s="763"/>
      <c r="E121" s="763"/>
      <c r="F121" s="879"/>
      <c r="G121" s="879"/>
      <c r="H121" s="879"/>
      <c r="I121" s="879"/>
      <c r="J121" s="879"/>
      <c r="K121" s="879"/>
      <c r="L121" s="879"/>
      <c r="M121" s="879"/>
      <c r="N121" s="879"/>
      <c r="O121" s="879"/>
      <c r="P121" s="879"/>
      <c r="Q121" s="879"/>
      <c r="R121" s="879"/>
      <c r="S121" s="879"/>
      <c r="T121" s="879"/>
      <c r="U121" s="879"/>
      <c r="V121" s="879"/>
      <c r="W121" s="879"/>
      <c r="X121" s="879"/>
      <c r="Y121" s="879"/>
      <c r="Z121" s="879"/>
    </row>
    <row r="122" spans="2:30" s="764" customFormat="1" ht="15.6" customHeight="1">
      <c r="B122" s="763"/>
      <c r="C122" s="763"/>
      <c r="D122" s="763"/>
      <c r="E122" s="763"/>
      <c r="F122" s="879"/>
      <c r="G122" s="879"/>
      <c r="H122" s="879"/>
      <c r="I122" s="879"/>
      <c r="J122" s="879"/>
      <c r="K122" s="879"/>
      <c r="L122" s="879"/>
      <c r="M122" s="879"/>
      <c r="N122" s="879"/>
      <c r="O122" s="879"/>
      <c r="P122" s="879"/>
      <c r="Q122" s="879"/>
      <c r="R122" s="879"/>
      <c r="S122" s="879"/>
      <c r="T122" s="879"/>
      <c r="U122" s="879"/>
      <c r="V122" s="879"/>
      <c r="W122" s="879"/>
      <c r="X122" s="879"/>
      <c r="Y122" s="879"/>
      <c r="Z122" s="879"/>
    </row>
    <row r="123" spans="2:30" s="764" customFormat="1" ht="15.6" customHeight="1">
      <c r="B123" s="763"/>
      <c r="C123" s="763"/>
      <c r="D123" s="763"/>
      <c r="E123" s="763"/>
      <c r="F123" s="879"/>
      <c r="G123" s="879"/>
      <c r="H123" s="879"/>
      <c r="I123" s="879"/>
      <c r="J123" s="879"/>
      <c r="K123" s="879"/>
      <c r="L123" s="879"/>
      <c r="M123" s="879"/>
      <c r="N123" s="879"/>
      <c r="O123" s="879"/>
      <c r="P123" s="879"/>
      <c r="Q123" s="879"/>
      <c r="R123" s="879"/>
      <c r="S123" s="879"/>
      <c r="T123" s="879"/>
      <c r="U123" s="879"/>
      <c r="V123" s="879"/>
      <c r="W123" s="879"/>
      <c r="X123" s="879"/>
      <c r="Y123" s="879"/>
      <c r="Z123" s="879"/>
    </row>
    <row r="124" spans="2:30" s="764" customFormat="1" ht="15.6" customHeight="1">
      <c r="B124" s="763"/>
      <c r="C124" s="763"/>
      <c r="D124" s="763"/>
      <c r="E124" s="763"/>
      <c r="F124" s="879"/>
      <c r="G124" s="879"/>
      <c r="H124" s="879"/>
      <c r="I124" s="879"/>
      <c r="J124" s="879"/>
      <c r="K124" s="879"/>
      <c r="L124" s="879"/>
      <c r="M124" s="879"/>
      <c r="N124" s="879"/>
      <c r="O124" s="879"/>
      <c r="P124" s="879"/>
      <c r="Q124" s="879"/>
      <c r="R124" s="879"/>
      <c r="S124" s="879"/>
      <c r="T124" s="879"/>
      <c r="U124" s="879"/>
      <c r="V124" s="879"/>
      <c r="W124" s="879"/>
      <c r="X124" s="879"/>
      <c r="Y124" s="879"/>
      <c r="Z124" s="879"/>
    </row>
    <row r="125" spans="2:30" s="764" customFormat="1" ht="14.25">
      <c r="B125" s="763"/>
      <c r="C125" s="763"/>
      <c r="D125" s="763"/>
      <c r="E125" s="763"/>
      <c r="F125" s="879"/>
      <c r="G125" s="879"/>
      <c r="H125" s="879"/>
      <c r="I125" s="879"/>
      <c r="J125" s="879"/>
      <c r="K125" s="879"/>
      <c r="L125" s="879"/>
      <c r="M125" s="879"/>
      <c r="N125" s="879"/>
      <c r="O125" s="879"/>
      <c r="P125" s="879"/>
      <c r="Q125" s="879"/>
      <c r="R125" s="879"/>
      <c r="S125" s="879"/>
      <c r="T125" s="879"/>
      <c r="U125" s="879"/>
      <c r="V125" s="879"/>
      <c r="W125" s="879"/>
      <c r="X125" s="879"/>
      <c r="Y125" s="879"/>
      <c r="Z125" s="879"/>
    </row>
    <row r="126" spans="2:30" s="764" customFormat="1">
      <c r="B126" s="763"/>
      <c r="C126" s="763"/>
      <c r="D126" s="763"/>
      <c r="E126" s="763"/>
      <c r="F126" s="763"/>
      <c r="G126" s="763"/>
      <c r="H126" s="763"/>
      <c r="I126" s="763"/>
      <c r="J126" s="763"/>
    </row>
    <row r="127" spans="2:30" s="764" customFormat="1">
      <c r="B127" s="763"/>
      <c r="C127" s="763"/>
      <c r="D127" s="763"/>
      <c r="E127" s="763"/>
      <c r="F127" s="763"/>
      <c r="G127" s="763"/>
      <c r="H127" s="763"/>
      <c r="I127" s="763"/>
      <c r="J127" s="763"/>
    </row>
    <row r="128" spans="2:30" s="764" customFormat="1">
      <c r="B128" s="763"/>
      <c r="C128" s="763"/>
      <c r="D128" s="763"/>
      <c r="E128" s="763"/>
      <c r="F128" s="763"/>
      <c r="G128" s="763"/>
      <c r="H128" s="763"/>
      <c r="I128" s="763"/>
      <c r="J128" s="763"/>
    </row>
    <row r="129" spans="2:12" s="764" customFormat="1">
      <c r="B129" s="763"/>
      <c r="C129" s="763"/>
      <c r="D129" s="763"/>
      <c r="E129" s="763"/>
      <c r="F129" s="763"/>
      <c r="G129" s="763"/>
      <c r="H129" s="763"/>
      <c r="I129" s="763"/>
      <c r="J129" s="763"/>
    </row>
    <row r="130" spans="2:12" s="764" customFormat="1">
      <c r="B130" s="763"/>
      <c r="C130" s="763"/>
      <c r="D130" s="763"/>
      <c r="E130" s="763"/>
      <c r="F130" s="763"/>
      <c r="G130" s="763"/>
      <c r="H130" s="763"/>
      <c r="I130" s="763"/>
      <c r="J130" s="763"/>
    </row>
    <row r="131" spans="2:12" s="764" customFormat="1">
      <c r="B131" s="763"/>
      <c r="C131" s="763"/>
      <c r="D131" s="763"/>
      <c r="E131" s="763"/>
      <c r="F131" s="763"/>
      <c r="G131" s="763"/>
      <c r="H131" s="763"/>
      <c r="I131" s="763"/>
      <c r="J131" s="763"/>
      <c r="K131" s="763"/>
      <c r="L131" s="763"/>
    </row>
    <row r="132" spans="2:12" s="764" customFormat="1">
      <c r="B132" s="763"/>
      <c r="C132" s="763"/>
      <c r="D132" s="763"/>
      <c r="E132" s="763"/>
      <c r="F132" s="763"/>
      <c r="G132" s="763"/>
      <c r="H132" s="763"/>
      <c r="I132" s="763"/>
      <c r="J132" s="763"/>
      <c r="K132" s="763"/>
      <c r="L132" s="763"/>
    </row>
    <row r="133" spans="2:12" s="764" customFormat="1">
      <c r="B133" s="763"/>
      <c r="C133" s="763"/>
      <c r="D133" s="763"/>
      <c r="E133" s="763"/>
      <c r="F133" s="763"/>
      <c r="G133" s="763"/>
      <c r="H133" s="763"/>
      <c r="I133" s="763"/>
      <c r="J133" s="763"/>
      <c r="K133" s="763"/>
      <c r="L133" s="763"/>
    </row>
    <row r="134" spans="2:12" s="764" customFormat="1">
      <c r="B134" s="763"/>
      <c r="C134" s="763"/>
      <c r="D134" s="763"/>
      <c r="E134" s="763"/>
      <c r="F134" s="763"/>
      <c r="G134" s="763"/>
      <c r="H134" s="763"/>
      <c r="I134" s="763"/>
      <c r="J134" s="763"/>
      <c r="K134" s="763"/>
      <c r="L134" s="763"/>
    </row>
    <row r="135" spans="2:12" s="764" customFormat="1">
      <c r="B135" s="763"/>
      <c r="C135" s="763"/>
      <c r="D135" s="763"/>
      <c r="E135" s="763"/>
      <c r="F135" s="763"/>
      <c r="G135" s="763"/>
      <c r="H135" s="763"/>
      <c r="I135" s="763"/>
      <c r="J135" s="763"/>
      <c r="K135" s="763"/>
      <c r="L135" s="763"/>
    </row>
    <row r="136" spans="2:12" s="764" customFormat="1">
      <c r="B136" s="763"/>
      <c r="C136" s="763"/>
      <c r="D136" s="763"/>
      <c r="E136" s="763"/>
      <c r="F136" s="763"/>
      <c r="G136" s="763"/>
      <c r="H136" s="763"/>
      <c r="I136" s="763"/>
      <c r="J136" s="763"/>
      <c r="K136" s="763"/>
      <c r="L136" s="763"/>
    </row>
    <row r="137" spans="2:12" s="764" customFormat="1">
      <c r="B137" s="763"/>
      <c r="C137" s="763"/>
      <c r="D137" s="763"/>
      <c r="E137" s="763"/>
      <c r="F137" s="763"/>
      <c r="G137" s="763"/>
      <c r="H137" s="763"/>
      <c r="I137" s="763"/>
      <c r="J137" s="763"/>
      <c r="K137" s="763"/>
      <c r="L137" s="763"/>
    </row>
    <row r="138" spans="2:12" s="764" customFormat="1">
      <c r="B138" s="763"/>
      <c r="C138" s="763"/>
      <c r="D138" s="763"/>
      <c r="E138" s="763"/>
      <c r="F138" s="763"/>
      <c r="G138" s="763"/>
      <c r="H138" s="763"/>
      <c r="I138" s="763"/>
      <c r="J138" s="763"/>
      <c r="K138" s="763"/>
      <c r="L138" s="763"/>
    </row>
    <row r="139" spans="2:12" s="764" customFormat="1">
      <c r="B139" s="763"/>
      <c r="C139" s="763"/>
      <c r="D139" s="763"/>
      <c r="E139" s="763"/>
      <c r="F139" s="763"/>
      <c r="G139" s="763"/>
      <c r="H139" s="763"/>
      <c r="I139" s="763"/>
      <c r="J139" s="763"/>
      <c r="K139" s="763"/>
      <c r="L139" s="763"/>
    </row>
    <row r="140" spans="2:12" s="764" customFormat="1">
      <c r="B140" s="763"/>
      <c r="C140" s="763"/>
      <c r="D140" s="763"/>
      <c r="E140" s="763"/>
      <c r="F140" s="763"/>
      <c r="G140" s="763"/>
      <c r="H140" s="763"/>
      <c r="I140" s="763"/>
      <c r="J140" s="763"/>
      <c r="K140" s="763"/>
      <c r="L140" s="763"/>
    </row>
    <row r="141" spans="2:12" s="764" customFormat="1">
      <c r="B141" s="763"/>
      <c r="C141" s="763"/>
      <c r="D141" s="763"/>
      <c r="E141" s="763"/>
      <c r="F141" s="763"/>
      <c r="G141" s="763"/>
      <c r="H141" s="763"/>
      <c r="I141" s="763"/>
      <c r="J141" s="763"/>
      <c r="K141" s="763"/>
      <c r="L141" s="763"/>
    </row>
    <row r="142" spans="2:12" s="764" customFormat="1">
      <c r="B142" s="763"/>
      <c r="C142" s="763"/>
      <c r="D142" s="763"/>
      <c r="E142" s="763"/>
      <c r="F142" s="763"/>
      <c r="G142" s="763"/>
      <c r="H142" s="763"/>
      <c r="I142" s="763"/>
      <c r="J142" s="763"/>
      <c r="K142" s="763"/>
      <c r="L142" s="763"/>
    </row>
    <row r="143" spans="2:12" s="764" customFormat="1">
      <c r="B143" s="763"/>
      <c r="C143" s="763"/>
      <c r="D143" s="763"/>
      <c r="E143" s="763"/>
      <c r="F143" s="763"/>
      <c r="G143" s="763"/>
      <c r="H143" s="763"/>
      <c r="I143" s="763"/>
      <c r="J143" s="763"/>
      <c r="K143" s="763"/>
      <c r="L143" s="763"/>
    </row>
    <row r="144" spans="2:12" s="764" customFormat="1">
      <c r="B144" s="763"/>
      <c r="C144" s="763"/>
      <c r="D144" s="763"/>
      <c r="E144" s="763"/>
      <c r="F144" s="763"/>
      <c r="G144" s="763"/>
      <c r="H144" s="763"/>
      <c r="I144" s="763"/>
      <c r="J144" s="763"/>
      <c r="K144" s="763"/>
      <c r="L144" s="763"/>
    </row>
    <row r="145" spans="2:12" s="764" customFormat="1">
      <c r="B145" s="763"/>
      <c r="C145" s="763"/>
      <c r="D145" s="763"/>
      <c r="E145" s="763"/>
      <c r="F145" s="763"/>
      <c r="G145" s="763"/>
      <c r="H145" s="763"/>
      <c r="I145" s="763"/>
      <c r="J145" s="763"/>
      <c r="K145" s="763"/>
      <c r="L145" s="763"/>
    </row>
    <row r="146" spans="2:12" s="764" customFormat="1">
      <c r="B146" s="763"/>
      <c r="C146" s="763"/>
      <c r="D146" s="763"/>
      <c r="E146" s="763"/>
      <c r="F146" s="763"/>
      <c r="G146" s="763"/>
      <c r="H146" s="763"/>
      <c r="I146" s="763"/>
      <c r="J146" s="763"/>
      <c r="K146" s="763"/>
      <c r="L146" s="763"/>
    </row>
    <row r="147" spans="2:12" s="764" customFormat="1">
      <c r="B147" s="763"/>
      <c r="C147" s="763"/>
      <c r="D147" s="763"/>
      <c r="E147" s="763"/>
      <c r="F147" s="763"/>
      <c r="G147" s="763"/>
      <c r="H147" s="763"/>
      <c r="I147" s="763"/>
      <c r="J147" s="763"/>
      <c r="K147" s="763"/>
      <c r="L147" s="763"/>
    </row>
    <row r="148" spans="2:12" s="764" customFormat="1">
      <c r="B148" s="763"/>
      <c r="C148" s="763"/>
      <c r="D148" s="763"/>
      <c r="E148" s="763"/>
      <c r="F148" s="763"/>
      <c r="G148" s="763"/>
      <c r="H148" s="763"/>
      <c r="I148" s="763"/>
      <c r="J148" s="763"/>
      <c r="K148" s="763"/>
      <c r="L148" s="763"/>
    </row>
    <row r="149" spans="2:12" s="764" customFormat="1">
      <c r="B149" s="763"/>
      <c r="C149" s="763"/>
      <c r="D149" s="763"/>
      <c r="E149" s="763"/>
      <c r="F149" s="763"/>
      <c r="G149" s="763"/>
      <c r="H149" s="763"/>
      <c r="I149" s="763"/>
      <c r="J149" s="763"/>
      <c r="K149" s="763"/>
      <c r="L149" s="763"/>
    </row>
    <row r="150" spans="2:12" s="764" customFormat="1">
      <c r="B150" s="763"/>
      <c r="C150" s="763"/>
      <c r="D150" s="763"/>
      <c r="E150" s="763"/>
      <c r="F150" s="763"/>
      <c r="G150" s="763"/>
      <c r="H150" s="763"/>
      <c r="I150" s="763"/>
      <c r="J150" s="763"/>
      <c r="K150" s="763"/>
      <c r="L150" s="763"/>
    </row>
    <row r="151" spans="2:12" s="764" customFormat="1">
      <c r="B151" s="763"/>
      <c r="C151" s="763"/>
      <c r="D151" s="763"/>
      <c r="E151" s="763"/>
      <c r="F151" s="763"/>
      <c r="G151" s="763"/>
      <c r="H151" s="763"/>
      <c r="I151" s="763"/>
      <c r="J151" s="763"/>
      <c r="K151" s="763"/>
      <c r="L151" s="763"/>
    </row>
    <row r="152" spans="2:12" s="764" customFormat="1">
      <c r="B152" s="763"/>
      <c r="C152" s="763"/>
      <c r="D152" s="763"/>
      <c r="E152" s="763"/>
      <c r="F152" s="763"/>
      <c r="G152" s="763"/>
      <c r="H152" s="763"/>
      <c r="I152" s="763"/>
      <c r="J152" s="763"/>
      <c r="K152" s="763"/>
      <c r="L152" s="763"/>
    </row>
    <row r="153" spans="2:12" s="764" customFormat="1">
      <c r="B153" s="763"/>
      <c r="C153" s="763"/>
      <c r="D153" s="763"/>
      <c r="E153" s="763"/>
      <c r="F153" s="763"/>
      <c r="G153" s="763"/>
      <c r="H153" s="763"/>
      <c r="I153" s="763"/>
      <c r="J153" s="763"/>
      <c r="K153" s="763"/>
      <c r="L153" s="763"/>
    </row>
    <row r="154" spans="2:12" s="764" customFormat="1">
      <c r="B154" s="763"/>
      <c r="C154" s="763"/>
      <c r="D154" s="763"/>
      <c r="E154" s="763"/>
      <c r="F154" s="763"/>
      <c r="G154" s="763"/>
      <c r="H154" s="763"/>
      <c r="I154" s="763"/>
      <c r="J154" s="763"/>
      <c r="K154" s="763"/>
      <c r="L154" s="763"/>
    </row>
    <row r="155" spans="2:12" s="764" customFormat="1">
      <c r="B155" s="763"/>
      <c r="C155" s="763"/>
      <c r="D155" s="763"/>
      <c r="E155" s="763"/>
      <c r="F155" s="763"/>
      <c r="G155" s="763"/>
      <c r="H155" s="763"/>
      <c r="I155" s="763"/>
      <c r="J155" s="763"/>
      <c r="K155" s="763"/>
      <c r="L155" s="763"/>
    </row>
    <row r="156" spans="2:12" s="764" customFormat="1">
      <c r="B156" s="763"/>
      <c r="C156" s="763"/>
      <c r="D156" s="763"/>
      <c r="E156" s="763"/>
      <c r="F156" s="763"/>
      <c r="G156" s="763"/>
      <c r="H156" s="763"/>
      <c r="I156" s="763"/>
      <c r="J156" s="763"/>
      <c r="K156" s="763"/>
      <c r="L156" s="763"/>
    </row>
    <row r="157" spans="2:12" s="764" customFormat="1">
      <c r="B157" s="763"/>
      <c r="C157" s="763"/>
      <c r="D157" s="763"/>
      <c r="E157" s="763"/>
      <c r="F157" s="763"/>
      <c r="G157" s="763"/>
      <c r="H157" s="763"/>
      <c r="I157" s="763"/>
      <c r="J157" s="763"/>
      <c r="K157" s="763"/>
      <c r="L157" s="763"/>
    </row>
    <row r="158" spans="2:12" s="764" customFormat="1">
      <c r="B158" s="763"/>
      <c r="C158" s="763"/>
      <c r="D158" s="763"/>
      <c r="E158" s="763"/>
      <c r="F158" s="763"/>
      <c r="G158" s="763"/>
      <c r="H158" s="763"/>
      <c r="I158" s="763"/>
      <c r="J158" s="763"/>
      <c r="K158" s="763"/>
      <c r="L158" s="763"/>
    </row>
    <row r="159" spans="2:12" s="764" customFormat="1">
      <c r="B159" s="763"/>
      <c r="C159" s="763"/>
      <c r="D159" s="763"/>
      <c r="E159" s="763"/>
      <c r="F159" s="763"/>
      <c r="G159" s="763"/>
      <c r="H159" s="763"/>
      <c r="I159" s="763"/>
      <c r="J159" s="763"/>
      <c r="K159" s="763"/>
      <c r="L159" s="763"/>
    </row>
    <row r="160" spans="2:12" s="764" customFormat="1">
      <c r="B160" s="763"/>
      <c r="C160" s="763"/>
      <c r="D160" s="763"/>
      <c r="E160" s="763"/>
      <c r="F160" s="763"/>
      <c r="G160" s="763"/>
      <c r="H160" s="763"/>
      <c r="I160" s="763"/>
      <c r="J160" s="763"/>
      <c r="K160" s="763"/>
      <c r="L160" s="763"/>
    </row>
    <row r="161" spans="2:12" s="764" customFormat="1">
      <c r="B161" s="763"/>
      <c r="C161" s="763"/>
      <c r="D161" s="763"/>
      <c r="E161" s="763"/>
      <c r="F161" s="763"/>
      <c r="G161" s="763"/>
      <c r="H161" s="763"/>
      <c r="I161" s="763"/>
      <c r="J161" s="763"/>
      <c r="K161" s="763"/>
      <c r="L161" s="763"/>
    </row>
    <row r="162" spans="2:12" s="764" customFormat="1">
      <c r="B162" s="763"/>
      <c r="C162" s="763"/>
      <c r="D162" s="763"/>
      <c r="E162" s="763"/>
      <c r="F162" s="763"/>
      <c r="G162" s="763"/>
      <c r="H162" s="763"/>
      <c r="I162" s="763"/>
      <c r="J162" s="763"/>
      <c r="K162" s="763"/>
      <c r="L162" s="763"/>
    </row>
    <row r="163" spans="2:12" s="764" customFormat="1">
      <c r="B163" s="763"/>
      <c r="C163" s="763"/>
      <c r="D163" s="763"/>
      <c r="E163" s="763"/>
      <c r="F163" s="763"/>
      <c r="G163" s="763"/>
      <c r="H163" s="763"/>
      <c r="I163" s="763"/>
      <c r="J163" s="763"/>
      <c r="K163" s="763"/>
      <c r="L163" s="763"/>
    </row>
    <row r="164" spans="2:12" s="764" customFormat="1">
      <c r="B164" s="763"/>
      <c r="C164" s="763"/>
      <c r="D164" s="763"/>
      <c r="E164" s="763"/>
      <c r="F164" s="763"/>
      <c r="G164" s="763"/>
      <c r="H164" s="763"/>
      <c r="I164" s="763"/>
      <c r="J164" s="763"/>
      <c r="K164" s="763"/>
      <c r="L164" s="763"/>
    </row>
    <row r="165" spans="2:12" s="764" customFormat="1">
      <c r="B165" s="763"/>
      <c r="C165" s="763"/>
      <c r="D165" s="763"/>
      <c r="E165" s="763"/>
      <c r="F165" s="763"/>
      <c r="G165" s="763"/>
      <c r="H165" s="763"/>
      <c r="I165" s="763"/>
      <c r="J165" s="763"/>
      <c r="K165" s="763"/>
      <c r="L165" s="763"/>
    </row>
    <row r="166" spans="2:12" s="764" customFormat="1">
      <c r="B166" s="763"/>
      <c r="C166" s="763"/>
      <c r="D166" s="763"/>
      <c r="E166" s="763"/>
      <c r="F166" s="763"/>
      <c r="G166" s="763"/>
      <c r="H166" s="763"/>
      <c r="I166" s="763"/>
      <c r="J166" s="763"/>
      <c r="K166" s="763"/>
      <c r="L166" s="763"/>
    </row>
    <row r="167" spans="2:12" s="764" customFormat="1">
      <c r="B167" s="763"/>
      <c r="C167" s="763"/>
      <c r="D167" s="763"/>
      <c r="E167" s="763"/>
      <c r="F167" s="763"/>
      <c r="G167" s="763"/>
      <c r="H167" s="763"/>
      <c r="I167" s="763"/>
      <c r="J167" s="763"/>
      <c r="K167" s="763"/>
      <c r="L167" s="763"/>
    </row>
    <row r="168" spans="2:12" s="764" customFormat="1">
      <c r="B168" s="763"/>
      <c r="C168" s="763"/>
      <c r="D168" s="763"/>
      <c r="E168" s="763"/>
      <c r="F168" s="763"/>
      <c r="G168" s="763"/>
      <c r="H168" s="763"/>
      <c r="I168" s="763"/>
      <c r="J168" s="763"/>
      <c r="K168" s="763"/>
      <c r="L168" s="763"/>
    </row>
    <row r="169" spans="2:12" s="764" customFormat="1">
      <c r="B169" s="763"/>
      <c r="C169" s="763"/>
      <c r="D169" s="763"/>
      <c r="E169" s="763"/>
      <c r="F169" s="763"/>
      <c r="G169" s="763"/>
      <c r="H169" s="763"/>
      <c r="I169" s="763"/>
      <c r="J169" s="763"/>
      <c r="K169" s="763"/>
      <c r="L169" s="763"/>
    </row>
  </sheetData>
  <sheetProtection algorithmName="SHA-512" hashValue="jaxrSuQtPq7mXmx50iypiKZ/Sq+cyN91ZnCIX0UWjKoloyF4O5vW1odp1aoCcJMp3iuvr4yyQMaAdh3kao44mQ==" saltValue="S3keqEh0AVjcg8DVMmP8yQ==" spinCount="100000" sheet="1" formatColumns="0" formatRows="0"/>
  <mergeCells count="352">
    <mergeCell ref="V114:X114"/>
    <mergeCell ref="Y114:Z114"/>
    <mergeCell ref="AA114:AB114"/>
    <mergeCell ref="V115:X115"/>
    <mergeCell ref="Y115:Z115"/>
    <mergeCell ref="AA115:AB115"/>
    <mergeCell ref="V111:X111"/>
    <mergeCell ref="Y111:Z111"/>
    <mergeCell ref="AA111:AB111"/>
    <mergeCell ref="V112:X112"/>
    <mergeCell ref="Y112:Z112"/>
    <mergeCell ref="AA112:AB112"/>
    <mergeCell ref="V113:X113"/>
    <mergeCell ref="Y113:Z113"/>
    <mergeCell ref="AA113:AB113"/>
    <mergeCell ref="V108:X108"/>
    <mergeCell ref="Y108:Z108"/>
    <mergeCell ref="AA108:AB108"/>
    <mergeCell ref="V109:X109"/>
    <mergeCell ref="Y109:Z109"/>
    <mergeCell ref="AA109:AB109"/>
    <mergeCell ref="V110:X110"/>
    <mergeCell ref="Y110:Z110"/>
    <mergeCell ref="AA110:AB110"/>
    <mergeCell ref="T112:U112"/>
    <mergeCell ref="T113:U113"/>
    <mergeCell ref="T114:U114"/>
    <mergeCell ref="T115:U115"/>
    <mergeCell ref="V103:X103"/>
    <mergeCell ref="Y103:Z103"/>
    <mergeCell ref="AA103:AB103"/>
    <mergeCell ref="V104:X104"/>
    <mergeCell ref="Y104:Z104"/>
    <mergeCell ref="AA104:AB104"/>
    <mergeCell ref="V105:X105"/>
    <mergeCell ref="Y105:Z105"/>
    <mergeCell ref="AA105:AB105"/>
    <mergeCell ref="V106:X106"/>
    <mergeCell ref="Y106:Z106"/>
    <mergeCell ref="AA106:AB106"/>
    <mergeCell ref="V107:X107"/>
    <mergeCell ref="Y107:Z107"/>
    <mergeCell ref="AA107:AB107"/>
    <mergeCell ref="T103:U103"/>
    <mergeCell ref="T104:U104"/>
    <mergeCell ref="T105:U105"/>
    <mergeCell ref="T106:U106"/>
    <mergeCell ref="T107:U107"/>
    <mergeCell ref="T108:U108"/>
    <mergeCell ref="T109:U109"/>
    <mergeCell ref="T110:U110"/>
    <mergeCell ref="T111:U111"/>
    <mergeCell ref="R114:S114"/>
    <mergeCell ref="B103:C104"/>
    <mergeCell ref="B105:C105"/>
    <mergeCell ref="B106:C106"/>
    <mergeCell ref="B107:C107"/>
    <mergeCell ref="B108:C108"/>
    <mergeCell ref="B109:C109"/>
    <mergeCell ref="B110:C110"/>
    <mergeCell ref="B111:C111"/>
    <mergeCell ref="B112:C112"/>
    <mergeCell ref="B113:C113"/>
    <mergeCell ref="B114:C114"/>
    <mergeCell ref="D103:E103"/>
    <mergeCell ref="D104:E104"/>
    <mergeCell ref="M104:O104"/>
    <mergeCell ref="R103:S103"/>
    <mergeCell ref="R104:S104"/>
    <mergeCell ref="R105:S105"/>
    <mergeCell ref="R106:S106"/>
    <mergeCell ref="R107:S107"/>
    <mergeCell ref="D105:E105"/>
    <mergeCell ref="D106:E106"/>
    <mergeCell ref="D107:E107"/>
    <mergeCell ref="D108:E108"/>
    <mergeCell ref="D109:E109"/>
    <mergeCell ref="D110:E110"/>
    <mergeCell ref="D111:E111"/>
    <mergeCell ref="D112:E112"/>
    <mergeCell ref="D113:E113"/>
    <mergeCell ref="R108:S108"/>
    <mergeCell ref="R109:S109"/>
    <mergeCell ref="R110:S110"/>
    <mergeCell ref="R111:S111"/>
    <mergeCell ref="R112:S112"/>
    <mergeCell ref="R113:S113"/>
    <mergeCell ref="P104:Q104"/>
    <mergeCell ref="P105:Q105"/>
    <mergeCell ref="P106:Q106"/>
    <mergeCell ref="P107:Q107"/>
    <mergeCell ref="P108:Q108"/>
    <mergeCell ref="P109:Q109"/>
    <mergeCell ref="P110:Q110"/>
    <mergeCell ref="P111:Q111"/>
    <mergeCell ref="P112:Q112"/>
    <mergeCell ref="B115:C115"/>
    <mergeCell ref="R115:S115"/>
    <mergeCell ref="F112:G112"/>
    <mergeCell ref="H112:I112"/>
    <mergeCell ref="J112:L112"/>
    <mergeCell ref="M112:O112"/>
    <mergeCell ref="F113:G113"/>
    <mergeCell ref="H113:I113"/>
    <mergeCell ref="J113:L113"/>
    <mergeCell ref="M113:O113"/>
    <mergeCell ref="F114:G114"/>
    <mergeCell ref="H114:I114"/>
    <mergeCell ref="J114:L114"/>
    <mergeCell ref="M114:O114"/>
    <mergeCell ref="F115:G115"/>
    <mergeCell ref="H115:I115"/>
    <mergeCell ref="J115:L115"/>
    <mergeCell ref="M115:O115"/>
    <mergeCell ref="D114:E114"/>
    <mergeCell ref="D115:E115"/>
    <mergeCell ref="P113:Q113"/>
    <mergeCell ref="P114:Q114"/>
    <mergeCell ref="P115:Q115"/>
    <mergeCell ref="F111:G111"/>
    <mergeCell ref="H111:I111"/>
    <mergeCell ref="J111:L111"/>
    <mergeCell ref="M111:O111"/>
    <mergeCell ref="J104:L104"/>
    <mergeCell ref="H104:I104"/>
    <mergeCell ref="F104:G104"/>
    <mergeCell ref="F106:G106"/>
    <mergeCell ref="H106:I106"/>
    <mergeCell ref="J106:L106"/>
    <mergeCell ref="F107:G107"/>
    <mergeCell ref="H107:I107"/>
    <mergeCell ref="J107:L107"/>
    <mergeCell ref="J105:L105"/>
    <mergeCell ref="M106:O106"/>
    <mergeCell ref="M107:O107"/>
    <mergeCell ref="F108:G108"/>
    <mergeCell ref="H108:I108"/>
    <mergeCell ref="J108:L108"/>
    <mergeCell ref="M108:O108"/>
    <mergeCell ref="F110:G110"/>
    <mergeCell ref="H110:I110"/>
    <mergeCell ref="J110:L110"/>
    <mergeCell ref="M110:O110"/>
    <mergeCell ref="P103:Q103"/>
    <mergeCell ref="H105:I105"/>
    <mergeCell ref="H103:I103"/>
    <mergeCell ref="F109:G109"/>
    <mergeCell ref="H109:I109"/>
    <mergeCell ref="J109:L109"/>
    <mergeCell ref="M109:O109"/>
    <mergeCell ref="C79:D80"/>
    <mergeCell ref="C81:D82"/>
    <mergeCell ref="C83:D84"/>
    <mergeCell ref="C85:D86"/>
    <mergeCell ref="C87:D88"/>
    <mergeCell ref="E79:E80"/>
    <mergeCell ref="E81:E82"/>
    <mergeCell ref="E83:E84"/>
    <mergeCell ref="E85:E86"/>
    <mergeCell ref="E87:E88"/>
    <mergeCell ref="B94:E97"/>
    <mergeCell ref="I87:L88"/>
    <mergeCell ref="J103:L103"/>
    <mergeCell ref="F103:G103"/>
    <mergeCell ref="F105:G105"/>
    <mergeCell ref="M103:O103"/>
    <mergeCell ref="M105:O105"/>
    <mergeCell ref="X43:Y44"/>
    <mergeCell ref="Z43:Z44"/>
    <mergeCell ref="X42:Z42"/>
    <mergeCell ref="D5:Z6"/>
    <mergeCell ref="D17:Z17"/>
    <mergeCell ref="D27:Z27"/>
    <mergeCell ref="C39:G39"/>
    <mergeCell ref="H39:AA39"/>
    <mergeCell ref="C32:H32"/>
    <mergeCell ref="C33:H33"/>
    <mergeCell ref="B42:B52"/>
    <mergeCell ref="D42:F42"/>
    <mergeCell ref="M42:O42"/>
    <mergeCell ref="Q42:S42"/>
    <mergeCell ref="T42:V42"/>
    <mergeCell ref="D43:E44"/>
    <mergeCell ref="F43:F44"/>
    <mergeCell ref="M43:N43"/>
    <mergeCell ref="Q43:R43"/>
    <mergeCell ref="T43:U43"/>
    <mergeCell ref="I49:J49"/>
    <mergeCell ref="M49:N49"/>
    <mergeCell ref="Q49:R49"/>
    <mergeCell ref="T49:U49"/>
    <mergeCell ref="M52:N52"/>
    <mergeCell ref="Q52:R52"/>
    <mergeCell ref="T52:U52"/>
    <mergeCell ref="I62:K62"/>
    <mergeCell ref="M62:O62"/>
    <mergeCell ref="Q62:S62"/>
    <mergeCell ref="T62:V62"/>
    <mergeCell ref="X49:Z49"/>
    <mergeCell ref="M51:O51"/>
    <mergeCell ref="Q51:S51"/>
    <mergeCell ref="T51:V51"/>
    <mergeCell ref="D45:F49"/>
    <mergeCell ref="M45:O45"/>
    <mergeCell ref="Q45:S45"/>
    <mergeCell ref="T45:V45"/>
    <mergeCell ref="X45:Z48"/>
    <mergeCell ref="I48:K48"/>
    <mergeCell ref="M48:O48"/>
    <mergeCell ref="Q48:S48"/>
    <mergeCell ref="T48:V48"/>
    <mergeCell ref="M46:N46"/>
    <mergeCell ref="Q46:R46"/>
    <mergeCell ref="T46:U46"/>
    <mergeCell ref="X50:Y51"/>
    <mergeCell ref="Z50:Z51"/>
    <mergeCell ref="X63:Z63"/>
    <mergeCell ref="M65:O65"/>
    <mergeCell ref="Q65:S65"/>
    <mergeCell ref="T65:V65"/>
    <mergeCell ref="I72:L73"/>
    <mergeCell ref="M72:P73"/>
    <mergeCell ref="X52:Z52"/>
    <mergeCell ref="D57:E58"/>
    <mergeCell ref="F57:F58"/>
    <mergeCell ref="M57:N57"/>
    <mergeCell ref="Q57:R57"/>
    <mergeCell ref="Q72:V73"/>
    <mergeCell ref="W72:Z73"/>
    <mergeCell ref="M60:N60"/>
    <mergeCell ref="Q60:R60"/>
    <mergeCell ref="T60:U60"/>
    <mergeCell ref="T57:U57"/>
    <mergeCell ref="X57:Y58"/>
    <mergeCell ref="D59:F62"/>
    <mergeCell ref="M59:O59"/>
    <mergeCell ref="Q59:S59"/>
    <mergeCell ref="T59:V59"/>
    <mergeCell ref="X59:Z62"/>
    <mergeCell ref="Z57:Z58"/>
    <mergeCell ref="I74:L74"/>
    <mergeCell ref="I75:L75"/>
    <mergeCell ref="I76:L76"/>
    <mergeCell ref="M79:P80"/>
    <mergeCell ref="M81:P82"/>
    <mergeCell ref="B77:H77"/>
    <mergeCell ref="C71:Z71"/>
    <mergeCell ref="B72:H73"/>
    <mergeCell ref="M66:N66"/>
    <mergeCell ref="Q66:R66"/>
    <mergeCell ref="T66:U66"/>
    <mergeCell ref="X66:Z66"/>
    <mergeCell ref="B56:B66"/>
    <mergeCell ref="D56:F56"/>
    <mergeCell ref="M56:O56"/>
    <mergeCell ref="Q56:S56"/>
    <mergeCell ref="T56:V56"/>
    <mergeCell ref="X56:Z56"/>
    <mergeCell ref="X64:Y65"/>
    <mergeCell ref="Z64:Z65"/>
    <mergeCell ref="I63:J63"/>
    <mergeCell ref="M63:N63"/>
    <mergeCell ref="Q63:R63"/>
    <mergeCell ref="T63:U63"/>
    <mergeCell ref="Q96:T96"/>
    <mergeCell ref="U96:Z97"/>
    <mergeCell ref="U98:Z98"/>
    <mergeCell ref="F98:I98"/>
    <mergeCell ref="J98:L98"/>
    <mergeCell ref="B98:E98"/>
    <mergeCell ref="I77:L77"/>
    <mergeCell ref="B89:H89"/>
    <mergeCell ref="B90:H90"/>
    <mergeCell ref="Q89:S89"/>
    <mergeCell ref="M78:P78"/>
    <mergeCell ref="S98:T98"/>
    <mergeCell ref="O97:P97"/>
    <mergeCell ref="M98:N98"/>
    <mergeCell ref="Q78:V78"/>
    <mergeCell ref="I89:L89"/>
    <mergeCell ref="I90:L90"/>
    <mergeCell ref="M77:P77"/>
    <mergeCell ref="M83:P84"/>
    <mergeCell ref="M85:P86"/>
    <mergeCell ref="I78:L78"/>
    <mergeCell ref="I79:L80"/>
    <mergeCell ref="I81:L82"/>
    <mergeCell ref="I83:L84"/>
    <mergeCell ref="W74:Y74"/>
    <mergeCell ref="W75:Y75"/>
    <mergeCell ref="W76:Y76"/>
    <mergeCell ref="W77:Y77"/>
    <mergeCell ref="W79:Y80"/>
    <mergeCell ref="Z79:Z80"/>
    <mergeCell ref="W81:Y82"/>
    <mergeCell ref="Z81:Z82"/>
    <mergeCell ref="C99:E99"/>
    <mergeCell ref="F99:I99"/>
    <mergeCell ref="J99:L99"/>
    <mergeCell ref="M99:N99"/>
    <mergeCell ref="O99:P99"/>
    <mergeCell ref="Q99:R99"/>
    <mergeCell ref="B78:H78"/>
    <mergeCell ref="M89:P89"/>
    <mergeCell ref="T89:V89"/>
    <mergeCell ref="W89:X89"/>
    <mergeCell ref="Y89:Z89"/>
    <mergeCell ref="U99:W99"/>
    <mergeCell ref="M95:T95"/>
    <mergeCell ref="F96:I97"/>
    <mergeCell ref="J96:L97"/>
    <mergeCell ref="M96:P96"/>
    <mergeCell ref="M74:P74"/>
    <mergeCell ref="M75:P75"/>
    <mergeCell ref="B74:H74"/>
    <mergeCell ref="X99:Z99"/>
    <mergeCell ref="F94:L95"/>
    <mergeCell ref="M94:T94"/>
    <mergeCell ref="U94:Z95"/>
    <mergeCell ref="Q97:R97"/>
    <mergeCell ref="S97:T97"/>
    <mergeCell ref="M97:N97"/>
    <mergeCell ref="M87:P88"/>
    <mergeCell ref="O98:P98"/>
    <mergeCell ref="Q98:R98"/>
    <mergeCell ref="S99:T99"/>
    <mergeCell ref="R82:U82"/>
    <mergeCell ref="R83:U83"/>
    <mergeCell ref="R84:U84"/>
    <mergeCell ref="R85:U85"/>
    <mergeCell ref="R86:U86"/>
    <mergeCell ref="R87:U87"/>
    <mergeCell ref="W78:Z78"/>
    <mergeCell ref="Q74:U74"/>
    <mergeCell ref="Q75:U75"/>
    <mergeCell ref="Q76:U76"/>
    <mergeCell ref="W83:Y84"/>
    <mergeCell ref="Z83:Z84"/>
    <mergeCell ref="W85:Y86"/>
    <mergeCell ref="Z85:Z86"/>
    <mergeCell ref="W87:Y88"/>
    <mergeCell ref="Z87:Z88"/>
    <mergeCell ref="B76:H76"/>
    <mergeCell ref="M76:P76"/>
    <mergeCell ref="B75:H75"/>
    <mergeCell ref="Q77:U77"/>
    <mergeCell ref="R81:U81"/>
    <mergeCell ref="B79:B88"/>
    <mergeCell ref="I85:L86"/>
    <mergeCell ref="R88:U88"/>
    <mergeCell ref="R79:U79"/>
    <mergeCell ref="R80:U80"/>
  </mergeCells>
  <phoneticPr fontId="15"/>
  <conditionalFormatting sqref="I89:J89">
    <cfRule type="cellIs" dxfId="776" priority="57" operator="notEqual">
      <formula>$I$90</formula>
    </cfRule>
  </conditionalFormatting>
  <conditionalFormatting sqref="C85 C87">
    <cfRule type="cellIs" dxfId="775" priority="51" operator="equal">
      <formula>"電気事業者名を選択"</formula>
    </cfRule>
  </conditionalFormatting>
  <conditionalFormatting sqref="D42:Z42 D43 Z43 D57 Z57 F57:L57 F43:X43 D63:L66 X64 Z64 X63:Z63 D50:X50 D51:W51 Z50 G58:L62 X59 G44:W48 X45 D52:Z56 G49:Z49 P58:W65 P66:Z66 P57:X57">
    <cfRule type="cellIs" dxfId="774" priority="46" operator="lessThan">
      <formula>0</formula>
    </cfRule>
  </conditionalFormatting>
  <conditionalFormatting sqref="D57">
    <cfRule type="expression" dxfId="773" priority="45">
      <formula>$D$43&lt;$D$57</formula>
    </cfRule>
  </conditionalFormatting>
  <conditionalFormatting sqref="I63:J63">
    <cfRule type="expression" dxfId="772" priority="44">
      <formula>$I$49&lt;$I$63</formula>
    </cfRule>
  </conditionalFormatting>
  <conditionalFormatting sqref="Q57:R57">
    <cfRule type="expression" dxfId="771" priority="43">
      <formula>$Q$43&lt;$Q$57</formula>
    </cfRule>
  </conditionalFormatting>
  <conditionalFormatting sqref="Q60:R60">
    <cfRule type="expression" dxfId="770" priority="42">
      <formula>$Q$46&lt;$Q$60</formula>
    </cfRule>
  </conditionalFormatting>
  <conditionalFormatting sqref="Q63:R63">
    <cfRule type="expression" dxfId="769" priority="41">
      <formula>$Q$49&lt;$Q$63</formula>
    </cfRule>
  </conditionalFormatting>
  <conditionalFormatting sqref="Q66:R66">
    <cfRule type="expression" dxfId="768" priority="40">
      <formula>$Q$52&lt;$Q$66</formula>
    </cfRule>
  </conditionalFormatting>
  <conditionalFormatting sqref="T57:U57">
    <cfRule type="expression" dxfId="767" priority="39">
      <formula>$T$43&lt;$T$57</formula>
    </cfRule>
  </conditionalFormatting>
  <conditionalFormatting sqref="T60:U60">
    <cfRule type="expression" dxfId="766" priority="38">
      <formula>$T$46&lt;$T$60</formula>
    </cfRule>
  </conditionalFormatting>
  <conditionalFormatting sqref="T63:U63">
    <cfRule type="expression" dxfId="765" priority="37">
      <formula>$T$49&lt;$T$63</formula>
    </cfRule>
  </conditionalFormatting>
  <conditionalFormatting sqref="T66:U66">
    <cfRule type="expression" dxfId="764" priority="36">
      <formula>$T$52&lt;$T$66</formula>
    </cfRule>
  </conditionalFormatting>
  <conditionalFormatting sqref="X57">
    <cfRule type="expression" dxfId="763" priority="35">
      <formula>$X$43&lt;$X$57</formula>
    </cfRule>
  </conditionalFormatting>
  <conditionalFormatting sqref="X64">
    <cfRule type="expression" dxfId="762" priority="59">
      <formula>$X$50&lt;$X$64</formula>
    </cfRule>
  </conditionalFormatting>
  <conditionalFormatting sqref="Q98:T99">
    <cfRule type="expression" dxfId="761" priority="34">
      <formula>$Q$96&lt;&gt;""</formula>
    </cfRule>
  </conditionalFormatting>
  <conditionalFormatting sqref="M98:P99">
    <cfRule type="expression" dxfId="760" priority="33">
      <formula>$Q$96&lt;&gt;""</formula>
    </cfRule>
  </conditionalFormatting>
  <conditionalFormatting sqref="M57:O66">
    <cfRule type="cellIs" dxfId="759" priority="32" operator="lessThan">
      <formula>0</formula>
    </cfRule>
  </conditionalFormatting>
  <conditionalFormatting sqref="F79:G79">
    <cfRule type="containsErrors" dxfId="758" priority="27">
      <formula>ISERROR(F79)</formula>
    </cfRule>
  </conditionalFormatting>
  <conditionalFormatting sqref="F80">
    <cfRule type="containsErrors" dxfId="757" priority="26">
      <formula>ISERROR(F80)</formula>
    </cfRule>
  </conditionalFormatting>
  <conditionalFormatting sqref="G80">
    <cfRule type="containsErrors" dxfId="756" priority="25">
      <formula>ISERROR(G80)</formula>
    </cfRule>
  </conditionalFormatting>
  <conditionalFormatting sqref="F81:G81">
    <cfRule type="containsErrors" dxfId="755" priority="24">
      <formula>ISERROR(F81)</formula>
    </cfRule>
  </conditionalFormatting>
  <conditionalFormatting sqref="F82">
    <cfRule type="containsErrors" dxfId="754" priority="23">
      <formula>ISERROR(F82)</formula>
    </cfRule>
  </conditionalFormatting>
  <conditionalFormatting sqref="G82">
    <cfRule type="containsErrors" dxfId="753" priority="22">
      <formula>ISERROR(G82)</formula>
    </cfRule>
  </conditionalFormatting>
  <conditionalFormatting sqref="F83:G83">
    <cfRule type="containsErrors" dxfId="752" priority="21">
      <formula>ISERROR(F83)</formula>
    </cfRule>
  </conditionalFormatting>
  <conditionalFormatting sqref="F84">
    <cfRule type="containsErrors" dxfId="751" priority="20">
      <formula>ISERROR(F84)</formula>
    </cfRule>
  </conditionalFormatting>
  <conditionalFormatting sqref="G84">
    <cfRule type="containsErrors" dxfId="750" priority="19">
      <formula>ISERROR(G84)</formula>
    </cfRule>
  </conditionalFormatting>
  <conditionalFormatting sqref="F85:G85">
    <cfRule type="containsErrors" dxfId="749" priority="18">
      <formula>ISERROR(F85)</formula>
    </cfRule>
  </conditionalFormatting>
  <conditionalFormatting sqref="F86">
    <cfRule type="containsErrors" dxfId="748" priority="17">
      <formula>ISERROR(F86)</formula>
    </cfRule>
  </conditionalFormatting>
  <conditionalFormatting sqref="G86">
    <cfRule type="containsErrors" dxfId="747" priority="16">
      <formula>ISERROR(G86)</formula>
    </cfRule>
  </conditionalFormatting>
  <conditionalFormatting sqref="F87:G87">
    <cfRule type="containsErrors" dxfId="746" priority="15">
      <formula>ISERROR(F87)</formula>
    </cfRule>
  </conditionalFormatting>
  <conditionalFormatting sqref="F88">
    <cfRule type="containsErrors" dxfId="745" priority="14">
      <formula>ISERROR(F88)</formula>
    </cfRule>
  </conditionalFormatting>
  <conditionalFormatting sqref="G88">
    <cfRule type="containsErrors" dxfId="744" priority="13">
      <formula>ISERROR(G88)</formula>
    </cfRule>
  </conditionalFormatting>
  <conditionalFormatting sqref="C79">
    <cfRule type="cellIs" dxfId="743" priority="12" operator="equal">
      <formula>"電気事業者名を選択"</formula>
    </cfRule>
  </conditionalFormatting>
  <conditionalFormatting sqref="C81">
    <cfRule type="cellIs" dxfId="742" priority="11" operator="equal">
      <formula>"電気事業者名を選択"</formula>
    </cfRule>
  </conditionalFormatting>
  <conditionalFormatting sqref="C83">
    <cfRule type="cellIs" dxfId="741" priority="10" operator="equal">
      <formula>"電気事業者名を選択"</formula>
    </cfRule>
  </conditionalFormatting>
  <conditionalFormatting sqref="F115">
    <cfRule type="expression" dxfId="740" priority="6">
      <formula>$Q$96&lt;&gt;""</formula>
    </cfRule>
  </conditionalFormatting>
  <conditionalFormatting sqref="H115:I115">
    <cfRule type="expression" dxfId="739" priority="5">
      <formula>$Q$96&lt;&gt;""</formula>
    </cfRule>
  </conditionalFormatting>
  <conditionalFormatting sqref="Q96:T96 Q98:T98">
    <cfRule type="expression" dxfId="738" priority="4">
      <formula>$I$35&lt;&gt;2</formula>
    </cfRule>
  </conditionalFormatting>
  <conditionalFormatting sqref="D105:I114 M105:O114 V105:X114">
    <cfRule type="expression" dxfId="737" priority="2">
      <formula>$I$35&lt;&gt;3</formula>
    </cfRule>
  </conditionalFormatting>
  <pageMargins left="0.7" right="0.7" top="0.75" bottom="0.75" header="0.3" footer="0.3"/>
  <pageSetup paperSize="9" scale="64"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7774" r:id="rId4" name="Option Button 14">
              <controlPr locked="0" defaultSize="0" autoFill="0" autoLine="0" autoPict="0">
                <anchor moveWithCells="1">
                  <from>
                    <xdr:col>1</xdr:col>
                    <xdr:colOff>85725</xdr:colOff>
                    <xdr:row>31</xdr:row>
                    <xdr:rowOff>28575</xdr:rowOff>
                  </from>
                  <to>
                    <xdr:col>3</xdr:col>
                    <xdr:colOff>85725</xdr:colOff>
                    <xdr:row>32</xdr:row>
                    <xdr:rowOff>9525</xdr:rowOff>
                  </to>
                </anchor>
              </controlPr>
            </control>
          </mc:Choice>
        </mc:AlternateContent>
        <mc:AlternateContent xmlns:mc="http://schemas.openxmlformats.org/markup-compatibility/2006">
          <mc:Choice Requires="x14">
            <control shapeId="117775" r:id="rId5" name="Option Button 15">
              <controlPr locked="0" defaultSize="0" autoFill="0" autoLine="0" autoPict="0">
                <anchor moveWithCells="1">
                  <from>
                    <xdr:col>1</xdr:col>
                    <xdr:colOff>85725</xdr:colOff>
                    <xdr:row>32</xdr:row>
                    <xdr:rowOff>28575</xdr:rowOff>
                  </from>
                  <to>
                    <xdr:col>3</xdr:col>
                    <xdr:colOff>85725</xdr:colOff>
                    <xdr:row>35</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678A6126-870F-4784-A350-34B361A38AF4}">
            <xm:f>はじめに!$B$36&lt;&gt;"計画書"</xm:f>
            <x14:dxf>
              <fill>
                <patternFill>
                  <bgColor theme="0" tint="-0.34998626667073579"/>
                </patternFill>
              </fill>
            </x14:dxf>
          </x14:cfRule>
          <xm:sqref>V105:X114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D g E A A B Q S w M E F A A C A A g A h r R Q V D q / U d + l A A A A 9 g A A A B I A H A B D b 2 5 m a W c v U G F j a 2 F n Z S 5 4 b W w g o h g A K K A U A A A A A A A A A A A A A A A A A A A A A A A A A A A A h Y + x D o I w G I R f h X S n L d U Y Q 3 7 K 4 G Y k I T E x r k 2 p U I V i a L G 8 m 4 O P 5 C u I U d T N 8 e 6 + S + 7 u 1 x u k Q 1 M H F 9 V Z 3 Z o E R Z i i Q B n Z F t q U C e r d I V y i l E M u 5 E m U K h h h Y + P B 6 g R V z p 1 j Q r z 3 2 M 9 w 2 5 W E U R q R f b b Z y k o 1 I t T G O m G k Q p 9 W 8 b + F O O x e Y z j D E a V 4 M R 8 3 A Z l M y L T 5 A m z M n u m P C a u + d n 2 n + F G E 6 x z I J I G 8 P / A H U E s D B B Q A A g A I A I a 0 U F 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G t F B U h U 3 A 0 D E B A A B J A w A A E w A c A E Z v c m 1 1 b G F z L 1 N l Y 3 R p b 2 4 x L m 0 g o h g A K K A U A A A A A A A A A A A A A A A A A A A A A A A A A A A A K 0 5 N L s n M z 1 M I h t C G 1 r x c v F z F G Y l F q S k K y k r q j y Y u f 7 G i 4 / m U 3 Y 8 b J r z f M / H 9 3 n n v 9 0 x + 3 D B R X d H R U U n B V i E n t Y S X S w E I H j f t f d y 8 5 3 H T T q C g a 0 V y a o 6 e c 2 l R U W p e S X h + U X Z S f n 6 2 h m Z 1 t F 9 i b q o t A U N j a 6 O d 8 / N K g D p j d S B G P 5 v R / m z B n s e N U x 8 3 9 T x u n P + 4 e c b j 5 u b H z Q 1 A + 5 5 N 3 Q C 0 L y Q x K S d V L 6 A o P z e / J N U j N T E l t a h Y A + 4 g H Y V o q J R j T k 5 w c m J O Y l G x b U l R a W q s J t S C p 0 s 6 n 8 3 e A r f g 6 b x u u K E h R Y l 5 x W n 5 R b n O + T m l u X k h l Q W p x R r 4 H a R T X a 3 0 f g / I Y w o v 9 m 1 6 t n S t k o 5 C C V C f Q m J e Z a 2 O A l R y k s K z e d P R J G s 1 e b k y 8 3 C 5 i Y S Y U d A w 0 h y N H f r G D g B Q S w E C L Q A U A A I A C A C G t F B U O r 9 R 3 6 U A A A D 2 A A A A E g A A A A A A A A A A A A A A A A A A A A A A Q 2 9 u Z m l n L 1 B h Y 2 t h Z 2 U u e G 1 s U E s B A i 0 A F A A C A A g A h r R Q V A / K 6 a u k A A A A 6 Q A A A B M A A A A A A A A A A A A A A A A A 8 Q A A A F t D b 2 5 0 Z W 5 0 X 1 R 5 c G V z X S 5 4 b W x Q S w E C L Q A U A A I A C A C G t F B U h U 3 A 0 D E B A A B J A w A A E w A A A A A A A A A A A A A A A A D i A Q A A R m 9 y b X V s Y X M v U 2 V j d G l v b j E u b V B L B Q Y A A A A A A w A D A M I A A A B g 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p F Q A A A A A A A A c V 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J y V F M i U 5 M S V B N y V F O C V B O C U 4 O C V F N y U 5 N C V C Q i V F M y U 4 M C U 5 M C V F R i V C Q y U 5 M S V F R i V C R C U 5 R S V F R i V C Q y U 5 M y V F M y U 4 M C U 5 M S c h Q U 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x I i A v P j x F b n R y e S B U e X B l P S J B Z G R l Z F R v R G F 0 Y U 1 v Z G V s I i B W Y W x 1 Z T 0 i b D A i I C 8 + P E V u d H J 5 I F R 5 c G U 9 I k Z p b G x D b 3 V u d C I g V m F s d W U 9 I m w w I i A v P j x F b n R y e S B U e X B l P S J G a W x s R X J y b 3 J D b 2 R l I i B W Y W x 1 Z T 0 i c 1 V u a 2 5 v d 2 4 i I C 8 + P E V u d H J 5 I F R 5 c G U 9 I k Z p b G x F c n J v c k N v d W 5 0 I i B W Y W x 1 Z T 0 i b D A i I C 8 + P E V u d H J 5 I F R 5 c G U 9 I k Z p b G x M Y X N 0 V X B k Y X R l Z C I g V m F s d W U 9 I m Q y M D I y L T A y L T E 2 V D E z O j A 3 O j A 3 L j k 1 O D g 5 M j V a I i A v P j x F b n R y e S B U e X B l P S J G a W x s Q 2 9 s d W 1 u V H l w Z X M i I F Z h b H V l P S J z Q U F B P S I g L z 4 8 R W 5 0 c n k g V H l w Z T 0 i R m l s b E N v b H V t b k 5 h b W V z I i B W Y W x 1 Z T 0 i c 1 s m c X V v d D v v v J D v v J E g 6 L 6 y 5 q W t J n F 1 b 3 Q 7 L C Z x d W 9 0 O + + 8 k O + 8 k i D m n p f m p a 0 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c d T A w M j f i k a f o q I j n l L v j g J D v v J H v v Z 7 v v J P j g J F c d T A w M j c h Q U E v 5 a S J 5 p u 0 4 4 G V 4 4 K M 4 4 G f 5 Z 6 L L n v v v J D v v J E g 6 L 6 y 5 q W t L D B 9 J n F 1 b 3 Q 7 L C Z x d W 9 0 O 1 N l Y 3 R p b 2 4 x L 1 x 1 M D A y N + K R p + i o i O e U u + O A k O + 8 k e + 9 n u + 8 k + O A k V x 1 M D A y N y F B Q S / l p I n m m 7 T j g Z X j g o z j g Z / l n o s u e + + 8 k O + 8 k i D m n p f m p a 0 s M X 0 m c X V v d D t d L C Z x d W 9 0 O 0 N v b H V t b k N v d W 5 0 J n F 1 b 3 Q 7 O j I s J n F 1 b 3 Q 7 S 2 V 5 Q 2 9 s d W 1 u T m F t Z X M m c X V v d D s 6 W 1 0 s J n F 1 b 3 Q 7 Q 2 9 s d W 1 u S W R l b n R p d G l l c y Z x d W 9 0 O z p b J n F 1 b 3 Q 7 U 2 V j d G l v b j E v X H U w M D I 3 4 p G n 6 K i I 5 5 S 7 4 4 C Q 7 7 y R 7 7 2 e 7 7 y T 4 4 C R X H U w M D I 3 I U F B L + W k i e a b t O O B l e O C j O O B n + W e i y 5 7 7 7 y Q 7 7 y R I O i + s u a l r S w w f S Z x d W 9 0 O y w m c X V v d D t T Z W N 0 a W 9 u M S 9 c d T A w M j f i k a f o q I j n l L v j g J D v v J H v v Z 7 v v J P j g J F c d T A w M j c h Q U E v 5 a S J 5 p u 0 4 4 G V 4 4 K M 4 4 G f 5 Z 6 L L n v v v J D v v J I g 5 p 6 X 5 q W t L D F 9 J n F 1 b 3 Q 7 X S w m c X V v d D t S Z W x h d G l v b n N o a X B J b m Z v J n F 1 b 3 Q 7 O l t d f S I g L z 4 8 L 1 N 0 Y W J s Z U V u d H J p Z X M + P C 9 J d G V t P j x J d G V t P j x J d G V t T G 9 j Y X R p b 2 4 + P E l 0 Z W 1 U e X B l P k Z v c m 1 1 b G E 8 L 0 l 0 Z W 1 U e X B l P j x J d G V t U G F 0 a D 5 T Z W N 0 a W 9 u M S 8 n J U U y J T k x J U E 3 J U U 4 J U E 4 J T g 4 J U U 3 J T k 0 J U J C J U U z J T g w J T k w J U V G J U J D J T k x J U V G J U J E J T l F J U V G J U J D J T k z J U U z J T g w J T k x J y F B Q S 8 l R T M l O D I l Q k Q l R T M l O D M l Q k M l R T M l O D I l Q j k 8 L 0 l 0 Z W 1 Q Y X R o P j w v S X R l b U x v Y 2 F 0 a W 9 u P j x T d G F i b G V F b n R y a W V z I C 8 + P C 9 J d G V t P j x J d G V t P j x J d G V t T G 9 j Y X R p b 2 4 + P E l 0 Z W 1 U e X B l P k Z v c m 1 1 b G E 8 L 0 l 0 Z W 1 U e X B l P j x J d G V t U G F 0 a D 5 T Z W N 0 a W 9 u M S 8 n J U U y J T k x J U E 3 J U U 4 J U E 4 J T g 4 J U U 3 J T k 0 J U J C J U U z J T g w J T k w J U V G J U J D J T k x J U V G J U J E J T l F J U V G J U J D J T k z J U U z J T g w J T k x J y F B Q S 8 l R T Y l O T g l O D c l R T Y l Q T A l Q k M l R T M l O D E l O T U l R T M l O D I l O E M l R T M l O D E l O U Y l R T M l O D M l O T g l R T M l O D M l O D M l R T M l O D M l O D A l R T M l O D M l Q k M l R T Y l O T U l Q j A 8 L 0 l 0 Z W 1 Q Y X R o P j w v S X R l b U x v Y 2 F 0 a W 9 u P j x T d G F i b G V F b n R y a W V z I C 8 + P C 9 J d G V t P j x J d G V t P j x J d G V t T G 9 j Y X R p b 2 4 + P E l 0 Z W 1 U e X B l P k Z v c m 1 1 b G E 8 L 0 l 0 Z W 1 U e X B l P j x J d G V t U G F 0 a D 5 T Z W N 0 a W 9 u M S 8 n J U U y J T k x J U E 3 J U U 4 J U E 4 J T g 4 J U U 3 J T k 0 J U J C J U U z J T g w J T k w J U V G J U J D J T k x J U V G J U J E J T l F J U V G J U J D J T k z J U U z J T g w J T k x J y F B Q S 8 l R T U l Q T Q l O D k l R T Y l O U I l Q j Q l R T M l O D E l O T U l R T M l O D I l O E M l R T M l O D E l O U Y l R T U l O U U l O E I 8 L 0 l 0 Z W 1 Q Y X R o P j w v S X R l b U x v Y 2 F 0 a W 9 u P j x T d G F i b G V F b n R y a W V z I C 8 + P C 9 J d G V t P j x J d G V t P j x J d G V t T G 9 j Y X R p b 2 4 + P E l 0 Z W 1 U e X B l P k Z v c m 1 1 b G E 8 L 0 l 0 Z W 1 U e X B l P j x J d G V t U G F 0 a D 5 T Z W N 0 a W 9 u M S 8 n J U U y J T k x J U E 3 J U U 4 J U E 4 J T g 4 J U U 3 J T k 0 J U J C J U U z J T g w J T k w J U V G J U J D J T k x J U V G J U J E J T l F J U V G J U J D J T k z J U U z J T g w J T k x J y F B Q 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F k Z G V k V G 9 E Y X R h T W 9 k Z W w i I F Z h b H V l P S J s M C I g L z 4 8 R W 5 0 c n k g V H l w Z T 0 i R m l s b E N v d W 5 0 I i B W Y W x 1 Z T 0 i b D A i I C 8 + P E V u d H J 5 I F R 5 c G U 9 I k Z p b G x F c n J v c k N v Z G U i I F Z h b H V l P S J z V W 5 r b m 9 3 b i I g L z 4 8 R W 5 0 c n k g V H l w Z T 0 i R m l s b E V y c m 9 y Q 2 9 1 b n Q i I F Z h b H V l P S J s M C I g L z 4 8 R W 5 0 c n k g V H l w Z T 0 i R m l s b E x h c 3 R V c G R h d G V k I i B W Y W x 1 Z T 0 i Z D I w M j I t M D I t M T Z U M T M 6 M z U 6 N D Y u N T U 4 N D g z O F o i I C 8 + P E V u d H J 5 I F R 5 c G U 9 I k Z p b G x D b 2 x 1 b W 5 U e X B l c y I g V m F s d W U 9 I n N B Q U E 9 I i A v P j x F b n R y e S B U e X B l P S J G a W x s Q 2 9 s d W 1 u T m F t Z X M i I F Z h b H V l P S J z W y Z x d W 9 0 O + + 8 k O + 8 k S D o v r L m p a 0 m c X V v d D s s J n F 1 b 3 Q 7 7 7 y Q 7 7 y S I O a e l + a l r S 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1 x 1 M D A y N + K R p + i o i O e U u + O A k O + 8 k e + 9 n u + 8 k + O A k V x 1 M D A y N y F B Q S A o M i k v 5 a S J 5 p u 0 4 4 G V 4 4 K M 4 4 G f 5 Z 6 L L n v v v J D v v J E g 6 L 6 y 5 q W t L D B 9 J n F 1 b 3 Q 7 L C Z x d W 9 0 O 1 N l Y 3 R p b 2 4 x L 1 x 1 M D A y N + K R p + i o i O e U u + O A k O + 8 k e + 9 n u + 8 k + O A k V x 1 M D A y N y F B Q S A o M i k v 5 a S J 5 p u 0 4 4 G V 4 4 K M 4 4 G f 5 Z 6 L L n v v v J D v v J I g 5 p 6 X 5 q W t L D F 9 J n F 1 b 3 Q 7 X S w m c X V v d D t D b 2 x 1 b W 5 D b 3 V u d C Z x d W 9 0 O z o y L C Z x d W 9 0 O 0 t l e U N v b H V t b k 5 h b W V z J n F 1 b 3 Q 7 O l t d L C Z x d W 9 0 O 0 N v b H V t b k l k Z W 5 0 a X R p Z X M m c X V v d D s 6 W y Z x d W 9 0 O 1 N l Y 3 R p b 2 4 x L 1 x 1 M D A y N + K R p + i o i O e U u + O A k O + 8 k e + 9 n u + 8 k + O A k V x 1 M D A y N y F B Q S A o M i k v 5 a S J 5 p u 0 4 4 G V 4 4 K M 4 4 G f 5 Z 6 L L n v v v J D v v J E g 6 L 6 y 5 q W t L D B 9 J n F 1 b 3 Q 7 L C Z x d W 9 0 O 1 N l Y 3 R p b 2 4 x L 1 x 1 M D A y N + K R p + i o i O e U u + O A k O + 8 k e + 9 n u + 8 k + O A k V x 1 M D A y N y F B Q S A o M i k v 5 a S J 5 p u 0 4 4 G V 4 4 K M 4 4 G f 5 Z 6 L L n v v v J D v v J I g 5 p 6 X 5 q W t L D F 9 J n F 1 b 3 Q 7 X S w m c X V v d D t S Z W x h d G l v b n N o a X B J b m Z v J n F 1 b 3 Q 7 O l t d f S I g L z 4 8 L 1 N 0 Y W J s Z U V u d H J p Z X M + P C 9 J d G V t P j x J d G V t P j x J d G V t T G 9 j Y X R p b 2 4 + P E l 0 Z W 1 U e X B l P k Z v c m 1 1 b G E 8 L 0 l 0 Z W 1 U e X B l P j x J d G V t U G F 0 a D 5 T Z W N 0 a W 9 u M S 8 n J U U y J T k x J U E 3 J U U 4 J U E 4 J T g 4 J U U 3 J T k 0 J U J C J U U z J T g w J T k w J U V G J U J D J T k x J U V G J U J E J T l F J U V G J U J D J T k z J U U z J T g w J T k x J y F B Q S U y M C g y K S 8 l R T M l O D I l Q k Q l R T M l O D M l Q k M l R T M l O D I l Q j k 8 L 0 l 0 Z W 1 Q Y X R o P j w v S X R l b U x v Y 2 F 0 a W 9 u P j x T d G F i b G V F b n R y a W V z I C 8 + P C 9 J d G V t P j x J d G V t P j x J d G V t T G 9 j Y X R p b 2 4 + P E l 0 Z W 1 U e X B l P k Z v c m 1 1 b G E 8 L 0 l 0 Z W 1 U e X B l P j x J d G V t U G F 0 a D 5 T Z W N 0 a W 9 u M S 8 n J U U y J T k x J U E 3 J U U 4 J U E 4 J T g 4 J U U 3 J T k 0 J U J C J U U z J T g w J T k w J U V G J U J D J T k x J U V G J U J E J T l F J U V G J U J D J T k z J U U z J T g w J T k x J y F B Q S U y M C g y K S 8 l R T Y l O T g l O D c l R T Y l Q T A l Q k M l R T M l O D E l O T U l R T M l O D I l O E M l R T M l O D E l O U Y l R T M l O D M l O T g l R T M l O D M l O D M l R T M l O D M l O D A l R T M l O D M l Q k M l R T Y l O T U l Q j A 8 L 0 l 0 Z W 1 Q Y X R o P j w v S X R l b U x v Y 2 F 0 a W 9 u P j x T d G F i b G V F b n R y a W V z I C 8 + P C 9 J d G V t P j x J d G V t P j x J d G V t T G 9 j Y X R p b 2 4 + P E l 0 Z W 1 U e X B l P k Z v c m 1 1 b G E 8 L 0 l 0 Z W 1 U e X B l P j x J d G V t U G F 0 a D 5 T Z W N 0 a W 9 u M S 8 n J U U y J T k x J U E 3 J U U 4 J U E 4 J T g 4 J U U 3 J T k 0 J U J C J U U z J T g w J T k w J U V G J U J D J T k x J U V G J U J E J T l F J U V G J U J D J T k z J U U z J T g w J T k x J y F B Q S U y M C g y K S 8 l R T U l Q T Q l O D k l R T Y l O U I l Q j Q l R T M l O D E l O T U l R T M l O D I l O E M l R T M l O D E l O U Y l R T U l O U U l O E I 8 L 0 l 0 Z W 1 Q Y X R o P j w v S X R l b U x v Y 2 F 0 a W 9 u P j x T d G F i b G V F b n R y a W V z I C 8 + P C 9 J d G V t P j w v S X R l b X M + P C 9 M b 2 N h b F B h Y 2 t h Z 2 V N Z X R h Z G F 0 Y U Z p b G U + F g A A A F B L B Q Y A A A A A A A A A A A A A A A A A A A A A A A A m A Q A A A Q A A A N C M n d 8 B F d E R j H o A w E / C l + s B A A A A a Q U P S L Z X Z E S T h 1 5 Z T T 2 U t A A A A A A C A A A A A A A Q Z g A A A A E A A C A A A A D i 5 O v N N W 9 w P K j O u m U y W z i I l + e i r O W M 3 j i K 2 X 1 x r a / y f A A A A A A O g A A A A A I A A C A A A A A Z t k 8 p c l r i T c O N I l r h w A C X x D O Z 1 N n 6 2 X w U u T i P I k U D w F A A A A C o 7 l Q 3 m 9 z b + o i n w q k / G f f a F + b a 8 q y P s W L C 4 o Y k f S O 9 i Q v U n i p 9 + C l n c D S y 5 A G L j z k 8 W k O q D 4 z Q I 5 4 7 2 5 g + i R q t l D d X j p H 5 v 1 E o k Q n 8 F c h N t U A A A A A 8 r y A q T I L z I y c 0 u + l 4 L s n 0 Z 3 H P n E F K A 3 9 R D p y R f T b C g F 4 l 0 L n B E 1 C K 5 M O I z n I R p 3 i i r P x 5 T D 3 s 4 5 t 7 k H V Y 5 x 5 2 < / D a t a M a s h u p > 
</file>

<file path=customXml/itemProps1.xml><?xml version="1.0" encoding="utf-8"?>
<ds:datastoreItem xmlns:ds="http://schemas.openxmlformats.org/officeDocument/2006/customXml" ds:itemID="{796CA897-D535-496E-92F9-0B0685D6074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74</vt:i4>
      </vt:variant>
      <vt:variant>
        <vt:lpstr>名前付き一覧</vt:lpstr>
      </vt:variant>
      <vt:variant>
        <vt:i4>92</vt:i4>
      </vt:variant>
    </vt:vector>
  </HeadingPairs>
  <TitlesOfParts>
    <vt:vector size="166" baseType="lpstr">
      <vt:lpstr>R6年版変更点</vt:lpstr>
      <vt:lpstr>集計_報告</vt:lpstr>
      <vt:lpstr>集計_報告自主的対策</vt:lpstr>
      <vt:lpstr>集計_報告個別</vt:lpstr>
      <vt:lpstr>集計_計画</vt:lpstr>
      <vt:lpstr>集計_計画個別</vt:lpstr>
      <vt:lpstr>はじめに</vt:lpstr>
      <vt:lpstr>使用量_1,2</vt:lpstr>
      <vt:lpstr>使用量_3</vt:lpstr>
      <vt:lpstr>電力会社</vt:lpstr>
      <vt:lpstr>外部供給</vt:lpstr>
      <vt:lpstr>o1</vt:lpstr>
      <vt:lpstr>o2</vt:lpstr>
      <vt:lpstr>o3</vt:lpstr>
      <vt:lpstr>o4</vt:lpstr>
      <vt:lpstr>o5</vt:lpstr>
      <vt:lpstr>o6</vt:lpstr>
      <vt:lpstr>o7</vt:lpstr>
      <vt:lpstr>o8</vt:lpstr>
      <vt:lpstr>o9</vt:lpstr>
      <vt:lpstr>o10</vt:lpstr>
      <vt:lpstr>o11</vt:lpstr>
      <vt:lpstr>o12</vt:lpstr>
      <vt:lpstr>o13</vt:lpstr>
      <vt:lpstr>o14</vt:lpstr>
      <vt:lpstr>o15</vt:lpstr>
      <vt:lpstr>o16</vt:lpstr>
      <vt:lpstr>o17</vt:lpstr>
      <vt:lpstr>o18</vt:lpstr>
      <vt:lpstr>o19</vt:lpstr>
      <vt:lpstr>o20</vt:lpstr>
      <vt:lpstr>o21</vt:lpstr>
      <vt:lpstr>o22</vt:lpstr>
      <vt:lpstr>o23</vt:lpstr>
      <vt:lpstr>o24</vt:lpstr>
      <vt:lpstr>o25</vt:lpstr>
      <vt:lpstr>o26</vt:lpstr>
      <vt:lpstr>o27</vt:lpstr>
      <vt:lpstr>o28</vt:lpstr>
      <vt:lpstr>o29</vt:lpstr>
      <vt:lpstr>o30</vt:lpstr>
      <vt:lpstr>o31</vt:lpstr>
      <vt:lpstr>o32</vt:lpstr>
      <vt:lpstr>o33</vt:lpstr>
      <vt:lpstr>o34</vt:lpstr>
      <vt:lpstr>o35</vt:lpstr>
      <vt:lpstr>o36</vt:lpstr>
      <vt:lpstr>o37</vt:lpstr>
      <vt:lpstr>o38</vt:lpstr>
      <vt:lpstr>o39</vt:lpstr>
      <vt:lpstr>o40</vt:lpstr>
      <vt:lpstr>o41</vt:lpstr>
      <vt:lpstr>o42</vt:lpstr>
      <vt:lpstr>o43</vt:lpstr>
      <vt:lpstr>昨年度計画書</vt:lpstr>
      <vt:lpstr>昨年度報告書</vt:lpstr>
      <vt:lpstr>参照元個別</vt:lpstr>
      <vt:lpstr>自動車計算</vt:lpstr>
      <vt:lpstr>参照元</vt:lpstr>
      <vt:lpstr>報1</vt:lpstr>
      <vt:lpstr>報2</vt:lpstr>
      <vt:lpstr>報3</vt:lpstr>
      <vt:lpstr>報4</vt:lpstr>
      <vt:lpstr>報5</vt:lpstr>
      <vt:lpstr>報6</vt:lpstr>
      <vt:lpstr>報7</vt:lpstr>
      <vt:lpstr>計1</vt:lpstr>
      <vt:lpstr>計2</vt:lpstr>
      <vt:lpstr>計3</vt:lpstr>
      <vt:lpstr>計4</vt:lpstr>
      <vt:lpstr>計5</vt:lpstr>
      <vt:lpstr>以降入力不要→</vt:lpstr>
      <vt:lpstr>提</vt:lpstr>
      <vt:lpstr>係数</vt:lpstr>
      <vt:lpstr>計1!AA</vt:lpstr>
      <vt:lpstr>報1!AA</vt:lpstr>
      <vt:lpstr>計1!BB</vt:lpstr>
      <vt:lpstr>報1!BB</vt:lpstr>
      <vt:lpstr>計1!CC</vt:lpstr>
      <vt:lpstr>報1!CC</vt:lpstr>
      <vt:lpstr>計1!DD</vt:lpstr>
      <vt:lpstr>報1!DD</vt:lpstr>
      <vt:lpstr>計1!EE</vt:lpstr>
      <vt:lpstr>報1!EE</vt:lpstr>
      <vt:lpstr>計1!FF</vt:lpstr>
      <vt:lpstr>報1!FF</vt:lpstr>
      <vt:lpstr>計1!GG</vt:lpstr>
      <vt:lpstr>報1!GG</vt:lpstr>
      <vt:lpstr>計1!HH</vt:lpstr>
      <vt:lpstr>報1!HH</vt:lpstr>
      <vt:lpstr>計1!II</vt:lpstr>
      <vt:lpstr>報1!II</vt:lpstr>
      <vt:lpstr>計1!JJ</vt:lpstr>
      <vt:lpstr>報1!JJ</vt:lpstr>
      <vt:lpstr>計1!KK</vt:lpstr>
      <vt:lpstr>報1!KK</vt:lpstr>
      <vt:lpstr>計1!LL</vt:lpstr>
      <vt:lpstr>報1!LL</vt:lpstr>
      <vt:lpstr>計1!MM</vt:lpstr>
      <vt:lpstr>報1!MM</vt:lpstr>
      <vt:lpstr>計1!NN</vt:lpstr>
      <vt:lpstr>報1!NN</vt:lpstr>
      <vt:lpstr>計1!OO</vt:lpstr>
      <vt:lpstr>報1!OO</vt:lpstr>
      <vt:lpstr>計1!PP</vt:lpstr>
      <vt:lpstr>報1!PP</vt:lpstr>
      <vt:lpstr>計1!Print_Area</vt:lpstr>
      <vt:lpstr>計3!Print_Area</vt:lpstr>
      <vt:lpstr>計4!Print_Area</vt:lpstr>
      <vt:lpstr>計5!Print_Area</vt:lpstr>
      <vt:lpstr>提!Print_Area</vt:lpstr>
      <vt:lpstr>報1!Print_Area</vt:lpstr>
      <vt:lpstr>報2!Print_Area</vt:lpstr>
      <vt:lpstr>報3!Print_Area</vt:lpstr>
      <vt:lpstr>報4!Print_Area</vt:lpstr>
      <vt:lpstr>報6!Print_Area</vt:lpstr>
      <vt:lpstr>報7!Print_Area</vt:lpstr>
      <vt:lpstr>計1!QQ</vt:lpstr>
      <vt:lpstr>報1!QQ</vt:lpstr>
      <vt:lpstr>計1!RR</vt:lpstr>
      <vt:lpstr>報1!RR</vt:lpstr>
      <vt:lpstr>計1!SS</vt:lpstr>
      <vt:lpstr>報1!SS</vt:lpstr>
      <vt:lpstr>計1!TT</vt:lpstr>
      <vt:lpstr>報1!TT</vt:lpstr>
      <vt:lpstr>報6!温室効果ガス排出抑制に寄与する機械器具</vt:lpstr>
      <vt:lpstr>報7!個別票_2</vt:lpstr>
      <vt:lpstr>事業者ID下3桁</vt:lpstr>
      <vt:lpstr>自動転記</vt:lpstr>
      <vt:lpstr>種別リスト</vt:lpstr>
      <vt:lpstr>報4!重点対策_1号2号</vt:lpstr>
      <vt:lpstr>報4!重点対策_3号</vt:lpstr>
      <vt:lpstr>報5!単位01</vt:lpstr>
      <vt:lpstr>報5!単位02</vt:lpstr>
      <vt:lpstr>報5!単位03</vt:lpstr>
      <vt:lpstr>報5!単位04</vt:lpstr>
      <vt:lpstr>報5!単位05</vt:lpstr>
      <vt:lpstr>報5!単位06</vt:lpstr>
      <vt:lpstr>報5!単位07</vt:lpstr>
      <vt:lpstr>報5!単位08</vt:lpstr>
      <vt:lpstr>報5!単位09</vt:lpstr>
      <vt:lpstr>報5!単位10</vt:lpstr>
      <vt:lpstr>報5!単位11</vt:lpstr>
      <vt:lpstr>報5!単位12</vt:lpstr>
      <vt:lpstr>報5!単位13</vt:lpstr>
      <vt:lpstr>報5!単位14</vt:lpstr>
      <vt:lpstr>報5!単位15</vt:lpstr>
      <vt:lpstr>報5!単位16</vt:lpstr>
      <vt:lpstr>報5!単位17</vt:lpstr>
      <vt:lpstr>報5!単位18</vt:lpstr>
      <vt:lpstr>報5!単位19</vt:lpstr>
      <vt:lpstr>報5!単位20</vt:lpstr>
      <vt:lpstr>報5!単位21</vt:lpstr>
      <vt:lpstr>報5!単位22</vt:lpstr>
      <vt:lpstr>報5!単位23</vt:lpstr>
      <vt:lpstr>報5!単位24</vt:lpstr>
      <vt:lpstr>報5!単位25</vt:lpstr>
      <vt:lpstr>報5!単位26</vt:lpstr>
      <vt:lpstr>報5!単位27</vt:lpstr>
      <vt:lpstr>報5!単位28</vt:lpstr>
      <vt:lpstr>報5!単位29</vt:lpstr>
      <vt:lpstr>報5!単位30</vt:lpstr>
      <vt:lpstr>報5!単位31</vt:lpstr>
      <vt:lpstr>報5!単位32</vt:lpstr>
      <vt:lpstr>報5!単位33</vt:lpstr>
      <vt:lpstr>提出前確認日時</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2024-01-16T02:09:12Z</cp:lastPrinted>
  <dcterms:created xsi:type="dcterms:W3CDTF">2022-03-09T05:52:52Z</dcterms:created>
  <dcterms:modified xsi:type="dcterms:W3CDTF">2024-07-16T06:46:47Z</dcterms:modified>
</cp:coreProperties>
</file>